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. 28 ธ.ค. 66\"/>
    </mc:Choice>
  </mc:AlternateContent>
  <xr:revisionPtr revIDLastSave="0" documentId="13_ncr:1_{7A1493D8-90DD-4EE1-9845-4C1ADF706597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แปลงใหญ่" sheetId="1" r:id="rId1"/>
    <sheet name="ทฤษฎีใหม่" sheetId="2" r:id="rId2"/>
    <sheet name="สมุนไพร" sheetId="3" r:id="rId3"/>
    <sheet name="GAP" sheetId="4" r:id="rId4"/>
    <sheet name="หัตถกรรม" sheetId="5" r:id="rId5"/>
    <sheet name="พระราชดำริ" sheetId="6" r:id="rId6"/>
    <sheet name="เฝ้าระวังการเผา" sheetId="7" r:id="rId7"/>
    <sheet name="Smart" sheetId="8" r:id="rId8"/>
    <sheet name="แปลงรวม" sheetId="9" r:id="rId9"/>
    <sheet name="ศูนย์บริการ" sheetId="10" r:id="rId10"/>
    <sheet name="จัดที่ดิน" sheetId="11" r:id="rId11"/>
  </sheets>
  <calcPr calcId="179021"/>
</workbook>
</file>

<file path=xl/calcChain.xml><?xml version="1.0" encoding="utf-8"?>
<calcChain xmlns="http://schemas.openxmlformats.org/spreadsheetml/2006/main">
  <c r="O106" i="11" l="1"/>
  <c r="L106" i="11"/>
  <c r="J106" i="11" s="1"/>
  <c r="I106" i="11"/>
  <c r="Q106" i="11" s="1"/>
  <c r="H106" i="11"/>
  <c r="N106" i="11" s="1"/>
  <c r="G106" i="11"/>
  <c r="P106" i="11" s="1"/>
  <c r="F106" i="11"/>
  <c r="E106" i="11"/>
  <c r="D106" i="11" s="1"/>
  <c r="P105" i="11"/>
  <c r="O105" i="11"/>
  <c r="L105" i="11"/>
  <c r="J105" i="11"/>
  <c r="I105" i="11"/>
  <c r="Q105" i="11" s="1"/>
  <c r="H105" i="11"/>
  <c r="N105" i="11" s="1"/>
  <c r="G105" i="11"/>
  <c r="F105" i="11"/>
  <c r="E105" i="11"/>
  <c r="D105" i="11"/>
  <c r="M105" i="11" s="1"/>
  <c r="Q104" i="11"/>
  <c r="O104" i="11"/>
  <c r="L104" i="11"/>
  <c r="J104" i="11" s="1"/>
  <c r="I104" i="11"/>
  <c r="H104" i="11"/>
  <c r="N104" i="11" s="1"/>
  <c r="G104" i="11"/>
  <c r="P104" i="11" s="1"/>
  <c r="F104" i="11"/>
  <c r="E104" i="11"/>
  <c r="D104" i="11" s="1"/>
  <c r="P103" i="11"/>
  <c r="O103" i="11"/>
  <c r="N103" i="11"/>
  <c r="L103" i="11"/>
  <c r="J103" i="11"/>
  <c r="I103" i="11"/>
  <c r="Q103" i="11" s="1"/>
  <c r="H103" i="11"/>
  <c r="G103" i="11"/>
  <c r="F103" i="11"/>
  <c r="E103" i="11"/>
  <c r="D103" i="11"/>
  <c r="M103" i="11" s="1"/>
  <c r="Q102" i="11"/>
  <c r="O102" i="11"/>
  <c r="L102" i="11"/>
  <c r="J102" i="11" s="1"/>
  <c r="I102" i="11"/>
  <c r="H102" i="11"/>
  <c r="N102" i="11" s="1"/>
  <c r="G102" i="11"/>
  <c r="P102" i="11" s="1"/>
  <c r="F102" i="11"/>
  <c r="E102" i="11"/>
  <c r="D102" i="11" s="1"/>
  <c r="P101" i="11"/>
  <c r="O101" i="11"/>
  <c r="N101" i="11"/>
  <c r="L101" i="11"/>
  <c r="J101" i="11"/>
  <c r="I101" i="11"/>
  <c r="Q101" i="11" s="1"/>
  <c r="H101" i="11"/>
  <c r="G101" i="11"/>
  <c r="F101" i="11"/>
  <c r="E101" i="11"/>
  <c r="D101" i="11"/>
  <c r="M101" i="11" s="1"/>
  <c r="Q100" i="11"/>
  <c r="O100" i="11"/>
  <c r="L100" i="11"/>
  <c r="J100" i="11" s="1"/>
  <c r="I100" i="11"/>
  <c r="H100" i="11"/>
  <c r="N100" i="11" s="1"/>
  <c r="G100" i="11"/>
  <c r="P100" i="11" s="1"/>
  <c r="F100" i="11"/>
  <c r="E100" i="11"/>
  <c r="D100" i="11" s="1"/>
  <c r="P99" i="11"/>
  <c r="O99" i="11"/>
  <c r="L99" i="11"/>
  <c r="J99" i="11"/>
  <c r="I99" i="11"/>
  <c r="Q99" i="11" s="1"/>
  <c r="H99" i="11"/>
  <c r="N99" i="11" s="1"/>
  <c r="G99" i="11"/>
  <c r="F99" i="11"/>
  <c r="E99" i="11"/>
  <c r="D99" i="11"/>
  <c r="M99" i="11" s="1"/>
  <c r="Q98" i="11"/>
  <c r="O98" i="11"/>
  <c r="L98" i="11"/>
  <c r="J98" i="11" s="1"/>
  <c r="I98" i="11"/>
  <c r="H98" i="11"/>
  <c r="N98" i="11" s="1"/>
  <c r="G98" i="11"/>
  <c r="P98" i="11" s="1"/>
  <c r="F98" i="11"/>
  <c r="E98" i="11"/>
  <c r="D98" i="11" s="1"/>
  <c r="P97" i="11"/>
  <c r="O97" i="11"/>
  <c r="N97" i="11"/>
  <c r="L97" i="11"/>
  <c r="J97" i="11"/>
  <c r="I97" i="11"/>
  <c r="Q97" i="11" s="1"/>
  <c r="H97" i="11"/>
  <c r="G97" i="11"/>
  <c r="F97" i="11"/>
  <c r="E97" i="11"/>
  <c r="D97" i="11"/>
  <c r="M97" i="11" s="1"/>
  <c r="Q96" i="11"/>
  <c r="O96" i="11"/>
  <c r="L96" i="11"/>
  <c r="J96" i="11" s="1"/>
  <c r="I96" i="11"/>
  <c r="H96" i="11"/>
  <c r="N96" i="11" s="1"/>
  <c r="G96" i="11"/>
  <c r="P96" i="11" s="1"/>
  <c r="F96" i="11"/>
  <c r="E96" i="11"/>
  <c r="D96" i="11" s="1"/>
  <c r="P95" i="11"/>
  <c r="O95" i="11"/>
  <c r="J95" i="11" s="1"/>
  <c r="L95" i="11"/>
  <c r="I95" i="11"/>
  <c r="Q95" i="11" s="1"/>
  <c r="H95" i="11"/>
  <c r="G95" i="11"/>
  <c r="F95" i="11"/>
  <c r="E95" i="11"/>
  <c r="D95" i="11"/>
  <c r="M95" i="11" s="1"/>
  <c r="C95" i="11"/>
  <c r="Q94" i="11"/>
  <c r="O94" i="11"/>
  <c r="L94" i="11"/>
  <c r="J94" i="11" s="1"/>
  <c r="I94" i="11"/>
  <c r="H94" i="11"/>
  <c r="N94" i="11" s="1"/>
  <c r="G94" i="11"/>
  <c r="P94" i="11" s="1"/>
  <c r="F94" i="11"/>
  <c r="E94" i="11"/>
  <c r="D94" i="11" s="1"/>
  <c r="P93" i="11"/>
  <c r="O93" i="11"/>
  <c r="J93" i="11" s="1"/>
  <c r="L93" i="11"/>
  <c r="I93" i="11"/>
  <c r="Q93" i="11" s="1"/>
  <c r="H93" i="11"/>
  <c r="N93" i="11" s="1"/>
  <c r="G93" i="11"/>
  <c r="F93" i="11"/>
  <c r="E93" i="11"/>
  <c r="D93" i="11"/>
  <c r="M93" i="11" s="1"/>
  <c r="C93" i="11"/>
  <c r="K93" i="11" s="1"/>
  <c r="Q92" i="11"/>
  <c r="O92" i="11"/>
  <c r="L92" i="11"/>
  <c r="J92" i="11" s="1"/>
  <c r="I92" i="11"/>
  <c r="H92" i="11"/>
  <c r="N92" i="11" s="1"/>
  <c r="G92" i="11"/>
  <c r="P92" i="11" s="1"/>
  <c r="F92" i="11"/>
  <c r="E92" i="11"/>
  <c r="D92" i="11" s="1"/>
  <c r="P91" i="11"/>
  <c r="O91" i="11"/>
  <c r="N91" i="11"/>
  <c r="L91" i="11"/>
  <c r="J91" i="11" s="1"/>
  <c r="I91" i="11"/>
  <c r="Q91" i="11" s="1"/>
  <c r="H91" i="11"/>
  <c r="G91" i="11"/>
  <c r="F91" i="11"/>
  <c r="D91" i="11" s="1"/>
  <c r="E91" i="11"/>
  <c r="Q90" i="11"/>
  <c r="O90" i="11"/>
  <c r="L90" i="11"/>
  <c r="J90" i="11" s="1"/>
  <c r="I90" i="11"/>
  <c r="H90" i="11"/>
  <c r="N90" i="11" s="1"/>
  <c r="G90" i="11"/>
  <c r="P90" i="11" s="1"/>
  <c r="F90" i="11"/>
  <c r="E90" i="11"/>
  <c r="O89" i="11"/>
  <c r="L89" i="11"/>
  <c r="I89" i="11"/>
  <c r="G89" i="11"/>
  <c r="F89" i="11"/>
  <c r="AC88" i="11"/>
  <c r="AB88" i="11"/>
  <c r="AA88" i="11"/>
  <c r="Z88" i="11"/>
  <c r="X88" i="11"/>
  <c r="W88" i="11"/>
  <c r="V88" i="11"/>
  <c r="Y88" i="11" s="1"/>
  <c r="T88" i="11"/>
  <c r="S88" i="11"/>
  <c r="R88" i="11"/>
  <c r="U88" i="11" s="1"/>
  <c r="Q88" i="11"/>
  <c r="P88" i="11"/>
  <c r="O88" i="11"/>
  <c r="L88" i="11"/>
  <c r="J88" i="11"/>
  <c r="I88" i="11"/>
  <c r="H88" i="11"/>
  <c r="N88" i="11" s="1"/>
  <c r="G88" i="11"/>
  <c r="F88" i="11"/>
  <c r="E88" i="11"/>
  <c r="D88" i="11" s="1"/>
  <c r="AB87" i="11"/>
  <c r="AA87" i="11"/>
  <c r="Z87" i="11"/>
  <c r="AC87" i="11" s="1"/>
  <c r="Y87" i="11"/>
  <c r="X87" i="11"/>
  <c r="W87" i="11"/>
  <c r="V87" i="11"/>
  <c r="T87" i="11"/>
  <c r="S87" i="11"/>
  <c r="R87" i="11"/>
  <c r="U87" i="11" s="1"/>
  <c r="O87" i="11"/>
  <c r="N87" i="11"/>
  <c r="L87" i="11"/>
  <c r="J87" i="11" s="1"/>
  <c r="I87" i="11"/>
  <c r="Q87" i="11" s="1"/>
  <c r="H87" i="11"/>
  <c r="G87" i="11"/>
  <c r="P87" i="11" s="1"/>
  <c r="F87" i="11"/>
  <c r="E87" i="11"/>
  <c r="D87" i="11" s="1"/>
  <c r="AC86" i="11"/>
  <c r="AB86" i="11"/>
  <c r="AA86" i="11"/>
  <c r="Z86" i="11"/>
  <c r="X86" i="11"/>
  <c r="W86" i="11"/>
  <c r="V86" i="11"/>
  <c r="T86" i="11"/>
  <c r="S86" i="11"/>
  <c r="R86" i="11"/>
  <c r="U86" i="11" s="1"/>
  <c r="Q86" i="11"/>
  <c r="P86" i="11"/>
  <c r="O86" i="11"/>
  <c r="L86" i="11"/>
  <c r="J86" i="11"/>
  <c r="I86" i="11"/>
  <c r="H86" i="11"/>
  <c r="N86" i="11" s="1"/>
  <c r="G86" i="11"/>
  <c r="F86" i="11"/>
  <c r="E86" i="11"/>
  <c r="D86" i="11" s="1"/>
  <c r="AB85" i="11"/>
  <c r="AA85" i="11"/>
  <c r="Z85" i="11"/>
  <c r="AC85" i="11" s="1"/>
  <c r="Y85" i="11"/>
  <c r="X85" i="11"/>
  <c r="W85" i="11"/>
  <c r="V85" i="11"/>
  <c r="T85" i="11"/>
  <c r="U85" i="11" s="1"/>
  <c r="S85" i="11"/>
  <c r="R85" i="11"/>
  <c r="O85" i="11"/>
  <c r="L85" i="11"/>
  <c r="J85" i="11" s="1"/>
  <c r="I85" i="11"/>
  <c r="Q85" i="11" s="1"/>
  <c r="H85" i="11"/>
  <c r="N85" i="11" s="1"/>
  <c r="G85" i="11"/>
  <c r="P85" i="11" s="1"/>
  <c r="F85" i="11"/>
  <c r="E85" i="11"/>
  <c r="D85" i="11" s="1"/>
  <c r="AC84" i="11"/>
  <c r="AB84" i="11"/>
  <c r="AA84" i="11"/>
  <c r="Z84" i="11"/>
  <c r="X84" i="11"/>
  <c r="W84" i="11"/>
  <c r="V84" i="11"/>
  <c r="Y84" i="11" s="1"/>
  <c r="T84" i="11"/>
  <c r="S84" i="11"/>
  <c r="R84" i="11"/>
  <c r="U84" i="11" s="1"/>
  <c r="Q84" i="11"/>
  <c r="P84" i="11"/>
  <c r="O84" i="11"/>
  <c r="L84" i="11"/>
  <c r="J84" i="11" s="1"/>
  <c r="I84" i="11"/>
  <c r="H84" i="11"/>
  <c r="N84" i="11" s="1"/>
  <c r="G84" i="11"/>
  <c r="F84" i="11"/>
  <c r="E84" i="11"/>
  <c r="D84" i="11" s="1"/>
  <c r="AB83" i="11"/>
  <c r="AA83" i="11"/>
  <c r="Z83" i="11"/>
  <c r="AC83" i="11" s="1"/>
  <c r="Y83" i="11"/>
  <c r="X83" i="11"/>
  <c r="W83" i="11"/>
  <c r="V83" i="11"/>
  <c r="T83" i="11"/>
  <c r="U83" i="11" s="1"/>
  <c r="S83" i="11"/>
  <c r="R83" i="11"/>
  <c r="O83" i="11"/>
  <c r="N83" i="11"/>
  <c r="L83" i="11"/>
  <c r="J83" i="11" s="1"/>
  <c r="I83" i="11"/>
  <c r="Q83" i="11" s="1"/>
  <c r="H83" i="11"/>
  <c r="G83" i="11"/>
  <c r="P83" i="11" s="1"/>
  <c r="F83" i="11"/>
  <c r="E83" i="11"/>
  <c r="D83" i="11" s="1"/>
  <c r="AC82" i="11"/>
  <c r="AB82" i="11"/>
  <c r="AA82" i="11"/>
  <c r="Z82" i="11"/>
  <c r="X82" i="11"/>
  <c r="W82" i="11"/>
  <c r="V82" i="11"/>
  <c r="Y82" i="11" s="1"/>
  <c r="T82" i="11"/>
  <c r="S82" i="11"/>
  <c r="R82" i="11"/>
  <c r="U82" i="11" s="1"/>
  <c r="Q82" i="11"/>
  <c r="P82" i="11"/>
  <c r="O82" i="11"/>
  <c r="L82" i="11"/>
  <c r="J82" i="11" s="1"/>
  <c r="I82" i="11"/>
  <c r="H82" i="11"/>
  <c r="N82" i="11" s="1"/>
  <c r="G82" i="11"/>
  <c r="F82" i="11"/>
  <c r="E82" i="11"/>
  <c r="D82" i="11" s="1"/>
  <c r="AB81" i="11"/>
  <c r="AA81" i="11"/>
  <c r="Z81" i="11"/>
  <c r="AC81" i="11" s="1"/>
  <c r="Y81" i="11"/>
  <c r="X81" i="11"/>
  <c r="W81" i="11"/>
  <c r="V81" i="11"/>
  <c r="T81" i="11"/>
  <c r="U81" i="11" s="1"/>
  <c r="S81" i="11"/>
  <c r="R81" i="11"/>
  <c r="O81" i="11"/>
  <c r="L81" i="11"/>
  <c r="J81" i="11" s="1"/>
  <c r="I81" i="11"/>
  <c r="Q81" i="11" s="1"/>
  <c r="H81" i="11"/>
  <c r="N81" i="11" s="1"/>
  <c r="G81" i="11"/>
  <c r="P81" i="11" s="1"/>
  <c r="F81" i="11"/>
  <c r="E81" i="11"/>
  <c r="D81" i="11" s="1"/>
  <c r="AC80" i="11"/>
  <c r="AB80" i="11"/>
  <c r="AA80" i="11"/>
  <c r="Z80" i="11"/>
  <c r="X80" i="11"/>
  <c r="W80" i="11"/>
  <c r="W74" i="11" s="1"/>
  <c r="V80" i="11"/>
  <c r="T80" i="11"/>
  <c r="S80" i="11"/>
  <c r="R80" i="11"/>
  <c r="U80" i="11" s="1"/>
  <c r="Q80" i="11"/>
  <c r="P80" i="11"/>
  <c r="O80" i="11"/>
  <c r="L80" i="11"/>
  <c r="J80" i="11" s="1"/>
  <c r="I80" i="11"/>
  <c r="H80" i="11"/>
  <c r="N80" i="11" s="1"/>
  <c r="G80" i="11"/>
  <c r="F80" i="11"/>
  <c r="E80" i="11"/>
  <c r="D80" i="11" s="1"/>
  <c r="AB79" i="11"/>
  <c r="AA79" i="11"/>
  <c r="Z79" i="11"/>
  <c r="AC79" i="11" s="1"/>
  <c r="Y79" i="11"/>
  <c r="X79" i="11"/>
  <c r="W79" i="11"/>
  <c r="V79" i="11"/>
  <c r="T79" i="11"/>
  <c r="U79" i="11" s="1"/>
  <c r="S79" i="11"/>
  <c r="R79" i="11"/>
  <c r="O79" i="11"/>
  <c r="L79" i="11"/>
  <c r="J79" i="11" s="1"/>
  <c r="I79" i="11"/>
  <c r="Q79" i="11" s="1"/>
  <c r="H79" i="11"/>
  <c r="N79" i="11" s="1"/>
  <c r="G79" i="11"/>
  <c r="P79" i="11" s="1"/>
  <c r="F79" i="11"/>
  <c r="E79" i="11"/>
  <c r="D79" i="11" s="1"/>
  <c r="AC78" i="11"/>
  <c r="AB78" i="11"/>
  <c r="AA78" i="11"/>
  <c r="Z78" i="11"/>
  <c r="X78" i="11"/>
  <c r="W78" i="11"/>
  <c r="V78" i="11"/>
  <c r="Y78" i="11" s="1"/>
  <c r="T78" i="11"/>
  <c r="S78" i="11"/>
  <c r="R78" i="11"/>
  <c r="U78" i="11" s="1"/>
  <c r="Q78" i="11"/>
  <c r="P78" i="11"/>
  <c r="O78" i="11"/>
  <c r="L78" i="11"/>
  <c r="J78" i="11" s="1"/>
  <c r="I78" i="11"/>
  <c r="H78" i="11"/>
  <c r="N78" i="11" s="1"/>
  <c r="G78" i="11"/>
  <c r="F78" i="11"/>
  <c r="E78" i="11"/>
  <c r="D78" i="11" s="1"/>
  <c r="AB77" i="11"/>
  <c r="AA77" i="11"/>
  <c r="Z77" i="11"/>
  <c r="AC77" i="11" s="1"/>
  <c r="Y77" i="11"/>
  <c r="X77" i="11"/>
  <c r="W77" i="11"/>
  <c r="V77" i="11"/>
  <c r="T77" i="11"/>
  <c r="U77" i="11" s="1"/>
  <c r="S77" i="11"/>
  <c r="R77" i="11"/>
  <c r="O77" i="11"/>
  <c r="N77" i="11"/>
  <c r="L77" i="11"/>
  <c r="J77" i="11" s="1"/>
  <c r="I77" i="11"/>
  <c r="Q77" i="11" s="1"/>
  <c r="H77" i="11"/>
  <c r="G77" i="11"/>
  <c r="P77" i="11" s="1"/>
  <c r="F77" i="11"/>
  <c r="E77" i="11"/>
  <c r="D77" i="11" s="1"/>
  <c r="AC76" i="11"/>
  <c r="AB76" i="11"/>
  <c r="AA76" i="11"/>
  <c r="Z76" i="11"/>
  <c r="X76" i="11"/>
  <c r="W76" i="11"/>
  <c r="V76" i="11"/>
  <c r="Y76" i="11" s="1"/>
  <c r="T76" i="11"/>
  <c r="S76" i="11"/>
  <c r="R76" i="11"/>
  <c r="U76" i="11" s="1"/>
  <c r="Q76" i="11"/>
  <c r="P76" i="11"/>
  <c r="O76" i="11"/>
  <c r="L76" i="11"/>
  <c r="J76" i="11" s="1"/>
  <c r="I76" i="11"/>
  <c r="H76" i="11"/>
  <c r="N76" i="11" s="1"/>
  <c r="G76" i="11"/>
  <c r="F76" i="11"/>
  <c r="E76" i="11"/>
  <c r="D76" i="11" s="1"/>
  <c r="AB75" i="11"/>
  <c r="AA75" i="11"/>
  <c r="AA74" i="11" s="1"/>
  <c r="Z75" i="11"/>
  <c r="Y75" i="11"/>
  <c r="X75" i="11"/>
  <c r="W75" i="11"/>
  <c r="V75" i="11"/>
  <c r="T75" i="11"/>
  <c r="S75" i="11"/>
  <c r="S74" i="11" s="1"/>
  <c r="R75" i="11"/>
  <c r="O75" i="11"/>
  <c r="O74" i="11" s="1"/>
  <c r="L75" i="11"/>
  <c r="J75" i="11" s="1"/>
  <c r="I75" i="11"/>
  <c r="I74" i="11" s="1"/>
  <c r="Q74" i="11" s="1"/>
  <c r="H75" i="11"/>
  <c r="G75" i="11"/>
  <c r="P75" i="11" s="1"/>
  <c r="F75" i="11"/>
  <c r="D75" i="11" s="1"/>
  <c r="E75" i="11"/>
  <c r="AB74" i="11"/>
  <c r="X74" i="11"/>
  <c r="V74" i="11"/>
  <c r="R74" i="11"/>
  <c r="L74" i="11"/>
  <c r="F74" i="11"/>
  <c r="E74" i="11"/>
  <c r="AB73" i="11"/>
  <c r="AA73" i="11"/>
  <c r="Z73" i="11"/>
  <c r="AC73" i="11" s="1"/>
  <c r="Y73" i="11"/>
  <c r="X73" i="11"/>
  <c r="W73" i="11"/>
  <c r="V73" i="11"/>
  <c r="U73" i="11"/>
  <c r="T73" i="11"/>
  <c r="S73" i="11"/>
  <c r="R73" i="11"/>
  <c r="O73" i="11"/>
  <c r="L73" i="11"/>
  <c r="J73" i="11" s="1"/>
  <c r="I73" i="11"/>
  <c r="Q73" i="11" s="1"/>
  <c r="H73" i="11"/>
  <c r="N73" i="11" s="1"/>
  <c r="G73" i="11"/>
  <c r="P73" i="11" s="1"/>
  <c r="F73" i="11"/>
  <c r="D73" i="11" s="1"/>
  <c r="E73" i="11"/>
  <c r="AC72" i="11"/>
  <c r="AB72" i="11"/>
  <c r="AA72" i="11"/>
  <c r="Z72" i="11"/>
  <c r="X72" i="11"/>
  <c r="W72" i="11"/>
  <c r="V72" i="11"/>
  <c r="T72" i="11"/>
  <c r="S72" i="11"/>
  <c r="R72" i="11"/>
  <c r="U72" i="11" s="1"/>
  <c r="Q72" i="11"/>
  <c r="P72" i="11"/>
  <c r="O72" i="11"/>
  <c r="L72" i="11"/>
  <c r="J72" i="11" s="1"/>
  <c r="I72" i="11"/>
  <c r="H72" i="11"/>
  <c r="N72" i="11" s="1"/>
  <c r="G72" i="11"/>
  <c r="F72" i="11"/>
  <c r="E72" i="11"/>
  <c r="D72" i="11" s="1"/>
  <c r="AB71" i="11"/>
  <c r="AA71" i="11"/>
  <c r="Z71" i="11"/>
  <c r="AC71" i="11" s="1"/>
  <c r="Y71" i="11"/>
  <c r="X71" i="11"/>
  <c r="W71" i="11"/>
  <c r="V71" i="11"/>
  <c r="U71" i="11"/>
  <c r="T71" i="11"/>
  <c r="S71" i="11"/>
  <c r="R71" i="11"/>
  <c r="O71" i="11"/>
  <c r="N71" i="11"/>
  <c r="L71" i="11"/>
  <c r="J71" i="11" s="1"/>
  <c r="I71" i="11"/>
  <c r="Q71" i="11" s="1"/>
  <c r="H71" i="11"/>
  <c r="G71" i="11"/>
  <c r="P71" i="11" s="1"/>
  <c r="F71" i="11"/>
  <c r="E71" i="11"/>
  <c r="D71" i="11" s="1"/>
  <c r="AC70" i="11"/>
  <c r="AB70" i="11"/>
  <c r="AA70" i="11"/>
  <c r="Z70" i="11"/>
  <c r="X70" i="11"/>
  <c r="W70" i="11"/>
  <c r="V70" i="11"/>
  <c r="T70" i="11"/>
  <c r="S70" i="11"/>
  <c r="R70" i="11"/>
  <c r="U70" i="11" s="1"/>
  <c r="Q70" i="11"/>
  <c r="P70" i="11"/>
  <c r="O70" i="11"/>
  <c r="L70" i="11"/>
  <c r="J70" i="11" s="1"/>
  <c r="I70" i="11"/>
  <c r="H70" i="11"/>
  <c r="G70" i="11"/>
  <c r="F70" i="11"/>
  <c r="E70" i="11"/>
  <c r="D70" i="11" s="1"/>
  <c r="AB69" i="11"/>
  <c r="AA69" i="11"/>
  <c r="Z69" i="11"/>
  <c r="AC69" i="11" s="1"/>
  <c r="Y69" i="11"/>
  <c r="X69" i="11"/>
  <c r="W69" i="11"/>
  <c r="V69" i="11"/>
  <c r="T69" i="11"/>
  <c r="U69" i="11" s="1"/>
  <c r="S69" i="11"/>
  <c r="R69" i="11"/>
  <c r="O69" i="11"/>
  <c r="L69" i="11"/>
  <c r="I69" i="11"/>
  <c r="Q69" i="11" s="1"/>
  <c r="H69" i="11"/>
  <c r="G69" i="11"/>
  <c r="P69" i="11" s="1"/>
  <c r="F69" i="11"/>
  <c r="E69" i="11"/>
  <c r="D69" i="11" s="1"/>
  <c r="M69" i="11" s="1"/>
  <c r="AC68" i="11"/>
  <c r="AB68" i="11"/>
  <c r="AA68" i="11"/>
  <c r="Z68" i="11"/>
  <c r="X68" i="11"/>
  <c r="W68" i="11"/>
  <c r="V68" i="11"/>
  <c r="Y68" i="11" s="1"/>
  <c r="T68" i="11"/>
  <c r="S68" i="11"/>
  <c r="R68" i="11"/>
  <c r="U68" i="11" s="1"/>
  <c r="Q68" i="11"/>
  <c r="P68" i="11"/>
  <c r="O68" i="11"/>
  <c r="L68" i="11"/>
  <c r="J68" i="11" s="1"/>
  <c r="I68" i="11"/>
  <c r="H68" i="11"/>
  <c r="G68" i="11"/>
  <c r="F68" i="11"/>
  <c r="E68" i="11"/>
  <c r="D68" i="11" s="1"/>
  <c r="AB67" i="11"/>
  <c r="AA67" i="11"/>
  <c r="Z67" i="11"/>
  <c r="Y67" i="11"/>
  <c r="X67" i="11"/>
  <c r="W67" i="11"/>
  <c r="V67" i="11"/>
  <c r="U67" i="11"/>
  <c r="T67" i="11"/>
  <c r="S67" i="11"/>
  <c r="R67" i="11"/>
  <c r="O67" i="11"/>
  <c r="N67" i="11"/>
  <c r="L67" i="11"/>
  <c r="I67" i="11"/>
  <c r="Q67" i="11" s="1"/>
  <c r="H67" i="11"/>
  <c r="G67" i="11"/>
  <c r="P67" i="11" s="1"/>
  <c r="F67" i="11"/>
  <c r="E67" i="11"/>
  <c r="D67" i="11" s="1"/>
  <c r="M67" i="11" s="1"/>
  <c r="C67" i="11"/>
  <c r="AC66" i="11"/>
  <c r="AB66" i="11"/>
  <c r="AA66" i="11"/>
  <c r="Z66" i="11"/>
  <c r="X66" i="11"/>
  <c r="W66" i="11"/>
  <c r="V66" i="11"/>
  <c r="T66" i="11"/>
  <c r="S66" i="11"/>
  <c r="R66" i="11"/>
  <c r="U66" i="11" s="1"/>
  <c r="Q66" i="11"/>
  <c r="P66" i="11"/>
  <c r="O66" i="11"/>
  <c r="L66" i="11"/>
  <c r="J66" i="11" s="1"/>
  <c r="I66" i="11"/>
  <c r="H66" i="11"/>
  <c r="N66" i="11" s="1"/>
  <c r="G66" i="11"/>
  <c r="F66" i="11"/>
  <c r="E66" i="11"/>
  <c r="AB65" i="11"/>
  <c r="AA65" i="11"/>
  <c r="Z65" i="11"/>
  <c r="Y65" i="11"/>
  <c r="X65" i="11"/>
  <c r="W65" i="11"/>
  <c r="V65" i="11"/>
  <c r="U65" i="11"/>
  <c r="T65" i="11"/>
  <c r="S65" i="11"/>
  <c r="R65" i="11"/>
  <c r="O65" i="11"/>
  <c r="L65" i="11"/>
  <c r="J65" i="11" s="1"/>
  <c r="I65" i="11"/>
  <c r="Q65" i="11" s="1"/>
  <c r="H65" i="11"/>
  <c r="G65" i="11"/>
  <c r="P65" i="11" s="1"/>
  <c r="F65" i="11"/>
  <c r="E65" i="11"/>
  <c r="D65" i="11" s="1"/>
  <c r="C65" i="11"/>
  <c r="K65" i="11" s="1"/>
  <c r="AC64" i="11"/>
  <c r="AB64" i="11"/>
  <c r="AA64" i="11"/>
  <c r="Z64" i="11"/>
  <c r="X64" i="11"/>
  <c r="W64" i="11"/>
  <c r="V64" i="11"/>
  <c r="Y64" i="11" s="1"/>
  <c r="U64" i="11"/>
  <c r="T64" i="11"/>
  <c r="S64" i="11"/>
  <c r="R64" i="11"/>
  <c r="Q64" i="11"/>
  <c r="P64" i="11"/>
  <c r="O64" i="11"/>
  <c r="L64" i="11"/>
  <c r="I64" i="11"/>
  <c r="H64" i="11"/>
  <c r="N64" i="11" s="1"/>
  <c r="G64" i="11"/>
  <c r="F64" i="11"/>
  <c r="E64" i="11"/>
  <c r="AB63" i="11"/>
  <c r="AA63" i="11"/>
  <c r="Z63" i="11"/>
  <c r="Y63" i="11"/>
  <c r="X63" i="11"/>
  <c r="W63" i="11"/>
  <c r="V63" i="11"/>
  <c r="U63" i="11"/>
  <c r="T63" i="11"/>
  <c r="S63" i="11"/>
  <c r="R63" i="11"/>
  <c r="O63" i="11"/>
  <c r="L63" i="11"/>
  <c r="J63" i="11" s="1"/>
  <c r="I63" i="11"/>
  <c r="Q63" i="11" s="1"/>
  <c r="H63" i="11"/>
  <c r="N63" i="11" s="1"/>
  <c r="G63" i="11"/>
  <c r="P63" i="11" s="1"/>
  <c r="F63" i="11"/>
  <c r="E63" i="11"/>
  <c r="D63" i="11" s="1"/>
  <c r="C63" i="11"/>
  <c r="K63" i="11" s="1"/>
  <c r="AB62" i="11"/>
  <c r="AA62" i="11"/>
  <c r="AC62" i="11" s="1"/>
  <c r="Z62" i="11"/>
  <c r="X62" i="11"/>
  <c r="W62" i="11"/>
  <c r="V62" i="11"/>
  <c r="U62" i="11"/>
  <c r="T62" i="11"/>
  <c r="S62" i="11"/>
  <c r="R62" i="11"/>
  <c r="Q62" i="11"/>
  <c r="O62" i="11"/>
  <c r="L62" i="11"/>
  <c r="J62" i="11"/>
  <c r="I62" i="11"/>
  <c r="H62" i="11"/>
  <c r="N62" i="11" s="1"/>
  <c r="G62" i="11"/>
  <c r="P62" i="11" s="1"/>
  <c r="F62" i="11"/>
  <c r="E62" i="11"/>
  <c r="D62" i="11"/>
  <c r="AC61" i="11"/>
  <c r="AB61" i="11"/>
  <c r="AA61" i="11"/>
  <c r="Z61" i="11"/>
  <c r="Y61" i="11"/>
  <c r="X61" i="11"/>
  <c r="W61" i="11"/>
  <c r="V61" i="11"/>
  <c r="T61" i="11"/>
  <c r="S61" i="11"/>
  <c r="R61" i="11"/>
  <c r="U61" i="11" s="1"/>
  <c r="Q61" i="11"/>
  <c r="O61" i="11"/>
  <c r="L61" i="11"/>
  <c r="J61" i="11"/>
  <c r="I61" i="11"/>
  <c r="H61" i="11"/>
  <c r="N61" i="11" s="1"/>
  <c r="G61" i="11"/>
  <c r="P61" i="11" s="1"/>
  <c r="F61" i="11"/>
  <c r="E61" i="11"/>
  <c r="D61" i="11" s="1"/>
  <c r="AB60" i="11"/>
  <c r="AA60" i="11"/>
  <c r="Z60" i="11"/>
  <c r="AC60" i="11" s="1"/>
  <c r="X60" i="11"/>
  <c r="W60" i="11"/>
  <c r="V60" i="11"/>
  <c r="Y60" i="11" s="1"/>
  <c r="U60" i="11"/>
  <c r="T60" i="11"/>
  <c r="S60" i="11"/>
  <c r="R60" i="11"/>
  <c r="P60" i="11"/>
  <c r="O60" i="11"/>
  <c r="L60" i="11"/>
  <c r="J60" i="11"/>
  <c r="I60" i="11"/>
  <c r="Q60" i="11" s="1"/>
  <c r="H60" i="11"/>
  <c r="N60" i="11" s="1"/>
  <c r="G60" i="11"/>
  <c r="F60" i="11"/>
  <c r="E60" i="11"/>
  <c r="D60" i="11"/>
  <c r="AC59" i="11"/>
  <c r="AB59" i="11"/>
  <c r="AA59" i="11"/>
  <c r="Z59" i="11"/>
  <c r="Y59" i="11"/>
  <c r="X59" i="11"/>
  <c r="W59" i="11"/>
  <c r="V59" i="11"/>
  <c r="T59" i="11"/>
  <c r="S59" i="11"/>
  <c r="R59" i="11"/>
  <c r="U59" i="11" s="1"/>
  <c r="Q59" i="11"/>
  <c r="O59" i="11"/>
  <c r="M59" i="11"/>
  <c r="L59" i="11"/>
  <c r="J59" i="11"/>
  <c r="I59" i="11"/>
  <c r="H59" i="11"/>
  <c r="N59" i="11" s="1"/>
  <c r="G59" i="11"/>
  <c r="P59" i="11" s="1"/>
  <c r="F59" i="11"/>
  <c r="E59" i="11"/>
  <c r="D59" i="11" s="1"/>
  <c r="AB58" i="11"/>
  <c r="AA58" i="11"/>
  <c r="Z58" i="11"/>
  <c r="AC58" i="11" s="1"/>
  <c r="X58" i="11"/>
  <c r="W58" i="11"/>
  <c r="V58" i="11"/>
  <c r="Y58" i="11" s="1"/>
  <c r="T58" i="11"/>
  <c r="U58" i="11" s="1"/>
  <c r="S58" i="11"/>
  <c r="R58" i="11"/>
  <c r="P58" i="11"/>
  <c r="O58" i="11"/>
  <c r="L58" i="11"/>
  <c r="J58" i="11"/>
  <c r="I58" i="11"/>
  <c r="Q58" i="11" s="1"/>
  <c r="H58" i="11"/>
  <c r="N58" i="11" s="1"/>
  <c r="G58" i="11"/>
  <c r="F58" i="11"/>
  <c r="E58" i="11"/>
  <c r="D58" i="11"/>
  <c r="AC57" i="11"/>
  <c r="AB57" i="11"/>
  <c r="AA57" i="11"/>
  <c r="Z57" i="11"/>
  <c r="Y57" i="11"/>
  <c r="X57" i="11"/>
  <c r="W57" i="11"/>
  <c r="V57" i="11"/>
  <c r="T57" i="11"/>
  <c r="S57" i="11"/>
  <c r="R57" i="11"/>
  <c r="U57" i="11" s="1"/>
  <c r="Q57" i="11"/>
  <c r="O57" i="11"/>
  <c r="L57" i="11"/>
  <c r="J57" i="11"/>
  <c r="I57" i="11"/>
  <c r="H57" i="11"/>
  <c r="N57" i="11" s="1"/>
  <c r="G57" i="11"/>
  <c r="P57" i="11" s="1"/>
  <c r="F57" i="11"/>
  <c r="E57" i="11"/>
  <c r="D57" i="11" s="1"/>
  <c r="AB56" i="11"/>
  <c r="AB52" i="11" s="1"/>
  <c r="AA56" i="11"/>
  <c r="Z56" i="11"/>
  <c r="AC56" i="11" s="1"/>
  <c r="X56" i="11"/>
  <c r="W56" i="11"/>
  <c r="V56" i="11"/>
  <c r="T56" i="11"/>
  <c r="U56" i="11" s="1"/>
  <c r="S56" i="11"/>
  <c r="R56" i="11"/>
  <c r="P56" i="11"/>
  <c r="O56" i="11"/>
  <c r="L56" i="11"/>
  <c r="J56" i="11"/>
  <c r="I56" i="11"/>
  <c r="Q56" i="11" s="1"/>
  <c r="H56" i="11"/>
  <c r="N56" i="11" s="1"/>
  <c r="G56" i="11"/>
  <c r="F56" i="11"/>
  <c r="E56" i="11"/>
  <c r="D56" i="11"/>
  <c r="AC55" i="11"/>
  <c r="AB55" i="11"/>
  <c r="AA55" i="11"/>
  <c r="Z55" i="11"/>
  <c r="Y55" i="11"/>
  <c r="X55" i="11"/>
  <c r="W55" i="11"/>
  <c r="V55" i="11"/>
  <c r="T55" i="11"/>
  <c r="S55" i="11"/>
  <c r="R55" i="11"/>
  <c r="U55" i="11" s="1"/>
  <c r="Q55" i="11"/>
  <c r="O55" i="11"/>
  <c r="M55" i="11"/>
  <c r="L55" i="11"/>
  <c r="J55" i="11"/>
  <c r="I55" i="11"/>
  <c r="H55" i="11"/>
  <c r="N55" i="11" s="1"/>
  <c r="G55" i="11"/>
  <c r="P55" i="11" s="1"/>
  <c r="F55" i="11"/>
  <c r="E55" i="11"/>
  <c r="D55" i="11" s="1"/>
  <c r="C55" i="11" s="1"/>
  <c r="K55" i="11" s="1"/>
  <c r="AB54" i="11"/>
  <c r="AA54" i="11"/>
  <c r="Z54" i="11"/>
  <c r="AC54" i="11" s="1"/>
  <c r="X54" i="11"/>
  <c r="W54" i="11"/>
  <c r="V54" i="11"/>
  <c r="Y54" i="11" s="1"/>
  <c r="T54" i="11"/>
  <c r="U54" i="11" s="1"/>
  <c r="S54" i="11"/>
  <c r="R54" i="11"/>
  <c r="P54" i="11"/>
  <c r="O54" i="11"/>
  <c r="L54" i="11"/>
  <c r="J54" i="11"/>
  <c r="I54" i="11"/>
  <c r="Q54" i="11" s="1"/>
  <c r="H54" i="11"/>
  <c r="N54" i="11" s="1"/>
  <c r="G54" i="11"/>
  <c r="F54" i="11"/>
  <c r="E54" i="11"/>
  <c r="D54" i="11"/>
  <c r="AC53" i="11"/>
  <c r="AB53" i="11"/>
  <c r="AA53" i="11"/>
  <c r="Z53" i="11"/>
  <c r="Y53" i="11"/>
  <c r="X53" i="11"/>
  <c r="X52" i="11" s="1"/>
  <c r="W53" i="11"/>
  <c r="W52" i="11" s="1"/>
  <c r="V53" i="11"/>
  <c r="T53" i="11"/>
  <c r="S53" i="11"/>
  <c r="R53" i="11"/>
  <c r="U53" i="11" s="1"/>
  <c r="Q53" i="11"/>
  <c r="O53" i="11"/>
  <c r="M53" i="11"/>
  <c r="L53" i="11"/>
  <c r="J53" i="11"/>
  <c r="I53" i="11"/>
  <c r="H53" i="11"/>
  <c r="N53" i="11" s="1"/>
  <c r="G53" i="11"/>
  <c r="F53" i="11"/>
  <c r="F52" i="11" s="1"/>
  <c r="E53" i="11"/>
  <c r="D53" i="11" s="1"/>
  <c r="Z52" i="11"/>
  <c r="T52" i="11"/>
  <c r="I52" i="11"/>
  <c r="Q52" i="11" s="1"/>
  <c r="AC51" i="11"/>
  <c r="AB51" i="11"/>
  <c r="AA51" i="11"/>
  <c r="Z51" i="11"/>
  <c r="Y51" i="11"/>
  <c r="X51" i="11"/>
  <c r="W51" i="11"/>
  <c r="V51" i="11"/>
  <c r="T51" i="11"/>
  <c r="S51" i="11"/>
  <c r="R51" i="11"/>
  <c r="U51" i="11" s="1"/>
  <c r="Q51" i="11"/>
  <c r="O51" i="11"/>
  <c r="L51" i="11"/>
  <c r="J51" i="11"/>
  <c r="I51" i="11"/>
  <c r="H51" i="11"/>
  <c r="N51" i="11" s="1"/>
  <c r="G51" i="11"/>
  <c r="P51" i="11" s="1"/>
  <c r="F51" i="11"/>
  <c r="E51" i="11"/>
  <c r="D51" i="11" s="1"/>
  <c r="C51" i="11" s="1"/>
  <c r="K51" i="11" s="1"/>
  <c r="AB50" i="11"/>
  <c r="AA50" i="11"/>
  <c r="Z50" i="11"/>
  <c r="AC50" i="11" s="1"/>
  <c r="X50" i="11"/>
  <c r="W50" i="11"/>
  <c r="V50" i="11"/>
  <c r="Y50" i="11" s="1"/>
  <c r="T50" i="11"/>
  <c r="U50" i="11" s="1"/>
  <c r="S50" i="11"/>
  <c r="R50" i="11"/>
  <c r="P50" i="11"/>
  <c r="O50" i="11"/>
  <c r="L50" i="11"/>
  <c r="J50" i="11"/>
  <c r="I50" i="11"/>
  <c r="Q50" i="11" s="1"/>
  <c r="H50" i="11"/>
  <c r="N50" i="11" s="1"/>
  <c r="G50" i="11"/>
  <c r="F50" i="11"/>
  <c r="E50" i="11"/>
  <c r="D50" i="11"/>
  <c r="AC49" i="11"/>
  <c r="AB49" i="11"/>
  <c r="AA49" i="11"/>
  <c r="Z49" i="11"/>
  <c r="Y49" i="11"/>
  <c r="X49" i="11"/>
  <c r="W49" i="11"/>
  <c r="V49" i="11"/>
  <c r="T49" i="11"/>
  <c r="S49" i="11"/>
  <c r="R49" i="11"/>
  <c r="U49" i="11" s="1"/>
  <c r="Q49" i="11"/>
  <c r="O49" i="11"/>
  <c r="L49" i="11"/>
  <c r="J49" i="11"/>
  <c r="I49" i="11"/>
  <c r="H49" i="11"/>
  <c r="N49" i="11" s="1"/>
  <c r="G49" i="11"/>
  <c r="P49" i="11" s="1"/>
  <c r="F49" i="11"/>
  <c r="E49" i="11"/>
  <c r="D49" i="11" s="1"/>
  <c r="AB48" i="11"/>
  <c r="AB31" i="11" s="1"/>
  <c r="AA48" i="11"/>
  <c r="Z48" i="11"/>
  <c r="AC48" i="11" s="1"/>
  <c r="X48" i="11"/>
  <c r="W48" i="11"/>
  <c r="V48" i="11"/>
  <c r="Y48" i="11" s="1"/>
  <c r="T48" i="11"/>
  <c r="U48" i="11" s="1"/>
  <c r="S48" i="11"/>
  <c r="R48" i="11"/>
  <c r="P48" i="11"/>
  <c r="O48" i="11"/>
  <c r="L48" i="11"/>
  <c r="J48" i="11"/>
  <c r="I48" i="11"/>
  <c r="Q48" i="11" s="1"/>
  <c r="H48" i="11"/>
  <c r="N48" i="11" s="1"/>
  <c r="G48" i="11"/>
  <c r="F48" i="11"/>
  <c r="E48" i="11"/>
  <c r="D48" i="11"/>
  <c r="AC47" i="11"/>
  <c r="AB47" i="11"/>
  <c r="AA47" i="11"/>
  <c r="Z47" i="11"/>
  <c r="Y47" i="11"/>
  <c r="X47" i="11"/>
  <c r="W47" i="11"/>
  <c r="V47" i="11"/>
  <c r="T47" i="11"/>
  <c r="S47" i="11"/>
  <c r="R47" i="11"/>
  <c r="U47" i="11" s="1"/>
  <c r="Q47" i="11"/>
  <c r="O47" i="11"/>
  <c r="L47" i="11"/>
  <c r="J47" i="11"/>
  <c r="I47" i="11"/>
  <c r="H47" i="11"/>
  <c r="N47" i="11" s="1"/>
  <c r="G47" i="11"/>
  <c r="P47" i="11" s="1"/>
  <c r="F47" i="11"/>
  <c r="E47" i="11"/>
  <c r="D47" i="11" s="1"/>
  <c r="AB46" i="11"/>
  <c r="AA46" i="11"/>
  <c r="Z46" i="11"/>
  <c r="AC46" i="11" s="1"/>
  <c r="X46" i="11"/>
  <c r="W46" i="11"/>
  <c r="V46" i="11"/>
  <c r="Y46" i="11" s="1"/>
  <c r="T46" i="11"/>
  <c r="U46" i="11" s="1"/>
  <c r="S46" i="11"/>
  <c r="R46" i="11"/>
  <c r="P46" i="11"/>
  <c r="O46" i="11"/>
  <c r="L46" i="11"/>
  <c r="J46" i="11"/>
  <c r="I46" i="11"/>
  <c r="Q46" i="11" s="1"/>
  <c r="H46" i="11"/>
  <c r="N46" i="11" s="1"/>
  <c r="G46" i="11"/>
  <c r="F46" i="11"/>
  <c r="E46" i="11"/>
  <c r="D46" i="11"/>
  <c r="AC45" i="11"/>
  <c r="AB45" i="11"/>
  <c r="AA45" i="11"/>
  <c r="Z45" i="11"/>
  <c r="Y45" i="11"/>
  <c r="X45" i="11"/>
  <c r="W45" i="11"/>
  <c r="V45" i="11"/>
  <c r="T45" i="11"/>
  <c r="S45" i="11"/>
  <c r="R45" i="11"/>
  <c r="U45" i="11" s="1"/>
  <c r="Q45" i="11"/>
  <c r="O45" i="11"/>
  <c r="M45" i="11"/>
  <c r="L45" i="11"/>
  <c r="J45" i="11"/>
  <c r="I45" i="11"/>
  <c r="H45" i="11"/>
  <c r="N45" i="11" s="1"/>
  <c r="G45" i="11"/>
  <c r="P45" i="11" s="1"/>
  <c r="F45" i="11"/>
  <c r="E45" i="11"/>
  <c r="D45" i="11" s="1"/>
  <c r="C45" i="11" s="1"/>
  <c r="K45" i="11" s="1"/>
  <c r="AB44" i="11"/>
  <c r="AA44" i="11"/>
  <c r="Z44" i="11"/>
  <c r="AC44" i="11" s="1"/>
  <c r="X44" i="11"/>
  <c r="W44" i="11"/>
  <c r="V44" i="11"/>
  <c r="Y44" i="11" s="1"/>
  <c r="T44" i="11"/>
  <c r="U44" i="11" s="1"/>
  <c r="S44" i="11"/>
  <c r="R44" i="11"/>
  <c r="P44" i="11"/>
  <c r="O44" i="11"/>
  <c r="L44" i="11"/>
  <c r="J44" i="11"/>
  <c r="I44" i="11"/>
  <c r="Q44" i="11" s="1"/>
  <c r="H44" i="11"/>
  <c r="N44" i="11" s="1"/>
  <c r="G44" i="11"/>
  <c r="F44" i="11"/>
  <c r="E44" i="11"/>
  <c r="D44" i="11"/>
  <c r="AC43" i="11"/>
  <c r="AB43" i="11"/>
  <c r="AA43" i="11"/>
  <c r="Z43" i="11"/>
  <c r="Y43" i="11"/>
  <c r="X43" i="11"/>
  <c r="W43" i="11"/>
  <c r="V43" i="11"/>
  <c r="T43" i="11"/>
  <c r="S43" i="11"/>
  <c r="R43" i="11"/>
  <c r="U43" i="11" s="1"/>
  <c r="Q43" i="11"/>
  <c r="O43" i="11"/>
  <c r="L43" i="11"/>
  <c r="J43" i="11"/>
  <c r="I43" i="11"/>
  <c r="H43" i="11"/>
  <c r="N43" i="11" s="1"/>
  <c r="G43" i="11"/>
  <c r="P43" i="11" s="1"/>
  <c r="F43" i="11"/>
  <c r="E43" i="11"/>
  <c r="D43" i="11" s="1"/>
  <c r="AB42" i="11"/>
  <c r="AA42" i="11"/>
  <c r="Z42" i="11"/>
  <c r="AC42" i="11" s="1"/>
  <c r="X42" i="11"/>
  <c r="W42" i="11"/>
  <c r="V42" i="11"/>
  <c r="Y42" i="11" s="1"/>
  <c r="T42" i="11"/>
  <c r="U42" i="11" s="1"/>
  <c r="S42" i="11"/>
  <c r="R42" i="11"/>
  <c r="P42" i="11"/>
  <c r="O42" i="11"/>
  <c r="L42" i="11"/>
  <c r="J42" i="11"/>
  <c r="I42" i="11"/>
  <c r="Q42" i="11" s="1"/>
  <c r="H42" i="11"/>
  <c r="N42" i="11" s="1"/>
  <c r="G42" i="11"/>
  <c r="F42" i="11"/>
  <c r="E42" i="11"/>
  <c r="D42" i="11"/>
  <c r="AC41" i="11"/>
  <c r="AB41" i="11"/>
  <c r="AA41" i="11"/>
  <c r="Z41" i="11"/>
  <c r="Y41" i="11"/>
  <c r="X41" i="11"/>
  <c r="W41" i="11"/>
  <c r="V41" i="11"/>
  <c r="T41" i="11"/>
  <c r="S41" i="11"/>
  <c r="R41" i="11"/>
  <c r="U41" i="11" s="1"/>
  <c r="Q41" i="11"/>
  <c r="O41" i="11"/>
  <c r="L41" i="11"/>
  <c r="J41" i="11"/>
  <c r="I41" i="11"/>
  <c r="H41" i="11"/>
  <c r="N41" i="11" s="1"/>
  <c r="G41" i="11"/>
  <c r="P41" i="11" s="1"/>
  <c r="F41" i="11"/>
  <c r="E41" i="11"/>
  <c r="D41" i="11" s="1"/>
  <c r="C41" i="11" s="1"/>
  <c r="K41" i="11" s="1"/>
  <c r="AB40" i="11"/>
  <c r="AA40" i="11"/>
  <c r="Z40" i="11"/>
  <c r="AC40" i="11" s="1"/>
  <c r="X40" i="11"/>
  <c r="W40" i="11"/>
  <c r="V40" i="11"/>
  <c r="Y40" i="11" s="1"/>
  <c r="T40" i="11"/>
  <c r="U40" i="11" s="1"/>
  <c r="S40" i="11"/>
  <c r="R40" i="11"/>
  <c r="P40" i="11"/>
  <c r="O40" i="11"/>
  <c r="N40" i="11"/>
  <c r="L40" i="11"/>
  <c r="J40" i="11"/>
  <c r="I40" i="11"/>
  <c r="Q40" i="11" s="1"/>
  <c r="H40" i="11"/>
  <c r="G40" i="11"/>
  <c r="F40" i="11"/>
  <c r="E40" i="11"/>
  <c r="D40" i="11"/>
  <c r="AC39" i="11"/>
  <c r="AB39" i="11"/>
  <c r="AA39" i="11"/>
  <c r="Z39" i="11"/>
  <c r="X39" i="11"/>
  <c r="W39" i="11"/>
  <c r="Y39" i="11" s="1"/>
  <c r="V39" i="11"/>
  <c r="T39" i="11"/>
  <c r="S39" i="11"/>
  <c r="R39" i="11"/>
  <c r="U39" i="11" s="1"/>
  <c r="Q39" i="11"/>
  <c r="O39" i="11"/>
  <c r="L39" i="11"/>
  <c r="J39" i="11"/>
  <c r="I39" i="11"/>
  <c r="H39" i="11"/>
  <c r="N39" i="11" s="1"/>
  <c r="G39" i="11"/>
  <c r="P39" i="11" s="1"/>
  <c r="F39" i="11"/>
  <c r="E39" i="11"/>
  <c r="D39" i="11" s="1"/>
  <c r="C39" i="11" s="1"/>
  <c r="K39" i="11" s="1"/>
  <c r="AB38" i="11"/>
  <c r="AA38" i="11"/>
  <c r="Z38" i="11"/>
  <c r="AC38" i="11" s="1"/>
  <c r="X38" i="11"/>
  <c r="W38" i="11"/>
  <c r="V38" i="11"/>
  <c r="Y38" i="11" s="1"/>
  <c r="T38" i="11"/>
  <c r="U38" i="11" s="1"/>
  <c r="S38" i="11"/>
  <c r="R38" i="11"/>
  <c r="P38" i="11"/>
  <c r="O38" i="11"/>
  <c r="N38" i="11"/>
  <c r="L38" i="11"/>
  <c r="J38" i="11"/>
  <c r="I38" i="11"/>
  <c r="Q38" i="11" s="1"/>
  <c r="H38" i="11"/>
  <c r="G38" i="11"/>
  <c r="F38" i="11"/>
  <c r="E38" i="11"/>
  <c r="D38" i="11"/>
  <c r="AC37" i="11"/>
  <c r="AB37" i="11"/>
  <c r="AA37" i="11"/>
  <c r="Z37" i="11"/>
  <c r="X37" i="11"/>
  <c r="W37" i="11"/>
  <c r="V37" i="11"/>
  <c r="T37" i="11"/>
  <c r="S37" i="11"/>
  <c r="R37" i="11"/>
  <c r="U37" i="11" s="1"/>
  <c r="Q37" i="11"/>
  <c r="O37" i="11"/>
  <c r="L37" i="11"/>
  <c r="J37" i="11"/>
  <c r="I37" i="11"/>
  <c r="H37" i="11"/>
  <c r="N37" i="11" s="1"/>
  <c r="G37" i="11"/>
  <c r="P37" i="11" s="1"/>
  <c r="F37" i="11"/>
  <c r="E37" i="11"/>
  <c r="D37" i="11" s="1"/>
  <c r="C37" i="11" s="1"/>
  <c r="K37" i="11" s="1"/>
  <c r="AB36" i="11"/>
  <c r="AA36" i="11"/>
  <c r="Z36" i="11"/>
  <c r="AC36" i="11" s="1"/>
  <c r="X36" i="11"/>
  <c r="W36" i="11"/>
  <c r="V36" i="11"/>
  <c r="Y36" i="11" s="1"/>
  <c r="T36" i="11"/>
  <c r="U36" i="11" s="1"/>
  <c r="S36" i="11"/>
  <c r="R36" i="11"/>
  <c r="P36" i="11"/>
  <c r="O36" i="11"/>
  <c r="N36" i="11"/>
  <c r="M36" i="11"/>
  <c r="L36" i="11"/>
  <c r="J36" i="11"/>
  <c r="I36" i="11"/>
  <c r="Q36" i="11" s="1"/>
  <c r="H36" i="11"/>
  <c r="G36" i="11"/>
  <c r="F36" i="11"/>
  <c r="E36" i="11"/>
  <c r="D36" i="11"/>
  <c r="AC35" i="11"/>
  <c r="AB35" i="11"/>
  <c r="AA35" i="11"/>
  <c r="Z35" i="11"/>
  <c r="Y35" i="11"/>
  <c r="X35" i="11"/>
  <c r="W35" i="11"/>
  <c r="V35" i="11"/>
  <c r="T35" i="11"/>
  <c r="S35" i="11"/>
  <c r="R35" i="11"/>
  <c r="U35" i="11" s="1"/>
  <c r="Q35" i="11"/>
  <c r="P35" i="11"/>
  <c r="O35" i="11"/>
  <c r="L35" i="11"/>
  <c r="J35" i="11"/>
  <c r="I35" i="11"/>
  <c r="H35" i="11"/>
  <c r="N35" i="11" s="1"/>
  <c r="G35" i="11"/>
  <c r="F35" i="11"/>
  <c r="E35" i="11"/>
  <c r="D35" i="11" s="1"/>
  <c r="AB34" i="11"/>
  <c r="AA34" i="11"/>
  <c r="Z34" i="11"/>
  <c r="AC34" i="11" s="1"/>
  <c r="Y34" i="11"/>
  <c r="X34" i="11"/>
  <c r="W34" i="11"/>
  <c r="V34" i="11"/>
  <c r="T34" i="11"/>
  <c r="U34" i="11" s="1"/>
  <c r="S34" i="11"/>
  <c r="R34" i="11"/>
  <c r="O34" i="11"/>
  <c r="N34" i="11"/>
  <c r="L34" i="11"/>
  <c r="J34" i="11"/>
  <c r="I34" i="11"/>
  <c r="Q34" i="11" s="1"/>
  <c r="H34" i="11"/>
  <c r="G34" i="11"/>
  <c r="P34" i="11" s="1"/>
  <c r="F34" i="11"/>
  <c r="E34" i="11"/>
  <c r="D34" i="11"/>
  <c r="AC33" i="11"/>
  <c r="AB33" i="11"/>
  <c r="AA33" i="11"/>
  <c r="Z33" i="11"/>
  <c r="X33" i="11"/>
  <c r="W33" i="11"/>
  <c r="Y33" i="11" s="1"/>
  <c r="V33" i="11"/>
  <c r="T33" i="11"/>
  <c r="S33" i="11"/>
  <c r="R33" i="11"/>
  <c r="U33" i="11" s="1"/>
  <c r="Q33" i="11"/>
  <c r="O33" i="11"/>
  <c r="L33" i="11"/>
  <c r="J33" i="11"/>
  <c r="I33" i="11"/>
  <c r="H33" i="11"/>
  <c r="N33" i="11" s="1"/>
  <c r="G33" i="11"/>
  <c r="F33" i="11"/>
  <c r="E33" i="11"/>
  <c r="D33" i="11"/>
  <c r="AB32" i="11"/>
  <c r="AA32" i="11"/>
  <c r="AA31" i="11" s="1"/>
  <c r="Z32" i="11"/>
  <c r="X32" i="11"/>
  <c r="W32" i="11"/>
  <c r="V32" i="11"/>
  <c r="T32" i="11"/>
  <c r="S32" i="11"/>
  <c r="R32" i="11"/>
  <c r="O32" i="11"/>
  <c r="O31" i="11" s="1"/>
  <c r="L32" i="11"/>
  <c r="J32" i="11"/>
  <c r="I32" i="11"/>
  <c r="I31" i="11" s="1"/>
  <c r="H32" i="11"/>
  <c r="G32" i="11"/>
  <c r="P32" i="11" s="1"/>
  <c r="F32" i="11"/>
  <c r="E32" i="11"/>
  <c r="D32" i="11"/>
  <c r="X31" i="11"/>
  <c r="R31" i="11"/>
  <c r="Q31" i="11"/>
  <c r="L31" i="11"/>
  <c r="J31" i="11"/>
  <c r="F31" i="11"/>
  <c r="AB30" i="11"/>
  <c r="AA30" i="11"/>
  <c r="Z30" i="11"/>
  <c r="X30" i="11"/>
  <c r="W30" i="11"/>
  <c r="V30" i="11"/>
  <c r="Y30" i="11" s="1"/>
  <c r="T30" i="11"/>
  <c r="U30" i="11" s="1"/>
  <c r="S30" i="11"/>
  <c r="R30" i="11"/>
  <c r="O30" i="11"/>
  <c r="N30" i="11"/>
  <c r="L30" i="11"/>
  <c r="J30" i="11"/>
  <c r="I30" i="11"/>
  <c r="Q30" i="11" s="1"/>
  <c r="H30" i="11"/>
  <c r="G30" i="11"/>
  <c r="P30" i="11" s="1"/>
  <c r="F30" i="11"/>
  <c r="E30" i="11"/>
  <c r="D30" i="11"/>
  <c r="C30" i="11" s="1"/>
  <c r="K30" i="11" s="1"/>
  <c r="AC29" i="11"/>
  <c r="AB29" i="11"/>
  <c r="AA29" i="11"/>
  <c r="Z29" i="11"/>
  <c r="Y29" i="11"/>
  <c r="X29" i="11"/>
  <c r="W29" i="11"/>
  <c r="V29" i="11"/>
  <c r="T29" i="11"/>
  <c r="S29" i="11"/>
  <c r="R29" i="11"/>
  <c r="U29" i="11" s="1"/>
  <c r="Q29" i="11"/>
  <c r="O29" i="11"/>
  <c r="M29" i="11"/>
  <c r="L29" i="11"/>
  <c r="J29" i="11"/>
  <c r="I29" i="11"/>
  <c r="H29" i="11"/>
  <c r="N29" i="11" s="1"/>
  <c r="G29" i="11"/>
  <c r="P29" i="11" s="1"/>
  <c r="F29" i="11"/>
  <c r="E29" i="11"/>
  <c r="D29" i="11" s="1"/>
  <c r="AB28" i="11"/>
  <c r="AA28" i="11"/>
  <c r="Z28" i="11"/>
  <c r="AC28" i="11" s="1"/>
  <c r="X28" i="11"/>
  <c r="W28" i="11"/>
  <c r="V28" i="11"/>
  <c r="Y28" i="11" s="1"/>
  <c r="U28" i="11"/>
  <c r="T28" i="11"/>
  <c r="S28" i="11"/>
  <c r="R28" i="11"/>
  <c r="O28" i="11"/>
  <c r="N28" i="11"/>
  <c r="M28" i="11"/>
  <c r="L28" i="11"/>
  <c r="J28" i="11"/>
  <c r="I28" i="11"/>
  <c r="Q28" i="11" s="1"/>
  <c r="H28" i="11"/>
  <c r="G28" i="11"/>
  <c r="P28" i="11" s="1"/>
  <c r="F28" i="11"/>
  <c r="E28" i="11"/>
  <c r="D28" i="11"/>
  <c r="C28" i="11" s="1"/>
  <c r="K28" i="11" s="1"/>
  <c r="AC27" i="11"/>
  <c r="AB27" i="11"/>
  <c r="AA27" i="11"/>
  <c r="Z27" i="11"/>
  <c r="Y27" i="11"/>
  <c r="X27" i="11"/>
  <c r="W27" i="11"/>
  <c r="V27" i="11"/>
  <c r="T27" i="11"/>
  <c r="S27" i="11"/>
  <c r="R27" i="11"/>
  <c r="U27" i="11" s="1"/>
  <c r="Q27" i="11"/>
  <c r="O27" i="11"/>
  <c r="L27" i="11"/>
  <c r="J27" i="11"/>
  <c r="I27" i="11"/>
  <c r="H27" i="11"/>
  <c r="N27" i="11" s="1"/>
  <c r="G27" i="11"/>
  <c r="P27" i="11" s="1"/>
  <c r="F27" i="11"/>
  <c r="E27" i="11"/>
  <c r="D27" i="11" s="1"/>
  <c r="AB26" i="11"/>
  <c r="AA26" i="11"/>
  <c r="Z26" i="11"/>
  <c r="AC26" i="11" s="1"/>
  <c r="X26" i="11"/>
  <c r="W26" i="11"/>
  <c r="V26" i="11"/>
  <c r="Y26" i="11" s="1"/>
  <c r="T26" i="11"/>
  <c r="U26" i="11" s="1"/>
  <c r="S26" i="11"/>
  <c r="R26" i="11"/>
  <c r="O26" i="11"/>
  <c r="N26" i="11"/>
  <c r="L26" i="11"/>
  <c r="J26" i="11"/>
  <c r="I26" i="11"/>
  <c r="Q26" i="11" s="1"/>
  <c r="H26" i="11"/>
  <c r="G26" i="11"/>
  <c r="P26" i="11" s="1"/>
  <c r="F26" i="11"/>
  <c r="E26" i="11"/>
  <c r="D26" i="11"/>
  <c r="AC25" i="11"/>
  <c r="AB25" i="11"/>
  <c r="AA25" i="11"/>
  <c r="Z25" i="11"/>
  <c r="Y25" i="11"/>
  <c r="X25" i="11"/>
  <c r="W25" i="11"/>
  <c r="V25" i="11"/>
  <c r="T25" i="11"/>
  <c r="S25" i="11"/>
  <c r="R25" i="11"/>
  <c r="U25" i="11" s="1"/>
  <c r="Q25" i="11"/>
  <c r="O25" i="11"/>
  <c r="L25" i="11"/>
  <c r="J25" i="11"/>
  <c r="I25" i="11"/>
  <c r="H25" i="11"/>
  <c r="N25" i="11" s="1"/>
  <c r="G25" i="11"/>
  <c r="P25" i="11" s="1"/>
  <c r="F25" i="11"/>
  <c r="E25" i="11"/>
  <c r="D25" i="11" s="1"/>
  <c r="C25" i="11" s="1"/>
  <c r="K25" i="11" s="1"/>
  <c r="AB24" i="11"/>
  <c r="AA24" i="11"/>
  <c r="Z24" i="11"/>
  <c r="X24" i="11"/>
  <c r="W24" i="11"/>
  <c r="V24" i="11"/>
  <c r="Y24" i="11" s="1"/>
  <c r="T24" i="11"/>
  <c r="U24" i="11" s="1"/>
  <c r="S24" i="11"/>
  <c r="R24" i="11"/>
  <c r="O24" i="11"/>
  <c r="N24" i="11"/>
  <c r="M24" i="11"/>
  <c r="L24" i="11"/>
  <c r="J24" i="11"/>
  <c r="I24" i="11"/>
  <c r="Q24" i="11" s="1"/>
  <c r="H24" i="11"/>
  <c r="G24" i="11"/>
  <c r="P24" i="11" s="1"/>
  <c r="F24" i="11"/>
  <c r="E24" i="11"/>
  <c r="D24" i="11"/>
  <c r="AC23" i="11"/>
  <c r="AB23" i="11"/>
  <c r="AA23" i="11"/>
  <c r="Z23" i="11"/>
  <c r="X23" i="11"/>
  <c r="W23" i="11"/>
  <c r="V23" i="11"/>
  <c r="Y23" i="11" s="1"/>
  <c r="T23" i="11"/>
  <c r="S23" i="11"/>
  <c r="R23" i="11"/>
  <c r="U23" i="11" s="1"/>
  <c r="Q23" i="11"/>
  <c r="O23" i="11"/>
  <c r="M23" i="11"/>
  <c r="L23" i="11"/>
  <c r="J23" i="11"/>
  <c r="I23" i="11"/>
  <c r="H23" i="11"/>
  <c r="N23" i="11" s="1"/>
  <c r="G23" i="11"/>
  <c r="P23" i="11" s="1"/>
  <c r="F23" i="11"/>
  <c r="E23" i="11"/>
  <c r="D23" i="11" s="1"/>
  <c r="AB22" i="11"/>
  <c r="AA22" i="11"/>
  <c r="Z22" i="11"/>
  <c r="AC22" i="11" s="1"/>
  <c r="X22" i="11"/>
  <c r="W22" i="11"/>
  <c r="V22" i="11"/>
  <c r="Y22" i="11" s="1"/>
  <c r="U22" i="11"/>
  <c r="T22" i="11"/>
  <c r="S22" i="11"/>
  <c r="R22" i="11"/>
  <c r="O22" i="11"/>
  <c r="N22" i="11"/>
  <c r="M22" i="11"/>
  <c r="L22" i="11"/>
  <c r="J22" i="11"/>
  <c r="I22" i="11"/>
  <c r="Q22" i="11" s="1"/>
  <c r="H22" i="11"/>
  <c r="G22" i="11"/>
  <c r="P22" i="11" s="1"/>
  <c r="F22" i="11"/>
  <c r="E22" i="11"/>
  <c r="D22" i="11"/>
  <c r="AC21" i="11"/>
  <c r="AB21" i="11"/>
  <c r="AA21" i="11"/>
  <c r="Z21" i="11"/>
  <c r="X21" i="11"/>
  <c r="W21" i="11"/>
  <c r="V21" i="11"/>
  <c r="Y21" i="11" s="1"/>
  <c r="T21" i="11"/>
  <c r="S21" i="11"/>
  <c r="R21" i="11"/>
  <c r="U21" i="11" s="1"/>
  <c r="Q21" i="11"/>
  <c r="O21" i="11"/>
  <c r="L21" i="11"/>
  <c r="J21" i="11"/>
  <c r="I21" i="11"/>
  <c r="H21" i="11"/>
  <c r="N21" i="11" s="1"/>
  <c r="G21" i="11"/>
  <c r="P21" i="11" s="1"/>
  <c r="F21" i="11"/>
  <c r="E21" i="11"/>
  <c r="D21" i="11" s="1"/>
  <c r="C21" i="11" s="1"/>
  <c r="K21" i="11" s="1"/>
  <c r="AB20" i="11"/>
  <c r="AA20" i="11"/>
  <c r="Z20" i="11"/>
  <c r="AC20" i="11" s="1"/>
  <c r="X20" i="11"/>
  <c r="W20" i="11"/>
  <c r="V20" i="11"/>
  <c r="Y20" i="11" s="1"/>
  <c r="T20" i="11"/>
  <c r="U20" i="11" s="1"/>
  <c r="S20" i="11"/>
  <c r="R20" i="11"/>
  <c r="O20" i="11"/>
  <c r="N20" i="11"/>
  <c r="L20" i="11"/>
  <c r="J20" i="11"/>
  <c r="I20" i="11"/>
  <c r="Q20" i="11" s="1"/>
  <c r="H20" i="11"/>
  <c r="G20" i="11"/>
  <c r="P20" i="11" s="1"/>
  <c r="F20" i="11"/>
  <c r="E20" i="11"/>
  <c r="D20" i="11"/>
  <c r="AC19" i="11"/>
  <c r="AB19" i="11"/>
  <c r="AA19" i="11"/>
  <c r="Z19" i="11"/>
  <c r="X19" i="11"/>
  <c r="W19" i="11"/>
  <c r="V19" i="11"/>
  <c r="Y19" i="11" s="1"/>
  <c r="T19" i="11"/>
  <c r="S19" i="11"/>
  <c r="R19" i="11"/>
  <c r="Q19" i="11"/>
  <c r="P19" i="11"/>
  <c r="O19" i="11"/>
  <c r="L19" i="11"/>
  <c r="J19" i="11" s="1"/>
  <c r="I19" i="11"/>
  <c r="H19" i="11"/>
  <c r="N19" i="11" s="1"/>
  <c r="G19" i="11"/>
  <c r="F19" i="11"/>
  <c r="D19" i="11" s="1"/>
  <c r="E19" i="11"/>
  <c r="AB18" i="11"/>
  <c r="AA18" i="11"/>
  <c r="Z18" i="11"/>
  <c r="AC18" i="11" s="1"/>
  <c r="X18" i="11"/>
  <c r="W18" i="11"/>
  <c r="V18" i="11"/>
  <c r="T18" i="11"/>
  <c r="U18" i="11" s="1"/>
  <c r="S18" i="11"/>
  <c r="R18" i="11"/>
  <c r="Q18" i="11"/>
  <c r="P18" i="11"/>
  <c r="O18" i="11"/>
  <c r="N18" i="11"/>
  <c r="L18" i="11"/>
  <c r="J18" i="11"/>
  <c r="I18" i="11"/>
  <c r="H18" i="11"/>
  <c r="G18" i="11"/>
  <c r="F18" i="11"/>
  <c r="E18" i="11"/>
  <c r="D18" i="11"/>
  <c r="AB17" i="11"/>
  <c r="AA17" i="11"/>
  <c r="Z17" i="11"/>
  <c r="X17" i="11"/>
  <c r="W17" i="11"/>
  <c r="Y17" i="11" s="1"/>
  <c r="V17" i="11"/>
  <c r="T17" i="11"/>
  <c r="S17" i="11"/>
  <c r="R17" i="11"/>
  <c r="U17" i="11" s="1"/>
  <c r="Q17" i="11"/>
  <c r="P17" i="11"/>
  <c r="O17" i="11"/>
  <c r="L17" i="11"/>
  <c r="I17" i="11"/>
  <c r="H17" i="11"/>
  <c r="G17" i="11"/>
  <c r="F17" i="11"/>
  <c r="F13" i="11" s="1"/>
  <c r="F8" i="11" s="1"/>
  <c r="F7" i="11" s="1"/>
  <c r="E17" i="11"/>
  <c r="D17" i="11"/>
  <c r="C17" i="11" s="1"/>
  <c r="AB16" i="11"/>
  <c r="AA16" i="11"/>
  <c r="Z16" i="11"/>
  <c r="X16" i="11"/>
  <c r="W16" i="11"/>
  <c r="V16" i="11"/>
  <c r="Y16" i="11" s="1"/>
  <c r="T16" i="11"/>
  <c r="U16" i="11" s="1"/>
  <c r="S16" i="11"/>
  <c r="R16" i="11"/>
  <c r="P16" i="11"/>
  <c r="O16" i="11"/>
  <c r="J16" i="11" s="1"/>
  <c r="N16" i="11"/>
  <c r="L16" i="11"/>
  <c r="I16" i="11"/>
  <c r="Q16" i="11" s="1"/>
  <c r="H16" i="11"/>
  <c r="G16" i="11"/>
  <c r="F16" i="11"/>
  <c r="E16" i="11"/>
  <c r="D16" i="11"/>
  <c r="M16" i="11" s="1"/>
  <c r="C16" i="11"/>
  <c r="AC15" i="11"/>
  <c r="AB15" i="11"/>
  <c r="AA15" i="11"/>
  <c r="Z15" i="11"/>
  <c r="X15" i="11"/>
  <c r="W15" i="11"/>
  <c r="V15" i="11"/>
  <c r="T15" i="11"/>
  <c r="T13" i="11" s="1"/>
  <c r="S15" i="11"/>
  <c r="R15" i="11"/>
  <c r="Q15" i="11"/>
  <c r="P15" i="11"/>
  <c r="O15" i="11"/>
  <c r="N15" i="11"/>
  <c r="L15" i="11"/>
  <c r="J15" i="11"/>
  <c r="I15" i="11"/>
  <c r="H15" i="11"/>
  <c r="G15" i="11"/>
  <c r="F15" i="11"/>
  <c r="E15" i="11"/>
  <c r="E13" i="11" s="1"/>
  <c r="D15" i="11"/>
  <c r="AB14" i="11"/>
  <c r="AA14" i="11"/>
  <c r="Z14" i="11"/>
  <c r="AC14" i="11" s="1"/>
  <c r="Y14" i="11"/>
  <c r="X14" i="11"/>
  <c r="W14" i="11"/>
  <c r="V14" i="11"/>
  <c r="T14" i="11"/>
  <c r="U14" i="11" s="1"/>
  <c r="S14" i="11"/>
  <c r="S13" i="11" s="1"/>
  <c r="R14" i="11"/>
  <c r="O14" i="11"/>
  <c r="L14" i="11"/>
  <c r="J14" i="11"/>
  <c r="I14" i="11"/>
  <c r="H14" i="11"/>
  <c r="G14" i="11"/>
  <c r="F14" i="11"/>
  <c r="E14" i="11"/>
  <c r="D14" i="11"/>
  <c r="X13" i="11"/>
  <c r="X8" i="11" s="1"/>
  <c r="X7" i="11" s="1"/>
  <c r="Q10" i="11"/>
  <c r="O10" i="11"/>
  <c r="O9" i="11" s="1"/>
  <c r="L10" i="11"/>
  <c r="I10" i="11"/>
  <c r="I9" i="11" s="1"/>
  <c r="G10" i="11"/>
  <c r="F10" i="11"/>
  <c r="Q9" i="11"/>
  <c r="L9" i="11"/>
  <c r="J9" i="11"/>
  <c r="F9" i="11"/>
  <c r="P106" i="10"/>
  <c r="O106" i="10"/>
  <c r="N106" i="10"/>
  <c r="L106" i="10"/>
  <c r="J106" i="10" s="1"/>
  <c r="I106" i="10"/>
  <c r="Q106" i="10" s="1"/>
  <c r="H106" i="10"/>
  <c r="G106" i="10"/>
  <c r="F106" i="10"/>
  <c r="D106" i="10" s="1"/>
  <c r="M106" i="10" s="1"/>
  <c r="E106" i="10"/>
  <c r="C106" i="10"/>
  <c r="K106" i="10" s="1"/>
  <c r="O105" i="10"/>
  <c r="L105" i="10"/>
  <c r="J105" i="10" s="1"/>
  <c r="I105" i="10"/>
  <c r="Q105" i="10" s="1"/>
  <c r="H105" i="10"/>
  <c r="N105" i="10" s="1"/>
  <c r="G105" i="10"/>
  <c r="P105" i="10" s="1"/>
  <c r="F105" i="10"/>
  <c r="E105" i="10"/>
  <c r="D105" i="10" s="1"/>
  <c r="P104" i="10"/>
  <c r="O104" i="10"/>
  <c r="L104" i="10"/>
  <c r="I104" i="10"/>
  <c r="Q104" i="10" s="1"/>
  <c r="H104" i="10"/>
  <c r="N104" i="10" s="1"/>
  <c r="G104" i="10"/>
  <c r="F104" i="10"/>
  <c r="D104" i="10" s="1"/>
  <c r="M104" i="10" s="1"/>
  <c r="E104" i="10"/>
  <c r="Q103" i="10"/>
  <c r="O103" i="10"/>
  <c r="L103" i="10"/>
  <c r="J103" i="10" s="1"/>
  <c r="I103" i="10"/>
  <c r="H103" i="10"/>
  <c r="N103" i="10" s="1"/>
  <c r="G103" i="10"/>
  <c r="P103" i="10" s="1"/>
  <c r="F103" i="10"/>
  <c r="E103" i="10"/>
  <c r="D103" i="10" s="1"/>
  <c r="M103" i="10" s="1"/>
  <c r="C103" i="10"/>
  <c r="K103" i="10" s="1"/>
  <c r="P102" i="10"/>
  <c r="O102" i="10"/>
  <c r="N102" i="10"/>
  <c r="L102" i="10"/>
  <c r="J102" i="10" s="1"/>
  <c r="I102" i="10"/>
  <c r="Q102" i="10" s="1"/>
  <c r="H102" i="10"/>
  <c r="G102" i="10"/>
  <c r="F102" i="10"/>
  <c r="D102" i="10" s="1"/>
  <c r="M102" i="10" s="1"/>
  <c r="E102" i="10"/>
  <c r="C102" i="10"/>
  <c r="K102" i="10" s="1"/>
  <c r="O101" i="10"/>
  <c r="L101" i="10"/>
  <c r="I101" i="10"/>
  <c r="Q101" i="10" s="1"/>
  <c r="H101" i="10"/>
  <c r="N101" i="10" s="1"/>
  <c r="G101" i="10"/>
  <c r="P101" i="10" s="1"/>
  <c r="F101" i="10"/>
  <c r="E101" i="10"/>
  <c r="P100" i="10"/>
  <c r="O100" i="10"/>
  <c r="N100" i="10"/>
  <c r="L100" i="10"/>
  <c r="J100" i="10" s="1"/>
  <c r="I100" i="10"/>
  <c r="Q100" i="10" s="1"/>
  <c r="H100" i="10"/>
  <c r="G100" i="10"/>
  <c r="F100" i="10"/>
  <c r="D100" i="10" s="1"/>
  <c r="M100" i="10" s="1"/>
  <c r="E100" i="10"/>
  <c r="C100" i="10"/>
  <c r="K100" i="10" s="1"/>
  <c r="O99" i="10"/>
  <c r="L99" i="10"/>
  <c r="J99" i="10" s="1"/>
  <c r="I99" i="10"/>
  <c r="Q99" i="10" s="1"/>
  <c r="H99" i="10"/>
  <c r="N99" i="10" s="1"/>
  <c r="G99" i="10"/>
  <c r="P99" i="10" s="1"/>
  <c r="F99" i="10"/>
  <c r="E99" i="10"/>
  <c r="D99" i="10" s="1"/>
  <c r="P98" i="10"/>
  <c r="O98" i="10"/>
  <c r="L98" i="10"/>
  <c r="I98" i="10"/>
  <c r="Q98" i="10" s="1"/>
  <c r="H98" i="10"/>
  <c r="N98" i="10" s="1"/>
  <c r="G98" i="10"/>
  <c r="F98" i="10"/>
  <c r="D98" i="10" s="1"/>
  <c r="M98" i="10" s="1"/>
  <c r="E98" i="10"/>
  <c r="Q97" i="10"/>
  <c r="O97" i="10"/>
  <c r="L97" i="10"/>
  <c r="J97" i="10" s="1"/>
  <c r="I97" i="10"/>
  <c r="H97" i="10"/>
  <c r="N97" i="10" s="1"/>
  <c r="G97" i="10"/>
  <c r="P97" i="10" s="1"/>
  <c r="F97" i="10"/>
  <c r="E97" i="10"/>
  <c r="D97" i="10" s="1"/>
  <c r="M97" i="10" s="1"/>
  <c r="C97" i="10"/>
  <c r="K97" i="10" s="1"/>
  <c r="P96" i="10"/>
  <c r="O96" i="10"/>
  <c r="N96" i="10"/>
  <c r="L96" i="10"/>
  <c r="J96" i="10" s="1"/>
  <c r="I96" i="10"/>
  <c r="Q96" i="10" s="1"/>
  <c r="H96" i="10"/>
  <c r="G96" i="10"/>
  <c r="F96" i="10"/>
  <c r="D96" i="10" s="1"/>
  <c r="E96" i="10"/>
  <c r="C96" i="10"/>
  <c r="K96" i="10" s="1"/>
  <c r="O95" i="10"/>
  <c r="L95" i="10"/>
  <c r="I95" i="10"/>
  <c r="Q95" i="10" s="1"/>
  <c r="H95" i="10"/>
  <c r="N95" i="10" s="1"/>
  <c r="G95" i="10"/>
  <c r="P95" i="10" s="1"/>
  <c r="F95" i="10"/>
  <c r="E95" i="10"/>
  <c r="P94" i="10"/>
  <c r="O94" i="10"/>
  <c r="N94" i="10"/>
  <c r="L94" i="10"/>
  <c r="J94" i="10" s="1"/>
  <c r="I94" i="10"/>
  <c r="Q94" i="10" s="1"/>
  <c r="H94" i="10"/>
  <c r="G94" i="10"/>
  <c r="F94" i="10"/>
  <c r="D94" i="10" s="1"/>
  <c r="M94" i="10" s="1"/>
  <c r="E94" i="10"/>
  <c r="C94" i="10"/>
  <c r="K94" i="10" s="1"/>
  <c r="O93" i="10"/>
  <c r="L93" i="10"/>
  <c r="J93" i="10" s="1"/>
  <c r="I93" i="10"/>
  <c r="Q93" i="10" s="1"/>
  <c r="H93" i="10"/>
  <c r="N93" i="10" s="1"/>
  <c r="G93" i="10"/>
  <c r="P93" i="10" s="1"/>
  <c r="F93" i="10"/>
  <c r="E93" i="10"/>
  <c r="P92" i="10"/>
  <c r="O92" i="10"/>
  <c r="L92" i="10"/>
  <c r="I92" i="10"/>
  <c r="Q92" i="10" s="1"/>
  <c r="H92" i="10"/>
  <c r="N92" i="10" s="1"/>
  <c r="G92" i="10"/>
  <c r="F92" i="10"/>
  <c r="D92" i="10" s="1"/>
  <c r="M92" i="10" s="1"/>
  <c r="E92" i="10"/>
  <c r="Q91" i="10"/>
  <c r="O91" i="10"/>
  <c r="L91" i="10"/>
  <c r="J91" i="10" s="1"/>
  <c r="I91" i="10"/>
  <c r="H91" i="10"/>
  <c r="N91" i="10" s="1"/>
  <c r="G91" i="10"/>
  <c r="P91" i="10" s="1"/>
  <c r="F91" i="10"/>
  <c r="E91" i="10"/>
  <c r="D91" i="10" s="1"/>
  <c r="M91" i="10" s="1"/>
  <c r="C91" i="10"/>
  <c r="K91" i="10" s="1"/>
  <c r="P90" i="10"/>
  <c r="O90" i="10"/>
  <c r="N90" i="10"/>
  <c r="L90" i="10"/>
  <c r="J90" i="10" s="1"/>
  <c r="I90" i="10"/>
  <c r="Q90" i="10" s="1"/>
  <c r="H90" i="10"/>
  <c r="H89" i="10" s="1"/>
  <c r="G90" i="10"/>
  <c r="F90" i="10"/>
  <c r="D90" i="10" s="1"/>
  <c r="E90" i="10"/>
  <c r="C90" i="10"/>
  <c r="K90" i="10" s="1"/>
  <c r="O89" i="10"/>
  <c r="G89" i="10"/>
  <c r="AB88" i="10"/>
  <c r="AA88" i="10"/>
  <c r="Z88" i="10"/>
  <c r="Y88" i="10"/>
  <c r="X88" i="10"/>
  <c r="W88" i="10"/>
  <c r="V88" i="10"/>
  <c r="U88" i="10"/>
  <c r="S88" i="10"/>
  <c r="T88" i="10" s="1"/>
  <c r="R88" i="10"/>
  <c r="Q88" i="10"/>
  <c r="O88" i="10"/>
  <c r="J88" i="10" s="1"/>
  <c r="N88" i="10"/>
  <c r="L88" i="10"/>
  <c r="I88" i="10"/>
  <c r="H88" i="10"/>
  <c r="G88" i="10"/>
  <c r="P88" i="10" s="1"/>
  <c r="F88" i="10"/>
  <c r="E88" i="10"/>
  <c r="D88" i="10" s="1"/>
  <c r="AB87" i="10"/>
  <c r="AA87" i="10"/>
  <c r="Z87" i="10"/>
  <c r="Y87" i="10"/>
  <c r="X87" i="10"/>
  <c r="V87" i="10"/>
  <c r="U87" i="10"/>
  <c r="W87" i="10" s="1"/>
  <c r="S87" i="10"/>
  <c r="R87" i="10"/>
  <c r="T87" i="10" s="1"/>
  <c r="P87" i="10"/>
  <c r="O87" i="10"/>
  <c r="J87" i="10" s="1"/>
  <c r="M87" i="10"/>
  <c r="L87" i="10"/>
  <c r="I87" i="10"/>
  <c r="Q87" i="10" s="1"/>
  <c r="H87" i="10"/>
  <c r="N87" i="10" s="1"/>
  <c r="G87" i="10"/>
  <c r="C87" i="10" s="1"/>
  <c r="F87" i="10"/>
  <c r="E87" i="10"/>
  <c r="D87" i="10"/>
  <c r="AB86" i="10"/>
  <c r="AA86" i="10"/>
  <c r="Z86" i="10"/>
  <c r="Y86" i="10"/>
  <c r="X86" i="10"/>
  <c r="V86" i="10"/>
  <c r="U86" i="10"/>
  <c r="W86" i="10" s="1"/>
  <c r="S86" i="10"/>
  <c r="R86" i="10"/>
  <c r="T86" i="10" s="1"/>
  <c r="O86" i="10"/>
  <c r="M86" i="10"/>
  <c r="L86" i="10"/>
  <c r="J86" i="10"/>
  <c r="I86" i="10"/>
  <c r="Q86" i="10" s="1"/>
  <c r="H86" i="10"/>
  <c r="G86" i="10"/>
  <c r="P86" i="10" s="1"/>
  <c r="F86" i="10"/>
  <c r="E86" i="10"/>
  <c r="D86" i="10"/>
  <c r="AB85" i="10"/>
  <c r="AA85" i="10"/>
  <c r="Z85" i="10"/>
  <c r="Y85" i="10"/>
  <c r="X85" i="10"/>
  <c r="V85" i="10"/>
  <c r="U85" i="10"/>
  <c r="W85" i="10" s="1"/>
  <c r="S85" i="10"/>
  <c r="R85" i="10"/>
  <c r="T85" i="10" s="1"/>
  <c r="O85" i="10"/>
  <c r="L85" i="10"/>
  <c r="I85" i="10"/>
  <c r="Q85" i="10" s="1"/>
  <c r="H85" i="10"/>
  <c r="N85" i="10" s="1"/>
  <c r="G85" i="10"/>
  <c r="P85" i="10" s="1"/>
  <c r="F85" i="10"/>
  <c r="D85" i="10" s="1"/>
  <c r="E85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J84" i="10" s="1"/>
  <c r="L84" i="10"/>
  <c r="I84" i="10"/>
  <c r="H84" i="10"/>
  <c r="N84" i="10" s="1"/>
  <c r="G84" i="10"/>
  <c r="F84" i="10"/>
  <c r="E84" i="10"/>
  <c r="D84" i="10" s="1"/>
  <c r="AB83" i="10"/>
  <c r="AA83" i="10"/>
  <c r="Z83" i="10"/>
  <c r="Y83" i="10"/>
  <c r="X83" i="10"/>
  <c r="V83" i="10"/>
  <c r="W83" i="10" s="1"/>
  <c r="U83" i="10"/>
  <c r="S83" i="10"/>
  <c r="R83" i="10"/>
  <c r="Q83" i="10"/>
  <c r="O83" i="10"/>
  <c r="M83" i="10"/>
  <c r="L83" i="10"/>
  <c r="J83" i="10"/>
  <c r="I83" i="10"/>
  <c r="H83" i="10"/>
  <c r="N83" i="10" s="1"/>
  <c r="G83" i="10"/>
  <c r="P83" i="10" s="1"/>
  <c r="F83" i="10"/>
  <c r="E83" i="10"/>
  <c r="D83" i="10"/>
  <c r="C83" i="10" s="1"/>
  <c r="K83" i="10" s="1"/>
  <c r="AB82" i="10"/>
  <c r="AA82" i="10"/>
  <c r="Z82" i="10"/>
  <c r="Y82" i="10"/>
  <c r="X82" i="10"/>
  <c r="V82" i="10"/>
  <c r="U82" i="10"/>
  <c r="W82" i="10" s="1"/>
  <c r="S82" i="10"/>
  <c r="R82" i="10"/>
  <c r="T82" i="10" s="1"/>
  <c r="O82" i="10"/>
  <c r="L82" i="10"/>
  <c r="J82" i="10" s="1"/>
  <c r="I82" i="10"/>
  <c r="Q82" i="10" s="1"/>
  <c r="H82" i="10"/>
  <c r="N82" i="10" s="1"/>
  <c r="G82" i="10"/>
  <c r="P82" i="10" s="1"/>
  <c r="F82" i="10"/>
  <c r="D82" i="10" s="1"/>
  <c r="M82" i="10" s="1"/>
  <c r="E82" i="10"/>
  <c r="C82" i="10"/>
  <c r="K82" i="10" s="1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J81" i="10" s="1"/>
  <c r="L81" i="10"/>
  <c r="I81" i="10"/>
  <c r="H81" i="10"/>
  <c r="N81" i="10" s="1"/>
  <c r="G81" i="10"/>
  <c r="F81" i="10"/>
  <c r="E81" i="10"/>
  <c r="D81" i="10" s="1"/>
  <c r="AB80" i="10"/>
  <c r="AA80" i="10"/>
  <c r="Z80" i="10"/>
  <c r="Y80" i="10"/>
  <c r="X80" i="10"/>
  <c r="V80" i="10"/>
  <c r="W80" i="10" s="1"/>
  <c r="U80" i="10"/>
  <c r="S80" i="10"/>
  <c r="R80" i="10"/>
  <c r="T80" i="10" s="1"/>
  <c r="Q80" i="10"/>
  <c r="O80" i="10"/>
  <c r="M80" i="10"/>
  <c r="L80" i="10"/>
  <c r="J80" i="10"/>
  <c r="I80" i="10"/>
  <c r="H80" i="10"/>
  <c r="N80" i="10" s="1"/>
  <c r="G80" i="10"/>
  <c r="P80" i="10" s="1"/>
  <c r="F80" i="10"/>
  <c r="E80" i="10"/>
  <c r="D80" i="10"/>
  <c r="C80" i="10" s="1"/>
  <c r="K80" i="10" s="1"/>
  <c r="AB79" i="10"/>
  <c r="AA79" i="10"/>
  <c r="Z79" i="10"/>
  <c r="Y79" i="10"/>
  <c r="X79" i="10"/>
  <c r="V79" i="10"/>
  <c r="U79" i="10"/>
  <c r="W79" i="10" s="1"/>
  <c r="S79" i="10"/>
  <c r="R79" i="10"/>
  <c r="T79" i="10" s="1"/>
  <c r="O79" i="10"/>
  <c r="L79" i="10"/>
  <c r="I79" i="10"/>
  <c r="Q79" i="10" s="1"/>
  <c r="H79" i="10"/>
  <c r="N79" i="10" s="1"/>
  <c r="G79" i="10"/>
  <c r="P79" i="10" s="1"/>
  <c r="F79" i="10"/>
  <c r="D79" i="10" s="1"/>
  <c r="M79" i="10" s="1"/>
  <c r="E79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J78" i="10" s="1"/>
  <c r="L78" i="10"/>
  <c r="I78" i="10"/>
  <c r="H78" i="10"/>
  <c r="N78" i="10" s="1"/>
  <c r="G78" i="10"/>
  <c r="F78" i="10"/>
  <c r="E78" i="10"/>
  <c r="D78" i="10" s="1"/>
  <c r="AB77" i="10"/>
  <c r="AA77" i="10"/>
  <c r="Z77" i="10"/>
  <c r="Y77" i="10"/>
  <c r="X77" i="10"/>
  <c r="V77" i="10"/>
  <c r="W77" i="10" s="1"/>
  <c r="U77" i="10"/>
  <c r="S77" i="10"/>
  <c r="R77" i="10"/>
  <c r="Q77" i="10"/>
  <c r="O77" i="10"/>
  <c r="M77" i="10"/>
  <c r="L77" i="10"/>
  <c r="J77" i="10"/>
  <c r="I77" i="10"/>
  <c r="H77" i="10"/>
  <c r="N77" i="10" s="1"/>
  <c r="G77" i="10"/>
  <c r="F77" i="10"/>
  <c r="E77" i="10"/>
  <c r="D77" i="10"/>
  <c r="AB76" i="10"/>
  <c r="AA76" i="10"/>
  <c r="Z76" i="10"/>
  <c r="Y76" i="10"/>
  <c r="X76" i="10"/>
  <c r="X74" i="10" s="1"/>
  <c r="V76" i="10"/>
  <c r="U76" i="10"/>
  <c r="W76" i="10" s="1"/>
  <c r="S76" i="10"/>
  <c r="R76" i="10"/>
  <c r="T76" i="10" s="1"/>
  <c r="O76" i="10"/>
  <c r="L76" i="10"/>
  <c r="L74" i="10" s="1"/>
  <c r="I76" i="10"/>
  <c r="Q76" i="10" s="1"/>
  <c r="H76" i="10"/>
  <c r="N76" i="10" s="1"/>
  <c r="G76" i="10"/>
  <c r="P76" i="10" s="1"/>
  <c r="F76" i="10"/>
  <c r="F74" i="10" s="1"/>
  <c r="E76" i="10"/>
  <c r="AB75" i="10"/>
  <c r="AA75" i="10"/>
  <c r="Z75" i="10"/>
  <c r="Z74" i="10" s="1"/>
  <c r="Y75" i="10"/>
  <c r="X75" i="10"/>
  <c r="W75" i="10"/>
  <c r="V75" i="10"/>
  <c r="U75" i="10"/>
  <c r="T75" i="10"/>
  <c r="S75" i="10"/>
  <c r="R75" i="10"/>
  <c r="Q75" i="10"/>
  <c r="P75" i="10"/>
  <c r="O75" i="10"/>
  <c r="J75" i="10" s="1"/>
  <c r="L75" i="10"/>
  <c r="I75" i="10"/>
  <c r="H75" i="10"/>
  <c r="N75" i="10" s="1"/>
  <c r="G75" i="10"/>
  <c r="F75" i="10"/>
  <c r="E75" i="10"/>
  <c r="AB74" i="10"/>
  <c r="Y74" i="10"/>
  <c r="V74" i="10"/>
  <c r="S74" i="10"/>
  <c r="AB73" i="10"/>
  <c r="AA73" i="10"/>
  <c r="Z73" i="10"/>
  <c r="Y73" i="10"/>
  <c r="X73" i="10"/>
  <c r="V73" i="10"/>
  <c r="U73" i="10"/>
  <c r="W73" i="10" s="1"/>
  <c r="S73" i="10"/>
  <c r="R73" i="10"/>
  <c r="T73" i="10" s="1"/>
  <c r="O73" i="10"/>
  <c r="L73" i="10"/>
  <c r="I73" i="10"/>
  <c r="Q73" i="10" s="1"/>
  <c r="H73" i="10"/>
  <c r="N73" i="10" s="1"/>
  <c r="G73" i="10"/>
  <c r="P73" i="10" s="1"/>
  <c r="F73" i="10"/>
  <c r="D73" i="10" s="1"/>
  <c r="M73" i="10" s="1"/>
  <c r="E73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J72" i="10" s="1"/>
  <c r="L72" i="10"/>
  <c r="I72" i="10"/>
  <c r="H72" i="10"/>
  <c r="N72" i="10" s="1"/>
  <c r="G72" i="10"/>
  <c r="F72" i="10"/>
  <c r="E72" i="10"/>
  <c r="D72" i="10" s="1"/>
  <c r="AB71" i="10"/>
  <c r="AA71" i="10"/>
  <c r="Z71" i="10"/>
  <c r="Y71" i="10"/>
  <c r="X71" i="10"/>
  <c r="V71" i="10"/>
  <c r="W71" i="10" s="1"/>
  <c r="U71" i="10"/>
  <c r="S71" i="10"/>
  <c r="R71" i="10"/>
  <c r="Q71" i="10"/>
  <c r="O71" i="10"/>
  <c r="M71" i="10"/>
  <c r="L71" i="10"/>
  <c r="J71" i="10"/>
  <c r="I71" i="10"/>
  <c r="H71" i="10"/>
  <c r="N71" i="10" s="1"/>
  <c r="G71" i="10"/>
  <c r="P71" i="10" s="1"/>
  <c r="F71" i="10"/>
  <c r="E71" i="10"/>
  <c r="D71" i="10"/>
  <c r="AB70" i="10"/>
  <c r="AA70" i="10"/>
  <c r="Z70" i="10"/>
  <c r="Y70" i="10"/>
  <c r="X70" i="10"/>
  <c r="V70" i="10"/>
  <c r="U70" i="10"/>
  <c r="W70" i="10" s="1"/>
  <c r="S70" i="10"/>
  <c r="R70" i="10"/>
  <c r="T70" i="10" s="1"/>
  <c r="O70" i="10"/>
  <c r="L70" i="10"/>
  <c r="I70" i="10"/>
  <c r="Q70" i="10" s="1"/>
  <c r="H70" i="10"/>
  <c r="N70" i="10" s="1"/>
  <c r="G70" i="10"/>
  <c r="P70" i="10" s="1"/>
  <c r="F70" i="10"/>
  <c r="D70" i="10" s="1"/>
  <c r="E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J69" i="10" s="1"/>
  <c r="L69" i="10"/>
  <c r="I69" i="10"/>
  <c r="H69" i="10"/>
  <c r="N69" i="10" s="1"/>
  <c r="G69" i="10"/>
  <c r="F69" i="10"/>
  <c r="E69" i="10"/>
  <c r="D69" i="10" s="1"/>
  <c r="AB68" i="10"/>
  <c r="AA68" i="10"/>
  <c r="Z68" i="10"/>
  <c r="Y68" i="10"/>
  <c r="X68" i="10"/>
  <c r="V68" i="10"/>
  <c r="W68" i="10" s="1"/>
  <c r="U68" i="10"/>
  <c r="S68" i="10"/>
  <c r="R68" i="10"/>
  <c r="Q68" i="10"/>
  <c r="O68" i="10"/>
  <c r="M68" i="10"/>
  <c r="L68" i="10"/>
  <c r="J68" i="10"/>
  <c r="I68" i="10"/>
  <c r="H68" i="10"/>
  <c r="N68" i="10" s="1"/>
  <c r="G68" i="10"/>
  <c r="P68" i="10" s="1"/>
  <c r="F68" i="10"/>
  <c r="E68" i="10"/>
  <c r="D68" i="10"/>
  <c r="C68" i="10" s="1"/>
  <c r="K68" i="10" s="1"/>
  <c r="AB67" i="10"/>
  <c r="AA67" i="10"/>
  <c r="Z67" i="10"/>
  <c r="Y67" i="10"/>
  <c r="X67" i="10"/>
  <c r="V67" i="10"/>
  <c r="U67" i="10"/>
  <c r="W67" i="10" s="1"/>
  <c r="S67" i="10"/>
  <c r="R67" i="10"/>
  <c r="T67" i="10" s="1"/>
  <c r="O67" i="10"/>
  <c r="L67" i="10"/>
  <c r="J67" i="10" s="1"/>
  <c r="I67" i="10"/>
  <c r="Q67" i="10" s="1"/>
  <c r="H67" i="10"/>
  <c r="N67" i="10" s="1"/>
  <c r="G67" i="10"/>
  <c r="P67" i="10" s="1"/>
  <c r="F67" i="10"/>
  <c r="D67" i="10" s="1"/>
  <c r="M67" i="10" s="1"/>
  <c r="E67" i="10"/>
  <c r="C67" i="10"/>
  <c r="K67" i="10" s="1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J66" i="10" s="1"/>
  <c r="L66" i="10"/>
  <c r="I66" i="10"/>
  <c r="H66" i="10"/>
  <c r="N66" i="10" s="1"/>
  <c r="G66" i="10"/>
  <c r="F66" i="10"/>
  <c r="E66" i="10"/>
  <c r="D66" i="10" s="1"/>
  <c r="AB65" i="10"/>
  <c r="AA65" i="10"/>
  <c r="Z65" i="10"/>
  <c r="Y65" i="10"/>
  <c r="X65" i="10"/>
  <c r="V65" i="10"/>
  <c r="W65" i="10" s="1"/>
  <c r="U65" i="10"/>
  <c r="S65" i="10"/>
  <c r="R65" i="10"/>
  <c r="T65" i="10" s="1"/>
  <c r="Q65" i="10"/>
  <c r="O65" i="10"/>
  <c r="M65" i="10"/>
  <c r="L65" i="10"/>
  <c r="J65" i="10"/>
  <c r="I65" i="10"/>
  <c r="H65" i="10"/>
  <c r="N65" i="10" s="1"/>
  <c r="G65" i="10"/>
  <c r="P65" i="10" s="1"/>
  <c r="F65" i="10"/>
  <c r="E65" i="10"/>
  <c r="D65" i="10"/>
  <c r="C65" i="10" s="1"/>
  <c r="K65" i="10" s="1"/>
  <c r="AB64" i="10"/>
  <c r="AA64" i="10"/>
  <c r="Z64" i="10"/>
  <c r="Y64" i="10"/>
  <c r="X64" i="10"/>
  <c r="V64" i="10"/>
  <c r="U64" i="10"/>
  <c r="W64" i="10" s="1"/>
  <c r="S64" i="10"/>
  <c r="R64" i="10"/>
  <c r="T64" i="10" s="1"/>
  <c r="O64" i="10"/>
  <c r="L64" i="10"/>
  <c r="I64" i="10"/>
  <c r="Q64" i="10" s="1"/>
  <c r="H64" i="10"/>
  <c r="N64" i="10" s="1"/>
  <c r="G64" i="10"/>
  <c r="P64" i="10" s="1"/>
  <c r="F64" i="10"/>
  <c r="D64" i="10" s="1"/>
  <c r="M64" i="10" s="1"/>
  <c r="E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J63" i="10" s="1"/>
  <c r="L63" i="10"/>
  <c r="I63" i="10"/>
  <c r="H63" i="10"/>
  <c r="N63" i="10" s="1"/>
  <c r="G63" i="10"/>
  <c r="F63" i="10"/>
  <c r="E63" i="10"/>
  <c r="D63" i="10" s="1"/>
  <c r="AB62" i="10"/>
  <c r="AA62" i="10"/>
  <c r="Z62" i="10"/>
  <c r="Y62" i="10"/>
  <c r="X62" i="10"/>
  <c r="V62" i="10"/>
  <c r="W62" i="10" s="1"/>
  <c r="U62" i="10"/>
  <c r="S62" i="10"/>
  <c r="R62" i="10"/>
  <c r="Q62" i="10"/>
  <c r="O62" i="10"/>
  <c r="M62" i="10"/>
  <c r="L62" i="10"/>
  <c r="J62" i="10"/>
  <c r="I62" i="10"/>
  <c r="H62" i="10"/>
  <c r="N62" i="10" s="1"/>
  <c r="G62" i="10"/>
  <c r="P62" i="10" s="1"/>
  <c r="F62" i="10"/>
  <c r="E62" i="10"/>
  <c r="D62" i="10"/>
  <c r="AB61" i="10"/>
  <c r="AA61" i="10"/>
  <c r="Z61" i="10"/>
  <c r="Y61" i="10"/>
  <c r="X61" i="10"/>
  <c r="V61" i="10"/>
  <c r="U61" i="10"/>
  <c r="W61" i="10" s="1"/>
  <c r="S61" i="10"/>
  <c r="R61" i="10"/>
  <c r="T61" i="10" s="1"/>
  <c r="O61" i="10"/>
  <c r="L61" i="10"/>
  <c r="I61" i="10"/>
  <c r="Q61" i="10" s="1"/>
  <c r="H61" i="10"/>
  <c r="N61" i="10" s="1"/>
  <c r="G61" i="10"/>
  <c r="P61" i="10" s="1"/>
  <c r="F61" i="10"/>
  <c r="D61" i="10" s="1"/>
  <c r="E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J60" i="10" s="1"/>
  <c r="L60" i="10"/>
  <c r="I60" i="10"/>
  <c r="H60" i="10"/>
  <c r="N60" i="10" s="1"/>
  <c r="G60" i="10"/>
  <c r="F60" i="10"/>
  <c r="E60" i="10"/>
  <c r="D60" i="10" s="1"/>
  <c r="AB59" i="10"/>
  <c r="AA59" i="10"/>
  <c r="Z59" i="10"/>
  <c r="Y59" i="10"/>
  <c r="X59" i="10"/>
  <c r="V59" i="10"/>
  <c r="W59" i="10" s="1"/>
  <c r="U59" i="10"/>
  <c r="S59" i="10"/>
  <c r="S52" i="10" s="1"/>
  <c r="R59" i="10"/>
  <c r="Q59" i="10"/>
  <c r="O59" i="10"/>
  <c r="M59" i="10"/>
  <c r="L59" i="10"/>
  <c r="J59" i="10"/>
  <c r="I59" i="10"/>
  <c r="H59" i="10"/>
  <c r="N59" i="10" s="1"/>
  <c r="G59" i="10"/>
  <c r="P59" i="10" s="1"/>
  <c r="F59" i="10"/>
  <c r="E59" i="10"/>
  <c r="D59" i="10"/>
  <c r="C59" i="10" s="1"/>
  <c r="K59" i="10" s="1"/>
  <c r="AB58" i="10"/>
  <c r="AA58" i="10"/>
  <c r="Z58" i="10"/>
  <c r="Y58" i="10"/>
  <c r="X58" i="10"/>
  <c r="V58" i="10"/>
  <c r="U58" i="10"/>
  <c r="W58" i="10" s="1"/>
  <c r="S58" i="10"/>
  <c r="R58" i="10"/>
  <c r="T58" i="10" s="1"/>
  <c r="O58" i="10"/>
  <c r="L58" i="10"/>
  <c r="J58" i="10" s="1"/>
  <c r="I58" i="10"/>
  <c r="Q58" i="10" s="1"/>
  <c r="H58" i="10"/>
  <c r="N58" i="10" s="1"/>
  <c r="G58" i="10"/>
  <c r="P58" i="10" s="1"/>
  <c r="F58" i="10"/>
  <c r="D58" i="10" s="1"/>
  <c r="M58" i="10" s="1"/>
  <c r="E58" i="10"/>
  <c r="C58" i="10"/>
  <c r="K58" i="10" s="1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J57" i="10" s="1"/>
  <c r="L57" i="10"/>
  <c r="I57" i="10"/>
  <c r="H57" i="10"/>
  <c r="N57" i="10" s="1"/>
  <c r="G57" i="10"/>
  <c r="F57" i="10"/>
  <c r="E57" i="10"/>
  <c r="D57" i="10" s="1"/>
  <c r="AB56" i="10"/>
  <c r="AA56" i="10"/>
  <c r="Z56" i="10"/>
  <c r="Y56" i="10"/>
  <c r="X56" i="10"/>
  <c r="V56" i="10"/>
  <c r="W56" i="10" s="1"/>
  <c r="U56" i="10"/>
  <c r="S56" i="10"/>
  <c r="R56" i="10"/>
  <c r="T56" i="10" s="1"/>
  <c r="Q56" i="10"/>
  <c r="O56" i="10"/>
  <c r="M56" i="10"/>
  <c r="L56" i="10"/>
  <c r="J56" i="10"/>
  <c r="I56" i="10"/>
  <c r="H56" i="10"/>
  <c r="N56" i="10" s="1"/>
  <c r="G56" i="10"/>
  <c r="P56" i="10" s="1"/>
  <c r="F56" i="10"/>
  <c r="E56" i="10"/>
  <c r="D56" i="10"/>
  <c r="C56" i="10" s="1"/>
  <c r="K56" i="10" s="1"/>
  <c r="AB55" i="10"/>
  <c r="AA55" i="10"/>
  <c r="Z55" i="10"/>
  <c r="Y55" i="10"/>
  <c r="X55" i="10"/>
  <c r="V55" i="10"/>
  <c r="U55" i="10"/>
  <c r="S55" i="10"/>
  <c r="R55" i="10"/>
  <c r="T55" i="10" s="1"/>
  <c r="O55" i="10"/>
  <c r="L55" i="10"/>
  <c r="I55" i="10"/>
  <c r="Q55" i="10" s="1"/>
  <c r="H55" i="10"/>
  <c r="N55" i="10" s="1"/>
  <c r="G55" i="10"/>
  <c r="P55" i="10" s="1"/>
  <c r="F55" i="10"/>
  <c r="D55" i="10" s="1"/>
  <c r="M55" i="10" s="1"/>
  <c r="E55" i="10"/>
  <c r="AB54" i="10"/>
  <c r="AA54" i="10"/>
  <c r="Z54" i="10"/>
  <c r="Z52" i="10" s="1"/>
  <c r="Y54" i="10"/>
  <c r="X54" i="10"/>
  <c r="W54" i="10"/>
  <c r="V54" i="10"/>
  <c r="U54" i="10"/>
  <c r="T54" i="10"/>
  <c r="S54" i="10"/>
  <c r="R54" i="10"/>
  <c r="Q54" i="10"/>
  <c r="P54" i="10"/>
  <c r="O54" i="10"/>
  <c r="J54" i="10" s="1"/>
  <c r="N54" i="10"/>
  <c r="L54" i="10"/>
  <c r="I54" i="10"/>
  <c r="H54" i="10"/>
  <c r="H52" i="10" s="1"/>
  <c r="G54" i="10"/>
  <c r="F54" i="10"/>
  <c r="E54" i="10"/>
  <c r="D54" i="10" s="1"/>
  <c r="AB53" i="10"/>
  <c r="AB52" i="10" s="1"/>
  <c r="AA53" i="10"/>
  <c r="Z53" i="10"/>
  <c r="Y53" i="10"/>
  <c r="Y52" i="10" s="1"/>
  <c r="X53" i="10"/>
  <c r="V53" i="10"/>
  <c r="U53" i="10"/>
  <c r="S53" i="10"/>
  <c r="R53" i="10"/>
  <c r="T53" i="10" s="1"/>
  <c r="Q53" i="10"/>
  <c r="O53" i="10"/>
  <c r="L53" i="10"/>
  <c r="J53" i="10"/>
  <c r="I53" i="10"/>
  <c r="H53" i="10"/>
  <c r="N53" i="10" s="1"/>
  <c r="G53" i="10"/>
  <c r="P53" i="10" s="1"/>
  <c r="F53" i="10"/>
  <c r="E53" i="10"/>
  <c r="D53" i="10"/>
  <c r="AA52" i="10"/>
  <c r="X52" i="10"/>
  <c r="R52" i="10"/>
  <c r="T52" i="10" s="1"/>
  <c r="O52" i="10"/>
  <c r="L52" i="10"/>
  <c r="J52" i="10" s="1"/>
  <c r="F52" i="10"/>
  <c r="AB51" i="10"/>
  <c r="AA51" i="10"/>
  <c r="Z51" i="10"/>
  <c r="Y51" i="10"/>
  <c r="X51" i="10"/>
  <c r="V51" i="10"/>
  <c r="U51" i="10"/>
  <c r="W51" i="10" s="1"/>
  <c r="T51" i="10"/>
  <c r="S51" i="10"/>
  <c r="R51" i="10"/>
  <c r="P51" i="10"/>
  <c r="O51" i="10"/>
  <c r="J51" i="10" s="1"/>
  <c r="L51" i="10"/>
  <c r="I51" i="10"/>
  <c r="Q51" i="10" s="1"/>
  <c r="H51" i="10"/>
  <c r="N51" i="10" s="1"/>
  <c r="G51" i="10"/>
  <c r="F51" i="10"/>
  <c r="E51" i="10"/>
  <c r="D51" i="10" s="1"/>
  <c r="M51" i="10" s="1"/>
  <c r="C51" i="10"/>
  <c r="K51" i="10" s="1"/>
  <c r="AB50" i="10"/>
  <c r="AA50" i="10"/>
  <c r="Z50" i="10"/>
  <c r="Y50" i="10"/>
  <c r="X50" i="10"/>
  <c r="W50" i="10"/>
  <c r="V50" i="10"/>
  <c r="U50" i="10"/>
  <c r="S50" i="10"/>
  <c r="R50" i="10"/>
  <c r="Q50" i="10"/>
  <c r="P50" i="10"/>
  <c r="O50" i="10"/>
  <c r="L50" i="10"/>
  <c r="J50" i="10"/>
  <c r="I50" i="10"/>
  <c r="H50" i="10"/>
  <c r="N50" i="10" s="1"/>
  <c r="G50" i="10"/>
  <c r="F50" i="10"/>
  <c r="E50" i="10"/>
  <c r="D50" i="10"/>
  <c r="C50" i="10" s="1"/>
  <c r="K50" i="10" s="1"/>
  <c r="AB49" i="10"/>
  <c r="AA49" i="10"/>
  <c r="Z49" i="10"/>
  <c r="Y49" i="10"/>
  <c r="X49" i="10"/>
  <c r="V49" i="10"/>
  <c r="U49" i="10"/>
  <c r="W49" i="10" s="1"/>
  <c r="S49" i="10"/>
  <c r="R49" i="10"/>
  <c r="O49" i="10"/>
  <c r="L49" i="10"/>
  <c r="I49" i="10"/>
  <c r="H49" i="10"/>
  <c r="N49" i="10" s="1"/>
  <c r="G49" i="10"/>
  <c r="P49" i="10" s="1"/>
  <c r="F49" i="10"/>
  <c r="D49" i="10" s="1"/>
  <c r="M49" i="10" s="1"/>
  <c r="E49" i="10"/>
  <c r="AB48" i="10"/>
  <c r="AA48" i="10"/>
  <c r="Z48" i="10"/>
  <c r="Y48" i="10"/>
  <c r="X48" i="10"/>
  <c r="V48" i="10"/>
  <c r="U48" i="10"/>
  <c r="W48" i="10" s="1"/>
  <c r="T48" i="10"/>
  <c r="S48" i="10"/>
  <c r="R48" i="10"/>
  <c r="P48" i="10"/>
  <c r="O48" i="10"/>
  <c r="J48" i="10" s="1"/>
  <c r="L48" i="10"/>
  <c r="I48" i="10"/>
  <c r="Q48" i="10" s="1"/>
  <c r="H48" i="10"/>
  <c r="N48" i="10" s="1"/>
  <c r="G48" i="10"/>
  <c r="F48" i="10"/>
  <c r="E48" i="10"/>
  <c r="D48" i="10" s="1"/>
  <c r="AB47" i="10"/>
  <c r="AA47" i="10"/>
  <c r="Z47" i="10"/>
  <c r="Y47" i="10"/>
  <c r="X47" i="10"/>
  <c r="V47" i="10"/>
  <c r="W47" i="10" s="1"/>
  <c r="U47" i="10"/>
  <c r="S47" i="10"/>
  <c r="R47" i="10"/>
  <c r="T47" i="10" s="1"/>
  <c r="Q47" i="10"/>
  <c r="O47" i="10"/>
  <c r="L47" i="10"/>
  <c r="J47" i="10" s="1"/>
  <c r="I47" i="10"/>
  <c r="H47" i="10"/>
  <c r="N47" i="10" s="1"/>
  <c r="G47" i="10"/>
  <c r="P47" i="10" s="1"/>
  <c r="F47" i="10"/>
  <c r="E47" i="10"/>
  <c r="D47" i="10" s="1"/>
  <c r="AB46" i="10"/>
  <c r="AA46" i="10"/>
  <c r="Z46" i="10"/>
  <c r="Y46" i="10"/>
  <c r="X46" i="10"/>
  <c r="V46" i="10"/>
  <c r="U46" i="10"/>
  <c r="W46" i="10" s="1"/>
  <c r="T46" i="10"/>
  <c r="S46" i="10"/>
  <c r="R46" i="10"/>
  <c r="O46" i="10"/>
  <c r="L46" i="10"/>
  <c r="I46" i="10"/>
  <c r="Q46" i="10" s="1"/>
  <c r="H46" i="10"/>
  <c r="N46" i="10" s="1"/>
  <c r="G46" i="10"/>
  <c r="P46" i="10" s="1"/>
  <c r="F46" i="10"/>
  <c r="D46" i="10" s="1"/>
  <c r="E46" i="10"/>
  <c r="C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L45" i="10"/>
  <c r="J45" i="10"/>
  <c r="I45" i="10"/>
  <c r="H45" i="10"/>
  <c r="G45" i="10"/>
  <c r="F45" i="10"/>
  <c r="E45" i="10"/>
  <c r="D45" i="10"/>
  <c r="AB44" i="10"/>
  <c r="AA44" i="10"/>
  <c r="Z44" i="10"/>
  <c r="Y44" i="10"/>
  <c r="X44" i="10"/>
  <c r="W44" i="10"/>
  <c r="V44" i="10"/>
  <c r="U44" i="10"/>
  <c r="S44" i="10"/>
  <c r="R44" i="10"/>
  <c r="T44" i="10" s="1"/>
  <c r="Q44" i="10"/>
  <c r="O44" i="10"/>
  <c r="L44" i="10"/>
  <c r="J44" i="10"/>
  <c r="I44" i="10"/>
  <c r="H44" i="10"/>
  <c r="N44" i="10" s="1"/>
  <c r="G44" i="10"/>
  <c r="P44" i="10" s="1"/>
  <c r="F44" i="10"/>
  <c r="E44" i="10"/>
  <c r="D44" i="10"/>
  <c r="AB43" i="10"/>
  <c r="AA43" i="10"/>
  <c r="Z43" i="10"/>
  <c r="Y43" i="10"/>
  <c r="X43" i="10"/>
  <c r="V43" i="10"/>
  <c r="U43" i="10"/>
  <c r="W43" i="10" s="1"/>
  <c r="S43" i="10"/>
  <c r="T43" i="10" s="1"/>
  <c r="R43" i="10"/>
  <c r="O43" i="10"/>
  <c r="N43" i="10"/>
  <c r="L43" i="10"/>
  <c r="I43" i="10"/>
  <c r="Q43" i="10" s="1"/>
  <c r="H43" i="10"/>
  <c r="G43" i="10"/>
  <c r="P43" i="10" s="1"/>
  <c r="F43" i="10"/>
  <c r="E43" i="10"/>
  <c r="AB42" i="10"/>
  <c r="AA42" i="10"/>
  <c r="Z42" i="10"/>
  <c r="Y42" i="10"/>
  <c r="X42" i="10"/>
  <c r="V42" i="10"/>
  <c r="W42" i="10" s="1"/>
  <c r="U42" i="10"/>
  <c r="T42" i="10"/>
  <c r="S42" i="10"/>
  <c r="R42" i="10"/>
  <c r="P42" i="10"/>
  <c r="O42" i="10"/>
  <c r="N42" i="10"/>
  <c r="L42" i="10"/>
  <c r="J42" i="10"/>
  <c r="I42" i="10"/>
  <c r="Q42" i="10" s="1"/>
  <c r="H42" i="10"/>
  <c r="G42" i="10"/>
  <c r="F42" i="10"/>
  <c r="E42" i="10"/>
  <c r="D42" i="10" s="1"/>
  <c r="AB41" i="10"/>
  <c r="AA41" i="10"/>
  <c r="Z41" i="10"/>
  <c r="Y41" i="10"/>
  <c r="X41" i="10"/>
  <c r="W41" i="10"/>
  <c r="V41" i="10"/>
  <c r="U41" i="10"/>
  <c r="S41" i="10"/>
  <c r="R41" i="10"/>
  <c r="Q41" i="10"/>
  <c r="P41" i="10"/>
  <c r="O41" i="10"/>
  <c r="L41" i="10"/>
  <c r="J41" i="10" s="1"/>
  <c r="I41" i="10"/>
  <c r="H41" i="10"/>
  <c r="G41" i="10"/>
  <c r="F41" i="10"/>
  <c r="E41" i="10"/>
  <c r="AB40" i="10"/>
  <c r="AA40" i="10"/>
  <c r="Z40" i="10"/>
  <c r="Y40" i="10"/>
  <c r="X40" i="10"/>
  <c r="V40" i="10"/>
  <c r="U40" i="10"/>
  <c r="W40" i="10" s="1"/>
  <c r="S40" i="10"/>
  <c r="R40" i="10"/>
  <c r="T40" i="10" s="1"/>
  <c r="O40" i="10"/>
  <c r="L40" i="10"/>
  <c r="I40" i="10"/>
  <c r="Q40" i="10" s="1"/>
  <c r="H40" i="10"/>
  <c r="N40" i="10" s="1"/>
  <c r="G40" i="10"/>
  <c r="P40" i="10" s="1"/>
  <c r="F40" i="10"/>
  <c r="E40" i="10"/>
  <c r="D40" i="10" s="1"/>
  <c r="M40" i="10" s="1"/>
  <c r="AB39" i="10"/>
  <c r="AA39" i="10"/>
  <c r="Z39" i="10"/>
  <c r="Y39" i="10"/>
  <c r="X39" i="10"/>
  <c r="V39" i="10"/>
  <c r="U39" i="10"/>
  <c r="T39" i="10"/>
  <c r="S39" i="10"/>
  <c r="R39" i="10"/>
  <c r="P39" i="10"/>
  <c r="O39" i="10"/>
  <c r="J39" i="10" s="1"/>
  <c r="L39" i="10"/>
  <c r="I39" i="10"/>
  <c r="Q39" i="10" s="1"/>
  <c r="H39" i="10"/>
  <c r="N39" i="10" s="1"/>
  <c r="G39" i="10"/>
  <c r="F39" i="10"/>
  <c r="E39" i="10"/>
  <c r="D39" i="10" s="1"/>
  <c r="AB38" i="10"/>
  <c r="AA38" i="10"/>
  <c r="Z38" i="10"/>
  <c r="Y38" i="10"/>
  <c r="X38" i="10"/>
  <c r="V38" i="10"/>
  <c r="W38" i="10" s="1"/>
  <c r="U38" i="10"/>
  <c r="S38" i="10"/>
  <c r="R38" i="10"/>
  <c r="T38" i="10" s="1"/>
  <c r="Q38" i="10"/>
  <c r="O38" i="10"/>
  <c r="L38" i="10"/>
  <c r="J38" i="10" s="1"/>
  <c r="I38" i="10"/>
  <c r="H38" i="10"/>
  <c r="N38" i="10" s="1"/>
  <c r="G38" i="10"/>
  <c r="P38" i="10" s="1"/>
  <c r="F38" i="10"/>
  <c r="E38" i="10"/>
  <c r="D38" i="10" s="1"/>
  <c r="AB37" i="10"/>
  <c r="AA37" i="10"/>
  <c r="AA31" i="10" s="1"/>
  <c r="Z37" i="10"/>
  <c r="Y37" i="10"/>
  <c r="X37" i="10"/>
  <c r="V37" i="10"/>
  <c r="U37" i="10"/>
  <c r="W37" i="10" s="1"/>
  <c r="T37" i="10"/>
  <c r="S37" i="10"/>
  <c r="R37" i="10"/>
  <c r="O37" i="10"/>
  <c r="L37" i="10"/>
  <c r="I37" i="10"/>
  <c r="Q37" i="10" s="1"/>
  <c r="H37" i="10"/>
  <c r="N37" i="10" s="1"/>
  <c r="G37" i="10"/>
  <c r="P37" i="10" s="1"/>
  <c r="F37" i="10"/>
  <c r="D37" i="10" s="1"/>
  <c r="E37" i="10"/>
  <c r="C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L36" i="10"/>
  <c r="J36" i="10"/>
  <c r="I36" i="10"/>
  <c r="H36" i="10"/>
  <c r="H31" i="10" s="1"/>
  <c r="G36" i="10"/>
  <c r="F36" i="10"/>
  <c r="E36" i="10"/>
  <c r="D36" i="10"/>
  <c r="AB35" i="10"/>
  <c r="AA35" i="10"/>
  <c r="Z35" i="10"/>
  <c r="Y35" i="10"/>
  <c r="X35" i="10"/>
  <c r="W35" i="10"/>
  <c r="V35" i="10"/>
  <c r="U35" i="10"/>
  <c r="S35" i="10"/>
  <c r="R35" i="10"/>
  <c r="T35" i="10" s="1"/>
  <c r="Q35" i="10"/>
  <c r="O35" i="10"/>
  <c r="L35" i="10"/>
  <c r="J35" i="10"/>
  <c r="I35" i="10"/>
  <c r="H35" i="10"/>
  <c r="N35" i="10" s="1"/>
  <c r="G35" i="10"/>
  <c r="P35" i="10" s="1"/>
  <c r="F35" i="10"/>
  <c r="E35" i="10"/>
  <c r="D35" i="10"/>
  <c r="AB34" i="10"/>
  <c r="AA34" i="10"/>
  <c r="Z34" i="10"/>
  <c r="Y34" i="10"/>
  <c r="X34" i="10"/>
  <c r="V34" i="10"/>
  <c r="U34" i="10"/>
  <c r="W34" i="10" s="1"/>
  <c r="S34" i="10"/>
  <c r="T34" i="10" s="1"/>
  <c r="R34" i="10"/>
  <c r="O34" i="10"/>
  <c r="N34" i="10"/>
  <c r="L34" i="10"/>
  <c r="I34" i="10"/>
  <c r="Q34" i="10" s="1"/>
  <c r="H34" i="10"/>
  <c r="G34" i="10"/>
  <c r="P34" i="10" s="1"/>
  <c r="F34" i="10"/>
  <c r="D34" i="10" s="1"/>
  <c r="E34" i="10"/>
  <c r="AB33" i="10"/>
  <c r="AA33" i="10"/>
  <c r="Z33" i="10"/>
  <c r="Z31" i="10" s="1"/>
  <c r="Y33" i="10"/>
  <c r="X33" i="10"/>
  <c r="V33" i="10"/>
  <c r="W33" i="10" s="1"/>
  <c r="U33" i="10"/>
  <c r="T33" i="10"/>
  <c r="S33" i="10"/>
  <c r="R33" i="10"/>
  <c r="P33" i="10"/>
  <c r="O33" i="10"/>
  <c r="N33" i="10"/>
  <c r="L33" i="10"/>
  <c r="J33" i="10"/>
  <c r="I33" i="10"/>
  <c r="Q33" i="10" s="1"/>
  <c r="H33" i="10"/>
  <c r="G33" i="10"/>
  <c r="F33" i="10"/>
  <c r="E33" i="10"/>
  <c r="D33" i="10" s="1"/>
  <c r="AB32" i="10"/>
  <c r="AA32" i="10"/>
  <c r="Z32" i="10"/>
  <c r="Y32" i="10"/>
  <c r="X32" i="10"/>
  <c r="W32" i="10"/>
  <c r="V32" i="10"/>
  <c r="U32" i="10"/>
  <c r="S32" i="10"/>
  <c r="S31" i="10" s="1"/>
  <c r="R32" i="10"/>
  <c r="R31" i="10" s="1"/>
  <c r="T31" i="10" s="1"/>
  <c r="Q32" i="10"/>
  <c r="P32" i="10"/>
  <c r="O32" i="10"/>
  <c r="L32" i="10"/>
  <c r="I32" i="10"/>
  <c r="H32" i="10"/>
  <c r="G32" i="10"/>
  <c r="F32" i="10"/>
  <c r="F31" i="10" s="1"/>
  <c r="F8" i="10" s="1"/>
  <c r="E32" i="10"/>
  <c r="E31" i="10" s="1"/>
  <c r="X31" i="10"/>
  <c r="AB30" i="10"/>
  <c r="AA30" i="10"/>
  <c r="Z30" i="10"/>
  <c r="Y30" i="10"/>
  <c r="X30" i="10"/>
  <c r="V30" i="10"/>
  <c r="U30" i="10"/>
  <c r="W30" i="10" s="1"/>
  <c r="T30" i="10"/>
  <c r="S30" i="10"/>
  <c r="R30" i="10"/>
  <c r="Q30" i="10"/>
  <c r="P30" i="10"/>
  <c r="O30" i="10"/>
  <c r="J30" i="10" s="1"/>
  <c r="L30" i="10"/>
  <c r="I30" i="10"/>
  <c r="H30" i="10"/>
  <c r="N30" i="10" s="1"/>
  <c r="G30" i="10"/>
  <c r="F30" i="10"/>
  <c r="E30" i="10"/>
  <c r="D30" i="10" s="1"/>
  <c r="AB29" i="10"/>
  <c r="AA29" i="10"/>
  <c r="Z29" i="10"/>
  <c r="Y29" i="10"/>
  <c r="X29" i="10"/>
  <c r="V29" i="10"/>
  <c r="W29" i="10" s="1"/>
  <c r="U29" i="10"/>
  <c r="S29" i="10"/>
  <c r="R29" i="10"/>
  <c r="T29" i="10" s="1"/>
  <c r="Q29" i="10"/>
  <c r="P29" i="10"/>
  <c r="O29" i="10"/>
  <c r="L29" i="10"/>
  <c r="J29" i="10"/>
  <c r="I29" i="10"/>
  <c r="H29" i="10"/>
  <c r="N29" i="10" s="1"/>
  <c r="G29" i="10"/>
  <c r="F29" i="10"/>
  <c r="E29" i="10"/>
  <c r="D29" i="10" s="1"/>
  <c r="AB28" i="10"/>
  <c r="AA28" i="10"/>
  <c r="Z28" i="10"/>
  <c r="Y28" i="10"/>
  <c r="X28" i="10"/>
  <c r="V28" i="10"/>
  <c r="U28" i="10"/>
  <c r="W28" i="10" s="1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L27" i="10"/>
  <c r="J27" i="10"/>
  <c r="I27" i="10"/>
  <c r="H27" i="10"/>
  <c r="G27" i="10"/>
  <c r="F27" i="10"/>
  <c r="E27" i="10"/>
  <c r="D27" i="10"/>
  <c r="M27" i="10" s="1"/>
  <c r="AB26" i="10"/>
  <c r="AA26" i="10"/>
  <c r="Z26" i="10"/>
  <c r="Y26" i="10"/>
  <c r="X26" i="10"/>
  <c r="V26" i="10"/>
  <c r="W26" i="10" s="1"/>
  <c r="U26" i="10"/>
  <c r="S26" i="10"/>
  <c r="R26" i="10"/>
  <c r="Q26" i="10"/>
  <c r="O26" i="10"/>
  <c r="M26" i="10"/>
  <c r="L26" i="10"/>
  <c r="J26" i="10"/>
  <c r="I26" i="10"/>
  <c r="H26" i="10"/>
  <c r="G26" i="10"/>
  <c r="P26" i="10" s="1"/>
  <c r="F26" i="10"/>
  <c r="E26" i="10"/>
  <c r="D26" i="10"/>
  <c r="AB25" i="10"/>
  <c r="AA25" i="10"/>
  <c r="Z25" i="10"/>
  <c r="Y25" i="10"/>
  <c r="X25" i="10"/>
  <c r="V25" i="10"/>
  <c r="U25" i="10"/>
  <c r="W25" i="10" s="1"/>
  <c r="S25" i="10"/>
  <c r="R25" i="10"/>
  <c r="T25" i="10" s="1"/>
  <c r="O25" i="10"/>
  <c r="N25" i="10"/>
  <c r="L25" i="10"/>
  <c r="J25" i="10" s="1"/>
  <c r="I25" i="10"/>
  <c r="Q25" i="10" s="1"/>
  <c r="H25" i="10"/>
  <c r="G25" i="10"/>
  <c r="P25" i="10" s="1"/>
  <c r="F25" i="10"/>
  <c r="E25" i="10"/>
  <c r="AB24" i="10"/>
  <c r="AA24" i="10"/>
  <c r="Z24" i="10"/>
  <c r="Y24" i="10"/>
  <c r="X24" i="10"/>
  <c r="V24" i="10"/>
  <c r="U24" i="10"/>
  <c r="W24" i="10" s="1"/>
  <c r="T24" i="10"/>
  <c r="S24" i="10"/>
  <c r="R24" i="10"/>
  <c r="P24" i="10"/>
  <c r="O24" i="10"/>
  <c r="J24" i="10" s="1"/>
  <c r="L24" i="10"/>
  <c r="I24" i="10"/>
  <c r="Q24" i="10" s="1"/>
  <c r="H24" i="10"/>
  <c r="N24" i="10" s="1"/>
  <c r="G24" i="10"/>
  <c r="F24" i="10"/>
  <c r="E24" i="10"/>
  <c r="D24" i="10"/>
  <c r="M24" i="10" s="1"/>
  <c r="C24" i="10"/>
  <c r="AB23" i="10"/>
  <c r="AA23" i="10"/>
  <c r="Z23" i="10"/>
  <c r="Y23" i="10"/>
  <c r="X23" i="10"/>
  <c r="W23" i="10"/>
  <c r="V23" i="10"/>
  <c r="U23" i="10"/>
  <c r="S23" i="10"/>
  <c r="R23" i="10"/>
  <c r="Q23" i="10"/>
  <c r="P23" i="10"/>
  <c r="O23" i="10"/>
  <c r="L23" i="10"/>
  <c r="J23" i="10" s="1"/>
  <c r="I23" i="10"/>
  <c r="H23" i="10"/>
  <c r="G23" i="10"/>
  <c r="F23" i="10"/>
  <c r="D23" i="10" s="1"/>
  <c r="E23" i="10"/>
  <c r="AB22" i="10"/>
  <c r="AA22" i="10"/>
  <c r="Z22" i="10"/>
  <c r="Y22" i="10"/>
  <c r="X22" i="10"/>
  <c r="V22" i="10"/>
  <c r="U22" i="10"/>
  <c r="W22" i="10" s="1"/>
  <c r="S22" i="10"/>
  <c r="R22" i="10"/>
  <c r="T22" i="10" s="1"/>
  <c r="O22" i="10"/>
  <c r="N22" i="10"/>
  <c r="L22" i="10"/>
  <c r="J22" i="10" s="1"/>
  <c r="I22" i="10"/>
  <c r="Q22" i="10" s="1"/>
  <c r="H22" i="10"/>
  <c r="G22" i="10"/>
  <c r="P22" i="10" s="1"/>
  <c r="F22" i="10"/>
  <c r="E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O21" i="10"/>
  <c r="J21" i="10" s="1"/>
  <c r="N21" i="10"/>
  <c r="L21" i="10"/>
  <c r="I21" i="10"/>
  <c r="H21" i="10"/>
  <c r="G21" i="10"/>
  <c r="P21" i="10" s="1"/>
  <c r="F21" i="10"/>
  <c r="E21" i="10"/>
  <c r="D21" i="10" s="1"/>
  <c r="AB20" i="10"/>
  <c r="AB13" i="10" s="1"/>
  <c r="AA20" i="10"/>
  <c r="Z20" i="10"/>
  <c r="Y20" i="10"/>
  <c r="X20" i="10"/>
  <c r="V20" i="10"/>
  <c r="V13" i="10" s="1"/>
  <c r="U20" i="10"/>
  <c r="S20" i="10"/>
  <c r="R20" i="10"/>
  <c r="T20" i="10" s="1"/>
  <c r="O20" i="10"/>
  <c r="L20" i="10"/>
  <c r="J20" i="10" s="1"/>
  <c r="I20" i="10"/>
  <c r="Q20" i="10" s="1"/>
  <c r="H20" i="10"/>
  <c r="N20" i="10" s="1"/>
  <c r="G20" i="10"/>
  <c r="P20" i="10" s="1"/>
  <c r="F20" i="10"/>
  <c r="E20" i="10"/>
  <c r="D20" i="10" s="1"/>
  <c r="AB19" i="10"/>
  <c r="AA19" i="10"/>
  <c r="Z19" i="10"/>
  <c r="Y19" i="10"/>
  <c r="X19" i="10"/>
  <c r="V19" i="10"/>
  <c r="U19" i="10"/>
  <c r="W19" i="10" s="1"/>
  <c r="S19" i="10"/>
  <c r="T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D19" i="10" s="1"/>
  <c r="M19" i="10" s="1"/>
  <c r="AB18" i="10"/>
  <c r="AA18" i="10"/>
  <c r="Z18" i="10"/>
  <c r="Y18" i="10"/>
  <c r="X18" i="10"/>
  <c r="V18" i="10"/>
  <c r="U18" i="10"/>
  <c r="W18" i="10" s="1"/>
  <c r="S18" i="10"/>
  <c r="R18" i="10"/>
  <c r="T18" i="10" s="1"/>
  <c r="O18" i="10"/>
  <c r="L18" i="10"/>
  <c r="I18" i="10"/>
  <c r="Q18" i="10" s="1"/>
  <c r="H18" i="10"/>
  <c r="N18" i="10" s="1"/>
  <c r="G18" i="10"/>
  <c r="P18" i="10" s="1"/>
  <c r="F18" i="10"/>
  <c r="D18" i="10" s="1"/>
  <c r="M18" i="10" s="1"/>
  <c r="E18" i="10"/>
  <c r="C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L17" i="10"/>
  <c r="J17" i="10"/>
  <c r="I17" i="10"/>
  <c r="H17" i="10"/>
  <c r="N17" i="10" s="1"/>
  <c r="G17" i="10"/>
  <c r="F17" i="10"/>
  <c r="E17" i="10"/>
  <c r="D17" i="10" s="1"/>
  <c r="AB16" i="10"/>
  <c r="AA16" i="10"/>
  <c r="Z16" i="10"/>
  <c r="Y16" i="10"/>
  <c r="Y13" i="10" s="1"/>
  <c r="X16" i="10"/>
  <c r="V16" i="10"/>
  <c r="W16" i="10" s="1"/>
  <c r="U16" i="10"/>
  <c r="S16" i="10"/>
  <c r="R16" i="10"/>
  <c r="Q16" i="10"/>
  <c r="O16" i="10"/>
  <c r="M16" i="10"/>
  <c r="L16" i="10"/>
  <c r="J16" i="10"/>
  <c r="I16" i="10"/>
  <c r="H16" i="10"/>
  <c r="N16" i="10" s="1"/>
  <c r="G16" i="10"/>
  <c r="P16" i="10" s="1"/>
  <c r="F16" i="10"/>
  <c r="E16" i="10"/>
  <c r="D16" i="10"/>
  <c r="C16" i="10" s="1"/>
  <c r="K16" i="10" s="1"/>
  <c r="AB15" i="10"/>
  <c r="AA15" i="10"/>
  <c r="Z15" i="10"/>
  <c r="Y15" i="10"/>
  <c r="X15" i="10"/>
  <c r="X13" i="10" s="1"/>
  <c r="X8" i="10" s="1"/>
  <c r="X7" i="10" s="1"/>
  <c r="V15" i="10"/>
  <c r="U15" i="10"/>
  <c r="W15" i="10" s="1"/>
  <c r="S15" i="10"/>
  <c r="R15" i="10"/>
  <c r="T15" i="10" s="1"/>
  <c r="O15" i="10"/>
  <c r="L15" i="10"/>
  <c r="L13" i="10" s="1"/>
  <c r="I15" i="10"/>
  <c r="Q15" i="10" s="1"/>
  <c r="H15" i="10"/>
  <c r="N15" i="10" s="1"/>
  <c r="G15" i="10"/>
  <c r="P15" i="10" s="1"/>
  <c r="F15" i="10"/>
  <c r="F13" i="10" s="1"/>
  <c r="E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L14" i="10"/>
  <c r="J14" i="10"/>
  <c r="I14" i="10"/>
  <c r="I13" i="10" s="1"/>
  <c r="Q13" i="10" s="1"/>
  <c r="H14" i="10"/>
  <c r="N14" i="10" s="1"/>
  <c r="G14" i="10"/>
  <c r="F14" i="10"/>
  <c r="E14" i="10"/>
  <c r="S13" i="10"/>
  <c r="S8" i="10" s="1"/>
  <c r="S7" i="10" s="1"/>
  <c r="P10" i="10"/>
  <c r="O10" i="10"/>
  <c r="O9" i="10" s="1"/>
  <c r="H10" i="10"/>
  <c r="G10" i="10"/>
  <c r="G9" i="10" s="1"/>
  <c r="P9" i="10" s="1"/>
  <c r="Q106" i="9"/>
  <c r="O106" i="9"/>
  <c r="N106" i="9"/>
  <c r="L106" i="9"/>
  <c r="J106" i="9" s="1"/>
  <c r="I106" i="9"/>
  <c r="H106" i="9"/>
  <c r="G106" i="9"/>
  <c r="P106" i="9" s="1"/>
  <c r="F106" i="9"/>
  <c r="E106" i="9"/>
  <c r="D106" i="9" s="1"/>
  <c r="Q105" i="9"/>
  <c r="P105" i="9"/>
  <c r="O105" i="9"/>
  <c r="N105" i="9"/>
  <c r="L105" i="9"/>
  <c r="J105" i="9"/>
  <c r="I105" i="9"/>
  <c r="H105" i="9"/>
  <c r="G105" i="9"/>
  <c r="F105" i="9"/>
  <c r="E105" i="9"/>
  <c r="D105" i="9"/>
  <c r="Q104" i="9"/>
  <c r="O104" i="9"/>
  <c r="N104" i="9"/>
  <c r="M104" i="9"/>
  <c r="L104" i="9"/>
  <c r="J104" i="9" s="1"/>
  <c r="I104" i="9"/>
  <c r="H104" i="9"/>
  <c r="G104" i="9"/>
  <c r="P104" i="9" s="1"/>
  <c r="F104" i="9"/>
  <c r="E104" i="9"/>
  <c r="D104" i="9" s="1"/>
  <c r="Q103" i="9"/>
  <c r="P103" i="9"/>
  <c r="O103" i="9"/>
  <c r="N103" i="9"/>
  <c r="L103" i="9"/>
  <c r="J103" i="9"/>
  <c r="I103" i="9"/>
  <c r="H103" i="9"/>
  <c r="G103" i="9"/>
  <c r="F103" i="9"/>
  <c r="E103" i="9"/>
  <c r="D103" i="9"/>
  <c r="Q102" i="9"/>
  <c r="O102" i="9"/>
  <c r="N102" i="9"/>
  <c r="M102" i="9"/>
  <c r="L102" i="9"/>
  <c r="J102" i="9" s="1"/>
  <c r="I102" i="9"/>
  <c r="H102" i="9"/>
  <c r="G102" i="9"/>
  <c r="P102" i="9" s="1"/>
  <c r="F102" i="9"/>
  <c r="E102" i="9"/>
  <c r="D102" i="9" s="1"/>
  <c r="Q101" i="9"/>
  <c r="P101" i="9"/>
  <c r="O101" i="9"/>
  <c r="N101" i="9"/>
  <c r="L101" i="9"/>
  <c r="J101" i="9"/>
  <c r="I101" i="9"/>
  <c r="H101" i="9"/>
  <c r="G101" i="9"/>
  <c r="F101" i="9"/>
  <c r="E101" i="9"/>
  <c r="D101" i="9"/>
  <c r="Q100" i="9"/>
  <c r="O100" i="9"/>
  <c r="N100" i="9"/>
  <c r="M100" i="9"/>
  <c r="L100" i="9"/>
  <c r="J100" i="9" s="1"/>
  <c r="I100" i="9"/>
  <c r="H100" i="9"/>
  <c r="G100" i="9"/>
  <c r="P100" i="9" s="1"/>
  <c r="F100" i="9"/>
  <c r="E100" i="9"/>
  <c r="D100" i="9" s="1"/>
  <c r="Q99" i="9"/>
  <c r="P99" i="9"/>
  <c r="O99" i="9"/>
  <c r="N99" i="9"/>
  <c r="L99" i="9"/>
  <c r="J99" i="9"/>
  <c r="I99" i="9"/>
  <c r="H99" i="9"/>
  <c r="G99" i="9"/>
  <c r="F99" i="9"/>
  <c r="E99" i="9"/>
  <c r="D99" i="9"/>
  <c r="Q98" i="9"/>
  <c r="O98" i="9"/>
  <c r="N98" i="9"/>
  <c r="M98" i="9"/>
  <c r="L98" i="9"/>
  <c r="J98" i="9" s="1"/>
  <c r="I98" i="9"/>
  <c r="H98" i="9"/>
  <c r="G98" i="9"/>
  <c r="P98" i="9" s="1"/>
  <c r="F98" i="9"/>
  <c r="E98" i="9"/>
  <c r="D98" i="9" s="1"/>
  <c r="Q97" i="9"/>
  <c r="P97" i="9"/>
  <c r="O97" i="9"/>
  <c r="N97" i="9"/>
  <c r="L97" i="9"/>
  <c r="J97" i="9"/>
  <c r="I97" i="9"/>
  <c r="H97" i="9"/>
  <c r="G97" i="9"/>
  <c r="F97" i="9"/>
  <c r="E97" i="9"/>
  <c r="D97" i="9"/>
  <c r="Q96" i="9"/>
  <c r="O96" i="9"/>
  <c r="N96" i="9"/>
  <c r="M96" i="9"/>
  <c r="L96" i="9"/>
  <c r="J96" i="9" s="1"/>
  <c r="I96" i="9"/>
  <c r="H96" i="9"/>
  <c r="G96" i="9"/>
  <c r="P96" i="9" s="1"/>
  <c r="F96" i="9"/>
  <c r="E96" i="9"/>
  <c r="D96" i="9" s="1"/>
  <c r="Q95" i="9"/>
  <c r="P95" i="9"/>
  <c r="O95" i="9"/>
  <c r="N95" i="9"/>
  <c r="L95" i="9"/>
  <c r="J95" i="9"/>
  <c r="I95" i="9"/>
  <c r="H95" i="9"/>
  <c r="G95" i="9"/>
  <c r="F95" i="9"/>
  <c r="E95" i="9"/>
  <c r="D95" i="9"/>
  <c r="Q94" i="9"/>
  <c r="O94" i="9"/>
  <c r="N94" i="9"/>
  <c r="M94" i="9"/>
  <c r="L94" i="9"/>
  <c r="J94" i="9" s="1"/>
  <c r="I94" i="9"/>
  <c r="H94" i="9"/>
  <c r="G94" i="9"/>
  <c r="P94" i="9" s="1"/>
  <c r="F94" i="9"/>
  <c r="E94" i="9"/>
  <c r="D94" i="9" s="1"/>
  <c r="Q93" i="9"/>
  <c r="P93" i="9"/>
  <c r="O93" i="9"/>
  <c r="N93" i="9"/>
  <c r="L93" i="9"/>
  <c r="J93" i="9"/>
  <c r="I93" i="9"/>
  <c r="H93" i="9"/>
  <c r="G93" i="9"/>
  <c r="F93" i="9"/>
  <c r="E93" i="9"/>
  <c r="D93" i="9"/>
  <c r="Q92" i="9"/>
  <c r="O92" i="9"/>
  <c r="N92" i="9"/>
  <c r="M92" i="9"/>
  <c r="L92" i="9"/>
  <c r="J92" i="9" s="1"/>
  <c r="I92" i="9"/>
  <c r="H92" i="9"/>
  <c r="G92" i="9"/>
  <c r="P92" i="9" s="1"/>
  <c r="F92" i="9"/>
  <c r="E92" i="9"/>
  <c r="D92" i="9" s="1"/>
  <c r="Q91" i="9"/>
  <c r="P91" i="9"/>
  <c r="O91" i="9"/>
  <c r="N91" i="9"/>
  <c r="N89" i="9" s="1"/>
  <c r="L91" i="9"/>
  <c r="J91" i="9"/>
  <c r="J89" i="9" s="1"/>
  <c r="I91" i="9"/>
  <c r="H91" i="9"/>
  <c r="G91" i="9"/>
  <c r="F91" i="9"/>
  <c r="E91" i="9"/>
  <c r="D91" i="9"/>
  <c r="Q90" i="9"/>
  <c r="O90" i="9"/>
  <c r="N90" i="9"/>
  <c r="M90" i="9"/>
  <c r="L90" i="9"/>
  <c r="J90" i="9" s="1"/>
  <c r="I90" i="9"/>
  <c r="H90" i="9"/>
  <c r="H89" i="9" s="1"/>
  <c r="H10" i="9" s="1"/>
  <c r="G90" i="9"/>
  <c r="F90" i="9"/>
  <c r="F89" i="9" s="1"/>
  <c r="E90" i="9"/>
  <c r="D90" i="9" s="1"/>
  <c r="Q89" i="9"/>
  <c r="O89" i="9"/>
  <c r="I89" i="9"/>
  <c r="D89" i="9"/>
  <c r="D10" i="9" s="1"/>
  <c r="T88" i="9"/>
  <c r="S88" i="9"/>
  <c r="R88" i="9"/>
  <c r="Q88" i="9"/>
  <c r="P88" i="9"/>
  <c r="O88" i="9"/>
  <c r="L88" i="9"/>
  <c r="J88" i="9"/>
  <c r="I88" i="9"/>
  <c r="H88" i="9"/>
  <c r="N88" i="9" s="1"/>
  <c r="G88" i="9"/>
  <c r="F88" i="9"/>
  <c r="E88" i="9"/>
  <c r="D88" i="9" s="1"/>
  <c r="T87" i="9"/>
  <c r="S87" i="9"/>
  <c r="R87" i="9"/>
  <c r="Q87" i="9"/>
  <c r="P87" i="9"/>
  <c r="O87" i="9"/>
  <c r="N87" i="9"/>
  <c r="L87" i="9"/>
  <c r="J87" i="9"/>
  <c r="I87" i="9"/>
  <c r="H87" i="9"/>
  <c r="G87" i="9"/>
  <c r="F87" i="9"/>
  <c r="E87" i="9"/>
  <c r="D87" i="9" s="1"/>
  <c r="T86" i="9"/>
  <c r="S86" i="9"/>
  <c r="R86" i="9"/>
  <c r="Q86" i="9"/>
  <c r="P86" i="9"/>
  <c r="O86" i="9"/>
  <c r="N86" i="9"/>
  <c r="L86" i="9"/>
  <c r="J86" i="9"/>
  <c r="I86" i="9"/>
  <c r="H86" i="9"/>
  <c r="G86" i="9"/>
  <c r="F86" i="9"/>
  <c r="E86" i="9"/>
  <c r="D86" i="9"/>
  <c r="T85" i="9"/>
  <c r="S85" i="9"/>
  <c r="R85" i="9"/>
  <c r="Q85" i="9"/>
  <c r="P85" i="9"/>
  <c r="O85" i="9"/>
  <c r="L85" i="9"/>
  <c r="J85" i="9"/>
  <c r="I85" i="9"/>
  <c r="H85" i="9"/>
  <c r="N85" i="9" s="1"/>
  <c r="G85" i="9"/>
  <c r="F85" i="9"/>
  <c r="E85" i="9"/>
  <c r="D85" i="9" s="1"/>
  <c r="T84" i="9"/>
  <c r="S84" i="9"/>
  <c r="R84" i="9"/>
  <c r="Q84" i="9"/>
  <c r="P84" i="9"/>
  <c r="O84" i="9"/>
  <c r="N84" i="9"/>
  <c r="L84" i="9"/>
  <c r="J84" i="9"/>
  <c r="I84" i="9"/>
  <c r="H84" i="9"/>
  <c r="G84" i="9"/>
  <c r="F84" i="9"/>
  <c r="E84" i="9"/>
  <c r="D84" i="9" s="1"/>
  <c r="T83" i="9"/>
  <c r="S83" i="9"/>
  <c r="R83" i="9"/>
  <c r="Q83" i="9"/>
  <c r="P83" i="9"/>
  <c r="O83" i="9"/>
  <c r="N83" i="9"/>
  <c r="L83" i="9"/>
  <c r="J83" i="9"/>
  <c r="I83" i="9"/>
  <c r="H83" i="9"/>
  <c r="G83" i="9"/>
  <c r="F83" i="9"/>
  <c r="E83" i="9"/>
  <c r="D83" i="9"/>
  <c r="T82" i="9"/>
  <c r="S82" i="9"/>
  <c r="R82" i="9"/>
  <c r="Q82" i="9"/>
  <c r="P82" i="9"/>
  <c r="O82" i="9"/>
  <c r="L82" i="9"/>
  <c r="J82" i="9"/>
  <c r="I82" i="9"/>
  <c r="H82" i="9"/>
  <c r="N82" i="9" s="1"/>
  <c r="G82" i="9"/>
  <c r="F82" i="9"/>
  <c r="E82" i="9"/>
  <c r="D82" i="9" s="1"/>
  <c r="T81" i="9"/>
  <c r="S81" i="9"/>
  <c r="R81" i="9"/>
  <c r="Q81" i="9"/>
  <c r="P81" i="9"/>
  <c r="O81" i="9"/>
  <c r="N81" i="9"/>
  <c r="L81" i="9"/>
  <c r="J81" i="9"/>
  <c r="I81" i="9"/>
  <c r="H81" i="9"/>
  <c r="G81" i="9"/>
  <c r="F81" i="9"/>
  <c r="E81" i="9"/>
  <c r="D81" i="9" s="1"/>
  <c r="T80" i="9"/>
  <c r="S80" i="9"/>
  <c r="R80" i="9"/>
  <c r="Q80" i="9"/>
  <c r="P80" i="9"/>
  <c r="O80" i="9"/>
  <c r="N80" i="9"/>
  <c r="L80" i="9"/>
  <c r="J80" i="9"/>
  <c r="I80" i="9"/>
  <c r="H80" i="9"/>
  <c r="G80" i="9"/>
  <c r="F80" i="9"/>
  <c r="E80" i="9"/>
  <c r="D80" i="9"/>
  <c r="T79" i="9"/>
  <c r="S79" i="9"/>
  <c r="R79" i="9"/>
  <c r="Q79" i="9"/>
  <c r="P79" i="9"/>
  <c r="O79" i="9"/>
  <c r="L79" i="9"/>
  <c r="J79" i="9"/>
  <c r="I79" i="9"/>
  <c r="H79" i="9"/>
  <c r="N79" i="9" s="1"/>
  <c r="G79" i="9"/>
  <c r="F79" i="9"/>
  <c r="E79" i="9"/>
  <c r="D79" i="9" s="1"/>
  <c r="T78" i="9"/>
  <c r="S78" i="9"/>
  <c r="R78" i="9"/>
  <c r="Q78" i="9"/>
  <c r="P78" i="9"/>
  <c r="O78" i="9"/>
  <c r="N78" i="9"/>
  <c r="L78" i="9"/>
  <c r="J78" i="9"/>
  <c r="I78" i="9"/>
  <c r="H78" i="9"/>
  <c r="G78" i="9"/>
  <c r="F78" i="9"/>
  <c r="E78" i="9"/>
  <c r="D78" i="9" s="1"/>
  <c r="T77" i="9"/>
  <c r="S77" i="9"/>
  <c r="R77" i="9"/>
  <c r="Q77" i="9"/>
  <c r="P77" i="9"/>
  <c r="O77" i="9"/>
  <c r="N77" i="9"/>
  <c r="L77" i="9"/>
  <c r="J77" i="9"/>
  <c r="I77" i="9"/>
  <c r="H77" i="9"/>
  <c r="G77" i="9"/>
  <c r="F77" i="9"/>
  <c r="E77" i="9"/>
  <c r="D77" i="9"/>
  <c r="T76" i="9"/>
  <c r="S76" i="9"/>
  <c r="R76" i="9"/>
  <c r="Q76" i="9"/>
  <c r="P76" i="9"/>
  <c r="O76" i="9"/>
  <c r="L76" i="9"/>
  <c r="J76" i="9"/>
  <c r="I76" i="9"/>
  <c r="H76" i="9"/>
  <c r="G76" i="9"/>
  <c r="F76" i="9"/>
  <c r="E76" i="9"/>
  <c r="D76" i="9" s="1"/>
  <c r="T75" i="9"/>
  <c r="S75" i="9"/>
  <c r="R75" i="9"/>
  <c r="Q75" i="9"/>
  <c r="P75" i="9"/>
  <c r="O75" i="9"/>
  <c r="N75" i="9"/>
  <c r="L75" i="9"/>
  <c r="J75" i="9"/>
  <c r="I75" i="9"/>
  <c r="H75" i="9"/>
  <c r="G75" i="9"/>
  <c r="F75" i="9"/>
  <c r="E75" i="9"/>
  <c r="D75" i="9" s="1"/>
  <c r="T74" i="9"/>
  <c r="S74" i="9"/>
  <c r="R74" i="9"/>
  <c r="Q74" i="9"/>
  <c r="P74" i="9"/>
  <c r="O74" i="9"/>
  <c r="L74" i="9"/>
  <c r="J74" i="9"/>
  <c r="I74" i="9"/>
  <c r="G74" i="9"/>
  <c r="F74" i="9"/>
  <c r="T73" i="9"/>
  <c r="S73" i="9"/>
  <c r="R73" i="9"/>
  <c r="Q73" i="9"/>
  <c r="P73" i="9"/>
  <c r="O73" i="9"/>
  <c r="L73" i="9"/>
  <c r="J73" i="9"/>
  <c r="I73" i="9"/>
  <c r="H73" i="9"/>
  <c r="N73" i="9" s="1"/>
  <c r="G73" i="9"/>
  <c r="F73" i="9"/>
  <c r="E73" i="9"/>
  <c r="D73" i="9" s="1"/>
  <c r="T72" i="9"/>
  <c r="S72" i="9"/>
  <c r="R72" i="9"/>
  <c r="Q72" i="9"/>
  <c r="P72" i="9"/>
  <c r="O72" i="9"/>
  <c r="N72" i="9"/>
  <c r="L72" i="9"/>
  <c r="J72" i="9"/>
  <c r="I72" i="9"/>
  <c r="H72" i="9"/>
  <c r="G72" i="9"/>
  <c r="F72" i="9"/>
  <c r="E72" i="9"/>
  <c r="D72" i="9" s="1"/>
  <c r="T71" i="9"/>
  <c r="S71" i="9"/>
  <c r="R71" i="9"/>
  <c r="Q71" i="9"/>
  <c r="P71" i="9"/>
  <c r="O71" i="9"/>
  <c r="N71" i="9"/>
  <c r="L71" i="9"/>
  <c r="J71" i="9"/>
  <c r="I71" i="9"/>
  <c r="H71" i="9"/>
  <c r="G71" i="9"/>
  <c r="F71" i="9"/>
  <c r="E71" i="9"/>
  <c r="D71" i="9"/>
  <c r="T70" i="9"/>
  <c r="S70" i="9"/>
  <c r="R70" i="9"/>
  <c r="Q70" i="9"/>
  <c r="P70" i="9"/>
  <c r="O70" i="9"/>
  <c r="L70" i="9"/>
  <c r="J70" i="9"/>
  <c r="I70" i="9"/>
  <c r="H70" i="9"/>
  <c r="N70" i="9" s="1"/>
  <c r="G70" i="9"/>
  <c r="F70" i="9"/>
  <c r="E70" i="9"/>
  <c r="D70" i="9" s="1"/>
  <c r="T69" i="9"/>
  <c r="S69" i="9"/>
  <c r="R69" i="9"/>
  <c r="Q69" i="9"/>
  <c r="P69" i="9"/>
  <c r="O69" i="9"/>
  <c r="N69" i="9"/>
  <c r="L69" i="9"/>
  <c r="J69" i="9"/>
  <c r="I69" i="9"/>
  <c r="H69" i="9"/>
  <c r="G69" i="9"/>
  <c r="F69" i="9"/>
  <c r="E69" i="9"/>
  <c r="D69" i="9" s="1"/>
  <c r="T68" i="9"/>
  <c r="S68" i="9"/>
  <c r="R68" i="9"/>
  <c r="Q68" i="9"/>
  <c r="P68" i="9"/>
  <c r="O68" i="9"/>
  <c r="N68" i="9"/>
  <c r="L68" i="9"/>
  <c r="J68" i="9"/>
  <c r="I68" i="9"/>
  <c r="H68" i="9"/>
  <c r="G68" i="9"/>
  <c r="F68" i="9"/>
  <c r="E68" i="9"/>
  <c r="D68" i="9"/>
  <c r="T67" i="9"/>
  <c r="S67" i="9"/>
  <c r="R67" i="9"/>
  <c r="Q67" i="9"/>
  <c r="P67" i="9"/>
  <c r="O67" i="9"/>
  <c r="L67" i="9"/>
  <c r="J67" i="9"/>
  <c r="I67" i="9"/>
  <c r="H67" i="9"/>
  <c r="N67" i="9" s="1"/>
  <c r="G67" i="9"/>
  <c r="F67" i="9"/>
  <c r="E67" i="9"/>
  <c r="D67" i="9" s="1"/>
  <c r="T66" i="9"/>
  <c r="S66" i="9"/>
  <c r="R66" i="9"/>
  <c r="Q66" i="9"/>
  <c r="P66" i="9"/>
  <c r="O66" i="9"/>
  <c r="N66" i="9"/>
  <c r="L66" i="9"/>
  <c r="J66" i="9"/>
  <c r="I66" i="9"/>
  <c r="H66" i="9"/>
  <c r="G66" i="9"/>
  <c r="F66" i="9"/>
  <c r="E66" i="9"/>
  <c r="D66" i="9" s="1"/>
  <c r="T65" i="9"/>
  <c r="S65" i="9"/>
  <c r="R65" i="9"/>
  <c r="Q65" i="9"/>
  <c r="P65" i="9"/>
  <c r="O65" i="9"/>
  <c r="N65" i="9"/>
  <c r="L65" i="9"/>
  <c r="J65" i="9"/>
  <c r="I65" i="9"/>
  <c r="H65" i="9"/>
  <c r="G65" i="9"/>
  <c r="F65" i="9"/>
  <c r="E65" i="9"/>
  <c r="D65" i="9"/>
  <c r="T64" i="9"/>
  <c r="S64" i="9"/>
  <c r="R64" i="9"/>
  <c r="Q64" i="9"/>
  <c r="P64" i="9"/>
  <c r="O64" i="9"/>
  <c r="L64" i="9"/>
  <c r="J64" i="9"/>
  <c r="I64" i="9"/>
  <c r="H64" i="9"/>
  <c r="N64" i="9" s="1"/>
  <c r="G64" i="9"/>
  <c r="F64" i="9"/>
  <c r="E64" i="9"/>
  <c r="D64" i="9" s="1"/>
  <c r="T63" i="9"/>
  <c r="S63" i="9"/>
  <c r="R63" i="9"/>
  <c r="Q63" i="9"/>
  <c r="P63" i="9"/>
  <c r="O63" i="9"/>
  <c r="N63" i="9"/>
  <c r="L63" i="9"/>
  <c r="J63" i="9"/>
  <c r="I63" i="9"/>
  <c r="H63" i="9"/>
  <c r="G63" i="9"/>
  <c r="F63" i="9"/>
  <c r="E63" i="9"/>
  <c r="D63" i="9" s="1"/>
  <c r="T62" i="9"/>
  <c r="S62" i="9"/>
  <c r="R62" i="9"/>
  <c r="Q62" i="9"/>
  <c r="P62" i="9"/>
  <c r="O62" i="9"/>
  <c r="N62" i="9"/>
  <c r="L62" i="9"/>
  <c r="J62" i="9"/>
  <c r="I62" i="9"/>
  <c r="H62" i="9"/>
  <c r="G62" i="9"/>
  <c r="F62" i="9"/>
  <c r="E62" i="9"/>
  <c r="D62" i="9"/>
  <c r="T61" i="9"/>
  <c r="S61" i="9"/>
  <c r="R61" i="9"/>
  <c r="Q61" i="9"/>
  <c r="P61" i="9"/>
  <c r="O61" i="9"/>
  <c r="L61" i="9"/>
  <c r="J61" i="9"/>
  <c r="I61" i="9"/>
  <c r="H61" i="9"/>
  <c r="N61" i="9" s="1"/>
  <c r="G61" i="9"/>
  <c r="F61" i="9"/>
  <c r="E61" i="9"/>
  <c r="D61" i="9" s="1"/>
  <c r="T60" i="9"/>
  <c r="S60" i="9"/>
  <c r="R60" i="9"/>
  <c r="Q60" i="9"/>
  <c r="P60" i="9"/>
  <c r="O60" i="9"/>
  <c r="N60" i="9"/>
  <c r="L60" i="9"/>
  <c r="J60" i="9"/>
  <c r="I60" i="9"/>
  <c r="H60" i="9"/>
  <c r="G60" i="9"/>
  <c r="F60" i="9"/>
  <c r="E60" i="9"/>
  <c r="D60" i="9" s="1"/>
  <c r="T59" i="9"/>
  <c r="S59" i="9"/>
  <c r="R59" i="9"/>
  <c r="Q59" i="9"/>
  <c r="P59" i="9"/>
  <c r="O59" i="9"/>
  <c r="N59" i="9"/>
  <c r="L59" i="9"/>
  <c r="J59" i="9"/>
  <c r="I59" i="9"/>
  <c r="H59" i="9"/>
  <c r="G59" i="9"/>
  <c r="F59" i="9"/>
  <c r="E59" i="9"/>
  <c r="D59" i="9"/>
  <c r="T58" i="9"/>
  <c r="S58" i="9"/>
  <c r="R58" i="9"/>
  <c r="Q58" i="9"/>
  <c r="P58" i="9"/>
  <c r="O58" i="9"/>
  <c r="L58" i="9"/>
  <c r="J58" i="9"/>
  <c r="I58" i="9"/>
  <c r="H58" i="9"/>
  <c r="N58" i="9" s="1"/>
  <c r="G58" i="9"/>
  <c r="F58" i="9"/>
  <c r="E58" i="9"/>
  <c r="D58" i="9" s="1"/>
  <c r="T57" i="9"/>
  <c r="S57" i="9"/>
  <c r="R57" i="9"/>
  <c r="Q57" i="9"/>
  <c r="P57" i="9"/>
  <c r="O57" i="9"/>
  <c r="N57" i="9"/>
  <c r="L57" i="9"/>
  <c r="J57" i="9"/>
  <c r="I57" i="9"/>
  <c r="H57" i="9"/>
  <c r="G57" i="9"/>
  <c r="F57" i="9"/>
  <c r="E57" i="9"/>
  <c r="D57" i="9" s="1"/>
  <c r="T56" i="9"/>
  <c r="S56" i="9"/>
  <c r="R56" i="9"/>
  <c r="Q56" i="9"/>
  <c r="P56" i="9"/>
  <c r="O56" i="9"/>
  <c r="N56" i="9"/>
  <c r="L56" i="9"/>
  <c r="J56" i="9"/>
  <c r="I56" i="9"/>
  <c r="H56" i="9"/>
  <c r="G56" i="9"/>
  <c r="F56" i="9"/>
  <c r="E56" i="9"/>
  <c r="D56" i="9"/>
  <c r="T55" i="9"/>
  <c r="S55" i="9"/>
  <c r="R55" i="9"/>
  <c r="P55" i="9"/>
  <c r="O55" i="9"/>
  <c r="L55" i="9"/>
  <c r="J55" i="9" s="1"/>
  <c r="I55" i="9"/>
  <c r="H55" i="9"/>
  <c r="N55" i="9" s="1"/>
  <c r="G55" i="9"/>
  <c r="F55" i="9"/>
  <c r="D55" i="9" s="1"/>
  <c r="E55" i="9"/>
  <c r="S54" i="9"/>
  <c r="R54" i="9"/>
  <c r="T54" i="9" s="1"/>
  <c r="P54" i="9"/>
  <c r="O54" i="9"/>
  <c r="L54" i="9"/>
  <c r="I54" i="9"/>
  <c r="Q54" i="9" s="1"/>
  <c r="H54" i="9"/>
  <c r="N54" i="9" s="1"/>
  <c r="G54" i="9"/>
  <c r="F54" i="9"/>
  <c r="E54" i="9"/>
  <c r="E52" i="9" s="1"/>
  <c r="T53" i="9"/>
  <c r="S53" i="9"/>
  <c r="R53" i="9"/>
  <c r="Q53" i="9"/>
  <c r="P53" i="9"/>
  <c r="O53" i="9"/>
  <c r="O52" i="9" s="1"/>
  <c r="O8" i="9" s="1"/>
  <c r="O7" i="9" s="1"/>
  <c r="N53" i="9"/>
  <c r="L53" i="9"/>
  <c r="J53" i="9"/>
  <c r="I53" i="9"/>
  <c r="H53" i="9"/>
  <c r="G53" i="9"/>
  <c r="F53" i="9"/>
  <c r="E53" i="9"/>
  <c r="D53" i="9"/>
  <c r="M53" i="9" s="1"/>
  <c r="S52" i="9"/>
  <c r="P52" i="9"/>
  <c r="L52" i="9"/>
  <c r="J52" i="9" s="1"/>
  <c r="G52" i="9"/>
  <c r="F52" i="9"/>
  <c r="S51" i="9"/>
  <c r="R51" i="9"/>
  <c r="T51" i="9" s="1"/>
  <c r="P51" i="9"/>
  <c r="O51" i="9"/>
  <c r="L51" i="9"/>
  <c r="J51" i="9" s="1"/>
  <c r="I51" i="9"/>
  <c r="Q51" i="9" s="1"/>
  <c r="H51" i="9"/>
  <c r="N51" i="9" s="1"/>
  <c r="G51" i="9"/>
  <c r="F51" i="9"/>
  <c r="E51" i="9"/>
  <c r="D51" i="9" s="1"/>
  <c r="S50" i="9"/>
  <c r="R50" i="9"/>
  <c r="T50" i="9" s="1"/>
  <c r="P50" i="9"/>
  <c r="O50" i="9"/>
  <c r="L50" i="9"/>
  <c r="J50" i="9" s="1"/>
  <c r="I50" i="9"/>
  <c r="Q50" i="9" s="1"/>
  <c r="H50" i="9"/>
  <c r="N50" i="9" s="1"/>
  <c r="G50" i="9"/>
  <c r="F50" i="9"/>
  <c r="E50" i="9"/>
  <c r="S49" i="9"/>
  <c r="R49" i="9"/>
  <c r="T49" i="9" s="1"/>
  <c r="P49" i="9"/>
  <c r="O49" i="9"/>
  <c r="L49" i="9"/>
  <c r="J49" i="9" s="1"/>
  <c r="I49" i="9"/>
  <c r="Q49" i="9" s="1"/>
  <c r="H49" i="9"/>
  <c r="N49" i="9" s="1"/>
  <c r="G49" i="9"/>
  <c r="F49" i="9"/>
  <c r="E49" i="9"/>
  <c r="S48" i="9"/>
  <c r="R48" i="9"/>
  <c r="T48" i="9" s="1"/>
  <c r="P48" i="9"/>
  <c r="O48" i="9"/>
  <c r="L48" i="9"/>
  <c r="J48" i="9" s="1"/>
  <c r="I48" i="9"/>
  <c r="Q48" i="9" s="1"/>
  <c r="H48" i="9"/>
  <c r="N48" i="9" s="1"/>
  <c r="G48" i="9"/>
  <c r="F48" i="9"/>
  <c r="E48" i="9"/>
  <c r="D48" i="9" s="1"/>
  <c r="S47" i="9"/>
  <c r="R47" i="9"/>
  <c r="T47" i="9" s="1"/>
  <c r="P47" i="9"/>
  <c r="O47" i="9"/>
  <c r="L47" i="9"/>
  <c r="J47" i="9" s="1"/>
  <c r="I47" i="9"/>
  <c r="Q47" i="9" s="1"/>
  <c r="H47" i="9"/>
  <c r="N47" i="9" s="1"/>
  <c r="G47" i="9"/>
  <c r="F47" i="9"/>
  <c r="E47" i="9"/>
  <c r="S46" i="9"/>
  <c r="R46" i="9"/>
  <c r="T46" i="9" s="1"/>
  <c r="P46" i="9"/>
  <c r="O46" i="9"/>
  <c r="L46" i="9"/>
  <c r="J46" i="9" s="1"/>
  <c r="I46" i="9"/>
  <c r="Q46" i="9" s="1"/>
  <c r="H46" i="9"/>
  <c r="N46" i="9" s="1"/>
  <c r="G46" i="9"/>
  <c r="F46" i="9"/>
  <c r="E46" i="9"/>
  <c r="S45" i="9"/>
  <c r="R45" i="9"/>
  <c r="T45" i="9" s="1"/>
  <c r="P45" i="9"/>
  <c r="O45" i="9"/>
  <c r="L45" i="9"/>
  <c r="J45" i="9" s="1"/>
  <c r="I45" i="9"/>
  <c r="Q45" i="9" s="1"/>
  <c r="H45" i="9"/>
  <c r="N45" i="9" s="1"/>
  <c r="G45" i="9"/>
  <c r="F45" i="9"/>
  <c r="E45" i="9"/>
  <c r="D45" i="9" s="1"/>
  <c r="S44" i="9"/>
  <c r="R44" i="9"/>
  <c r="T44" i="9" s="1"/>
  <c r="P44" i="9"/>
  <c r="O44" i="9"/>
  <c r="L44" i="9"/>
  <c r="J44" i="9" s="1"/>
  <c r="I44" i="9"/>
  <c r="Q44" i="9" s="1"/>
  <c r="H44" i="9"/>
  <c r="N44" i="9" s="1"/>
  <c r="G44" i="9"/>
  <c r="F44" i="9"/>
  <c r="E44" i="9"/>
  <c r="S43" i="9"/>
  <c r="R43" i="9"/>
  <c r="T43" i="9" s="1"/>
  <c r="P43" i="9"/>
  <c r="O43" i="9"/>
  <c r="L43" i="9"/>
  <c r="J43" i="9" s="1"/>
  <c r="I43" i="9"/>
  <c r="Q43" i="9" s="1"/>
  <c r="H43" i="9"/>
  <c r="N43" i="9" s="1"/>
  <c r="G43" i="9"/>
  <c r="F43" i="9"/>
  <c r="E43" i="9"/>
  <c r="S42" i="9"/>
  <c r="R42" i="9"/>
  <c r="T42" i="9" s="1"/>
  <c r="P42" i="9"/>
  <c r="O42" i="9"/>
  <c r="L42" i="9"/>
  <c r="J42" i="9" s="1"/>
  <c r="I42" i="9"/>
  <c r="Q42" i="9" s="1"/>
  <c r="H42" i="9"/>
  <c r="N42" i="9" s="1"/>
  <c r="G42" i="9"/>
  <c r="F42" i="9"/>
  <c r="E42" i="9"/>
  <c r="D42" i="9" s="1"/>
  <c r="S41" i="9"/>
  <c r="R41" i="9"/>
  <c r="T41" i="9" s="1"/>
  <c r="P41" i="9"/>
  <c r="O41" i="9"/>
  <c r="L41" i="9"/>
  <c r="J41" i="9" s="1"/>
  <c r="I41" i="9"/>
  <c r="Q41" i="9" s="1"/>
  <c r="H41" i="9"/>
  <c r="N41" i="9" s="1"/>
  <c r="G41" i="9"/>
  <c r="F41" i="9"/>
  <c r="E41" i="9"/>
  <c r="S40" i="9"/>
  <c r="R40" i="9"/>
  <c r="T40" i="9" s="1"/>
  <c r="P40" i="9"/>
  <c r="O40" i="9"/>
  <c r="L40" i="9"/>
  <c r="J40" i="9" s="1"/>
  <c r="I40" i="9"/>
  <c r="Q40" i="9" s="1"/>
  <c r="H40" i="9"/>
  <c r="N40" i="9" s="1"/>
  <c r="G40" i="9"/>
  <c r="F40" i="9"/>
  <c r="E40" i="9"/>
  <c r="S39" i="9"/>
  <c r="R39" i="9"/>
  <c r="T39" i="9" s="1"/>
  <c r="P39" i="9"/>
  <c r="O39" i="9"/>
  <c r="L39" i="9"/>
  <c r="J39" i="9" s="1"/>
  <c r="I39" i="9"/>
  <c r="Q39" i="9" s="1"/>
  <c r="H39" i="9"/>
  <c r="N39" i="9" s="1"/>
  <c r="G39" i="9"/>
  <c r="F39" i="9"/>
  <c r="E39" i="9"/>
  <c r="D39" i="9" s="1"/>
  <c r="S38" i="9"/>
  <c r="R38" i="9"/>
  <c r="T38" i="9" s="1"/>
  <c r="P38" i="9"/>
  <c r="O38" i="9"/>
  <c r="L38" i="9"/>
  <c r="J38" i="9" s="1"/>
  <c r="I38" i="9"/>
  <c r="Q38" i="9" s="1"/>
  <c r="H38" i="9"/>
  <c r="N38" i="9" s="1"/>
  <c r="G38" i="9"/>
  <c r="F38" i="9"/>
  <c r="E38" i="9"/>
  <c r="S37" i="9"/>
  <c r="R37" i="9"/>
  <c r="T37" i="9" s="1"/>
  <c r="P37" i="9"/>
  <c r="O37" i="9"/>
  <c r="L37" i="9"/>
  <c r="J37" i="9" s="1"/>
  <c r="I37" i="9"/>
  <c r="Q37" i="9" s="1"/>
  <c r="H37" i="9"/>
  <c r="N37" i="9" s="1"/>
  <c r="G37" i="9"/>
  <c r="F37" i="9"/>
  <c r="E37" i="9"/>
  <c r="S36" i="9"/>
  <c r="R36" i="9"/>
  <c r="T36" i="9" s="1"/>
  <c r="P36" i="9"/>
  <c r="O36" i="9"/>
  <c r="L36" i="9"/>
  <c r="J36" i="9" s="1"/>
  <c r="I36" i="9"/>
  <c r="Q36" i="9" s="1"/>
  <c r="H36" i="9"/>
  <c r="N36" i="9" s="1"/>
  <c r="G36" i="9"/>
  <c r="F36" i="9"/>
  <c r="E36" i="9"/>
  <c r="D36" i="9" s="1"/>
  <c r="S35" i="9"/>
  <c r="R35" i="9"/>
  <c r="T35" i="9" s="1"/>
  <c r="P35" i="9"/>
  <c r="O35" i="9"/>
  <c r="L35" i="9"/>
  <c r="J35" i="9" s="1"/>
  <c r="I35" i="9"/>
  <c r="Q35" i="9" s="1"/>
  <c r="H35" i="9"/>
  <c r="N35" i="9" s="1"/>
  <c r="G35" i="9"/>
  <c r="F35" i="9"/>
  <c r="E35" i="9"/>
  <c r="S34" i="9"/>
  <c r="R34" i="9"/>
  <c r="T34" i="9" s="1"/>
  <c r="P34" i="9"/>
  <c r="O34" i="9"/>
  <c r="L34" i="9"/>
  <c r="J34" i="9" s="1"/>
  <c r="I34" i="9"/>
  <c r="Q34" i="9" s="1"/>
  <c r="H34" i="9"/>
  <c r="N34" i="9" s="1"/>
  <c r="G34" i="9"/>
  <c r="F34" i="9"/>
  <c r="E34" i="9"/>
  <c r="S33" i="9"/>
  <c r="R33" i="9"/>
  <c r="T33" i="9" s="1"/>
  <c r="P33" i="9"/>
  <c r="O33" i="9"/>
  <c r="L33" i="9"/>
  <c r="J33" i="9" s="1"/>
  <c r="I33" i="9"/>
  <c r="Q33" i="9" s="1"/>
  <c r="H33" i="9"/>
  <c r="N33" i="9" s="1"/>
  <c r="G33" i="9"/>
  <c r="F33" i="9"/>
  <c r="E33" i="9"/>
  <c r="D33" i="9" s="1"/>
  <c r="S32" i="9"/>
  <c r="R32" i="9"/>
  <c r="T32" i="9" s="1"/>
  <c r="P32" i="9"/>
  <c r="O32" i="9"/>
  <c r="L32" i="9"/>
  <c r="J32" i="9" s="1"/>
  <c r="I32" i="9"/>
  <c r="Q32" i="9" s="1"/>
  <c r="H32" i="9"/>
  <c r="N32" i="9" s="1"/>
  <c r="G32" i="9"/>
  <c r="F32" i="9"/>
  <c r="F31" i="9" s="1"/>
  <c r="E32" i="9"/>
  <c r="S31" i="9"/>
  <c r="R31" i="9"/>
  <c r="T31" i="9" s="1"/>
  <c r="P31" i="9"/>
  <c r="O31" i="9"/>
  <c r="L31" i="9"/>
  <c r="J31" i="9" s="1"/>
  <c r="I31" i="9"/>
  <c r="Q31" i="9" s="1"/>
  <c r="H31" i="9"/>
  <c r="G31" i="9"/>
  <c r="E31" i="9"/>
  <c r="S30" i="9"/>
  <c r="R30" i="9"/>
  <c r="T30" i="9" s="1"/>
  <c r="P30" i="9"/>
  <c r="O30" i="9"/>
  <c r="L30" i="9"/>
  <c r="J30" i="9" s="1"/>
  <c r="I30" i="9"/>
  <c r="Q30" i="9" s="1"/>
  <c r="H30" i="9"/>
  <c r="N30" i="9" s="1"/>
  <c r="G30" i="9"/>
  <c r="F30" i="9"/>
  <c r="E30" i="9"/>
  <c r="D30" i="9" s="1"/>
  <c r="S29" i="9"/>
  <c r="R29" i="9"/>
  <c r="T29" i="9" s="1"/>
  <c r="P29" i="9"/>
  <c r="O29" i="9"/>
  <c r="L29" i="9"/>
  <c r="J29" i="9" s="1"/>
  <c r="I29" i="9"/>
  <c r="Q29" i="9" s="1"/>
  <c r="H29" i="9"/>
  <c r="N29" i="9" s="1"/>
  <c r="G29" i="9"/>
  <c r="F29" i="9"/>
  <c r="E29" i="9"/>
  <c r="S28" i="9"/>
  <c r="R28" i="9"/>
  <c r="T28" i="9" s="1"/>
  <c r="P28" i="9"/>
  <c r="O28" i="9"/>
  <c r="L28" i="9"/>
  <c r="J28" i="9" s="1"/>
  <c r="I28" i="9"/>
  <c r="Q28" i="9" s="1"/>
  <c r="H28" i="9"/>
  <c r="N28" i="9" s="1"/>
  <c r="G28" i="9"/>
  <c r="F28" i="9"/>
  <c r="E28" i="9"/>
  <c r="S27" i="9"/>
  <c r="R27" i="9"/>
  <c r="T27" i="9" s="1"/>
  <c r="P27" i="9"/>
  <c r="O27" i="9"/>
  <c r="L27" i="9"/>
  <c r="J27" i="9" s="1"/>
  <c r="I27" i="9"/>
  <c r="Q27" i="9" s="1"/>
  <c r="H27" i="9"/>
  <c r="N27" i="9" s="1"/>
  <c r="G27" i="9"/>
  <c r="F27" i="9"/>
  <c r="E27" i="9"/>
  <c r="D27" i="9" s="1"/>
  <c r="S26" i="9"/>
  <c r="R26" i="9"/>
  <c r="T26" i="9" s="1"/>
  <c r="P26" i="9"/>
  <c r="O26" i="9"/>
  <c r="L26" i="9"/>
  <c r="J26" i="9" s="1"/>
  <c r="I26" i="9"/>
  <c r="Q26" i="9" s="1"/>
  <c r="H26" i="9"/>
  <c r="N26" i="9" s="1"/>
  <c r="G26" i="9"/>
  <c r="F26" i="9"/>
  <c r="E26" i="9"/>
  <c r="S25" i="9"/>
  <c r="R25" i="9"/>
  <c r="T25" i="9" s="1"/>
  <c r="P25" i="9"/>
  <c r="O25" i="9"/>
  <c r="L25" i="9"/>
  <c r="J25" i="9" s="1"/>
  <c r="I25" i="9"/>
  <c r="Q25" i="9" s="1"/>
  <c r="H25" i="9"/>
  <c r="N25" i="9" s="1"/>
  <c r="G25" i="9"/>
  <c r="F25" i="9"/>
  <c r="E25" i="9"/>
  <c r="S24" i="9"/>
  <c r="R24" i="9"/>
  <c r="T24" i="9" s="1"/>
  <c r="P24" i="9"/>
  <c r="O24" i="9"/>
  <c r="L24" i="9"/>
  <c r="J24" i="9" s="1"/>
  <c r="I24" i="9"/>
  <c r="Q24" i="9" s="1"/>
  <c r="H24" i="9"/>
  <c r="N24" i="9" s="1"/>
  <c r="G24" i="9"/>
  <c r="F24" i="9"/>
  <c r="E24" i="9"/>
  <c r="D24" i="9" s="1"/>
  <c r="S23" i="9"/>
  <c r="R23" i="9"/>
  <c r="T23" i="9" s="1"/>
  <c r="P23" i="9"/>
  <c r="O23" i="9"/>
  <c r="L23" i="9"/>
  <c r="J23" i="9" s="1"/>
  <c r="I23" i="9"/>
  <c r="Q23" i="9" s="1"/>
  <c r="H23" i="9"/>
  <c r="N23" i="9" s="1"/>
  <c r="G23" i="9"/>
  <c r="F23" i="9"/>
  <c r="E23" i="9"/>
  <c r="S22" i="9"/>
  <c r="R22" i="9"/>
  <c r="T22" i="9" s="1"/>
  <c r="P22" i="9"/>
  <c r="O22" i="9"/>
  <c r="L22" i="9"/>
  <c r="J22" i="9" s="1"/>
  <c r="I22" i="9"/>
  <c r="Q22" i="9" s="1"/>
  <c r="H22" i="9"/>
  <c r="N22" i="9" s="1"/>
  <c r="G22" i="9"/>
  <c r="F22" i="9"/>
  <c r="E22" i="9"/>
  <c r="S21" i="9"/>
  <c r="R21" i="9"/>
  <c r="T21" i="9" s="1"/>
  <c r="P21" i="9"/>
  <c r="O21" i="9"/>
  <c r="L21" i="9"/>
  <c r="J21" i="9" s="1"/>
  <c r="I21" i="9"/>
  <c r="Q21" i="9" s="1"/>
  <c r="H21" i="9"/>
  <c r="N21" i="9" s="1"/>
  <c r="G21" i="9"/>
  <c r="F21" i="9"/>
  <c r="E21" i="9"/>
  <c r="D21" i="9" s="1"/>
  <c r="S20" i="9"/>
  <c r="R20" i="9"/>
  <c r="T20" i="9" s="1"/>
  <c r="P20" i="9"/>
  <c r="O20" i="9"/>
  <c r="L20" i="9"/>
  <c r="J20" i="9" s="1"/>
  <c r="I20" i="9"/>
  <c r="Q20" i="9" s="1"/>
  <c r="H20" i="9"/>
  <c r="N20" i="9" s="1"/>
  <c r="G20" i="9"/>
  <c r="F20" i="9"/>
  <c r="E20" i="9"/>
  <c r="S19" i="9"/>
  <c r="R19" i="9"/>
  <c r="T19" i="9" s="1"/>
  <c r="P19" i="9"/>
  <c r="O19" i="9"/>
  <c r="L19" i="9"/>
  <c r="J19" i="9" s="1"/>
  <c r="I19" i="9"/>
  <c r="Q19" i="9" s="1"/>
  <c r="H19" i="9"/>
  <c r="N19" i="9" s="1"/>
  <c r="G19" i="9"/>
  <c r="F19" i="9"/>
  <c r="E19" i="9"/>
  <c r="S18" i="9"/>
  <c r="R18" i="9"/>
  <c r="T18" i="9" s="1"/>
  <c r="P18" i="9"/>
  <c r="O18" i="9"/>
  <c r="L18" i="9"/>
  <c r="J18" i="9" s="1"/>
  <c r="I18" i="9"/>
  <c r="Q18" i="9" s="1"/>
  <c r="H18" i="9"/>
  <c r="N18" i="9" s="1"/>
  <c r="G18" i="9"/>
  <c r="F18" i="9"/>
  <c r="E18" i="9"/>
  <c r="D18" i="9" s="1"/>
  <c r="S17" i="9"/>
  <c r="R17" i="9"/>
  <c r="T17" i="9" s="1"/>
  <c r="P17" i="9"/>
  <c r="O17" i="9"/>
  <c r="L17" i="9"/>
  <c r="J17" i="9" s="1"/>
  <c r="I17" i="9"/>
  <c r="Q17" i="9" s="1"/>
  <c r="H17" i="9"/>
  <c r="N17" i="9" s="1"/>
  <c r="G17" i="9"/>
  <c r="F17" i="9"/>
  <c r="E17" i="9"/>
  <c r="S16" i="9"/>
  <c r="R16" i="9"/>
  <c r="T16" i="9" s="1"/>
  <c r="P16" i="9"/>
  <c r="O16" i="9"/>
  <c r="L16" i="9"/>
  <c r="J16" i="9" s="1"/>
  <c r="I16" i="9"/>
  <c r="Q16" i="9" s="1"/>
  <c r="H16" i="9"/>
  <c r="N16" i="9" s="1"/>
  <c r="G16" i="9"/>
  <c r="F16" i="9"/>
  <c r="E16" i="9"/>
  <c r="S15" i="9"/>
  <c r="R15" i="9"/>
  <c r="T15" i="9" s="1"/>
  <c r="P15" i="9"/>
  <c r="O15" i="9"/>
  <c r="L15" i="9"/>
  <c r="J15" i="9" s="1"/>
  <c r="I15" i="9"/>
  <c r="Q15" i="9" s="1"/>
  <c r="H15" i="9"/>
  <c r="N15" i="9" s="1"/>
  <c r="G15" i="9"/>
  <c r="F15" i="9"/>
  <c r="E15" i="9"/>
  <c r="D15" i="9" s="1"/>
  <c r="S14" i="9"/>
  <c r="R14" i="9"/>
  <c r="T14" i="9" s="1"/>
  <c r="P14" i="9"/>
  <c r="O14" i="9"/>
  <c r="L14" i="9"/>
  <c r="J14" i="9" s="1"/>
  <c r="I14" i="9"/>
  <c r="Q14" i="9" s="1"/>
  <c r="H14" i="9"/>
  <c r="N14" i="9" s="1"/>
  <c r="G14" i="9"/>
  <c r="F14" i="9"/>
  <c r="F13" i="9" s="1"/>
  <c r="F8" i="9" s="1"/>
  <c r="F7" i="9" s="1"/>
  <c r="E14" i="9"/>
  <c r="S13" i="9"/>
  <c r="R13" i="9"/>
  <c r="P13" i="9"/>
  <c r="O13" i="9"/>
  <c r="L13" i="9"/>
  <c r="J13" i="9" s="1"/>
  <c r="I13" i="9"/>
  <c r="Q13" i="9" s="1"/>
  <c r="H13" i="9"/>
  <c r="G13" i="9"/>
  <c r="E13" i="9"/>
  <c r="O10" i="9"/>
  <c r="O9" i="9" s="1"/>
  <c r="I10" i="9"/>
  <c r="F10" i="9"/>
  <c r="F9" i="9"/>
  <c r="S8" i="9"/>
  <c r="P8" i="9"/>
  <c r="L8" i="9"/>
  <c r="G8" i="9"/>
  <c r="S7" i="9"/>
  <c r="O106" i="8"/>
  <c r="L106" i="8"/>
  <c r="I106" i="8"/>
  <c r="Q106" i="8" s="1"/>
  <c r="H106" i="8"/>
  <c r="N106" i="8" s="1"/>
  <c r="G106" i="8"/>
  <c r="P106" i="8" s="1"/>
  <c r="F106" i="8"/>
  <c r="D106" i="8" s="1"/>
  <c r="M106" i="8" s="1"/>
  <c r="E106" i="8"/>
  <c r="P105" i="8"/>
  <c r="O105" i="8"/>
  <c r="L105" i="8"/>
  <c r="I105" i="8"/>
  <c r="Q105" i="8" s="1"/>
  <c r="H105" i="8"/>
  <c r="N105" i="8" s="1"/>
  <c r="G105" i="8"/>
  <c r="F105" i="8"/>
  <c r="E105" i="8"/>
  <c r="D105" i="8" s="1"/>
  <c r="O104" i="8"/>
  <c r="L104" i="8"/>
  <c r="J104" i="8" s="1"/>
  <c r="I104" i="8"/>
  <c r="Q104" i="8" s="1"/>
  <c r="H104" i="8"/>
  <c r="G104" i="8"/>
  <c r="P104" i="8" s="1"/>
  <c r="F104" i="8"/>
  <c r="D104" i="8" s="1"/>
  <c r="E104" i="8"/>
  <c r="C104" i="8"/>
  <c r="K104" i="8" s="1"/>
  <c r="P103" i="8"/>
  <c r="O103" i="8"/>
  <c r="L103" i="8"/>
  <c r="J103" i="8" s="1"/>
  <c r="I103" i="8"/>
  <c r="Q103" i="8" s="1"/>
  <c r="H103" i="8"/>
  <c r="N103" i="8" s="1"/>
  <c r="G103" i="8"/>
  <c r="F103" i="8"/>
  <c r="E103" i="8"/>
  <c r="D103" i="8" s="1"/>
  <c r="M103" i="8" s="1"/>
  <c r="C103" i="8"/>
  <c r="K103" i="8" s="1"/>
  <c r="O102" i="8"/>
  <c r="L102" i="8"/>
  <c r="I102" i="8"/>
  <c r="Q102" i="8" s="1"/>
  <c r="H102" i="8"/>
  <c r="N102" i="8" s="1"/>
  <c r="G102" i="8"/>
  <c r="P102" i="8" s="1"/>
  <c r="F102" i="8"/>
  <c r="D102" i="8" s="1"/>
  <c r="E102" i="8"/>
  <c r="P101" i="8"/>
  <c r="O101" i="8"/>
  <c r="L101" i="8"/>
  <c r="J101" i="8" s="1"/>
  <c r="I101" i="8"/>
  <c r="Q101" i="8" s="1"/>
  <c r="H101" i="8"/>
  <c r="N101" i="8" s="1"/>
  <c r="G101" i="8"/>
  <c r="F101" i="8"/>
  <c r="E101" i="8"/>
  <c r="O100" i="8"/>
  <c r="N100" i="8"/>
  <c r="L100" i="8"/>
  <c r="I100" i="8"/>
  <c r="Q100" i="8" s="1"/>
  <c r="H100" i="8"/>
  <c r="G100" i="8"/>
  <c r="P100" i="8" s="1"/>
  <c r="F100" i="8"/>
  <c r="D100" i="8" s="1"/>
  <c r="E100" i="8"/>
  <c r="Q99" i="8"/>
  <c r="P99" i="8"/>
  <c r="O99" i="8"/>
  <c r="L99" i="8"/>
  <c r="J99" i="8" s="1"/>
  <c r="I99" i="8"/>
  <c r="H99" i="8"/>
  <c r="N99" i="8" s="1"/>
  <c r="G99" i="8"/>
  <c r="F99" i="8"/>
  <c r="E99" i="8"/>
  <c r="D99" i="8" s="1"/>
  <c r="O98" i="8"/>
  <c r="L98" i="8"/>
  <c r="I98" i="8"/>
  <c r="Q98" i="8" s="1"/>
  <c r="H98" i="8"/>
  <c r="N98" i="8" s="1"/>
  <c r="G98" i="8"/>
  <c r="P98" i="8" s="1"/>
  <c r="F98" i="8"/>
  <c r="D98" i="8" s="1"/>
  <c r="M98" i="8" s="1"/>
  <c r="E98" i="8"/>
  <c r="Q97" i="8"/>
  <c r="P97" i="8"/>
  <c r="O97" i="8"/>
  <c r="L97" i="8"/>
  <c r="I97" i="8"/>
  <c r="H97" i="8"/>
  <c r="N97" i="8" s="1"/>
  <c r="G97" i="8"/>
  <c r="F97" i="8"/>
  <c r="E97" i="8"/>
  <c r="O96" i="8"/>
  <c r="N96" i="8"/>
  <c r="L96" i="8"/>
  <c r="J96" i="8" s="1"/>
  <c r="I96" i="8"/>
  <c r="Q96" i="8" s="1"/>
  <c r="H96" i="8"/>
  <c r="G96" i="8"/>
  <c r="P96" i="8" s="1"/>
  <c r="F96" i="8"/>
  <c r="D96" i="8" s="1"/>
  <c r="M96" i="8" s="1"/>
  <c r="E96" i="8"/>
  <c r="C96" i="8"/>
  <c r="K96" i="8" s="1"/>
  <c r="P95" i="8"/>
  <c r="O95" i="8"/>
  <c r="L95" i="8"/>
  <c r="I95" i="8"/>
  <c r="Q95" i="8" s="1"/>
  <c r="Q89" i="8" s="1"/>
  <c r="H95" i="8"/>
  <c r="N95" i="8" s="1"/>
  <c r="G95" i="8"/>
  <c r="F95" i="8"/>
  <c r="E95" i="8"/>
  <c r="O94" i="8"/>
  <c r="N94" i="8"/>
  <c r="L94" i="8"/>
  <c r="I94" i="8"/>
  <c r="Q94" i="8" s="1"/>
  <c r="H94" i="8"/>
  <c r="G94" i="8"/>
  <c r="P94" i="8" s="1"/>
  <c r="F94" i="8"/>
  <c r="D94" i="8" s="1"/>
  <c r="E94" i="8"/>
  <c r="Q93" i="8"/>
  <c r="P93" i="8"/>
  <c r="O93" i="8"/>
  <c r="L93" i="8"/>
  <c r="J93" i="8" s="1"/>
  <c r="I93" i="8"/>
  <c r="H93" i="8"/>
  <c r="N93" i="8" s="1"/>
  <c r="G93" i="8"/>
  <c r="F93" i="8"/>
  <c r="E93" i="8"/>
  <c r="O92" i="8"/>
  <c r="L92" i="8"/>
  <c r="I92" i="8"/>
  <c r="Q92" i="8" s="1"/>
  <c r="H92" i="8"/>
  <c r="N92" i="8" s="1"/>
  <c r="G92" i="8"/>
  <c r="P92" i="8" s="1"/>
  <c r="F92" i="8"/>
  <c r="D92" i="8" s="1"/>
  <c r="M92" i="8" s="1"/>
  <c r="E92" i="8"/>
  <c r="Q91" i="8"/>
  <c r="P91" i="8"/>
  <c r="O91" i="8"/>
  <c r="L91" i="8"/>
  <c r="I91" i="8"/>
  <c r="H91" i="8"/>
  <c r="N91" i="8" s="1"/>
  <c r="G91" i="8"/>
  <c r="F91" i="8"/>
  <c r="E91" i="8"/>
  <c r="O90" i="8"/>
  <c r="N90" i="8"/>
  <c r="L90" i="8"/>
  <c r="I90" i="8"/>
  <c r="Q90" i="8" s="1"/>
  <c r="H90" i="8"/>
  <c r="G90" i="8"/>
  <c r="P90" i="8" s="1"/>
  <c r="F90" i="8"/>
  <c r="D90" i="8" s="1"/>
  <c r="E90" i="8"/>
  <c r="C90" i="8"/>
  <c r="AC88" i="8"/>
  <c r="AB88" i="8"/>
  <c r="Z88" i="8"/>
  <c r="Y88" i="8"/>
  <c r="AD88" i="8" s="1"/>
  <c r="W88" i="8"/>
  <c r="V88" i="8"/>
  <c r="T88" i="8"/>
  <c r="S88" i="8"/>
  <c r="R88" i="8"/>
  <c r="P88" i="8"/>
  <c r="O88" i="8"/>
  <c r="J88" i="8" s="1"/>
  <c r="L88" i="8"/>
  <c r="I88" i="8"/>
  <c r="Q88" i="8" s="1"/>
  <c r="H88" i="8"/>
  <c r="N88" i="8" s="1"/>
  <c r="G88" i="8"/>
  <c r="F88" i="8"/>
  <c r="E88" i="8"/>
  <c r="D88" i="8"/>
  <c r="C88" i="8" s="1"/>
  <c r="K88" i="8" s="1"/>
  <c r="AD87" i="8"/>
  <c r="AC87" i="8"/>
  <c r="AB87" i="8"/>
  <c r="AA87" i="8"/>
  <c r="Z87" i="8"/>
  <c r="Y87" i="8"/>
  <c r="X87" i="8"/>
  <c r="W87" i="8"/>
  <c r="V87" i="8"/>
  <c r="T87" i="8"/>
  <c r="S87" i="8"/>
  <c r="U87" i="8" s="1"/>
  <c r="R87" i="8"/>
  <c r="Q87" i="8"/>
  <c r="O87" i="8"/>
  <c r="N87" i="8"/>
  <c r="L87" i="8"/>
  <c r="J87" i="8" s="1"/>
  <c r="I87" i="8"/>
  <c r="H87" i="8"/>
  <c r="G87" i="8"/>
  <c r="P87" i="8" s="1"/>
  <c r="F87" i="8"/>
  <c r="E87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P86" i="8"/>
  <c r="O86" i="8"/>
  <c r="L86" i="8"/>
  <c r="J86" i="8" s="1"/>
  <c r="I86" i="8"/>
  <c r="Q86" i="8" s="1"/>
  <c r="H86" i="8"/>
  <c r="N86" i="8" s="1"/>
  <c r="G86" i="8"/>
  <c r="F86" i="8"/>
  <c r="E86" i="8"/>
  <c r="D86" i="8" s="1"/>
  <c r="AC85" i="8"/>
  <c r="AB85" i="8"/>
  <c r="AA85" i="8"/>
  <c r="Z85" i="8"/>
  <c r="Y85" i="8"/>
  <c r="AD85" i="8" s="1"/>
  <c r="W85" i="8"/>
  <c r="V85" i="8"/>
  <c r="T85" i="8"/>
  <c r="S85" i="8"/>
  <c r="X85" i="8" s="1"/>
  <c r="R85" i="8"/>
  <c r="P85" i="8"/>
  <c r="O85" i="8"/>
  <c r="N85" i="8"/>
  <c r="M85" i="8"/>
  <c r="L85" i="8"/>
  <c r="J85" i="8"/>
  <c r="I85" i="8"/>
  <c r="Q85" i="8" s="1"/>
  <c r="H85" i="8"/>
  <c r="G85" i="8"/>
  <c r="F85" i="8"/>
  <c r="E85" i="8"/>
  <c r="D85" i="8"/>
  <c r="C85" i="8"/>
  <c r="K85" i="8" s="1"/>
  <c r="AC84" i="8"/>
  <c r="AB84" i="8"/>
  <c r="AA84" i="8"/>
  <c r="Z84" i="8"/>
  <c r="Y84" i="8"/>
  <c r="AD84" i="8" s="1"/>
  <c r="W84" i="8"/>
  <c r="V84" i="8"/>
  <c r="T84" i="8"/>
  <c r="S84" i="8"/>
  <c r="U84" i="8" s="1"/>
  <c r="R84" i="8"/>
  <c r="Q84" i="8"/>
  <c r="O84" i="8"/>
  <c r="N84" i="8"/>
  <c r="L84" i="8"/>
  <c r="J84" i="8" s="1"/>
  <c r="I84" i="8"/>
  <c r="H84" i="8"/>
  <c r="G84" i="8"/>
  <c r="P84" i="8" s="1"/>
  <c r="F84" i="8"/>
  <c r="E84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P83" i="8"/>
  <c r="O83" i="8"/>
  <c r="J83" i="8" s="1"/>
  <c r="L83" i="8"/>
  <c r="I83" i="8"/>
  <c r="Q83" i="8" s="1"/>
  <c r="H83" i="8"/>
  <c r="N83" i="8" s="1"/>
  <c r="G83" i="8"/>
  <c r="F83" i="8"/>
  <c r="E83" i="8"/>
  <c r="D83" i="8"/>
  <c r="M83" i="8" s="1"/>
  <c r="AC82" i="8"/>
  <c r="AB82" i="8"/>
  <c r="AA82" i="8"/>
  <c r="Z82" i="8"/>
  <c r="Y82" i="8"/>
  <c r="AD82" i="8" s="1"/>
  <c r="W82" i="8"/>
  <c r="V82" i="8"/>
  <c r="U82" i="8"/>
  <c r="T82" i="8"/>
  <c r="S82" i="8"/>
  <c r="X82" i="8" s="1"/>
  <c r="R82" i="8"/>
  <c r="O82" i="8"/>
  <c r="N82" i="8"/>
  <c r="L82" i="8"/>
  <c r="J82" i="8"/>
  <c r="I82" i="8"/>
  <c r="Q82" i="8" s="1"/>
  <c r="H82" i="8"/>
  <c r="G82" i="8"/>
  <c r="P82" i="8" s="1"/>
  <c r="F82" i="8"/>
  <c r="E82" i="8"/>
  <c r="D82" i="8"/>
  <c r="M82" i="8" s="1"/>
  <c r="AD81" i="8"/>
  <c r="AC81" i="8"/>
  <c r="AB81" i="8"/>
  <c r="AA81" i="8"/>
  <c r="Z81" i="8"/>
  <c r="Y81" i="8"/>
  <c r="W81" i="8"/>
  <c r="V81" i="8"/>
  <c r="T81" i="8"/>
  <c r="S81" i="8"/>
  <c r="U81" i="8" s="1"/>
  <c r="R81" i="8"/>
  <c r="Q81" i="8"/>
  <c r="O81" i="8"/>
  <c r="L81" i="8"/>
  <c r="J81" i="8" s="1"/>
  <c r="I81" i="8"/>
  <c r="H81" i="8"/>
  <c r="N81" i="8" s="1"/>
  <c r="G81" i="8"/>
  <c r="P81" i="8" s="1"/>
  <c r="F81" i="8"/>
  <c r="E81" i="8"/>
  <c r="D81" i="8" s="1"/>
  <c r="C81" i="8" s="1"/>
  <c r="K81" i="8" s="1"/>
  <c r="AD80" i="8"/>
  <c r="AC80" i="8"/>
  <c r="AB80" i="8"/>
  <c r="Z80" i="8"/>
  <c r="Y80" i="8"/>
  <c r="X80" i="8"/>
  <c r="W80" i="8"/>
  <c r="V80" i="8"/>
  <c r="AA80" i="8" s="1"/>
  <c r="U80" i="8"/>
  <c r="T80" i="8"/>
  <c r="S80" i="8"/>
  <c r="R80" i="8"/>
  <c r="P80" i="8"/>
  <c r="O80" i="8"/>
  <c r="L80" i="8"/>
  <c r="J80" i="8" s="1"/>
  <c r="I80" i="8"/>
  <c r="Q80" i="8" s="1"/>
  <c r="H80" i="8"/>
  <c r="N80" i="8" s="1"/>
  <c r="G80" i="8"/>
  <c r="F80" i="8"/>
  <c r="E80" i="8"/>
  <c r="D80" i="8" s="1"/>
  <c r="AC79" i="8"/>
  <c r="AB79" i="8"/>
  <c r="Z79" i="8"/>
  <c r="Y79" i="8"/>
  <c r="AD79" i="8" s="1"/>
  <c r="W79" i="8"/>
  <c r="V79" i="8"/>
  <c r="AA79" i="8" s="1"/>
  <c r="T79" i="8"/>
  <c r="S79" i="8"/>
  <c r="X79" i="8" s="1"/>
  <c r="R79" i="8"/>
  <c r="O79" i="8"/>
  <c r="J79" i="8" s="1"/>
  <c r="M79" i="8"/>
  <c r="L79" i="8"/>
  <c r="I79" i="8"/>
  <c r="Q79" i="8" s="1"/>
  <c r="H79" i="8"/>
  <c r="N79" i="8" s="1"/>
  <c r="G79" i="8"/>
  <c r="P79" i="8" s="1"/>
  <c r="F79" i="8"/>
  <c r="E79" i="8"/>
  <c r="D79" i="8"/>
  <c r="AD78" i="8"/>
  <c r="AC78" i="8"/>
  <c r="AB78" i="8"/>
  <c r="AA78" i="8"/>
  <c r="Z78" i="8"/>
  <c r="Y78" i="8"/>
  <c r="X78" i="8"/>
  <c r="W78" i="8"/>
  <c r="V78" i="8"/>
  <c r="T78" i="8"/>
  <c r="S78" i="8"/>
  <c r="U78" i="8" s="1"/>
  <c r="R78" i="8"/>
  <c r="Q78" i="8"/>
  <c r="O78" i="8"/>
  <c r="L78" i="8"/>
  <c r="J78" i="8" s="1"/>
  <c r="I78" i="8"/>
  <c r="H78" i="8"/>
  <c r="N78" i="8" s="1"/>
  <c r="G78" i="8"/>
  <c r="P78" i="8" s="1"/>
  <c r="F78" i="8"/>
  <c r="E78" i="8"/>
  <c r="AD77" i="8"/>
  <c r="AC77" i="8"/>
  <c r="AB77" i="8"/>
  <c r="Z77" i="8"/>
  <c r="Y77" i="8"/>
  <c r="X77" i="8"/>
  <c r="W77" i="8"/>
  <c r="W74" i="8" s="1"/>
  <c r="V77" i="8"/>
  <c r="AA77" i="8" s="1"/>
  <c r="U77" i="8"/>
  <c r="T77" i="8"/>
  <c r="S77" i="8"/>
  <c r="R77" i="8"/>
  <c r="Q77" i="8"/>
  <c r="P77" i="8"/>
  <c r="O77" i="8"/>
  <c r="L77" i="8"/>
  <c r="J77" i="8" s="1"/>
  <c r="I77" i="8"/>
  <c r="H77" i="8"/>
  <c r="N77" i="8" s="1"/>
  <c r="G77" i="8"/>
  <c r="F77" i="8"/>
  <c r="F74" i="8" s="1"/>
  <c r="E77" i="8"/>
  <c r="AC76" i="8"/>
  <c r="AB76" i="8"/>
  <c r="AA76" i="8"/>
  <c r="Z76" i="8"/>
  <c r="Y76" i="8"/>
  <c r="AD76" i="8" s="1"/>
  <c r="W76" i="8"/>
  <c r="V76" i="8"/>
  <c r="U76" i="8"/>
  <c r="T76" i="8"/>
  <c r="S76" i="8"/>
  <c r="X76" i="8" s="1"/>
  <c r="R76" i="8"/>
  <c r="P76" i="8"/>
  <c r="O76" i="8"/>
  <c r="J76" i="8" s="1"/>
  <c r="M76" i="8"/>
  <c r="L76" i="8"/>
  <c r="I76" i="8"/>
  <c r="H76" i="8"/>
  <c r="N76" i="8" s="1"/>
  <c r="G76" i="8"/>
  <c r="F76" i="8"/>
  <c r="E76" i="8"/>
  <c r="D76" i="8"/>
  <c r="C76" i="8"/>
  <c r="K76" i="8" s="1"/>
  <c r="AC75" i="8"/>
  <c r="AB75" i="8"/>
  <c r="AA75" i="8"/>
  <c r="Z75" i="8"/>
  <c r="Y75" i="8"/>
  <c r="X75" i="8"/>
  <c r="W75" i="8"/>
  <c r="V75" i="8"/>
  <c r="T75" i="8"/>
  <c r="S75" i="8"/>
  <c r="R75" i="8"/>
  <c r="R74" i="8" s="1"/>
  <c r="Q75" i="8"/>
  <c r="O75" i="8"/>
  <c r="N75" i="8"/>
  <c r="L75" i="8"/>
  <c r="J75" i="8" s="1"/>
  <c r="I75" i="8"/>
  <c r="H75" i="8"/>
  <c r="G75" i="8"/>
  <c r="F75" i="8"/>
  <c r="E75" i="8"/>
  <c r="D75" i="8" s="1"/>
  <c r="V74" i="8"/>
  <c r="AC73" i="8"/>
  <c r="AB73" i="8"/>
  <c r="Z73" i="8"/>
  <c r="Y73" i="8"/>
  <c r="AD73" i="8" s="1"/>
  <c r="W73" i="8"/>
  <c r="V73" i="8"/>
  <c r="AA73" i="8" s="1"/>
  <c r="U73" i="8"/>
  <c r="T73" i="8"/>
  <c r="S73" i="8"/>
  <c r="X73" i="8" s="1"/>
  <c r="R73" i="8"/>
  <c r="O73" i="8"/>
  <c r="N73" i="8"/>
  <c r="L73" i="8"/>
  <c r="J73" i="8"/>
  <c r="I73" i="8"/>
  <c r="Q73" i="8" s="1"/>
  <c r="H73" i="8"/>
  <c r="G73" i="8"/>
  <c r="P73" i="8" s="1"/>
  <c r="F73" i="8"/>
  <c r="E73" i="8"/>
  <c r="D73" i="8"/>
  <c r="AC72" i="8"/>
  <c r="AB72" i="8"/>
  <c r="Z72" i="8"/>
  <c r="AA72" i="8" s="1"/>
  <c r="Y72" i="8"/>
  <c r="AD72" i="8" s="1"/>
  <c r="X72" i="8"/>
  <c r="W72" i="8"/>
  <c r="V72" i="8"/>
  <c r="T72" i="8"/>
  <c r="S72" i="8"/>
  <c r="U72" i="8" s="1"/>
  <c r="R72" i="8"/>
  <c r="Q72" i="8"/>
  <c r="O72" i="8"/>
  <c r="N72" i="8"/>
  <c r="L72" i="8"/>
  <c r="J72" i="8" s="1"/>
  <c r="I72" i="8"/>
  <c r="H72" i="8"/>
  <c r="G72" i="8"/>
  <c r="P72" i="8" s="1"/>
  <c r="F72" i="8"/>
  <c r="E72" i="8"/>
  <c r="D72" i="8" s="1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P71" i="8"/>
  <c r="O71" i="8"/>
  <c r="L71" i="8"/>
  <c r="J71" i="8"/>
  <c r="I71" i="8"/>
  <c r="Q71" i="8" s="1"/>
  <c r="H71" i="8"/>
  <c r="N71" i="8" s="1"/>
  <c r="G71" i="8"/>
  <c r="F71" i="8"/>
  <c r="E71" i="8"/>
  <c r="D71" i="8"/>
  <c r="AC70" i="8"/>
  <c r="AB70" i="8"/>
  <c r="Z70" i="8"/>
  <c r="Y70" i="8"/>
  <c r="AD70" i="8" s="1"/>
  <c r="W70" i="8"/>
  <c r="V70" i="8"/>
  <c r="AA70" i="8" s="1"/>
  <c r="U70" i="8"/>
  <c r="T70" i="8"/>
  <c r="S70" i="8"/>
  <c r="X70" i="8" s="1"/>
  <c r="R70" i="8"/>
  <c r="O70" i="8"/>
  <c r="N70" i="8"/>
  <c r="L70" i="8"/>
  <c r="J70" i="8"/>
  <c r="I70" i="8"/>
  <c r="Q70" i="8" s="1"/>
  <c r="H70" i="8"/>
  <c r="G70" i="8"/>
  <c r="P70" i="8" s="1"/>
  <c r="F70" i="8"/>
  <c r="E70" i="8"/>
  <c r="D70" i="8"/>
  <c r="AC69" i="8"/>
  <c r="AB69" i="8"/>
  <c r="Z69" i="8"/>
  <c r="Y69" i="8"/>
  <c r="AD69" i="8" s="1"/>
  <c r="X69" i="8"/>
  <c r="W69" i="8"/>
  <c r="V69" i="8"/>
  <c r="AA69" i="8" s="1"/>
  <c r="T69" i="8"/>
  <c r="S69" i="8"/>
  <c r="U69" i="8" s="1"/>
  <c r="R69" i="8"/>
  <c r="Q69" i="8"/>
  <c r="O69" i="8"/>
  <c r="N69" i="8"/>
  <c r="L69" i="8"/>
  <c r="J69" i="8" s="1"/>
  <c r="I69" i="8"/>
  <c r="H69" i="8"/>
  <c r="G69" i="8"/>
  <c r="P69" i="8" s="1"/>
  <c r="F69" i="8"/>
  <c r="E69" i="8"/>
  <c r="D69" i="8" s="1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P68" i="8"/>
  <c r="O68" i="8"/>
  <c r="L68" i="8"/>
  <c r="J68" i="8"/>
  <c r="I68" i="8"/>
  <c r="Q68" i="8" s="1"/>
  <c r="H68" i="8"/>
  <c r="N68" i="8" s="1"/>
  <c r="G68" i="8"/>
  <c r="F68" i="8"/>
  <c r="E68" i="8"/>
  <c r="D68" i="8"/>
  <c r="AC67" i="8"/>
  <c r="AB67" i="8"/>
  <c r="Z67" i="8"/>
  <c r="Y67" i="8"/>
  <c r="AD67" i="8" s="1"/>
  <c r="W67" i="8"/>
  <c r="V67" i="8"/>
  <c r="AA67" i="8" s="1"/>
  <c r="U67" i="8"/>
  <c r="T67" i="8"/>
  <c r="S67" i="8"/>
  <c r="X67" i="8" s="1"/>
  <c r="R67" i="8"/>
  <c r="O67" i="8"/>
  <c r="N67" i="8"/>
  <c r="L67" i="8"/>
  <c r="J67" i="8"/>
  <c r="I67" i="8"/>
  <c r="Q67" i="8" s="1"/>
  <c r="H67" i="8"/>
  <c r="G67" i="8"/>
  <c r="P67" i="8" s="1"/>
  <c r="F67" i="8"/>
  <c r="E67" i="8"/>
  <c r="D67" i="8"/>
  <c r="AC66" i="8"/>
  <c r="AB66" i="8"/>
  <c r="Z66" i="8"/>
  <c r="Y66" i="8"/>
  <c r="AD66" i="8" s="1"/>
  <c r="X66" i="8"/>
  <c r="W66" i="8"/>
  <c r="V66" i="8"/>
  <c r="AA66" i="8" s="1"/>
  <c r="T66" i="8"/>
  <c r="S66" i="8"/>
  <c r="U66" i="8" s="1"/>
  <c r="R66" i="8"/>
  <c r="Q66" i="8"/>
  <c r="O66" i="8"/>
  <c r="N66" i="8"/>
  <c r="L66" i="8"/>
  <c r="J66" i="8" s="1"/>
  <c r="I66" i="8"/>
  <c r="H66" i="8"/>
  <c r="G66" i="8"/>
  <c r="P66" i="8" s="1"/>
  <c r="F66" i="8"/>
  <c r="E66" i="8"/>
  <c r="D66" i="8" s="1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P65" i="8"/>
  <c r="O65" i="8"/>
  <c r="L65" i="8"/>
  <c r="J65" i="8"/>
  <c r="I65" i="8"/>
  <c r="Q65" i="8" s="1"/>
  <c r="H65" i="8"/>
  <c r="N65" i="8" s="1"/>
  <c r="G65" i="8"/>
  <c r="F65" i="8"/>
  <c r="E65" i="8"/>
  <c r="D65" i="8"/>
  <c r="AC64" i="8"/>
  <c r="AB64" i="8"/>
  <c r="Z64" i="8"/>
  <c r="Y64" i="8"/>
  <c r="AD64" i="8" s="1"/>
  <c r="W64" i="8"/>
  <c r="V64" i="8"/>
  <c r="AA64" i="8" s="1"/>
  <c r="T64" i="8"/>
  <c r="S64" i="8"/>
  <c r="R64" i="8"/>
  <c r="Q64" i="8"/>
  <c r="O64" i="8"/>
  <c r="M64" i="8"/>
  <c r="L64" i="8"/>
  <c r="J64" i="8"/>
  <c r="I64" i="8"/>
  <c r="H64" i="8"/>
  <c r="N64" i="8" s="1"/>
  <c r="G64" i="8"/>
  <c r="P64" i="8" s="1"/>
  <c r="F64" i="8"/>
  <c r="E64" i="8"/>
  <c r="D64" i="8"/>
  <c r="C64" i="8" s="1"/>
  <c r="K64" i="8" s="1"/>
  <c r="AC63" i="8"/>
  <c r="AD63" i="8" s="1"/>
  <c r="AB63" i="8"/>
  <c r="Z63" i="8"/>
  <c r="Y63" i="8"/>
  <c r="W63" i="8"/>
  <c r="X63" i="8" s="1"/>
  <c r="V63" i="8"/>
  <c r="AA63" i="8" s="1"/>
  <c r="T63" i="8"/>
  <c r="U63" i="8" s="1"/>
  <c r="S63" i="8"/>
  <c r="R63" i="8"/>
  <c r="Q63" i="8"/>
  <c r="P63" i="8"/>
  <c r="O63" i="8"/>
  <c r="L63" i="8"/>
  <c r="J63" i="8"/>
  <c r="I63" i="8"/>
  <c r="H63" i="8"/>
  <c r="N63" i="8" s="1"/>
  <c r="G63" i="8"/>
  <c r="F63" i="8"/>
  <c r="E63" i="8"/>
  <c r="D63" i="8" s="1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P62" i="8"/>
  <c r="O62" i="8"/>
  <c r="L62" i="8"/>
  <c r="I62" i="8"/>
  <c r="Q62" i="8" s="1"/>
  <c r="H62" i="8"/>
  <c r="N62" i="8" s="1"/>
  <c r="G62" i="8"/>
  <c r="F62" i="8"/>
  <c r="D62" i="8" s="1"/>
  <c r="E62" i="8"/>
  <c r="AC61" i="8"/>
  <c r="AB61" i="8"/>
  <c r="Z61" i="8"/>
  <c r="Y61" i="8"/>
  <c r="AD61" i="8" s="1"/>
  <c r="W61" i="8"/>
  <c r="V61" i="8"/>
  <c r="AA61" i="8" s="1"/>
  <c r="T61" i="8"/>
  <c r="S61" i="8"/>
  <c r="R61" i="8"/>
  <c r="Q61" i="8"/>
  <c r="O61" i="8"/>
  <c r="M61" i="8"/>
  <c r="L61" i="8"/>
  <c r="J61" i="8"/>
  <c r="I61" i="8"/>
  <c r="H61" i="8"/>
  <c r="N61" i="8" s="1"/>
  <c r="G61" i="8"/>
  <c r="P61" i="8" s="1"/>
  <c r="F61" i="8"/>
  <c r="E61" i="8"/>
  <c r="D61" i="8"/>
  <c r="AD60" i="8"/>
  <c r="AC60" i="8"/>
  <c r="AB60" i="8"/>
  <c r="Z60" i="8"/>
  <c r="Y60" i="8"/>
  <c r="X60" i="8"/>
  <c r="W60" i="8"/>
  <c r="V60" i="8"/>
  <c r="AA60" i="8" s="1"/>
  <c r="U60" i="8"/>
  <c r="T60" i="8"/>
  <c r="S60" i="8"/>
  <c r="R60" i="8"/>
  <c r="Q60" i="8"/>
  <c r="P60" i="8"/>
  <c r="O60" i="8"/>
  <c r="L60" i="8"/>
  <c r="J60" i="8"/>
  <c r="I60" i="8"/>
  <c r="H60" i="8"/>
  <c r="N60" i="8" s="1"/>
  <c r="G60" i="8"/>
  <c r="F60" i="8"/>
  <c r="E60" i="8"/>
  <c r="D60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P59" i="8"/>
  <c r="O59" i="8"/>
  <c r="L59" i="8"/>
  <c r="I59" i="8"/>
  <c r="Q59" i="8" s="1"/>
  <c r="H59" i="8"/>
  <c r="N59" i="8" s="1"/>
  <c r="G59" i="8"/>
  <c r="F59" i="8"/>
  <c r="D59" i="8" s="1"/>
  <c r="M59" i="8" s="1"/>
  <c r="E59" i="8"/>
  <c r="C59" i="8"/>
  <c r="AC58" i="8"/>
  <c r="AB58" i="8"/>
  <c r="Z58" i="8"/>
  <c r="Y58" i="8"/>
  <c r="AD58" i="8" s="1"/>
  <c r="W58" i="8"/>
  <c r="V58" i="8"/>
  <c r="AA58" i="8" s="1"/>
  <c r="T58" i="8"/>
  <c r="S58" i="8"/>
  <c r="R58" i="8"/>
  <c r="Q58" i="8"/>
  <c r="O58" i="8"/>
  <c r="M58" i="8"/>
  <c r="L58" i="8"/>
  <c r="J58" i="8"/>
  <c r="I58" i="8"/>
  <c r="H58" i="8"/>
  <c r="N58" i="8" s="1"/>
  <c r="G58" i="8"/>
  <c r="F58" i="8"/>
  <c r="E58" i="8"/>
  <c r="D58" i="8"/>
  <c r="AC57" i="8"/>
  <c r="AD57" i="8" s="1"/>
  <c r="AB57" i="8"/>
  <c r="Z57" i="8"/>
  <c r="Y57" i="8"/>
  <c r="W57" i="8"/>
  <c r="X57" i="8" s="1"/>
  <c r="V57" i="8"/>
  <c r="AA57" i="8" s="1"/>
  <c r="T57" i="8"/>
  <c r="U57" i="8" s="1"/>
  <c r="S57" i="8"/>
  <c r="R57" i="8"/>
  <c r="Q57" i="8"/>
  <c r="P57" i="8"/>
  <c r="O57" i="8"/>
  <c r="L57" i="8"/>
  <c r="J57" i="8"/>
  <c r="I57" i="8"/>
  <c r="H57" i="8"/>
  <c r="N57" i="8" s="1"/>
  <c r="G57" i="8"/>
  <c r="F57" i="8"/>
  <c r="E57" i="8"/>
  <c r="D57" i="8" s="1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P56" i="8"/>
  <c r="O56" i="8"/>
  <c r="L56" i="8"/>
  <c r="J56" i="8" s="1"/>
  <c r="I56" i="8"/>
  <c r="Q56" i="8" s="1"/>
  <c r="H56" i="8"/>
  <c r="N56" i="8" s="1"/>
  <c r="G56" i="8"/>
  <c r="F56" i="8"/>
  <c r="D56" i="8" s="1"/>
  <c r="M56" i="8" s="1"/>
  <c r="E56" i="8"/>
  <c r="C56" i="8"/>
  <c r="K56" i="8" s="1"/>
  <c r="AC55" i="8"/>
  <c r="AB55" i="8"/>
  <c r="Z55" i="8"/>
  <c r="Y55" i="8"/>
  <c r="AD55" i="8" s="1"/>
  <c r="W55" i="8"/>
  <c r="V55" i="8"/>
  <c r="AA55" i="8" s="1"/>
  <c r="T55" i="8"/>
  <c r="S55" i="8"/>
  <c r="R55" i="8"/>
  <c r="Q55" i="8"/>
  <c r="O55" i="8"/>
  <c r="M55" i="8"/>
  <c r="L55" i="8"/>
  <c r="J55" i="8"/>
  <c r="I55" i="8"/>
  <c r="H55" i="8"/>
  <c r="N55" i="8" s="1"/>
  <c r="G55" i="8"/>
  <c r="P55" i="8" s="1"/>
  <c r="F55" i="8"/>
  <c r="E55" i="8"/>
  <c r="D55" i="8"/>
  <c r="AD54" i="8"/>
  <c r="AC54" i="8"/>
  <c r="AB54" i="8"/>
  <c r="Z54" i="8"/>
  <c r="Y54" i="8"/>
  <c r="X54" i="8"/>
  <c r="W54" i="8"/>
  <c r="W52" i="8" s="1"/>
  <c r="V54" i="8"/>
  <c r="AA54" i="8" s="1"/>
  <c r="U54" i="8"/>
  <c r="T54" i="8"/>
  <c r="S54" i="8"/>
  <c r="R54" i="8"/>
  <c r="Q54" i="8"/>
  <c r="P54" i="8"/>
  <c r="O54" i="8"/>
  <c r="L54" i="8"/>
  <c r="J54" i="8"/>
  <c r="I54" i="8"/>
  <c r="H54" i="8"/>
  <c r="N54" i="8" s="1"/>
  <c r="G54" i="8"/>
  <c r="F54" i="8"/>
  <c r="E54" i="8"/>
  <c r="AD53" i="8"/>
  <c r="AC53" i="8"/>
  <c r="AB53" i="8"/>
  <c r="AA53" i="8"/>
  <c r="Z53" i="8"/>
  <c r="Z52" i="8" s="1"/>
  <c r="Y53" i="8"/>
  <c r="X53" i="8"/>
  <c r="W53" i="8"/>
  <c r="V53" i="8"/>
  <c r="U53" i="8"/>
  <c r="T53" i="8"/>
  <c r="T52" i="8" s="1"/>
  <c r="S53" i="8"/>
  <c r="R53" i="8"/>
  <c r="P53" i="8"/>
  <c r="O53" i="8"/>
  <c r="L53" i="8"/>
  <c r="L52" i="8" s="1"/>
  <c r="I53" i="8"/>
  <c r="H53" i="8"/>
  <c r="N53" i="8" s="1"/>
  <c r="G53" i="8"/>
  <c r="F53" i="8"/>
  <c r="F52" i="8" s="1"/>
  <c r="E53" i="8"/>
  <c r="AB52" i="8"/>
  <c r="V52" i="8"/>
  <c r="S52" i="8"/>
  <c r="AD51" i="8"/>
  <c r="AC51" i="8"/>
  <c r="AB51" i="8"/>
  <c r="Z51" i="8"/>
  <c r="Y51" i="8"/>
  <c r="X51" i="8"/>
  <c r="W51" i="8"/>
  <c r="V51" i="8"/>
  <c r="AA51" i="8" s="1"/>
  <c r="U51" i="8"/>
  <c r="T51" i="8"/>
  <c r="S51" i="8"/>
  <c r="R51" i="8"/>
  <c r="Q51" i="8"/>
  <c r="P51" i="8"/>
  <c r="O51" i="8"/>
  <c r="L51" i="8"/>
  <c r="J51" i="8"/>
  <c r="I51" i="8"/>
  <c r="H51" i="8"/>
  <c r="N51" i="8" s="1"/>
  <c r="G51" i="8"/>
  <c r="F51" i="8"/>
  <c r="E51" i="8"/>
  <c r="D51" i="8" s="1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P50" i="8"/>
  <c r="O50" i="8"/>
  <c r="L50" i="8"/>
  <c r="J50" i="8" s="1"/>
  <c r="I50" i="8"/>
  <c r="Q50" i="8" s="1"/>
  <c r="H50" i="8"/>
  <c r="N50" i="8" s="1"/>
  <c r="G50" i="8"/>
  <c r="F50" i="8"/>
  <c r="D50" i="8" s="1"/>
  <c r="M50" i="8" s="1"/>
  <c r="E50" i="8"/>
  <c r="AC49" i="8"/>
  <c r="AB49" i="8"/>
  <c r="Z49" i="8"/>
  <c r="Y49" i="8"/>
  <c r="AD49" i="8" s="1"/>
  <c r="W49" i="8"/>
  <c r="V49" i="8"/>
  <c r="AA49" i="8" s="1"/>
  <c r="T49" i="8"/>
  <c r="S49" i="8"/>
  <c r="R49" i="8"/>
  <c r="Q49" i="8"/>
  <c r="O49" i="8"/>
  <c r="M49" i="8"/>
  <c r="L49" i="8"/>
  <c r="J49" i="8"/>
  <c r="I49" i="8"/>
  <c r="H49" i="8"/>
  <c r="N49" i="8" s="1"/>
  <c r="G49" i="8"/>
  <c r="P49" i="8" s="1"/>
  <c r="F49" i="8"/>
  <c r="E49" i="8"/>
  <c r="D49" i="8"/>
  <c r="C49" i="8" s="1"/>
  <c r="K49" i="8" s="1"/>
  <c r="AD48" i="8"/>
  <c r="AC48" i="8"/>
  <c r="AB48" i="8"/>
  <c r="Z48" i="8"/>
  <c r="Y48" i="8"/>
  <c r="X48" i="8"/>
  <c r="W48" i="8"/>
  <c r="V48" i="8"/>
  <c r="AA48" i="8" s="1"/>
  <c r="U48" i="8"/>
  <c r="T48" i="8"/>
  <c r="S48" i="8"/>
  <c r="R48" i="8"/>
  <c r="Q48" i="8"/>
  <c r="P48" i="8"/>
  <c r="O48" i="8"/>
  <c r="L48" i="8"/>
  <c r="J48" i="8"/>
  <c r="I48" i="8"/>
  <c r="H48" i="8"/>
  <c r="N48" i="8" s="1"/>
  <c r="G48" i="8"/>
  <c r="F48" i="8"/>
  <c r="E48" i="8"/>
  <c r="D48" i="8" s="1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P47" i="8"/>
  <c r="O47" i="8"/>
  <c r="L47" i="8"/>
  <c r="I47" i="8"/>
  <c r="Q47" i="8" s="1"/>
  <c r="H47" i="8"/>
  <c r="N47" i="8" s="1"/>
  <c r="G47" i="8"/>
  <c r="F47" i="8"/>
  <c r="D47" i="8" s="1"/>
  <c r="M47" i="8" s="1"/>
  <c r="E47" i="8"/>
  <c r="AC46" i="8"/>
  <c r="AB46" i="8"/>
  <c r="Z46" i="8"/>
  <c r="Y46" i="8"/>
  <c r="AD46" i="8" s="1"/>
  <c r="W46" i="8"/>
  <c r="V46" i="8"/>
  <c r="AA46" i="8" s="1"/>
  <c r="T46" i="8"/>
  <c r="S46" i="8"/>
  <c r="R46" i="8"/>
  <c r="Q46" i="8"/>
  <c r="O46" i="8"/>
  <c r="M46" i="8"/>
  <c r="L46" i="8"/>
  <c r="J46" i="8"/>
  <c r="I46" i="8"/>
  <c r="H46" i="8"/>
  <c r="N46" i="8" s="1"/>
  <c r="G46" i="8"/>
  <c r="P46" i="8" s="1"/>
  <c r="F46" i="8"/>
  <c r="E46" i="8"/>
  <c r="D46" i="8"/>
  <c r="C46" i="8" s="1"/>
  <c r="K46" i="8" s="1"/>
  <c r="AC45" i="8"/>
  <c r="AD45" i="8" s="1"/>
  <c r="AB45" i="8"/>
  <c r="Z45" i="8"/>
  <c r="Y45" i="8"/>
  <c r="W45" i="8"/>
  <c r="X45" i="8" s="1"/>
  <c r="V45" i="8"/>
  <c r="AA45" i="8" s="1"/>
  <c r="T45" i="8"/>
  <c r="U45" i="8" s="1"/>
  <c r="S45" i="8"/>
  <c r="R45" i="8"/>
  <c r="Q45" i="8"/>
  <c r="P45" i="8"/>
  <c r="O45" i="8"/>
  <c r="L45" i="8"/>
  <c r="J45" i="8"/>
  <c r="I45" i="8"/>
  <c r="H45" i="8"/>
  <c r="N45" i="8" s="1"/>
  <c r="G45" i="8"/>
  <c r="F45" i="8"/>
  <c r="E45" i="8"/>
  <c r="D45" i="8" s="1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O44" i="8"/>
  <c r="L44" i="8"/>
  <c r="J44" i="8" s="1"/>
  <c r="I44" i="8"/>
  <c r="Q44" i="8" s="1"/>
  <c r="H44" i="8"/>
  <c r="N44" i="8" s="1"/>
  <c r="G44" i="8"/>
  <c r="P44" i="8" s="1"/>
  <c r="F44" i="8"/>
  <c r="D44" i="8" s="1"/>
  <c r="M44" i="8" s="1"/>
  <c r="E44" i="8"/>
  <c r="AC43" i="8"/>
  <c r="AB43" i="8"/>
  <c r="Z43" i="8"/>
  <c r="Y43" i="8"/>
  <c r="AD43" i="8" s="1"/>
  <c r="W43" i="8"/>
  <c r="V43" i="8"/>
  <c r="AA43" i="8" s="1"/>
  <c r="T43" i="8"/>
  <c r="S43" i="8"/>
  <c r="R43" i="8"/>
  <c r="Q43" i="8"/>
  <c r="O43" i="8"/>
  <c r="M43" i="8"/>
  <c r="L43" i="8"/>
  <c r="J43" i="8"/>
  <c r="I43" i="8"/>
  <c r="H43" i="8"/>
  <c r="N43" i="8" s="1"/>
  <c r="G43" i="8"/>
  <c r="P43" i="8" s="1"/>
  <c r="F43" i="8"/>
  <c r="E43" i="8"/>
  <c r="D43" i="8"/>
  <c r="C43" i="8" s="1"/>
  <c r="K43" i="8" s="1"/>
  <c r="AD42" i="8"/>
  <c r="AC42" i="8"/>
  <c r="AB42" i="8"/>
  <c r="Z42" i="8"/>
  <c r="Y42" i="8"/>
  <c r="X42" i="8"/>
  <c r="W42" i="8"/>
  <c r="V42" i="8"/>
  <c r="AA42" i="8" s="1"/>
  <c r="U42" i="8"/>
  <c r="T42" i="8"/>
  <c r="S42" i="8"/>
  <c r="R42" i="8"/>
  <c r="Q42" i="8"/>
  <c r="P42" i="8"/>
  <c r="O42" i="8"/>
  <c r="L42" i="8"/>
  <c r="J42" i="8"/>
  <c r="I42" i="8"/>
  <c r="H42" i="8"/>
  <c r="N42" i="8" s="1"/>
  <c r="G42" i="8"/>
  <c r="F42" i="8"/>
  <c r="E42" i="8"/>
  <c r="D42" i="8" s="1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O41" i="8"/>
  <c r="L41" i="8"/>
  <c r="J41" i="8" s="1"/>
  <c r="I41" i="8"/>
  <c r="Q41" i="8" s="1"/>
  <c r="H41" i="8"/>
  <c r="N41" i="8" s="1"/>
  <c r="G41" i="8"/>
  <c r="P41" i="8" s="1"/>
  <c r="F41" i="8"/>
  <c r="D41" i="8" s="1"/>
  <c r="M41" i="8" s="1"/>
  <c r="E41" i="8"/>
  <c r="C41" i="8"/>
  <c r="K41" i="8" s="1"/>
  <c r="AC40" i="8"/>
  <c r="AB40" i="8"/>
  <c r="Z40" i="8"/>
  <c r="Y40" i="8"/>
  <c r="AD40" i="8" s="1"/>
  <c r="W40" i="8"/>
  <c r="V40" i="8"/>
  <c r="AA40" i="8" s="1"/>
  <c r="T40" i="8"/>
  <c r="S40" i="8"/>
  <c r="R40" i="8"/>
  <c r="Q40" i="8"/>
  <c r="O40" i="8"/>
  <c r="L40" i="8"/>
  <c r="J40" i="8"/>
  <c r="I40" i="8"/>
  <c r="H40" i="8"/>
  <c r="N40" i="8" s="1"/>
  <c r="G40" i="8"/>
  <c r="P40" i="8" s="1"/>
  <c r="F40" i="8"/>
  <c r="E40" i="8"/>
  <c r="D40" i="8"/>
  <c r="AD39" i="8"/>
  <c r="AC39" i="8"/>
  <c r="AB39" i="8"/>
  <c r="Z39" i="8"/>
  <c r="Y39" i="8"/>
  <c r="X39" i="8"/>
  <c r="W39" i="8"/>
  <c r="V39" i="8"/>
  <c r="AA39" i="8" s="1"/>
  <c r="U39" i="8"/>
  <c r="T39" i="8"/>
  <c r="S39" i="8"/>
  <c r="R39" i="8"/>
  <c r="Q39" i="8"/>
  <c r="P39" i="8"/>
  <c r="O39" i="8"/>
  <c r="L39" i="8"/>
  <c r="J39" i="8"/>
  <c r="I39" i="8"/>
  <c r="H39" i="8"/>
  <c r="N39" i="8" s="1"/>
  <c r="G39" i="8"/>
  <c r="F39" i="8"/>
  <c r="E39" i="8"/>
  <c r="D39" i="8" s="1"/>
  <c r="AD38" i="8"/>
  <c r="AC38" i="8"/>
  <c r="AB38" i="8"/>
  <c r="AA38" i="8"/>
  <c r="Z38" i="8"/>
  <c r="Y38" i="8"/>
  <c r="X38" i="8"/>
  <c r="W38" i="8"/>
  <c r="V38" i="8"/>
  <c r="T38" i="8"/>
  <c r="U38" i="8" s="1"/>
  <c r="S38" i="8"/>
  <c r="R38" i="8"/>
  <c r="O38" i="8"/>
  <c r="L38" i="8"/>
  <c r="I38" i="8"/>
  <c r="Q38" i="8" s="1"/>
  <c r="H38" i="8"/>
  <c r="N38" i="8" s="1"/>
  <c r="G38" i="8"/>
  <c r="P38" i="8" s="1"/>
  <c r="F38" i="8"/>
  <c r="D38" i="8" s="1"/>
  <c r="M38" i="8" s="1"/>
  <c r="E38" i="8"/>
  <c r="AC37" i="8"/>
  <c r="AB37" i="8"/>
  <c r="Z37" i="8"/>
  <c r="Y37" i="8"/>
  <c r="AD37" i="8" s="1"/>
  <c r="W37" i="8"/>
  <c r="V37" i="8"/>
  <c r="AA37" i="8" s="1"/>
  <c r="T37" i="8"/>
  <c r="S37" i="8"/>
  <c r="U37" i="8" s="1"/>
  <c r="R37" i="8"/>
  <c r="Q37" i="8"/>
  <c r="O37" i="8"/>
  <c r="L37" i="8"/>
  <c r="J37" i="8"/>
  <c r="I37" i="8"/>
  <c r="H37" i="8"/>
  <c r="N37" i="8" s="1"/>
  <c r="G37" i="8"/>
  <c r="F37" i="8"/>
  <c r="E37" i="8"/>
  <c r="D37" i="8"/>
  <c r="AC36" i="8"/>
  <c r="AD36" i="8" s="1"/>
  <c r="AB36" i="8"/>
  <c r="Z36" i="8"/>
  <c r="Y36" i="8"/>
  <c r="W36" i="8"/>
  <c r="X36" i="8" s="1"/>
  <c r="V36" i="8"/>
  <c r="T36" i="8"/>
  <c r="U36" i="8" s="1"/>
  <c r="S36" i="8"/>
  <c r="R36" i="8"/>
  <c r="Q36" i="8"/>
  <c r="P36" i="8"/>
  <c r="O36" i="8"/>
  <c r="L36" i="8"/>
  <c r="J36" i="8"/>
  <c r="I36" i="8"/>
  <c r="H36" i="8"/>
  <c r="N36" i="8" s="1"/>
  <c r="G36" i="8"/>
  <c r="F36" i="8"/>
  <c r="E36" i="8"/>
  <c r="D36" i="8" s="1"/>
  <c r="AD35" i="8"/>
  <c r="AC35" i="8"/>
  <c r="AB35" i="8"/>
  <c r="Z35" i="8"/>
  <c r="AA35" i="8" s="1"/>
  <c r="Y35" i="8"/>
  <c r="X35" i="8"/>
  <c r="W35" i="8"/>
  <c r="V35" i="8"/>
  <c r="T35" i="8"/>
  <c r="U35" i="8" s="1"/>
  <c r="S35" i="8"/>
  <c r="R35" i="8"/>
  <c r="O35" i="8"/>
  <c r="L35" i="8"/>
  <c r="I35" i="8"/>
  <c r="Q35" i="8" s="1"/>
  <c r="H35" i="8"/>
  <c r="N35" i="8" s="1"/>
  <c r="G35" i="8"/>
  <c r="P35" i="8" s="1"/>
  <c r="F35" i="8"/>
  <c r="D35" i="8" s="1"/>
  <c r="M35" i="8" s="1"/>
  <c r="E35" i="8"/>
  <c r="AD34" i="8"/>
  <c r="AC34" i="8"/>
  <c r="AB34" i="8"/>
  <c r="Z34" i="8"/>
  <c r="Y34" i="8"/>
  <c r="W34" i="8"/>
  <c r="V34" i="8"/>
  <c r="AA34" i="8" s="1"/>
  <c r="T34" i="8"/>
  <c r="S34" i="8"/>
  <c r="U34" i="8" s="1"/>
  <c r="R34" i="8"/>
  <c r="Q34" i="8"/>
  <c r="P34" i="8"/>
  <c r="O34" i="8"/>
  <c r="L34" i="8"/>
  <c r="J34" i="8" s="1"/>
  <c r="I34" i="8"/>
  <c r="H34" i="8"/>
  <c r="N34" i="8" s="1"/>
  <c r="G34" i="8"/>
  <c r="F34" i="8"/>
  <c r="D34" i="8" s="1"/>
  <c r="E34" i="8"/>
  <c r="AD33" i="8"/>
  <c r="AC33" i="8"/>
  <c r="AC31" i="8" s="1"/>
  <c r="AB33" i="8"/>
  <c r="AB31" i="8" s="1"/>
  <c r="Z33" i="8"/>
  <c r="Y33" i="8"/>
  <c r="X33" i="8"/>
  <c r="W33" i="8"/>
  <c r="V33" i="8"/>
  <c r="U33" i="8"/>
  <c r="T33" i="8"/>
  <c r="S33" i="8"/>
  <c r="R33" i="8"/>
  <c r="Q33" i="8"/>
  <c r="P33" i="8"/>
  <c r="O33" i="8"/>
  <c r="L33" i="8"/>
  <c r="J33" i="8"/>
  <c r="I33" i="8"/>
  <c r="H33" i="8"/>
  <c r="N33" i="8" s="1"/>
  <c r="G33" i="8"/>
  <c r="F33" i="8"/>
  <c r="E33" i="8"/>
  <c r="D33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R31" i="8" s="1"/>
  <c r="O32" i="8"/>
  <c r="N32" i="8"/>
  <c r="L32" i="8"/>
  <c r="J32" i="8" s="1"/>
  <c r="I32" i="8"/>
  <c r="H32" i="8"/>
  <c r="G32" i="8"/>
  <c r="P32" i="8" s="1"/>
  <c r="F32" i="8"/>
  <c r="D32" i="8" s="1"/>
  <c r="M32" i="8" s="1"/>
  <c r="E32" i="8"/>
  <c r="C32" i="8"/>
  <c r="K32" i="8" s="1"/>
  <c r="Y31" i="8"/>
  <c r="AC30" i="8"/>
  <c r="AD30" i="8" s="1"/>
  <c r="AB30" i="8"/>
  <c r="Z30" i="8"/>
  <c r="Y30" i="8"/>
  <c r="W30" i="8"/>
  <c r="X30" i="8" s="1"/>
  <c r="V30" i="8"/>
  <c r="T30" i="8"/>
  <c r="U30" i="8" s="1"/>
  <c r="S30" i="8"/>
  <c r="R30" i="8"/>
  <c r="Q30" i="8"/>
  <c r="P30" i="8"/>
  <c r="O30" i="8"/>
  <c r="N30" i="8"/>
  <c r="L30" i="8"/>
  <c r="J30" i="8"/>
  <c r="I30" i="8"/>
  <c r="H30" i="8"/>
  <c r="G30" i="8"/>
  <c r="F30" i="8"/>
  <c r="E30" i="8"/>
  <c r="D30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O29" i="8"/>
  <c r="N29" i="8"/>
  <c r="L29" i="8"/>
  <c r="J29" i="8" s="1"/>
  <c r="I29" i="8"/>
  <c r="Q29" i="8" s="1"/>
  <c r="H29" i="8"/>
  <c r="G29" i="8"/>
  <c r="P29" i="8" s="1"/>
  <c r="F29" i="8"/>
  <c r="D29" i="8" s="1"/>
  <c r="E29" i="8"/>
  <c r="C29" i="8"/>
  <c r="K29" i="8" s="1"/>
  <c r="AC28" i="8"/>
  <c r="AB28" i="8"/>
  <c r="Z28" i="8"/>
  <c r="Y28" i="8"/>
  <c r="AD28" i="8" s="1"/>
  <c r="X28" i="8"/>
  <c r="W28" i="8"/>
  <c r="V28" i="8"/>
  <c r="AA28" i="8" s="1"/>
  <c r="T28" i="8"/>
  <c r="S28" i="8"/>
  <c r="U28" i="8" s="1"/>
  <c r="R28" i="8"/>
  <c r="Q28" i="8"/>
  <c r="O28" i="8"/>
  <c r="L28" i="8"/>
  <c r="J28" i="8"/>
  <c r="I28" i="8"/>
  <c r="H28" i="8"/>
  <c r="N28" i="8" s="1"/>
  <c r="G28" i="8"/>
  <c r="P28" i="8" s="1"/>
  <c r="F28" i="8"/>
  <c r="E28" i="8"/>
  <c r="D28" i="8"/>
  <c r="AD27" i="8"/>
  <c r="AC27" i="8"/>
  <c r="AB27" i="8"/>
  <c r="Z27" i="8"/>
  <c r="Y27" i="8"/>
  <c r="X27" i="8"/>
  <c r="W27" i="8"/>
  <c r="V27" i="8"/>
  <c r="AA27" i="8" s="1"/>
  <c r="U27" i="8"/>
  <c r="T27" i="8"/>
  <c r="S27" i="8"/>
  <c r="R27" i="8"/>
  <c r="Q27" i="8"/>
  <c r="P27" i="8"/>
  <c r="O27" i="8"/>
  <c r="L27" i="8"/>
  <c r="J27" i="8"/>
  <c r="I27" i="8"/>
  <c r="H27" i="8"/>
  <c r="N27" i="8" s="1"/>
  <c r="G27" i="8"/>
  <c r="F27" i="8"/>
  <c r="E27" i="8"/>
  <c r="D27" i="8" s="1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O26" i="8"/>
  <c r="L26" i="8"/>
  <c r="I26" i="8"/>
  <c r="Q26" i="8" s="1"/>
  <c r="H26" i="8"/>
  <c r="N26" i="8" s="1"/>
  <c r="G26" i="8"/>
  <c r="P26" i="8" s="1"/>
  <c r="F26" i="8"/>
  <c r="D26" i="8" s="1"/>
  <c r="M26" i="8" s="1"/>
  <c r="E26" i="8"/>
  <c r="AD25" i="8"/>
  <c r="AC25" i="8"/>
  <c r="AB25" i="8"/>
  <c r="Z25" i="8"/>
  <c r="Y25" i="8"/>
  <c r="W25" i="8"/>
  <c r="V25" i="8"/>
  <c r="AA25" i="8" s="1"/>
  <c r="T25" i="8"/>
  <c r="S25" i="8"/>
  <c r="U25" i="8" s="1"/>
  <c r="R25" i="8"/>
  <c r="Q25" i="8"/>
  <c r="P25" i="8"/>
  <c r="O25" i="8"/>
  <c r="L25" i="8"/>
  <c r="J25" i="8" s="1"/>
  <c r="I25" i="8"/>
  <c r="H25" i="8"/>
  <c r="N25" i="8" s="1"/>
  <c r="G25" i="8"/>
  <c r="F25" i="8"/>
  <c r="D25" i="8" s="1"/>
  <c r="E25" i="8"/>
  <c r="AD24" i="8"/>
  <c r="AC24" i="8"/>
  <c r="AB24" i="8"/>
  <c r="Z24" i="8"/>
  <c r="Y24" i="8"/>
  <c r="X24" i="8"/>
  <c r="W24" i="8"/>
  <c r="V24" i="8"/>
  <c r="AA24" i="8" s="1"/>
  <c r="U24" i="8"/>
  <c r="T24" i="8"/>
  <c r="S24" i="8"/>
  <c r="R24" i="8"/>
  <c r="Q24" i="8"/>
  <c r="P24" i="8"/>
  <c r="O24" i="8"/>
  <c r="L24" i="8"/>
  <c r="J24" i="8"/>
  <c r="I24" i="8"/>
  <c r="H24" i="8"/>
  <c r="N24" i="8" s="1"/>
  <c r="G24" i="8"/>
  <c r="F24" i="8"/>
  <c r="E24" i="8"/>
  <c r="D24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O23" i="8"/>
  <c r="L23" i="8"/>
  <c r="J23" i="8" s="1"/>
  <c r="I23" i="8"/>
  <c r="Q23" i="8" s="1"/>
  <c r="H23" i="8"/>
  <c r="G23" i="8"/>
  <c r="P23" i="8" s="1"/>
  <c r="F23" i="8"/>
  <c r="D23" i="8" s="1"/>
  <c r="E23" i="8"/>
  <c r="C23" i="8"/>
  <c r="K23" i="8" s="1"/>
  <c r="AC22" i="8"/>
  <c r="AB22" i="8"/>
  <c r="Z22" i="8"/>
  <c r="Y22" i="8"/>
  <c r="AD22" i="8" s="1"/>
  <c r="X22" i="8"/>
  <c r="W22" i="8"/>
  <c r="V22" i="8"/>
  <c r="AA22" i="8" s="1"/>
  <c r="T22" i="8"/>
  <c r="S22" i="8"/>
  <c r="U22" i="8" s="1"/>
  <c r="R22" i="8"/>
  <c r="Q22" i="8"/>
  <c r="O22" i="8"/>
  <c r="L22" i="8"/>
  <c r="J22" i="8" s="1"/>
  <c r="I22" i="8"/>
  <c r="H22" i="8"/>
  <c r="N22" i="8" s="1"/>
  <c r="G22" i="8"/>
  <c r="P22" i="8" s="1"/>
  <c r="F22" i="8"/>
  <c r="D22" i="8" s="1"/>
  <c r="E22" i="8"/>
  <c r="AD21" i="8"/>
  <c r="AC21" i="8"/>
  <c r="AB21" i="8"/>
  <c r="Z21" i="8"/>
  <c r="Y21" i="8"/>
  <c r="X21" i="8"/>
  <c r="W21" i="8"/>
  <c r="V21" i="8"/>
  <c r="AA21" i="8" s="1"/>
  <c r="U21" i="8"/>
  <c r="T21" i="8"/>
  <c r="S21" i="8"/>
  <c r="R21" i="8"/>
  <c r="Q21" i="8"/>
  <c r="P21" i="8"/>
  <c r="O21" i="8"/>
  <c r="N21" i="8"/>
  <c r="L21" i="8"/>
  <c r="J21" i="8"/>
  <c r="I21" i="8"/>
  <c r="H21" i="8"/>
  <c r="G21" i="8"/>
  <c r="F21" i="8"/>
  <c r="E21" i="8"/>
  <c r="D21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O20" i="8"/>
  <c r="N20" i="8"/>
  <c r="L20" i="8"/>
  <c r="J20" i="8" s="1"/>
  <c r="I20" i="8"/>
  <c r="Q20" i="8" s="1"/>
  <c r="H20" i="8"/>
  <c r="G20" i="8"/>
  <c r="P20" i="8" s="1"/>
  <c r="F20" i="8"/>
  <c r="D20" i="8" s="1"/>
  <c r="E20" i="8"/>
  <c r="C20" i="8"/>
  <c r="K20" i="8" s="1"/>
  <c r="AC19" i="8"/>
  <c r="AB19" i="8"/>
  <c r="Z19" i="8"/>
  <c r="Y19" i="8"/>
  <c r="AD19" i="8" s="1"/>
  <c r="X19" i="8"/>
  <c r="W19" i="8"/>
  <c r="V19" i="8"/>
  <c r="AA19" i="8" s="1"/>
  <c r="T19" i="8"/>
  <c r="S19" i="8"/>
  <c r="U19" i="8" s="1"/>
  <c r="R19" i="8"/>
  <c r="Q19" i="8"/>
  <c r="O19" i="8"/>
  <c r="L19" i="8"/>
  <c r="J19" i="8"/>
  <c r="I19" i="8"/>
  <c r="H19" i="8"/>
  <c r="N19" i="8" s="1"/>
  <c r="G19" i="8"/>
  <c r="P19" i="8" s="1"/>
  <c r="F19" i="8"/>
  <c r="E19" i="8"/>
  <c r="D19" i="8"/>
  <c r="AC18" i="8"/>
  <c r="AD18" i="8" s="1"/>
  <c r="AB18" i="8"/>
  <c r="Z18" i="8"/>
  <c r="Y18" i="8"/>
  <c r="W18" i="8"/>
  <c r="X18" i="8" s="1"/>
  <c r="V18" i="8"/>
  <c r="AA18" i="8" s="1"/>
  <c r="T18" i="8"/>
  <c r="U18" i="8" s="1"/>
  <c r="S18" i="8"/>
  <c r="R18" i="8"/>
  <c r="Q18" i="8"/>
  <c r="P18" i="8"/>
  <c r="O18" i="8"/>
  <c r="L18" i="8"/>
  <c r="J18" i="8"/>
  <c r="I18" i="8"/>
  <c r="H18" i="8"/>
  <c r="N18" i="8" s="1"/>
  <c r="G18" i="8"/>
  <c r="F18" i="8"/>
  <c r="E18" i="8"/>
  <c r="D18" i="8" s="1"/>
  <c r="AD17" i="8"/>
  <c r="AC17" i="8"/>
  <c r="AB17" i="8"/>
  <c r="Z17" i="8"/>
  <c r="AA17" i="8" s="1"/>
  <c r="Y17" i="8"/>
  <c r="X17" i="8"/>
  <c r="W17" i="8"/>
  <c r="V17" i="8"/>
  <c r="T17" i="8"/>
  <c r="U17" i="8" s="1"/>
  <c r="S17" i="8"/>
  <c r="R17" i="8"/>
  <c r="O17" i="8"/>
  <c r="N17" i="8"/>
  <c r="L17" i="8"/>
  <c r="I17" i="8"/>
  <c r="Q17" i="8" s="1"/>
  <c r="H17" i="8"/>
  <c r="G17" i="8"/>
  <c r="P17" i="8" s="1"/>
  <c r="F17" i="8"/>
  <c r="D17" i="8" s="1"/>
  <c r="E17" i="8"/>
  <c r="AD16" i="8"/>
  <c r="AC16" i="8"/>
  <c r="AB16" i="8"/>
  <c r="Z16" i="8"/>
  <c r="Y16" i="8"/>
  <c r="W16" i="8"/>
  <c r="V16" i="8"/>
  <c r="AA16" i="8" s="1"/>
  <c r="T16" i="8"/>
  <c r="S16" i="8"/>
  <c r="R16" i="8"/>
  <c r="Q16" i="8"/>
  <c r="P16" i="8"/>
  <c r="O16" i="8"/>
  <c r="L16" i="8"/>
  <c r="J16" i="8" s="1"/>
  <c r="I16" i="8"/>
  <c r="H16" i="8"/>
  <c r="G16" i="8"/>
  <c r="F16" i="8"/>
  <c r="E16" i="8"/>
  <c r="D16" i="8"/>
  <c r="C16" i="8" s="1"/>
  <c r="AC15" i="8"/>
  <c r="AB15" i="8"/>
  <c r="Z15" i="8"/>
  <c r="Y15" i="8"/>
  <c r="W15" i="8"/>
  <c r="V15" i="8"/>
  <c r="AA15" i="8" s="1"/>
  <c r="T15" i="8"/>
  <c r="U15" i="8" s="1"/>
  <c r="S15" i="8"/>
  <c r="R15" i="8"/>
  <c r="Q15" i="8"/>
  <c r="P15" i="8"/>
  <c r="O15" i="8"/>
  <c r="L15" i="8"/>
  <c r="J15" i="8"/>
  <c r="I15" i="8"/>
  <c r="H15" i="8"/>
  <c r="N15" i="8" s="1"/>
  <c r="G15" i="8"/>
  <c r="F15" i="8"/>
  <c r="E15" i="8"/>
  <c r="D15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R13" i="8" s="1"/>
  <c r="O14" i="8"/>
  <c r="L14" i="8"/>
  <c r="J14" i="8" s="1"/>
  <c r="I14" i="8"/>
  <c r="H14" i="8"/>
  <c r="G14" i="8"/>
  <c r="P14" i="8" s="1"/>
  <c r="F14" i="8"/>
  <c r="D14" i="8" s="1"/>
  <c r="E14" i="8"/>
  <c r="C14" i="8"/>
  <c r="K14" i="8" s="1"/>
  <c r="Y13" i="8"/>
  <c r="G13" i="8"/>
  <c r="P13" i="8" s="1"/>
  <c r="P106" i="7"/>
  <c r="O106" i="7"/>
  <c r="L106" i="7"/>
  <c r="I106" i="7"/>
  <c r="Q106" i="7" s="1"/>
  <c r="H106" i="7"/>
  <c r="N106" i="7" s="1"/>
  <c r="G106" i="7"/>
  <c r="F106" i="7"/>
  <c r="D106" i="7" s="1"/>
  <c r="M106" i="7" s="1"/>
  <c r="E106" i="7"/>
  <c r="C106" i="7"/>
  <c r="K106" i="7" s="1"/>
  <c r="O105" i="7"/>
  <c r="M105" i="7"/>
  <c r="L105" i="7"/>
  <c r="I105" i="7"/>
  <c r="Q105" i="7" s="1"/>
  <c r="H105" i="7"/>
  <c r="N105" i="7" s="1"/>
  <c r="G105" i="7"/>
  <c r="P105" i="7" s="1"/>
  <c r="F105" i="7"/>
  <c r="D105" i="7" s="1"/>
  <c r="C105" i="7" s="1"/>
  <c r="K105" i="7" s="1"/>
  <c r="E105" i="7"/>
  <c r="P104" i="7"/>
  <c r="O104" i="7"/>
  <c r="L104" i="7"/>
  <c r="J104" i="7" s="1"/>
  <c r="I104" i="7"/>
  <c r="Q104" i="7" s="1"/>
  <c r="H104" i="7"/>
  <c r="N104" i="7" s="1"/>
  <c r="G104" i="7"/>
  <c r="F104" i="7"/>
  <c r="E104" i="7"/>
  <c r="D104" i="7" s="1"/>
  <c r="O103" i="7"/>
  <c r="N103" i="7"/>
  <c r="L103" i="7"/>
  <c r="I103" i="7"/>
  <c r="Q103" i="7" s="1"/>
  <c r="H103" i="7"/>
  <c r="G103" i="7"/>
  <c r="F103" i="7"/>
  <c r="D103" i="7" s="1"/>
  <c r="M103" i="7" s="1"/>
  <c r="E103" i="7"/>
  <c r="P102" i="7"/>
  <c r="O102" i="7"/>
  <c r="J102" i="7" s="1"/>
  <c r="L102" i="7"/>
  <c r="I102" i="7"/>
  <c r="Q102" i="7" s="1"/>
  <c r="H102" i="7"/>
  <c r="N102" i="7" s="1"/>
  <c r="G102" i="7"/>
  <c r="F102" i="7"/>
  <c r="E102" i="7"/>
  <c r="D102" i="7"/>
  <c r="M102" i="7" s="1"/>
  <c r="O101" i="7"/>
  <c r="N101" i="7"/>
  <c r="L101" i="7"/>
  <c r="J101" i="7" s="1"/>
  <c r="I101" i="7"/>
  <c r="Q101" i="7" s="1"/>
  <c r="H101" i="7"/>
  <c r="G101" i="7"/>
  <c r="P101" i="7" s="1"/>
  <c r="F101" i="7"/>
  <c r="E101" i="7"/>
  <c r="P100" i="7"/>
  <c r="O100" i="7"/>
  <c r="L100" i="7"/>
  <c r="J100" i="7" s="1"/>
  <c r="I100" i="7"/>
  <c r="Q100" i="7" s="1"/>
  <c r="H100" i="7"/>
  <c r="N100" i="7" s="1"/>
  <c r="G100" i="7"/>
  <c r="F100" i="7"/>
  <c r="E100" i="7"/>
  <c r="O99" i="7"/>
  <c r="L99" i="7"/>
  <c r="J99" i="7" s="1"/>
  <c r="I99" i="7"/>
  <c r="Q99" i="7" s="1"/>
  <c r="H99" i="7"/>
  <c r="N99" i="7" s="1"/>
  <c r="G99" i="7"/>
  <c r="P99" i="7" s="1"/>
  <c r="F99" i="7"/>
  <c r="E99" i="7"/>
  <c r="D99" i="7" s="1"/>
  <c r="C99" i="7" s="1"/>
  <c r="K99" i="7" s="1"/>
  <c r="P98" i="7"/>
  <c r="O98" i="7"/>
  <c r="L98" i="7"/>
  <c r="J98" i="7"/>
  <c r="I98" i="7"/>
  <c r="Q98" i="7" s="1"/>
  <c r="H98" i="7"/>
  <c r="N98" i="7" s="1"/>
  <c r="G98" i="7"/>
  <c r="F98" i="7"/>
  <c r="E98" i="7"/>
  <c r="D98" i="7" s="1"/>
  <c r="O97" i="7"/>
  <c r="L97" i="7"/>
  <c r="J97" i="7" s="1"/>
  <c r="I97" i="7"/>
  <c r="Q97" i="7" s="1"/>
  <c r="H97" i="7"/>
  <c r="N97" i="7" s="1"/>
  <c r="G97" i="7"/>
  <c r="P97" i="7" s="1"/>
  <c r="F97" i="7"/>
  <c r="E97" i="7"/>
  <c r="D97" i="7" s="1"/>
  <c r="M97" i="7" s="1"/>
  <c r="C97" i="7"/>
  <c r="K97" i="7" s="1"/>
  <c r="P96" i="7"/>
  <c r="O96" i="7"/>
  <c r="O89" i="7" s="1"/>
  <c r="L96" i="7"/>
  <c r="J96" i="7"/>
  <c r="I96" i="7"/>
  <c r="Q96" i="7" s="1"/>
  <c r="H96" i="7"/>
  <c r="N96" i="7" s="1"/>
  <c r="G96" i="7"/>
  <c r="F96" i="7"/>
  <c r="E96" i="7"/>
  <c r="D96" i="7"/>
  <c r="O95" i="7"/>
  <c r="N95" i="7"/>
  <c r="L95" i="7"/>
  <c r="I95" i="7"/>
  <c r="Q95" i="7" s="1"/>
  <c r="H95" i="7"/>
  <c r="G95" i="7"/>
  <c r="P95" i="7" s="1"/>
  <c r="F95" i="7"/>
  <c r="E95" i="7"/>
  <c r="P94" i="7"/>
  <c r="O94" i="7"/>
  <c r="L94" i="7"/>
  <c r="J94" i="7" s="1"/>
  <c r="I94" i="7"/>
  <c r="Q94" i="7" s="1"/>
  <c r="H94" i="7"/>
  <c r="N94" i="7" s="1"/>
  <c r="G94" i="7"/>
  <c r="F94" i="7"/>
  <c r="D94" i="7" s="1"/>
  <c r="M94" i="7" s="1"/>
  <c r="E94" i="7"/>
  <c r="O93" i="7"/>
  <c r="L93" i="7"/>
  <c r="I93" i="7"/>
  <c r="Q93" i="7" s="1"/>
  <c r="H93" i="7"/>
  <c r="N93" i="7" s="1"/>
  <c r="G93" i="7"/>
  <c r="P93" i="7" s="1"/>
  <c r="F93" i="7"/>
  <c r="E93" i="7"/>
  <c r="D93" i="7" s="1"/>
  <c r="M93" i="7" s="1"/>
  <c r="P92" i="7"/>
  <c r="O92" i="7"/>
  <c r="L92" i="7"/>
  <c r="J92" i="7" s="1"/>
  <c r="I92" i="7"/>
  <c r="H92" i="7"/>
  <c r="N92" i="7" s="1"/>
  <c r="G92" i="7"/>
  <c r="F92" i="7"/>
  <c r="D92" i="7" s="1"/>
  <c r="M92" i="7" s="1"/>
  <c r="E92" i="7"/>
  <c r="C92" i="7"/>
  <c r="K92" i="7" s="1"/>
  <c r="O91" i="7"/>
  <c r="N91" i="7"/>
  <c r="L91" i="7"/>
  <c r="I91" i="7"/>
  <c r="Q91" i="7" s="1"/>
  <c r="H91" i="7"/>
  <c r="G91" i="7"/>
  <c r="P91" i="7" s="1"/>
  <c r="F91" i="7"/>
  <c r="E91" i="7"/>
  <c r="D91" i="7"/>
  <c r="Q90" i="7"/>
  <c r="O90" i="7"/>
  <c r="M90" i="7"/>
  <c r="L90" i="7"/>
  <c r="J90" i="7"/>
  <c r="I90" i="7"/>
  <c r="H90" i="7"/>
  <c r="N90" i="7" s="1"/>
  <c r="G90" i="7"/>
  <c r="F90" i="7"/>
  <c r="E90" i="7"/>
  <c r="E89" i="7" s="1"/>
  <c r="E10" i="7" s="1"/>
  <c r="D90" i="7"/>
  <c r="AA88" i="7"/>
  <c r="Y88" i="7"/>
  <c r="X88" i="7"/>
  <c r="V88" i="7"/>
  <c r="U88" i="7"/>
  <c r="W88" i="7" s="1"/>
  <c r="S88" i="7"/>
  <c r="R88" i="7"/>
  <c r="T88" i="7" s="1"/>
  <c r="P88" i="7"/>
  <c r="O88" i="7"/>
  <c r="L88" i="7"/>
  <c r="J88" i="7" s="1"/>
  <c r="I88" i="7"/>
  <c r="Q88" i="7" s="1"/>
  <c r="H88" i="7"/>
  <c r="N88" i="7" s="1"/>
  <c r="G88" i="7"/>
  <c r="F88" i="7"/>
  <c r="E88" i="7"/>
  <c r="D88" i="7" s="1"/>
  <c r="AA87" i="7"/>
  <c r="Z87" i="7"/>
  <c r="Y87" i="7"/>
  <c r="X87" i="7"/>
  <c r="AB87" i="7" s="1"/>
  <c r="W87" i="7"/>
  <c r="V87" i="7"/>
  <c r="U87" i="7"/>
  <c r="T87" i="7"/>
  <c r="S87" i="7"/>
  <c r="R87" i="7"/>
  <c r="Q87" i="7"/>
  <c r="O87" i="7"/>
  <c r="L87" i="7"/>
  <c r="J87" i="7" s="1"/>
  <c r="I87" i="7"/>
  <c r="H87" i="7"/>
  <c r="N87" i="7" s="1"/>
  <c r="G87" i="7"/>
  <c r="P87" i="7" s="1"/>
  <c r="F87" i="7"/>
  <c r="E87" i="7"/>
  <c r="D87" i="7" s="1"/>
  <c r="AB86" i="7"/>
  <c r="AA86" i="7"/>
  <c r="Z86" i="7"/>
  <c r="Y86" i="7"/>
  <c r="X86" i="7"/>
  <c r="V86" i="7"/>
  <c r="U86" i="7"/>
  <c r="W86" i="7" s="1"/>
  <c r="T86" i="7"/>
  <c r="S86" i="7"/>
  <c r="R86" i="7"/>
  <c r="P86" i="7"/>
  <c r="O86" i="7"/>
  <c r="L86" i="7"/>
  <c r="J86" i="7"/>
  <c r="I86" i="7"/>
  <c r="Q86" i="7" s="1"/>
  <c r="H86" i="7"/>
  <c r="N86" i="7" s="1"/>
  <c r="G86" i="7"/>
  <c r="F86" i="7"/>
  <c r="E86" i="7"/>
  <c r="D86" i="7"/>
  <c r="AA85" i="7"/>
  <c r="Y85" i="7"/>
  <c r="X85" i="7"/>
  <c r="V85" i="7"/>
  <c r="U85" i="7"/>
  <c r="W85" i="7" s="1"/>
  <c r="S85" i="7"/>
  <c r="R85" i="7"/>
  <c r="T85" i="7" s="1"/>
  <c r="P85" i="7"/>
  <c r="O85" i="7"/>
  <c r="L85" i="7"/>
  <c r="J85" i="7" s="1"/>
  <c r="I85" i="7"/>
  <c r="Q85" i="7" s="1"/>
  <c r="H85" i="7"/>
  <c r="N85" i="7" s="1"/>
  <c r="G85" i="7"/>
  <c r="F85" i="7"/>
  <c r="E85" i="7"/>
  <c r="D85" i="7" s="1"/>
  <c r="AA84" i="7"/>
  <c r="Z84" i="7"/>
  <c r="Y84" i="7"/>
  <c r="X84" i="7"/>
  <c r="AB84" i="7" s="1"/>
  <c r="W84" i="7"/>
  <c r="V84" i="7"/>
  <c r="U84" i="7"/>
  <c r="T84" i="7"/>
  <c r="S84" i="7"/>
  <c r="R84" i="7"/>
  <c r="Q84" i="7"/>
  <c r="O84" i="7"/>
  <c r="L84" i="7"/>
  <c r="J84" i="7" s="1"/>
  <c r="I84" i="7"/>
  <c r="H84" i="7"/>
  <c r="N84" i="7" s="1"/>
  <c r="G84" i="7"/>
  <c r="P84" i="7" s="1"/>
  <c r="F84" i="7"/>
  <c r="E84" i="7"/>
  <c r="D84" i="7" s="1"/>
  <c r="AB83" i="7"/>
  <c r="AA83" i="7"/>
  <c r="Z83" i="7"/>
  <c r="Y83" i="7"/>
  <c r="X83" i="7"/>
  <c r="V83" i="7"/>
  <c r="U83" i="7"/>
  <c r="W83" i="7" s="1"/>
  <c r="T83" i="7"/>
  <c r="S83" i="7"/>
  <c r="R83" i="7"/>
  <c r="P83" i="7"/>
  <c r="O83" i="7"/>
  <c r="L83" i="7"/>
  <c r="J83" i="7"/>
  <c r="I83" i="7"/>
  <c r="Q83" i="7" s="1"/>
  <c r="H83" i="7"/>
  <c r="N83" i="7" s="1"/>
  <c r="G83" i="7"/>
  <c r="F83" i="7"/>
  <c r="E83" i="7"/>
  <c r="D83" i="7"/>
  <c r="AA82" i="7"/>
  <c r="Y82" i="7"/>
  <c r="X82" i="7"/>
  <c r="V82" i="7"/>
  <c r="U82" i="7"/>
  <c r="W82" i="7" s="1"/>
  <c r="S82" i="7"/>
  <c r="R82" i="7"/>
  <c r="T82" i="7" s="1"/>
  <c r="P82" i="7"/>
  <c r="O82" i="7"/>
  <c r="L82" i="7"/>
  <c r="J82" i="7" s="1"/>
  <c r="I82" i="7"/>
  <c r="Q82" i="7" s="1"/>
  <c r="H82" i="7"/>
  <c r="N82" i="7" s="1"/>
  <c r="G82" i="7"/>
  <c r="F82" i="7"/>
  <c r="E82" i="7"/>
  <c r="D82" i="7" s="1"/>
  <c r="AA81" i="7"/>
  <c r="Z81" i="7"/>
  <c r="Y81" i="7"/>
  <c r="X81" i="7"/>
  <c r="AB81" i="7" s="1"/>
  <c r="W81" i="7"/>
  <c r="V81" i="7"/>
  <c r="U81" i="7"/>
  <c r="T81" i="7"/>
  <c r="S81" i="7"/>
  <c r="R81" i="7"/>
  <c r="Q81" i="7"/>
  <c r="O81" i="7"/>
  <c r="L81" i="7"/>
  <c r="J81" i="7" s="1"/>
  <c r="I81" i="7"/>
  <c r="H81" i="7"/>
  <c r="N81" i="7" s="1"/>
  <c r="G81" i="7"/>
  <c r="P81" i="7" s="1"/>
  <c r="F81" i="7"/>
  <c r="E81" i="7"/>
  <c r="D81" i="7" s="1"/>
  <c r="AB80" i="7"/>
  <c r="AA80" i="7"/>
  <c r="Z80" i="7"/>
  <c r="Y80" i="7"/>
  <c r="X80" i="7"/>
  <c r="V80" i="7"/>
  <c r="U80" i="7"/>
  <c r="W80" i="7" s="1"/>
  <c r="T80" i="7"/>
  <c r="S80" i="7"/>
  <c r="R80" i="7"/>
  <c r="P80" i="7"/>
  <c r="O80" i="7"/>
  <c r="L80" i="7"/>
  <c r="J80" i="7"/>
  <c r="I80" i="7"/>
  <c r="Q80" i="7" s="1"/>
  <c r="H80" i="7"/>
  <c r="N80" i="7" s="1"/>
  <c r="G80" i="7"/>
  <c r="F80" i="7"/>
  <c r="E80" i="7"/>
  <c r="D80" i="7"/>
  <c r="AA79" i="7"/>
  <c r="Y79" i="7"/>
  <c r="X79" i="7"/>
  <c r="V79" i="7"/>
  <c r="U79" i="7"/>
  <c r="W79" i="7" s="1"/>
  <c r="S79" i="7"/>
  <c r="R79" i="7"/>
  <c r="T79" i="7" s="1"/>
  <c r="P79" i="7"/>
  <c r="O79" i="7"/>
  <c r="L79" i="7"/>
  <c r="J79" i="7" s="1"/>
  <c r="I79" i="7"/>
  <c r="Q79" i="7" s="1"/>
  <c r="H79" i="7"/>
  <c r="N79" i="7" s="1"/>
  <c r="G79" i="7"/>
  <c r="F79" i="7"/>
  <c r="E79" i="7"/>
  <c r="D79" i="7" s="1"/>
  <c r="AA78" i="7"/>
  <c r="Z78" i="7"/>
  <c r="Y78" i="7"/>
  <c r="X78" i="7"/>
  <c r="AB78" i="7" s="1"/>
  <c r="W78" i="7"/>
  <c r="V78" i="7"/>
  <c r="U78" i="7"/>
  <c r="T78" i="7"/>
  <c r="S78" i="7"/>
  <c r="R78" i="7"/>
  <c r="Q78" i="7"/>
  <c r="O78" i="7"/>
  <c r="L78" i="7"/>
  <c r="J78" i="7" s="1"/>
  <c r="I78" i="7"/>
  <c r="H78" i="7"/>
  <c r="N78" i="7" s="1"/>
  <c r="G78" i="7"/>
  <c r="P78" i="7" s="1"/>
  <c r="F78" i="7"/>
  <c r="E78" i="7"/>
  <c r="D78" i="7" s="1"/>
  <c r="AB77" i="7"/>
  <c r="AA77" i="7"/>
  <c r="Z77" i="7"/>
  <c r="Y77" i="7"/>
  <c r="X77" i="7"/>
  <c r="V77" i="7"/>
  <c r="U77" i="7"/>
  <c r="W77" i="7" s="1"/>
  <c r="T77" i="7"/>
  <c r="S77" i="7"/>
  <c r="R77" i="7"/>
  <c r="P77" i="7"/>
  <c r="O77" i="7"/>
  <c r="L77" i="7"/>
  <c r="J77" i="7"/>
  <c r="I77" i="7"/>
  <c r="Q77" i="7" s="1"/>
  <c r="H77" i="7"/>
  <c r="N77" i="7" s="1"/>
  <c r="G77" i="7"/>
  <c r="F77" i="7"/>
  <c r="E77" i="7"/>
  <c r="D77" i="7"/>
  <c r="AA76" i="7"/>
  <c r="AA74" i="7" s="1"/>
  <c r="Y76" i="7"/>
  <c r="X76" i="7"/>
  <c r="V76" i="7"/>
  <c r="U76" i="7"/>
  <c r="W76" i="7" s="1"/>
  <c r="S76" i="7"/>
  <c r="R76" i="7"/>
  <c r="T76" i="7" s="1"/>
  <c r="P76" i="7"/>
  <c r="O76" i="7"/>
  <c r="O74" i="7" s="1"/>
  <c r="L76" i="7"/>
  <c r="J76" i="7" s="1"/>
  <c r="I76" i="7"/>
  <c r="Q76" i="7" s="1"/>
  <c r="H76" i="7"/>
  <c r="N76" i="7" s="1"/>
  <c r="G76" i="7"/>
  <c r="F76" i="7"/>
  <c r="E76" i="7"/>
  <c r="D76" i="7" s="1"/>
  <c r="AA75" i="7"/>
  <c r="Z75" i="7"/>
  <c r="Y75" i="7"/>
  <c r="X75" i="7"/>
  <c r="AB75" i="7" s="1"/>
  <c r="W75" i="7"/>
  <c r="V75" i="7"/>
  <c r="U75" i="7"/>
  <c r="T75" i="7"/>
  <c r="S75" i="7"/>
  <c r="R75" i="7"/>
  <c r="Q75" i="7"/>
  <c r="O75" i="7"/>
  <c r="L75" i="7"/>
  <c r="J75" i="7" s="1"/>
  <c r="I75" i="7"/>
  <c r="H75" i="7"/>
  <c r="G75" i="7"/>
  <c r="P75" i="7" s="1"/>
  <c r="F75" i="7"/>
  <c r="F74" i="7" s="1"/>
  <c r="E75" i="7"/>
  <c r="D75" i="7" s="1"/>
  <c r="Y74" i="7"/>
  <c r="V74" i="7"/>
  <c r="S74" i="7"/>
  <c r="P74" i="7"/>
  <c r="G74" i="7"/>
  <c r="D74" i="7"/>
  <c r="AA73" i="7"/>
  <c r="Y73" i="7"/>
  <c r="X73" i="7"/>
  <c r="V73" i="7"/>
  <c r="U73" i="7"/>
  <c r="W73" i="7" s="1"/>
  <c r="S73" i="7"/>
  <c r="R73" i="7"/>
  <c r="T73" i="7" s="1"/>
  <c r="P73" i="7"/>
  <c r="O73" i="7"/>
  <c r="L73" i="7"/>
  <c r="J73" i="7" s="1"/>
  <c r="I73" i="7"/>
  <c r="Q73" i="7" s="1"/>
  <c r="H73" i="7"/>
  <c r="N73" i="7" s="1"/>
  <c r="G73" i="7"/>
  <c r="F73" i="7"/>
  <c r="E73" i="7"/>
  <c r="D73" i="7" s="1"/>
  <c r="AA72" i="7"/>
  <c r="Z72" i="7"/>
  <c r="Y72" i="7"/>
  <c r="X72" i="7"/>
  <c r="AB72" i="7" s="1"/>
  <c r="W72" i="7"/>
  <c r="V72" i="7"/>
  <c r="U72" i="7"/>
  <c r="T72" i="7"/>
  <c r="S72" i="7"/>
  <c r="R72" i="7"/>
  <c r="Q72" i="7"/>
  <c r="O72" i="7"/>
  <c r="L72" i="7"/>
  <c r="J72" i="7" s="1"/>
  <c r="I72" i="7"/>
  <c r="H72" i="7"/>
  <c r="N72" i="7" s="1"/>
  <c r="G72" i="7"/>
  <c r="P72" i="7" s="1"/>
  <c r="F72" i="7"/>
  <c r="E72" i="7"/>
  <c r="D72" i="7" s="1"/>
  <c r="AB71" i="7"/>
  <c r="AA71" i="7"/>
  <c r="Z71" i="7"/>
  <c r="Y71" i="7"/>
  <c r="X71" i="7"/>
  <c r="V71" i="7"/>
  <c r="U71" i="7"/>
  <c r="W71" i="7" s="1"/>
  <c r="T71" i="7"/>
  <c r="S71" i="7"/>
  <c r="R71" i="7"/>
  <c r="P71" i="7"/>
  <c r="O71" i="7"/>
  <c r="L71" i="7"/>
  <c r="J71" i="7"/>
  <c r="I71" i="7"/>
  <c r="Q71" i="7" s="1"/>
  <c r="H71" i="7"/>
  <c r="N71" i="7" s="1"/>
  <c r="G71" i="7"/>
  <c r="F71" i="7"/>
  <c r="E71" i="7"/>
  <c r="D71" i="7"/>
  <c r="AA70" i="7"/>
  <c r="Y70" i="7"/>
  <c r="X70" i="7"/>
  <c r="V70" i="7"/>
  <c r="U70" i="7"/>
  <c r="W70" i="7" s="1"/>
  <c r="S70" i="7"/>
  <c r="R70" i="7"/>
  <c r="T70" i="7" s="1"/>
  <c r="P70" i="7"/>
  <c r="O70" i="7"/>
  <c r="L70" i="7"/>
  <c r="J70" i="7" s="1"/>
  <c r="I70" i="7"/>
  <c r="Q70" i="7" s="1"/>
  <c r="H70" i="7"/>
  <c r="N70" i="7" s="1"/>
  <c r="G70" i="7"/>
  <c r="F70" i="7"/>
  <c r="E70" i="7"/>
  <c r="D70" i="7" s="1"/>
  <c r="AA69" i="7"/>
  <c r="Z69" i="7"/>
  <c r="Y69" i="7"/>
  <c r="X69" i="7"/>
  <c r="AB69" i="7" s="1"/>
  <c r="W69" i="7"/>
  <c r="V69" i="7"/>
  <c r="U69" i="7"/>
  <c r="T69" i="7"/>
  <c r="S69" i="7"/>
  <c r="R69" i="7"/>
  <c r="Q69" i="7"/>
  <c r="O69" i="7"/>
  <c r="L69" i="7"/>
  <c r="J69" i="7" s="1"/>
  <c r="I69" i="7"/>
  <c r="H69" i="7"/>
  <c r="N69" i="7" s="1"/>
  <c r="G69" i="7"/>
  <c r="P69" i="7" s="1"/>
  <c r="F69" i="7"/>
  <c r="E69" i="7"/>
  <c r="D69" i="7" s="1"/>
  <c r="AB68" i="7"/>
  <c r="AA68" i="7"/>
  <c r="Z68" i="7"/>
  <c r="Y68" i="7"/>
  <c r="X68" i="7"/>
  <c r="V68" i="7"/>
  <c r="U68" i="7"/>
  <c r="W68" i="7" s="1"/>
  <c r="T68" i="7"/>
  <c r="S68" i="7"/>
  <c r="R68" i="7"/>
  <c r="P68" i="7"/>
  <c r="O68" i="7"/>
  <c r="L68" i="7"/>
  <c r="J68" i="7"/>
  <c r="I68" i="7"/>
  <c r="Q68" i="7" s="1"/>
  <c r="H68" i="7"/>
  <c r="N68" i="7" s="1"/>
  <c r="G68" i="7"/>
  <c r="F68" i="7"/>
  <c r="E68" i="7"/>
  <c r="D68" i="7"/>
  <c r="AA67" i="7"/>
  <c r="Y67" i="7"/>
  <c r="X67" i="7"/>
  <c r="V67" i="7"/>
  <c r="U67" i="7"/>
  <c r="W67" i="7" s="1"/>
  <c r="S67" i="7"/>
  <c r="R67" i="7"/>
  <c r="T67" i="7" s="1"/>
  <c r="P67" i="7"/>
  <c r="O67" i="7"/>
  <c r="L67" i="7"/>
  <c r="J67" i="7" s="1"/>
  <c r="I67" i="7"/>
  <c r="Q67" i="7" s="1"/>
  <c r="H67" i="7"/>
  <c r="N67" i="7" s="1"/>
  <c r="G67" i="7"/>
  <c r="F67" i="7"/>
  <c r="E67" i="7"/>
  <c r="D67" i="7" s="1"/>
  <c r="AA66" i="7"/>
  <c r="Z66" i="7"/>
  <c r="Y66" i="7"/>
  <c r="X66" i="7"/>
  <c r="AB66" i="7" s="1"/>
  <c r="W66" i="7"/>
  <c r="V66" i="7"/>
  <c r="U66" i="7"/>
  <c r="T66" i="7"/>
  <c r="S66" i="7"/>
  <c r="R66" i="7"/>
  <c r="Q66" i="7"/>
  <c r="O66" i="7"/>
  <c r="L66" i="7"/>
  <c r="J66" i="7" s="1"/>
  <c r="I66" i="7"/>
  <c r="H66" i="7"/>
  <c r="N66" i="7" s="1"/>
  <c r="G66" i="7"/>
  <c r="P66" i="7" s="1"/>
  <c r="F66" i="7"/>
  <c r="E66" i="7"/>
  <c r="D66" i="7" s="1"/>
  <c r="AB65" i="7"/>
  <c r="AA65" i="7"/>
  <c r="Z65" i="7"/>
  <c r="Y65" i="7"/>
  <c r="X65" i="7"/>
  <c r="V65" i="7"/>
  <c r="U65" i="7"/>
  <c r="W65" i="7" s="1"/>
  <c r="T65" i="7"/>
  <c r="S65" i="7"/>
  <c r="R65" i="7"/>
  <c r="P65" i="7"/>
  <c r="O65" i="7"/>
  <c r="L65" i="7"/>
  <c r="J65" i="7"/>
  <c r="I65" i="7"/>
  <c r="Q65" i="7" s="1"/>
  <c r="H65" i="7"/>
  <c r="N65" i="7" s="1"/>
  <c r="G65" i="7"/>
  <c r="F65" i="7"/>
  <c r="E65" i="7"/>
  <c r="D65" i="7"/>
  <c r="AA64" i="7"/>
  <c r="Y64" i="7"/>
  <c r="X64" i="7"/>
  <c r="V64" i="7"/>
  <c r="U64" i="7"/>
  <c r="W64" i="7" s="1"/>
  <c r="S64" i="7"/>
  <c r="R64" i="7"/>
  <c r="T64" i="7" s="1"/>
  <c r="P64" i="7"/>
  <c r="O64" i="7"/>
  <c r="L64" i="7"/>
  <c r="J64" i="7" s="1"/>
  <c r="I64" i="7"/>
  <c r="Q64" i="7" s="1"/>
  <c r="H64" i="7"/>
  <c r="N64" i="7" s="1"/>
  <c r="G64" i="7"/>
  <c r="F64" i="7"/>
  <c r="E64" i="7"/>
  <c r="D64" i="7" s="1"/>
  <c r="AA63" i="7"/>
  <c r="Z63" i="7"/>
  <c r="Y63" i="7"/>
  <c r="X63" i="7"/>
  <c r="AB63" i="7" s="1"/>
  <c r="W63" i="7"/>
  <c r="V63" i="7"/>
  <c r="U63" i="7"/>
  <c r="T63" i="7"/>
  <c r="S63" i="7"/>
  <c r="R63" i="7"/>
  <c r="Q63" i="7"/>
  <c r="O63" i="7"/>
  <c r="L63" i="7"/>
  <c r="J63" i="7" s="1"/>
  <c r="I63" i="7"/>
  <c r="H63" i="7"/>
  <c r="N63" i="7" s="1"/>
  <c r="G63" i="7"/>
  <c r="P63" i="7" s="1"/>
  <c r="F63" i="7"/>
  <c r="E63" i="7"/>
  <c r="D63" i="7" s="1"/>
  <c r="AB62" i="7"/>
  <c r="AA62" i="7"/>
  <c r="Z62" i="7"/>
  <c r="Y62" i="7"/>
  <c r="X62" i="7"/>
  <c r="V62" i="7"/>
  <c r="U62" i="7"/>
  <c r="W62" i="7" s="1"/>
  <c r="T62" i="7"/>
  <c r="S62" i="7"/>
  <c r="R62" i="7"/>
  <c r="P62" i="7"/>
  <c r="O62" i="7"/>
  <c r="L62" i="7"/>
  <c r="J62" i="7"/>
  <c r="I62" i="7"/>
  <c r="Q62" i="7" s="1"/>
  <c r="H62" i="7"/>
  <c r="N62" i="7" s="1"/>
  <c r="G62" i="7"/>
  <c r="F62" i="7"/>
  <c r="E62" i="7"/>
  <c r="D62" i="7"/>
  <c r="AA61" i="7"/>
  <c r="Y61" i="7"/>
  <c r="X61" i="7"/>
  <c r="V61" i="7"/>
  <c r="U61" i="7"/>
  <c r="W61" i="7" s="1"/>
  <c r="S61" i="7"/>
  <c r="R61" i="7"/>
  <c r="T61" i="7" s="1"/>
  <c r="P61" i="7"/>
  <c r="O61" i="7"/>
  <c r="L61" i="7"/>
  <c r="J61" i="7" s="1"/>
  <c r="I61" i="7"/>
  <c r="Q61" i="7" s="1"/>
  <c r="H61" i="7"/>
  <c r="N61" i="7" s="1"/>
  <c r="G61" i="7"/>
  <c r="F61" i="7"/>
  <c r="E61" i="7"/>
  <c r="D61" i="7" s="1"/>
  <c r="AA60" i="7"/>
  <c r="Z60" i="7"/>
  <c r="Y60" i="7"/>
  <c r="X60" i="7"/>
  <c r="AB60" i="7" s="1"/>
  <c r="W60" i="7"/>
  <c r="V60" i="7"/>
  <c r="U60" i="7"/>
  <c r="T60" i="7"/>
  <c r="S60" i="7"/>
  <c r="R60" i="7"/>
  <c r="Q60" i="7"/>
  <c r="O60" i="7"/>
  <c r="L60" i="7"/>
  <c r="J60" i="7" s="1"/>
  <c r="I60" i="7"/>
  <c r="H60" i="7"/>
  <c r="N60" i="7" s="1"/>
  <c r="G60" i="7"/>
  <c r="P60" i="7" s="1"/>
  <c r="F60" i="7"/>
  <c r="E60" i="7"/>
  <c r="D60" i="7" s="1"/>
  <c r="AB59" i="7"/>
  <c r="AA59" i="7"/>
  <c r="Z59" i="7"/>
  <c r="Y59" i="7"/>
  <c r="X59" i="7"/>
  <c r="V59" i="7"/>
  <c r="U59" i="7"/>
  <c r="W59" i="7" s="1"/>
  <c r="T59" i="7"/>
  <c r="S59" i="7"/>
  <c r="R59" i="7"/>
  <c r="P59" i="7"/>
  <c r="O59" i="7"/>
  <c r="L59" i="7"/>
  <c r="J59" i="7"/>
  <c r="I59" i="7"/>
  <c r="Q59" i="7" s="1"/>
  <c r="H59" i="7"/>
  <c r="N59" i="7" s="1"/>
  <c r="G59" i="7"/>
  <c r="F59" i="7"/>
  <c r="E59" i="7"/>
  <c r="D59" i="7"/>
  <c r="AA58" i="7"/>
  <c r="Y58" i="7"/>
  <c r="X58" i="7"/>
  <c r="V58" i="7"/>
  <c r="U58" i="7"/>
  <c r="W58" i="7" s="1"/>
  <c r="S58" i="7"/>
  <c r="R58" i="7"/>
  <c r="T58" i="7" s="1"/>
  <c r="P58" i="7"/>
  <c r="O58" i="7"/>
  <c r="L58" i="7"/>
  <c r="J58" i="7" s="1"/>
  <c r="I58" i="7"/>
  <c r="Q58" i="7" s="1"/>
  <c r="H58" i="7"/>
  <c r="N58" i="7" s="1"/>
  <c r="G58" i="7"/>
  <c r="F58" i="7"/>
  <c r="E58" i="7"/>
  <c r="D58" i="7" s="1"/>
  <c r="AA57" i="7"/>
  <c r="Z57" i="7"/>
  <c r="Y57" i="7"/>
  <c r="X57" i="7"/>
  <c r="AB57" i="7" s="1"/>
  <c r="W57" i="7"/>
  <c r="V57" i="7"/>
  <c r="U57" i="7"/>
  <c r="T57" i="7"/>
  <c r="S57" i="7"/>
  <c r="R57" i="7"/>
  <c r="Q57" i="7"/>
  <c r="O57" i="7"/>
  <c r="L57" i="7"/>
  <c r="J57" i="7" s="1"/>
  <c r="I57" i="7"/>
  <c r="H57" i="7"/>
  <c r="N57" i="7" s="1"/>
  <c r="G57" i="7"/>
  <c r="P57" i="7" s="1"/>
  <c r="F57" i="7"/>
  <c r="E57" i="7"/>
  <c r="D57" i="7" s="1"/>
  <c r="AB56" i="7"/>
  <c r="AA56" i="7"/>
  <c r="Z56" i="7"/>
  <c r="Y56" i="7"/>
  <c r="X56" i="7"/>
  <c r="V56" i="7"/>
  <c r="U56" i="7"/>
  <c r="W56" i="7" s="1"/>
  <c r="T56" i="7"/>
  <c r="S56" i="7"/>
  <c r="R56" i="7"/>
  <c r="P56" i="7"/>
  <c r="O56" i="7"/>
  <c r="L56" i="7"/>
  <c r="J56" i="7"/>
  <c r="I56" i="7"/>
  <c r="Q56" i="7" s="1"/>
  <c r="H56" i="7"/>
  <c r="N56" i="7" s="1"/>
  <c r="G56" i="7"/>
  <c r="F56" i="7"/>
  <c r="E56" i="7"/>
  <c r="D56" i="7"/>
  <c r="AA55" i="7"/>
  <c r="Y55" i="7"/>
  <c r="X55" i="7"/>
  <c r="V55" i="7"/>
  <c r="U55" i="7"/>
  <c r="W55" i="7" s="1"/>
  <c r="S55" i="7"/>
  <c r="R55" i="7"/>
  <c r="P55" i="7"/>
  <c r="O55" i="7"/>
  <c r="L55" i="7"/>
  <c r="J55" i="7" s="1"/>
  <c r="I55" i="7"/>
  <c r="Q55" i="7" s="1"/>
  <c r="H55" i="7"/>
  <c r="N55" i="7" s="1"/>
  <c r="G55" i="7"/>
  <c r="F55" i="7"/>
  <c r="E55" i="7"/>
  <c r="D55" i="7" s="1"/>
  <c r="AA54" i="7"/>
  <c r="Z54" i="7"/>
  <c r="Y54" i="7"/>
  <c r="X54" i="7"/>
  <c r="AB54" i="7" s="1"/>
  <c r="W54" i="7"/>
  <c r="V54" i="7"/>
  <c r="U54" i="7"/>
  <c r="T54" i="7"/>
  <c r="S54" i="7"/>
  <c r="R54" i="7"/>
  <c r="Q54" i="7"/>
  <c r="O54" i="7"/>
  <c r="L54" i="7"/>
  <c r="J54" i="7" s="1"/>
  <c r="I54" i="7"/>
  <c r="H54" i="7"/>
  <c r="N54" i="7" s="1"/>
  <c r="G54" i="7"/>
  <c r="P54" i="7" s="1"/>
  <c r="F54" i="7"/>
  <c r="E54" i="7"/>
  <c r="E52" i="7" s="1"/>
  <c r="AB53" i="7"/>
  <c r="AA53" i="7"/>
  <c r="Z53" i="7"/>
  <c r="Y53" i="7"/>
  <c r="Y52" i="7" s="1"/>
  <c r="X53" i="7"/>
  <c r="V53" i="7"/>
  <c r="V52" i="7" s="1"/>
  <c r="U53" i="7"/>
  <c r="W53" i="7" s="1"/>
  <c r="T53" i="7"/>
  <c r="S53" i="7"/>
  <c r="S52" i="7" s="1"/>
  <c r="R53" i="7"/>
  <c r="P53" i="7"/>
  <c r="O53" i="7"/>
  <c r="L53" i="7"/>
  <c r="J53" i="7"/>
  <c r="I53" i="7"/>
  <c r="Q53" i="7" s="1"/>
  <c r="H53" i="7"/>
  <c r="N53" i="7" s="1"/>
  <c r="G53" i="7"/>
  <c r="G52" i="7" s="1"/>
  <c r="P52" i="7" s="1"/>
  <c r="F53" i="7"/>
  <c r="E53" i="7"/>
  <c r="D53" i="7"/>
  <c r="AA52" i="7"/>
  <c r="U52" i="7"/>
  <c r="W52" i="7" s="1"/>
  <c r="O52" i="7"/>
  <c r="L52" i="7"/>
  <c r="J52" i="7" s="1"/>
  <c r="I52" i="7"/>
  <c r="Q52" i="7" s="1"/>
  <c r="F52" i="7"/>
  <c r="AA51" i="7"/>
  <c r="Z51" i="7"/>
  <c r="Y51" i="7"/>
  <c r="X51" i="7"/>
  <c r="AB51" i="7" s="1"/>
  <c r="W51" i="7"/>
  <c r="V51" i="7"/>
  <c r="U51" i="7"/>
  <c r="T51" i="7"/>
  <c r="S51" i="7"/>
  <c r="R51" i="7"/>
  <c r="Q51" i="7"/>
  <c r="O51" i="7"/>
  <c r="L51" i="7"/>
  <c r="J51" i="7" s="1"/>
  <c r="I51" i="7"/>
  <c r="H51" i="7"/>
  <c r="N51" i="7" s="1"/>
  <c r="G51" i="7"/>
  <c r="P51" i="7" s="1"/>
  <c r="F51" i="7"/>
  <c r="E51" i="7"/>
  <c r="D51" i="7" s="1"/>
  <c r="AB50" i="7"/>
  <c r="AA50" i="7"/>
  <c r="Z50" i="7"/>
  <c r="Y50" i="7"/>
  <c r="X50" i="7"/>
  <c r="V50" i="7"/>
  <c r="U50" i="7"/>
  <c r="W50" i="7" s="1"/>
  <c r="T50" i="7"/>
  <c r="S50" i="7"/>
  <c r="R50" i="7"/>
  <c r="P50" i="7"/>
  <c r="O50" i="7"/>
  <c r="L50" i="7"/>
  <c r="J50" i="7"/>
  <c r="I50" i="7"/>
  <c r="Q50" i="7" s="1"/>
  <c r="H50" i="7"/>
  <c r="N50" i="7" s="1"/>
  <c r="G50" i="7"/>
  <c r="F50" i="7"/>
  <c r="E50" i="7"/>
  <c r="D50" i="7"/>
  <c r="AA49" i="7"/>
  <c r="Y49" i="7"/>
  <c r="X49" i="7"/>
  <c r="V49" i="7"/>
  <c r="U49" i="7"/>
  <c r="W49" i="7" s="1"/>
  <c r="S49" i="7"/>
  <c r="R49" i="7"/>
  <c r="T49" i="7" s="1"/>
  <c r="P49" i="7"/>
  <c r="O49" i="7"/>
  <c r="L49" i="7"/>
  <c r="J49" i="7" s="1"/>
  <c r="I49" i="7"/>
  <c r="Q49" i="7" s="1"/>
  <c r="H49" i="7"/>
  <c r="N49" i="7" s="1"/>
  <c r="G49" i="7"/>
  <c r="F49" i="7"/>
  <c r="E49" i="7"/>
  <c r="AA48" i="7"/>
  <c r="Z48" i="7"/>
  <c r="Y48" i="7"/>
  <c r="X48" i="7"/>
  <c r="AB48" i="7" s="1"/>
  <c r="W48" i="7"/>
  <c r="V48" i="7"/>
  <c r="U48" i="7"/>
  <c r="T48" i="7"/>
  <c r="S48" i="7"/>
  <c r="R48" i="7"/>
  <c r="Q48" i="7"/>
  <c r="O48" i="7"/>
  <c r="L48" i="7"/>
  <c r="J48" i="7" s="1"/>
  <c r="I48" i="7"/>
  <c r="H48" i="7"/>
  <c r="N48" i="7" s="1"/>
  <c r="G48" i="7"/>
  <c r="P48" i="7" s="1"/>
  <c r="F48" i="7"/>
  <c r="E48" i="7"/>
  <c r="D48" i="7" s="1"/>
  <c r="AB47" i="7"/>
  <c r="AA47" i="7"/>
  <c r="Z47" i="7"/>
  <c r="Y47" i="7"/>
  <c r="X47" i="7"/>
  <c r="V47" i="7"/>
  <c r="U47" i="7"/>
  <c r="W47" i="7" s="1"/>
  <c r="T47" i="7"/>
  <c r="S47" i="7"/>
  <c r="R47" i="7"/>
  <c r="P47" i="7"/>
  <c r="O47" i="7"/>
  <c r="L47" i="7"/>
  <c r="J47" i="7"/>
  <c r="I47" i="7"/>
  <c r="Q47" i="7" s="1"/>
  <c r="H47" i="7"/>
  <c r="N47" i="7" s="1"/>
  <c r="G47" i="7"/>
  <c r="F47" i="7"/>
  <c r="E47" i="7"/>
  <c r="D47" i="7"/>
  <c r="AA46" i="7"/>
  <c r="Y46" i="7"/>
  <c r="X46" i="7"/>
  <c r="V46" i="7"/>
  <c r="U46" i="7"/>
  <c r="W46" i="7" s="1"/>
  <c r="S46" i="7"/>
  <c r="R46" i="7"/>
  <c r="T46" i="7" s="1"/>
  <c r="P46" i="7"/>
  <c r="O46" i="7"/>
  <c r="L46" i="7"/>
  <c r="J46" i="7" s="1"/>
  <c r="I46" i="7"/>
  <c r="Q46" i="7" s="1"/>
  <c r="H46" i="7"/>
  <c r="G46" i="7"/>
  <c r="F46" i="7"/>
  <c r="E46" i="7"/>
  <c r="AA45" i="7"/>
  <c r="Z45" i="7"/>
  <c r="Y45" i="7"/>
  <c r="X45" i="7"/>
  <c r="AB45" i="7" s="1"/>
  <c r="W45" i="7"/>
  <c r="V45" i="7"/>
  <c r="U45" i="7"/>
  <c r="T45" i="7"/>
  <c r="S45" i="7"/>
  <c r="R45" i="7"/>
  <c r="Q45" i="7"/>
  <c r="O45" i="7"/>
  <c r="L45" i="7"/>
  <c r="J45" i="7" s="1"/>
  <c r="I45" i="7"/>
  <c r="H45" i="7"/>
  <c r="N45" i="7" s="1"/>
  <c r="G45" i="7"/>
  <c r="P45" i="7" s="1"/>
  <c r="F45" i="7"/>
  <c r="E45" i="7"/>
  <c r="D45" i="7" s="1"/>
  <c r="AB44" i="7"/>
  <c r="AA44" i="7"/>
  <c r="Z44" i="7"/>
  <c r="Y44" i="7"/>
  <c r="X44" i="7"/>
  <c r="V44" i="7"/>
  <c r="U44" i="7"/>
  <c r="W44" i="7" s="1"/>
  <c r="T44" i="7"/>
  <c r="S44" i="7"/>
  <c r="R44" i="7"/>
  <c r="P44" i="7"/>
  <c r="O44" i="7"/>
  <c r="L44" i="7"/>
  <c r="J44" i="7"/>
  <c r="I44" i="7"/>
  <c r="Q44" i="7" s="1"/>
  <c r="H44" i="7"/>
  <c r="N44" i="7" s="1"/>
  <c r="G44" i="7"/>
  <c r="F44" i="7"/>
  <c r="E44" i="7"/>
  <c r="D44" i="7"/>
  <c r="AA43" i="7"/>
  <c r="Y43" i="7"/>
  <c r="X43" i="7"/>
  <c r="V43" i="7"/>
  <c r="U43" i="7"/>
  <c r="W43" i="7" s="1"/>
  <c r="S43" i="7"/>
  <c r="R43" i="7"/>
  <c r="T43" i="7" s="1"/>
  <c r="P43" i="7"/>
  <c r="O43" i="7"/>
  <c r="L43" i="7"/>
  <c r="J43" i="7" s="1"/>
  <c r="I43" i="7"/>
  <c r="Q43" i="7" s="1"/>
  <c r="H43" i="7"/>
  <c r="N43" i="7" s="1"/>
  <c r="G43" i="7"/>
  <c r="F43" i="7"/>
  <c r="E43" i="7"/>
  <c r="AA42" i="7"/>
  <c r="Z42" i="7"/>
  <c r="Y42" i="7"/>
  <c r="X42" i="7"/>
  <c r="AB42" i="7" s="1"/>
  <c r="W42" i="7"/>
  <c r="V42" i="7"/>
  <c r="U42" i="7"/>
  <c r="T42" i="7"/>
  <c r="S42" i="7"/>
  <c r="R42" i="7"/>
  <c r="Q42" i="7"/>
  <c r="O42" i="7"/>
  <c r="L42" i="7"/>
  <c r="J42" i="7" s="1"/>
  <c r="I42" i="7"/>
  <c r="H42" i="7"/>
  <c r="N42" i="7" s="1"/>
  <c r="G42" i="7"/>
  <c r="P42" i="7" s="1"/>
  <c r="F42" i="7"/>
  <c r="E42" i="7"/>
  <c r="D42" i="7" s="1"/>
  <c r="AB41" i="7"/>
  <c r="AA41" i="7"/>
  <c r="Z41" i="7"/>
  <c r="Y41" i="7"/>
  <c r="X41" i="7"/>
  <c r="V41" i="7"/>
  <c r="U41" i="7"/>
  <c r="W41" i="7" s="1"/>
  <c r="T41" i="7"/>
  <c r="S41" i="7"/>
  <c r="R41" i="7"/>
  <c r="P41" i="7"/>
  <c r="O41" i="7"/>
  <c r="L41" i="7"/>
  <c r="J41" i="7"/>
  <c r="I41" i="7"/>
  <c r="Q41" i="7" s="1"/>
  <c r="H41" i="7"/>
  <c r="N41" i="7" s="1"/>
  <c r="G41" i="7"/>
  <c r="F41" i="7"/>
  <c r="E41" i="7"/>
  <c r="D41" i="7"/>
  <c r="AA40" i="7"/>
  <c r="Y40" i="7"/>
  <c r="X40" i="7"/>
  <c r="V40" i="7"/>
  <c r="U40" i="7"/>
  <c r="W40" i="7" s="1"/>
  <c r="S40" i="7"/>
  <c r="R40" i="7"/>
  <c r="T40" i="7" s="1"/>
  <c r="P40" i="7"/>
  <c r="O40" i="7"/>
  <c r="L40" i="7"/>
  <c r="J40" i="7" s="1"/>
  <c r="I40" i="7"/>
  <c r="Q40" i="7" s="1"/>
  <c r="H40" i="7"/>
  <c r="N40" i="7" s="1"/>
  <c r="G40" i="7"/>
  <c r="F40" i="7"/>
  <c r="E40" i="7"/>
  <c r="AA39" i="7"/>
  <c r="Z39" i="7"/>
  <c r="Y39" i="7"/>
  <c r="X39" i="7"/>
  <c r="AB39" i="7" s="1"/>
  <c r="W39" i="7"/>
  <c r="V39" i="7"/>
  <c r="U39" i="7"/>
  <c r="T39" i="7"/>
  <c r="S39" i="7"/>
  <c r="R39" i="7"/>
  <c r="Q39" i="7"/>
  <c r="O39" i="7"/>
  <c r="L39" i="7"/>
  <c r="J39" i="7" s="1"/>
  <c r="I39" i="7"/>
  <c r="H39" i="7"/>
  <c r="N39" i="7" s="1"/>
  <c r="G39" i="7"/>
  <c r="P39" i="7" s="1"/>
  <c r="F39" i="7"/>
  <c r="E39" i="7"/>
  <c r="D39" i="7" s="1"/>
  <c r="AB38" i="7"/>
  <c r="AA38" i="7"/>
  <c r="Z38" i="7"/>
  <c r="Y38" i="7"/>
  <c r="X38" i="7"/>
  <c r="V38" i="7"/>
  <c r="U38" i="7"/>
  <c r="W38" i="7" s="1"/>
  <c r="T38" i="7"/>
  <c r="S38" i="7"/>
  <c r="R38" i="7"/>
  <c r="P38" i="7"/>
  <c r="O38" i="7"/>
  <c r="L38" i="7"/>
  <c r="J38" i="7"/>
  <c r="I38" i="7"/>
  <c r="Q38" i="7" s="1"/>
  <c r="H38" i="7"/>
  <c r="N38" i="7" s="1"/>
  <c r="G38" i="7"/>
  <c r="F38" i="7"/>
  <c r="E38" i="7"/>
  <c r="D38" i="7"/>
  <c r="AA37" i="7"/>
  <c r="Y37" i="7"/>
  <c r="X37" i="7"/>
  <c r="V37" i="7"/>
  <c r="U37" i="7"/>
  <c r="W37" i="7" s="1"/>
  <c r="S37" i="7"/>
  <c r="R37" i="7"/>
  <c r="T37" i="7" s="1"/>
  <c r="P37" i="7"/>
  <c r="O37" i="7"/>
  <c r="L37" i="7"/>
  <c r="J37" i="7" s="1"/>
  <c r="I37" i="7"/>
  <c r="Q37" i="7" s="1"/>
  <c r="H37" i="7"/>
  <c r="N37" i="7" s="1"/>
  <c r="G37" i="7"/>
  <c r="F37" i="7"/>
  <c r="E37" i="7"/>
  <c r="AA36" i="7"/>
  <c r="Z36" i="7"/>
  <c r="Y36" i="7"/>
  <c r="X36" i="7"/>
  <c r="AB36" i="7" s="1"/>
  <c r="W36" i="7"/>
  <c r="V36" i="7"/>
  <c r="U36" i="7"/>
  <c r="T36" i="7"/>
  <c r="S36" i="7"/>
  <c r="R36" i="7"/>
  <c r="Q36" i="7"/>
  <c r="O36" i="7"/>
  <c r="N36" i="7"/>
  <c r="L36" i="7"/>
  <c r="J36" i="7" s="1"/>
  <c r="I36" i="7"/>
  <c r="H36" i="7"/>
  <c r="G36" i="7"/>
  <c r="P36" i="7" s="1"/>
  <c r="F36" i="7"/>
  <c r="E36" i="7"/>
  <c r="D36" i="7" s="1"/>
  <c r="AB35" i="7"/>
  <c r="AA35" i="7"/>
  <c r="Z35" i="7"/>
  <c r="Y35" i="7"/>
  <c r="X35" i="7"/>
  <c r="V35" i="7"/>
  <c r="U35" i="7"/>
  <c r="W35" i="7" s="1"/>
  <c r="T35" i="7"/>
  <c r="S35" i="7"/>
  <c r="R35" i="7"/>
  <c r="O35" i="7"/>
  <c r="M35" i="7"/>
  <c r="L35" i="7"/>
  <c r="J35" i="7"/>
  <c r="I35" i="7"/>
  <c r="Q35" i="7" s="1"/>
  <c r="H35" i="7"/>
  <c r="N35" i="7" s="1"/>
  <c r="G35" i="7"/>
  <c r="P35" i="7" s="1"/>
  <c r="F35" i="7"/>
  <c r="E35" i="7"/>
  <c r="D35" i="7"/>
  <c r="AA34" i="7"/>
  <c r="AA31" i="7" s="1"/>
  <c r="Y34" i="7"/>
  <c r="X34" i="7"/>
  <c r="V34" i="7"/>
  <c r="U34" i="7"/>
  <c r="S34" i="7"/>
  <c r="R34" i="7"/>
  <c r="T34" i="7" s="1"/>
  <c r="P34" i="7"/>
  <c r="O34" i="7"/>
  <c r="O31" i="7" s="1"/>
  <c r="L34" i="7"/>
  <c r="J34" i="7" s="1"/>
  <c r="I34" i="7"/>
  <c r="H34" i="7"/>
  <c r="G34" i="7"/>
  <c r="F34" i="7"/>
  <c r="E34" i="7"/>
  <c r="AA33" i="7"/>
  <c r="Z33" i="7"/>
  <c r="Y33" i="7"/>
  <c r="X33" i="7"/>
  <c r="AB33" i="7" s="1"/>
  <c r="W33" i="7"/>
  <c r="V33" i="7"/>
  <c r="U33" i="7"/>
  <c r="T33" i="7"/>
  <c r="S33" i="7"/>
  <c r="R33" i="7"/>
  <c r="Q33" i="7"/>
  <c r="O33" i="7"/>
  <c r="N33" i="7"/>
  <c r="L33" i="7"/>
  <c r="J33" i="7" s="1"/>
  <c r="I33" i="7"/>
  <c r="H33" i="7"/>
  <c r="G33" i="7"/>
  <c r="P33" i="7" s="1"/>
  <c r="F33" i="7"/>
  <c r="E33" i="7"/>
  <c r="AB32" i="7"/>
  <c r="AA32" i="7"/>
  <c r="Y32" i="7"/>
  <c r="X32" i="7"/>
  <c r="V32" i="7"/>
  <c r="V31" i="7" s="1"/>
  <c r="U32" i="7"/>
  <c r="S32" i="7"/>
  <c r="R32" i="7"/>
  <c r="O32" i="7"/>
  <c r="M32" i="7"/>
  <c r="L32" i="7"/>
  <c r="J32" i="7"/>
  <c r="I32" i="7"/>
  <c r="Q32" i="7" s="1"/>
  <c r="H32" i="7"/>
  <c r="N32" i="7" s="1"/>
  <c r="G32" i="7"/>
  <c r="G31" i="7" s="1"/>
  <c r="P31" i="7" s="1"/>
  <c r="F32" i="7"/>
  <c r="E32" i="7"/>
  <c r="D32" i="7"/>
  <c r="X31" i="7"/>
  <c r="R31" i="7"/>
  <c r="AA30" i="7"/>
  <c r="Z30" i="7"/>
  <c r="Y30" i="7"/>
  <c r="X30" i="7"/>
  <c r="AB30" i="7" s="1"/>
  <c r="W30" i="7"/>
  <c r="V30" i="7"/>
  <c r="U30" i="7"/>
  <c r="T30" i="7"/>
  <c r="S30" i="7"/>
  <c r="R30" i="7"/>
  <c r="Q30" i="7"/>
  <c r="O30" i="7"/>
  <c r="N30" i="7"/>
  <c r="L30" i="7"/>
  <c r="J30" i="7" s="1"/>
  <c r="I30" i="7"/>
  <c r="H30" i="7"/>
  <c r="G30" i="7"/>
  <c r="P30" i="7" s="1"/>
  <c r="F30" i="7"/>
  <c r="E30" i="7"/>
  <c r="D30" i="7" s="1"/>
  <c r="AB29" i="7"/>
  <c r="AA29" i="7"/>
  <c r="Y29" i="7"/>
  <c r="Z29" i="7" s="1"/>
  <c r="X29" i="7"/>
  <c r="V29" i="7"/>
  <c r="U29" i="7"/>
  <c r="S29" i="7"/>
  <c r="T29" i="7" s="1"/>
  <c r="R29" i="7"/>
  <c r="O29" i="7"/>
  <c r="M29" i="7"/>
  <c r="L29" i="7"/>
  <c r="J29" i="7"/>
  <c r="I29" i="7"/>
  <c r="Q29" i="7" s="1"/>
  <c r="H29" i="7"/>
  <c r="N29" i="7" s="1"/>
  <c r="G29" i="7"/>
  <c r="P29" i="7" s="1"/>
  <c r="F29" i="7"/>
  <c r="E29" i="7"/>
  <c r="D29" i="7"/>
  <c r="AA28" i="7"/>
  <c r="Y28" i="7"/>
  <c r="X28" i="7"/>
  <c r="V28" i="7"/>
  <c r="U28" i="7"/>
  <c r="W28" i="7" s="1"/>
  <c r="S28" i="7"/>
  <c r="R28" i="7"/>
  <c r="T28" i="7" s="1"/>
  <c r="P28" i="7"/>
  <c r="O28" i="7"/>
  <c r="L28" i="7"/>
  <c r="J28" i="7" s="1"/>
  <c r="I28" i="7"/>
  <c r="Q28" i="7" s="1"/>
  <c r="H28" i="7"/>
  <c r="G28" i="7"/>
  <c r="F28" i="7"/>
  <c r="E28" i="7"/>
  <c r="D28" i="7" s="1"/>
  <c r="C28" i="7"/>
  <c r="K28" i="7" s="1"/>
  <c r="AA27" i="7"/>
  <c r="Z27" i="7"/>
  <c r="Y27" i="7"/>
  <c r="X27" i="7"/>
  <c r="AB27" i="7" s="1"/>
  <c r="W27" i="7"/>
  <c r="V27" i="7"/>
  <c r="U27" i="7"/>
  <c r="T27" i="7"/>
  <c r="S27" i="7"/>
  <c r="R27" i="7"/>
  <c r="Q27" i="7"/>
  <c r="O27" i="7"/>
  <c r="L27" i="7"/>
  <c r="J27" i="7" s="1"/>
  <c r="I27" i="7"/>
  <c r="H27" i="7"/>
  <c r="N27" i="7" s="1"/>
  <c r="G27" i="7"/>
  <c r="P27" i="7" s="1"/>
  <c r="F27" i="7"/>
  <c r="E27" i="7"/>
  <c r="D27" i="7" s="1"/>
  <c r="AB26" i="7"/>
  <c r="AA26" i="7"/>
  <c r="Y26" i="7"/>
  <c r="Z26" i="7" s="1"/>
  <c r="X26" i="7"/>
  <c r="V26" i="7"/>
  <c r="U26" i="7"/>
  <c r="W26" i="7" s="1"/>
  <c r="S26" i="7"/>
  <c r="T26" i="7" s="1"/>
  <c r="R26" i="7"/>
  <c r="O26" i="7"/>
  <c r="L26" i="7"/>
  <c r="J26" i="7"/>
  <c r="I26" i="7"/>
  <c r="Q26" i="7" s="1"/>
  <c r="H26" i="7"/>
  <c r="N26" i="7" s="1"/>
  <c r="G26" i="7"/>
  <c r="P26" i="7" s="1"/>
  <c r="F26" i="7"/>
  <c r="E26" i="7"/>
  <c r="D26" i="7"/>
  <c r="AA25" i="7"/>
  <c r="Y25" i="7"/>
  <c r="X25" i="7"/>
  <c r="V25" i="7"/>
  <c r="U25" i="7"/>
  <c r="W25" i="7" s="1"/>
  <c r="S25" i="7"/>
  <c r="R25" i="7"/>
  <c r="T25" i="7" s="1"/>
  <c r="P25" i="7"/>
  <c r="O25" i="7"/>
  <c r="L25" i="7"/>
  <c r="I25" i="7"/>
  <c r="Q25" i="7" s="1"/>
  <c r="H25" i="7"/>
  <c r="N25" i="7" s="1"/>
  <c r="G25" i="7"/>
  <c r="F25" i="7"/>
  <c r="E25" i="7"/>
  <c r="D25" i="7" s="1"/>
  <c r="AA24" i="7"/>
  <c r="Z24" i="7"/>
  <c r="Y24" i="7"/>
  <c r="X24" i="7"/>
  <c r="AB24" i="7" s="1"/>
  <c r="W24" i="7"/>
  <c r="V24" i="7"/>
  <c r="U24" i="7"/>
  <c r="T24" i="7"/>
  <c r="S24" i="7"/>
  <c r="R24" i="7"/>
  <c r="Q24" i="7"/>
  <c r="O24" i="7"/>
  <c r="L24" i="7"/>
  <c r="J24" i="7" s="1"/>
  <c r="I24" i="7"/>
  <c r="H24" i="7"/>
  <c r="N24" i="7" s="1"/>
  <c r="G24" i="7"/>
  <c r="P24" i="7" s="1"/>
  <c r="F24" i="7"/>
  <c r="E24" i="7"/>
  <c r="D24" i="7" s="1"/>
  <c r="AB23" i="7"/>
  <c r="AA23" i="7"/>
  <c r="Y23" i="7"/>
  <c r="Z23" i="7" s="1"/>
  <c r="X23" i="7"/>
  <c r="V23" i="7"/>
  <c r="U23" i="7"/>
  <c r="S23" i="7"/>
  <c r="T23" i="7" s="1"/>
  <c r="R23" i="7"/>
  <c r="P23" i="7"/>
  <c r="O23" i="7"/>
  <c r="M23" i="7"/>
  <c r="L23" i="7"/>
  <c r="J23" i="7"/>
  <c r="I23" i="7"/>
  <c r="Q23" i="7" s="1"/>
  <c r="H23" i="7"/>
  <c r="N23" i="7" s="1"/>
  <c r="G23" i="7"/>
  <c r="F23" i="7"/>
  <c r="E23" i="7"/>
  <c r="D23" i="7"/>
  <c r="C23" i="7" s="1"/>
  <c r="K23" i="7" s="1"/>
  <c r="AA22" i="7"/>
  <c r="Y22" i="7"/>
  <c r="X22" i="7"/>
  <c r="V22" i="7"/>
  <c r="U22" i="7"/>
  <c r="W22" i="7" s="1"/>
  <c r="S22" i="7"/>
  <c r="R22" i="7"/>
  <c r="T22" i="7" s="1"/>
  <c r="P22" i="7"/>
  <c r="O22" i="7"/>
  <c r="L22" i="7"/>
  <c r="J22" i="7" s="1"/>
  <c r="I22" i="7"/>
  <c r="Q22" i="7" s="1"/>
  <c r="H22" i="7"/>
  <c r="G22" i="7"/>
  <c r="F22" i="7"/>
  <c r="D22" i="7" s="1"/>
  <c r="E22" i="7"/>
  <c r="AA21" i="7"/>
  <c r="Z21" i="7"/>
  <c r="Y21" i="7"/>
  <c r="X21" i="7"/>
  <c r="AB21" i="7" s="1"/>
  <c r="W21" i="7"/>
  <c r="V21" i="7"/>
  <c r="U21" i="7"/>
  <c r="T21" i="7"/>
  <c r="S21" i="7"/>
  <c r="R21" i="7"/>
  <c r="Q21" i="7"/>
  <c r="O21" i="7"/>
  <c r="L21" i="7"/>
  <c r="J21" i="7" s="1"/>
  <c r="I21" i="7"/>
  <c r="H21" i="7"/>
  <c r="N21" i="7" s="1"/>
  <c r="G21" i="7"/>
  <c r="P21" i="7" s="1"/>
  <c r="F21" i="7"/>
  <c r="E21" i="7"/>
  <c r="D21" i="7" s="1"/>
  <c r="AB20" i="7"/>
  <c r="AA20" i="7"/>
  <c r="Y20" i="7"/>
  <c r="Z20" i="7" s="1"/>
  <c r="X20" i="7"/>
  <c r="V20" i="7"/>
  <c r="U20" i="7"/>
  <c r="W20" i="7" s="1"/>
  <c r="S20" i="7"/>
  <c r="T20" i="7" s="1"/>
  <c r="R20" i="7"/>
  <c r="P20" i="7"/>
  <c r="O20" i="7"/>
  <c r="L20" i="7"/>
  <c r="J20" i="7"/>
  <c r="I20" i="7"/>
  <c r="Q20" i="7" s="1"/>
  <c r="H20" i="7"/>
  <c r="N20" i="7" s="1"/>
  <c r="G20" i="7"/>
  <c r="F20" i="7"/>
  <c r="E20" i="7"/>
  <c r="D20" i="7"/>
  <c r="C20" i="7" s="1"/>
  <c r="K20" i="7" s="1"/>
  <c r="AA19" i="7"/>
  <c r="Y19" i="7"/>
  <c r="X19" i="7"/>
  <c r="V19" i="7"/>
  <c r="U19" i="7"/>
  <c r="W19" i="7" s="1"/>
  <c r="S19" i="7"/>
  <c r="R19" i="7"/>
  <c r="T19" i="7" s="1"/>
  <c r="P19" i="7"/>
  <c r="O19" i="7"/>
  <c r="L19" i="7"/>
  <c r="I19" i="7"/>
  <c r="Q19" i="7" s="1"/>
  <c r="H19" i="7"/>
  <c r="N19" i="7" s="1"/>
  <c r="G19" i="7"/>
  <c r="F19" i="7"/>
  <c r="D19" i="7" s="1"/>
  <c r="E19" i="7"/>
  <c r="AA18" i="7"/>
  <c r="Y18" i="7"/>
  <c r="X18" i="7"/>
  <c r="W18" i="7"/>
  <c r="V18" i="7"/>
  <c r="U18" i="7"/>
  <c r="S18" i="7"/>
  <c r="R18" i="7"/>
  <c r="T18" i="7" s="1"/>
  <c r="Q18" i="7"/>
  <c r="O18" i="7"/>
  <c r="L18" i="7"/>
  <c r="J18" i="7" s="1"/>
  <c r="I18" i="7"/>
  <c r="H18" i="7"/>
  <c r="N18" i="7" s="1"/>
  <c r="G18" i="7"/>
  <c r="P18" i="7" s="1"/>
  <c r="F18" i="7"/>
  <c r="E18" i="7"/>
  <c r="D18" i="7" s="1"/>
  <c r="AB17" i="7"/>
  <c r="AA17" i="7"/>
  <c r="Z17" i="7"/>
  <c r="Y17" i="7"/>
  <c r="X17" i="7"/>
  <c r="V17" i="7"/>
  <c r="U17" i="7"/>
  <c r="W17" i="7" s="1"/>
  <c r="T17" i="7"/>
  <c r="S17" i="7"/>
  <c r="R17" i="7"/>
  <c r="O17" i="7"/>
  <c r="N17" i="7"/>
  <c r="M17" i="7"/>
  <c r="L17" i="7"/>
  <c r="J17" i="7"/>
  <c r="I17" i="7"/>
  <c r="Q17" i="7" s="1"/>
  <c r="H17" i="7"/>
  <c r="G17" i="7"/>
  <c r="F17" i="7"/>
  <c r="E17" i="7"/>
  <c r="D17" i="7"/>
  <c r="AA16" i="7"/>
  <c r="AB16" i="7" s="1"/>
  <c r="Y16" i="7"/>
  <c r="X16" i="7"/>
  <c r="Z16" i="7" s="1"/>
  <c r="V16" i="7"/>
  <c r="U16" i="7"/>
  <c r="W16" i="7" s="1"/>
  <c r="S16" i="7"/>
  <c r="R16" i="7"/>
  <c r="T16" i="7" s="1"/>
  <c r="P16" i="7"/>
  <c r="O16" i="7"/>
  <c r="L16" i="7"/>
  <c r="J16" i="7"/>
  <c r="I16" i="7"/>
  <c r="Q16" i="7" s="1"/>
  <c r="H16" i="7"/>
  <c r="G16" i="7"/>
  <c r="F16" i="7"/>
  <c r="E16" i="7"/>
  <c r="D16" i="7"/>
  <c r="AA15" i="7"/>
  <c r="Y15" i="7"/>
  <c r="X15" i="7"/>
  <c r="W15" i="7"/>
  <c r="V15" i="7"/>
  <c r="U15" i="7"/>
  <c r="S15" i="7"/>
  <c r="R15" i="7"/>
  <c r="Q15" i="7"/>
  <c r="O15" i="7"/>
  <c r="L15" i="7"/>
  <c r="J15" i="7" s="1"/>
  <c r="K15" i="7"/>
  <c r="I15" i="7"/>
  <c r="H15" i="7"/>
  <c r="N15" i="7" s="1"/>
  <c r="G15" i="7"/>
  <c r="P15" i="7" s="1"/>
  <c r="F15" i="7"/>
  <c r="E15" i="7"/>
  <c r="D15" i="7" s="1"/>
  <c r="C15" i="7" s="1"/>
  <c r="AB14" i="7"/>
  <c r="AA14" i="7"/>
  <c r="Z14" i="7"/>
  <c r="Y14" i="7"/>
  <c r="X14" i="7"/>
  <c r="V14" i="7"/>
  <c r="U14" i="7"/>
  <c r="T14" i="7"/>
  <c r="S14" i="7"/>
  <c r="R14" i="7"/>
  <c r="O14" i="7"/>
  <c r="N14" i="7"/>
  <c r="M14" i="7"/>
  <c r="L14" i="7"/>
  <c r="I14" i="7"/>
  <c r="Q14" i="7" s="1"/>
  <c r="H14" i="7"/>
  <c r="G14" i="7"/>
  <c r="F14" i="7"/>
  <c r="E14" i="7"/>
  <c r="D14" i="7"/>
  <c r="AA13" i="7"/>
  <c r="AA8" i="7" s="1"/>
  <c r="AA7" i="7" s="1"/>
  <c r="X13" i="7"/>
  <c r="I13" i="7"/>
  <c r="AB10" i="7"/>
  <c r="O10" i="7"/>
  <c r="O9" i="7" s="1"/>
  <c r="AB9" i="7"/>
  <c r="E9" i="7"/>
  <c r="O106" i="6"/>
  <c r="L106" i="6"/>
  <c r="J106" i="6" s="1"/>
  <c r="I106" i="6"/>
  <c r="Q106" i="6" s="1"/>
  <c r="H106" i="6"/>
  <c r="N106" i="6" s="1"/>
  <c r="G106" i="6"/>
  <c r="P106" i="6" s="1"/>
  <c r="F106" i="6"/>
  <c r="E106" i="6"/>
  <c r="D106" i="6" s="1"/>
  <c r="M106" i="6" s="1"/>
  <c r="C106" i="6"/>
  <c r="K106" i="6" s="1"/>
  <c r="Q105" i="6"/>
  <c r="P105" i="6"/>
  <c r="O105" i="6"/>
  <c r="L105" i="6"/>
  <c r="J105" i="6"/>
  <c r="I105" i="6"/>
  <c r="H105" i="6"/>
  <c r="N105" i="6" s="1"/>
  <c r="G105" i="6"/>
  <c r="F105" i="6"/>
  <c r="E105" i="6"/>
  <c r="D105" i="6"/>
  <c r="M105" i="6" s="1"/>
  <c r="C105" i="6"/>
  <c r="K105" i="6" s="1"/>
  <c r="O104" i="6"/>
  <c r="L104" i="6"/>
  <c r="I104" i="6"/>
  <c r="Q104" i="6" s="1"/>
  <c r="H104" i="6"/>
  <c r="N104" i="6" s="1"/>
  <c r="G104" i="6"/>
  <c r="P104" i="6" s="1"/>
  <c r="F104" i="6"/>
  <c r="E104" i="6"/>
  <c r="P103" i="6"/>
  <c r="O103" i="6"/>
  <c r="L103" i="6"/>
  <c r="J103" i="6" s="1"/>
  <c r="I103" i="6"/>
  <c r="Q103" i="6" s="1"/>
  <c r="H103" i="6"/>
  <c r="N103" i="6" s="1"/>
  <c r="G103" i="6"/>
  <c r="F103" i="6"/>
  <c r="D103" i="6" s="1"/>
  <c r="E103" i="6"/>
  <c r="O102" i="6"/>
  <c r="N102" i="6"/>
  <c r="L102" i="6"/>
  <c r="I102" i="6"/>
  <c r="Q102" i="6" s="1"/>
  <c r="H102" i="6"/>
  <c r="G102" i="6"/>
  <c r="P102" i="6" s="1"/>
  <c r="F102" i="6"/>
  <c r="E102" i="6"/>
  <c r="P101" i="6"/>
  <c r="O101" i="6"/>
  <c r="L101" i="6"/>
  <c r="J101" i="6" s="1"/>
  <c r="I101" i="6"/>
  <c r="Q101" i="6" s="1"/>
  <c r="H101" i="6"/>
  <c r="N101" i="6" s="1"/>
  <c r="G101" i="6"/>
  <c r="F101" i="6"/>
  <c r="E101" i="6"/>
  <c r="D101" i="6" s="1"/>
  <c r="O100" i="6"/>
  <c r="N100" i="6"/>
  <c r="L100" i="6"/>
  <c r="I100" i="6"/>
  <c r="Q100" i="6" s="1"/>
  <c r="H100" i="6"/>
  <c r="G100" i="6"/>
  <c r="P100" i="6" s="1"/>
  <c r="F100" i="6"/>
  <c r="E100" i="6"/>
  <c r="D100" i="6" s="1"/>
  <c r="C100" i="6" s="1"/>
  <c r="K100" i="6" s="1"/>
  <c r="P99" i="6"/>
  <c r="O99" i="6"/>
  <c r="L99" i="6"/>
  <c r="J99" i="6" s="1"/>
  <c r="I99" i="6"/>
  <c r="Q99" i="6" s="1"/>
  <c r="H99" i="6"/>
  <c r="N99" i="6" s="1"/>
  <c r="G99" i="6"/>
  <c r="F99" i="6"/>
  <c r="E99" i="6"/>
  <c r="D99" i="6" s="1"/>
  <c r="O98" i="6"/>
  <c r="N98" i="6"/>
  <c r="L98" i="6"/>
  <c r="J98" i="6" s="1"/>
  <c r="I98" i="6"/>
  <c r="Q98" i="6" s="1"/>
  <c r="H98" i="6"/>
  <c r="G98" i="6"/>
  <c r="P98" i="6" s="1"/>
  <c r="F98" i="6"/>
  <c r="E98" i="6"/>
  <c r="D98" i="6" s="1"/>
  <c r="M98" i="6" s="1"/>
  <c r="C98" i="6"/>
  <c r="K98" i="6" s="1"/>
  <c r="P97" i="6"/>
  <c r="O97" i="6"/>
  <c r="L97" i="6"/>
  <c r="J97" i="6"/>
  <c r="I97" i="6"/>
  <c r="Q97" i="6" s="1"/>
  <c r="H97" i="6"/>
  <c r="N97" i="6" s="1"/>
  <c r="G97" i="6"/>
  <c r="F97" i="6"/>
  <c r="E97" i="6"/>
  <c r="D97" i="6"/>
  <c r="O96" i="6"/>
  <c r="L96" i="6"/>
  <c r="J96" i="6" s="1"/>
  <c r="I96" i="6"/>
  <c r="Q96" i="6" s="1"/>
  <c r="H96" i="6"/>
  <c r="N96" i="6" s="1"/>
  <c r="G96" i="6"/>
  <c r="P96" i="6" s="1"/>
  <c r="F96" i="6"/>
  <c r="E96" i="6"/>
  <c r="D96" i="6" s="1"/>
  <c r="M96" i="6" s="1"/>
  <c r="C96" i="6"/>
  <c r="K96" i="6" s="1"/>
  <c r="Q95" i="6"/>
  <c r="P95" i="6"/>
  <c r="O95" i="6"/>
  <c r="L95" i="6"/>
  <c r="J95" i="6"/>
  <c r="I95" i="6"/>
  <c r="H95" i="6"/>
  <c r="N95" i="6" s="1"/>
  <c r="G95" i="6"/>
  <c r="F95" i="6"/>
  <c r="E95" i="6"/>
  <c r="D95" i="6"/>
  <c r="O94" i="6"/>
  <c r="L94" i="6"/>
  <c r="J94" i="6" s="1"/>
  <c r="I94" i="6"/>
  <c r="Q94" i="6" s="1"/>
  <c r="H94" i="6"/>
  <c r="N94" i="6" s="1"/>
  <c r="G94" i="6"/>
  <c r="P94" i="6" s="1"/>
  <c r="F94" i="6"/>
  <c r="E94" i="6"/>
  <c r="D94" i="6" s="1"/>
  <c r="M94" i="6" s="1"/>
  <c r="C94" i="6"/>
  <c r="K94" i="6" s="1"/>
  <c r="P93" i="6"/>
  <c r="O93" i="6"/>
  <c r="L93" i="6"/>
  <c r="J93" i="6"/>
  <c r="I93" i="6"/>
  <c r="Q93" i="6" s="1"/>
  <c r="H93" i="6"/>
  <c r="N93" i="6" s="1"/>
  <c r="G93" i="6"/>
  <c r="F93" i="6"/>
  <c r="E93" i="6"/>
  <c r="D93" i="6"/>
  <c r="M93" i="6" s="1"/>
  <c r="C93" i="6"/>
  <c r="K93" i="6" s="1"/>
  <c r="O92" i="6"/>
  <c r="L92" i="6"/>
  <c r="I92" i="6"/>
  <c r="Q92" i="6" s="1"/>
  <c r="H92" i="6"/>
  <c r="N92" i="6" s="1"/>
  <c r="G92" i="6"/>
  <c r="P92" i="6" s="1"/>
  <c r="F92" i="6"/>
  <c r="E92" i="6"/>
  <c r="P91" i="6"/>
  <c r="O91" i="6"/>
  <c r="O89" i="6" s="1"/>
  <c r="L91" i="6"/>
  <c r="I91" i="6"/>
  <c r="H91" i="6"/>
  <c r="N91" i="6" s="1"/>
  <c r="G91" i="6"/>
  <c r="F91" i="6"/>
  <c r="D91" i="6" s="1"/>
  <c r="E91" i="6"/>
  <c r="O90" i="6"/>
  <c r="N90" i="6"/>
  <c r="L90" i="6"/>
  <c r="I90" i="6"/>
  <c r="Q90" i="6" s="1"/>
  <c r="H90" i="6"/>
  <c r="G90" i="6"/>
  <c r="F90" i="6"/>
  <c r="F89" i="6" s="1"/>
  <c r="E90" i="6"/>
  <c r="CI88" i="6"/>
  <c r="CH88" i="6"/>
  <c r="CF88" i="6"/>
  <c r="CE88" i="6"/>
  <c r="CG88" i="6" s="1"/>
  <c r="CD88" i="6"/>
  <c r="CC88" i="6"/>
  <c r="CB88" i="6"/>
  <c r="BZ88" i="6"/>
  <c r="BY88" i="6"/>
  <c r="CA88" i="6" s="1"/>
  <c r="BX88" i="6"/>
  <c r="BW88" i="6"/>
  <c r="BV88" i="6"/>
  <c r="BT88" i="6"/>
  <c r="BS88" i="6"/>
  <c r="BU88" i="6" s="1"/>
  <c r="BR88" i="6"/>
  <c r="BQ88" i="6"/>
  <c r="BP88" i="6"/>
  <c r="BN88" i="6"/>
  <c r="BM88" i="6"/>
  <c r="BL88" i="6"/>
  <c r="BK88" i="6"/>
  <c r="BJ88" i="6"/>
  <c r="BH88" i="6"/>
  <c r="BG88" i="6"/>
  <c r="BI88" i="6" s="1"/>
  <c r="BF88" i="6"/>
  <c r="BE88" i="6"/>
  <c r="BD88" i="6"/>
  <c r="BB88" i="6"/>
  <c r="BA88" i="6"/>
  <c r="BC88" i="6" s="1"/>
  <c r="AZ88" i="6"/>
  <c r="AY88" i="6"/>
  <c r="AX88" i="6"/>
  <c r="AV88" i="6"/>
  <c r="AU88" i="6"/>
  <c r="AW88" i="6" s="1"/>
  <c r="AT88" i="6"/>
  <c r="AS88" i="6"/>
  <c r="AR88" i="6"/>
  <c r="AP88" i="6"/>
  <c r="AO88" i="6"/>
  <c r="AQ88" i="6" s="1"/>
  <c r="AN88" i="6"/>
  <c r="AM88" i="6"/>
  <c r="AK88" i="6"/>
  <c r="AJ88" i="6"/>
  <c r="AL88" i="6" s="1"/>
  <c r="AH88" i="6"/>
  <c r="AI88" i="6" s="1"/>
  <c r="AG88" i="6"/>
  <c r="AE88" i="6"/>
  <c r="AD88" i="6"/>
  <c r="AF88" i="6" s="1"/>
  <c r="AB88" i="6"/>
  <c r="AC88" i="6" s="1"/>
  <c r="AA88" i="6"/>
  <c r="Z88" i="6"/>
  <c r="Y88" i="6"/>
  <c r="X88" i="6"/>
  <c r="V88" i="6"/>
  <c r="W88" i="6" s="1"/>
  <c r="U88" i="6"/>
  <c r="S88" i="6"/>
  <c r="R88" i="6"/>
  <c r="Q88" i="6"/>
  <c r="O88" i="6"/>
  <c r="M88" i="6"/>
  <c r="L88" i="6"/>
  <c r="J88" i="6" s="1"/>
  <c r="I88" i="6"/>
  <c r="H88" i="6"/>
  <c r="N88" i="6" s="1"/>
  <c r="G88" i="6"/>
  <c r="P88" i="6" s="1"/>
  <c r="F88" i="6"/>
  <c r="D88" i="6" s="1"/>
  <c r="C88" i="6" s="1"/>
  <c r="E88" i="6"/>
  <c r="CI87" i="6"/>
  <c r="CH87" i="6"/>
  <c r="CG87" i="6"/>
  <c r="CF87" i="6"/>
  <c r="CE87" i="6"/>
  <c r="CC87" i="6"/>
  <c r="CB87" i="6"/>
  <c r="CD87" i="6" s="1"/>
  <c r="CA87" i="6"/>
  <c r="BZ87" i="6"/>
  <c r="BY87" i="6"/>
  <c r="BW87" i="6"/>
  <c r="BV87" i="6"/>
  <c r="BX87" i="6" s="1"/>
  <c r="BT87" i="6"/>
  <c r="BS87" i="6"/>
  <c r="BU87" i="6" s="1"/>
  <c r="BQ87" i="6"/>
  <c r="BP87" i="6"/>
  <c r="BR87" i="6" s="1"/>
  <c r="BN87" i="6"/>
  <c r="BM87" i="6"/>
  <c r="BO87" i="6" s="1"/>
  <c r="BK87" i="6"/>
  <c r="BJ87" i="6"/>
  <c r="BL87" i="6" s="1"/>
  <c r="BH87" i="6"/>
  <c r="BG87" i="6"/>
  <c r="BI87" i="6" s="1"/>
  <c r="BE87" i="6"/>
  <c r="BD87" i="6"/>
  <c r="BF87" i="6" s="1"/>
  <c r="BC87" i="6"/>
  <c r="BB87" i="6"/>
  <c r="BA87" i="6"/>
  <c r="AY87" i="6"/>
  <c r="AX87" i="6"/>
  <c r="AZ87" i="6" s="1"/>
  <c r="AW87" i="6"/>
  <c r="AV87" i="6"/>
  <c r="AU87" i="6"/>
  <c r="AS87" i="6"/>
  <c r="AR87" i="6"/>
  <c r="AT87" i="6" s="1"/>
  <c r="AQ87" i="6"/>
  <c r="AP87" i="6"/>
  <c r="AO87" i="6"/>
  <c r="AN87" i="6"/>
  <c r="AM87" i="6"/>
  <c r="AK87" i="6"/>
  <c r="AJ87" i="6"/>
  <c r="AL87" i="6" s="1"/>
  <c r="AI87" i="6"/>
  <c r="AH87" i="6"/>
  <c r="AG87" i="6"/>
  <c r="AE87" i="6"/>
  <c r="AD87" i="6"/>
  <c r="AC87" i="6"/>
  <c r="AB87" i="6"/>
  <c r="AA87" i="6"/>
  <c r="Z87" i="6"/>
  <c r="Y87" i="6"/>
  <c r="X87" i="6"/>
  <c r="W87" i="6"/>
  <c r="V87" i="6"/>
  <c r="U87" i="6"/>
  <c r="S87" i="6"/>
  <c r="R87" i="6"/>
  <c r="T87" i="6" s="1"/>
  <c r="Q87" i="6"/>
  <c r="O87" i="6"/>
  <c r="L87" i="6"/>
  <c r="I87" i="6"/>
  <c r="H87" i="6"/>
  <c r="G87" i="6"/>
  <c r="P87" i="6" s="1"/>
  <c r="F87" i="6"/>
  <c r="E87" i="6"/>
  <c r="D87" i="6" s="1"/>
  <c r="CI86" i="6"/>
  <c r="CH86" i="6"/>
  <c r="CG86" i="6"/>
  <c r="CF86" i="6"/>
  <c r="CE86" i="6"/>
  <c r="CC86" i="6"/>
  <c r="CB86" i="6"/>
  <c r="CD86" i="6" s="1"/>
  <c r="CA86" i="6"/>
  <c r="BZ86" i="6"/>
  <c r="BY86" i="6"/>
  <c r="BW86" i="6"/>
  <c r="BV86" i="6"/>
  <c r="BX86" i="6" s="1"/>
  <c r="BU86" i="6"/>
  <c r="BT86" i="6"/>
  <c r="BS86" i="6"/>
  <c r="BQ86" i="6"/>
  <c r="BP86" i="6"/>
  <c r="BR86" i="6" s="1"/>
  <c r="BO86" i="6"/>
  <c r="BN86" i="6"/>
  <c r="BM86" i="6"/>
  <c r="BK86" i="6"/>
  <c r="BJ86" i="6"/>
  <c r="BL86" i="6" s="1"/>
  <c r="BH86" i="6"/>
  <c r="BI86" i="6" s="1"/>
  <c r="BG86" i="6"/>
  <c r="BE86" i="6"/>
  <c r="BD86" i="6"/>
  <c r="BB86" i="6"/>
  <c r="BC86" i="6" s="1"/>
  <c r="BA86" i="6"/>
  <c r="AY86" i="6"/>
  <c r="AX86" i="6"/>
  <c r="AV86" i="6"/>
  <c r="AW86" i="6" s="1"/>
  <c r="AU86" i="6"/>
  <c r="AS86" i="6"/>
  <c r="AR86" i="6"/>
  <c r="AQ86" i="6"/>
  <c r="AP86" i="6"/>
  <c r="AO86" i="6"/>
  <c r="AN86" i="6"/>
  <c r="AM86" i="6"/>
  <c r="AL86" i="6"/>
  <c r="AK86" i="6"/>
  <c r="AJ86" i="6"/>
  <c r="AH86" i="6"/>
  <c r="AG86" i="6"/>
  <c r="AI86" i="6" s="1"/>
  <c r="AF86" i="6"/>
  <c r="AE86" i="6"/>
  <c r="AD86" i="6"/>
  <c r="AB86" i="6"/>
  <c r="AA86" i="6"/>
  <c r="AC86" i="6" s="1"/>
  <c r="Z86" i="6"/>
  <c r="Y86" i="6"/>
  <c r="X86" i="6"/>
  <c r="V86" i="6"/>
  <c r="U86" i="6"/>
  <c r="W86" i="6" s="1"/>
  <c r="S86" i="6"/>
  <c r="R86" i="6"/>
  <c r="T86" i="6" s="1"/>
  <c r="O86" i="6"/>
  <c r="L86" i="6"/>
  <c r="I86" i="6"/>
  <c r="Q86" i="6" s="1"/>
  <c r="H86" i="6"/>
  <c r="N86" i="6" s="1"/>
  <c r="G86" i="6"/>
  <c r="P86" i="6" s="1"/>
  <c r="F86" i="6"/>
  <c r="E86" i="6"/>
  <c r="CI85" i="6"/>
  <c r="CH85" i="6"/>
  <c r="CG85" i="6"/>
  <c r="CF85" i="6"/>
  <c r="CE85" i="6"/>
  <c r="CC85" i="6"/>
  <c r="CB85" i="6"/>
  <c r="CD85" i="6" s="1"/>
  <c r="CA85" i="6"/>
  <c r="BZ85" i="6"/>
  <c r="BY85" i="6"/>
  <c r="BW85" i="6"/>
  <c r="BV85" i="6"/>
  <c r="BX85" i="6" s="1"/>
  <c r="BU85" i="6"/>
  <c r="BT85" i="6"/>
  <c r="BS85" i="6"/>
  <c r="BQ85" i="6"/>
  <c r="BP85" i="6"/>
  <c r="BR85" i="6" s="1"/>
  <c r="BO85" i="6"/>
  <c r="BN85" i="6"/>
  <c r="BM85" i="6"/>
  <c r="BK85" i="6"/>
  <c r="BJ85" i="6"/>
  <c r="BL85" i="6" s="1"/>
  <c r="BI85" i="6"/>
  <c r="BH85" i="6"/>
  <c r="BG85" i="6"/>
  <c r="BE85" i="6"/>
  <c r="BD85" i="6"/>
  <c r="BF85" i="6" s="1"/>
  <c r="BC85" i="6"/>
  <c r="BB85" i="6"/>
  <c r="BA85" i="6"/>
  <c r="AY85" i="6"/>
  <c r="AX85" i="6"/>
  <c r="AZ85" i="6" s="1"/>
  <c r="AW85" i="6"/>
  <c r="AV85" i="6"/>
  <c r="AU85" i="6"/>
  <c r="AS85" i="6"/>
  <c r="AR85" i="6"/>
  <c r="AT85" i="6" s="1"/>
  <c r="AQ85" i="6"/>
  <c r="AP85" i="6"/>
  <c r="AO85" i="6"/>
  <c r="AN85" i="6"/>
  <c r="AM85" i="6"/>
  <c r="AK85" i="6"/>
  <c r="AL85" i="6" s="1"/>
  <c r="AJ85" i="6"/>
  <c r="AH85" i="6"/>
  <c r="AG85" i="6"/>
  <c r="AI85" i="6" s="1"/>
  <c r="AE85" i="6"/>
  <c r="AD85" i="6"/>
  <c r="AB85" i="6"/>
  <c r="AA85" i="6"/>
  <c r="Z85" i="6"/>
  <c r="Y85" i="6"/>
  <c r="X85" i="6"/>
  <c r="V85" i="6"/>
  <c r="U85" i="6"/>
  <c r="S85" i="6"/>
  <c r="R85" i="6"/>
  <c r="T85" i="6" s="1"/>
  <c r="P85" i="6"/>
  <c r="O85" i="6"/>
  <c r="J85" i="6" s="1"/>
  <c r="L85" i="6"/>
  <c r="I85" i="6"/>
  <c r="Q85" i="6" s="1"/>
  <c r="H85" i="6"/>
  <c r="N85" i="6" s="1"/>
  <c r="G85" i="6"/>
  <c r="F85" i="6"/>
  <c r="E85" i="6"/>
  <c r="D85" i="6"/>
  <c r="M85" i="6" s="1"/>
  <c r="C85" i="6"/>
  <c r="CI84" i="6"/>
  <c r="CH84" i="6"/>
  <c r="CF84" i="6"/>
  <c r="CE84" i="6"/>
  <c r="CG84" i="6" s="1"/>
  <c r="CD84" i="6"/>
  <c r="CC84" i="6"/>
  <c r="CB84" i="6"/>
  <c r="BZ84" i="6"/>
  <c r="BY84" i="6"/>
  <c r="CA84" i="6" s="1"/>
  <c r="BX84" i="6"/>
  <c r="BW84" i="6"/>
  <c r="BV84" i="6"/>
  <c r="BT84" i="6"/>
  <c r="BS84" i="6"/>
  <c r="BU84" i="6" s="1"/>
  <c r="BR84" i="6"/>
  <c r="BQ84" i="6"/>
  <c r="BP84" i="6"/>
  <c r="BN84" i="6"/>
  <c r="BM84" i="6"/>
  <c r="BO84" i="6" s="1"/>
  <c r="BK84" i="6"/>
  <c r="BL84" i="6" s="1"/>
  <c r="BJ84" i="6"/>
  <c r="BH84" i="6"/>
  <c r="BG84" i="6"/>
  <c r="BI84" i="6" s="1"/>
  <c r="BF84" i="6"/>
  <c r="BE84" i="6"/>
  <c r="BD84" i="6"/>
  <c r="BB84" i="6"/>
  <c r="BA84" i="6"/>
  <c r="BC84" i="6" s="1"/>
  <c r="AZ84" i="6"/>
  <c r="AY84" i="6"/>
  <c r="AX84" i="6"/>
  <c r="AV84" i="6"/>
  <c r="AU84" i="6"/>
  <c r="AW84" i="6" s="1"/>
  <c r="AT84" i="6"/>
  <c r="AS84" i="6"/>
  <c r="AR84" i="6"/>
  <c r="AP84" i="6"/>
  <c r="AO84" i="6"/>
  <c r="AQ84" i="6" s="1"/>
  <c r="AN84" i="6"/>
  <c r="AM84" i="6"/>
  <c r="AL84" i="6"/>
  <c r="AK84" i="6"/>
  <c r="AJ84" i="6"/>
  <c r="AH84" i="6"/>
  <c r="AG84" i="6"/>
  <c r="AI84" i="6" s="1"/>
  <c r="AF84" i="6"/>
  <c r="AE84" i="6"/>
  <c r="AD84" i="6"/>
  <c r="AB84" i="6"/>
  <c r="AA84" i="6"/>
  <c r="AC84" i="6" s="1"/>
  <c r="Z84" i="6"/>
  <c r="Y84" i="6"/>
  <c r="X84" i="6"/>
  <c r="V84" i="6"/>
  <c r="U84" i="6"/>
  <c r="T84" i="6"/>
  <c r="S84" i="6"/>
  <c r="R84" i="6"/>
  <c r="P84" i="6"/>
  <c r="O84" i="6"/>
  <c r="J84" i="6" s="1"/>
  <c r="L84" i="6"/>
  <c r="I84" i="6"/>
  <c r="Q84" i="6" s="1"/>
  <c r="H84" i="6"/>
  <c r="N84" i="6" s="1"/>
  <c r="G84" i="6"/>
  <c r="F84" i="6"/>
  <c r="E84" i="6"/>
  <c r="D84" i="6"/>
  <c r="M84" i="6" s="1"/>
  <c r="C84" i="6"/>
  <c r="CI83" i="6"/>
  <c r="CH83" i="6"/>
  <c r="CF83" i="6"/>
  <c r="CE83" i="6"/>
  <c r="CG83" i="6" s="1"/>
  <c r="CD83" i="6"/>
  <c r="CC83" i="6"/>
  <c r="CB83" i="6"/>
  <c r="BZ83" i="6"/>
  <c r="BY83" i="6"/>
  <c r="CA83" i="6" s="1"/>
  <c r="BX83" i="6"/>
  <c r="BW83" i="6"/>
  <c r="BV83" i="6"/>
  <c r="BT83" i="6"/>
  <c r="BS83" i="6"/>
  <c r="BU83" i="6" s="1"/>
  <c r="BR83" i="6"/>
  <c r="BQ83" i="6"/>
  <c r="BP83" i="6"/>
  <c r="BN83" i="6"/>
  <c r="BM83" i="6"/>
  <c r="BO83" i="6" s="1"/>
  <c r="BL83" i="6"/>
  <c r="BK83" i="6"/>
  <c r="BJ83" i="6"/>
  <c r="BH83" i="6"/>
  <c r="BG83" i="6"/>
  <c r="BI83" i="6" s="1"/>
  <c r="BF83" i="6"/>
  <c r="BE83" i="6"/>
  <c r="BD83" i="6"/>
  <c r="BB83" i="6"/>
  <c r="BA83" i="6"/>
  <c r="BC83" i="6" s="1"/>
  <c r="AZ83" i="6"/>
  <c r="AY83" i="6"/>
  <c r="AX83" i="6"/>
  <c r="AV83" i="6"/>
  <c r="AU83" i="6"/>
  <c r="AW83" i="6" s="1"/>
  <c r="AT83" i="6"/>
  <c r="AS83" i="6"/>
  <c r="AR83" i="6"/>
  <c r="AP83" i="6"/>
  <c r="AO83" i="6"/>
  <c r="AQ83" i="6" s="1"/>
  <c r="AN83" i="6"/>
  <c r="AM83" i="6"/>
  <c r="AK83" i="6"/>
  <c r="AJ83" i="6"/>
  <c r="AL83" i="6" s="1"/>
  <c r="AH83" i="6"/>
  <c r="AI83" i="6" s="1"/>
  <c r="AG83" i="6"/>
  <c r="AE83" i="6"/>
  <c r="AD83" i="6"/>
  <c r="AF83" i="6" s="1"/>
  <c r="AC83" i="6"/>
  <c r="AB83" i="6"/>
  <c r="AA83" i="6"/>
  <c r="Z83" i="6"/>
  <c r="Y83" i="6"/>
  <c r="X83" i="6"/>
  <c r="V83" i="6"/>
  <c r="U83" i="6"/>
  <c r="W83" i="6" s="1"/>
  <c r="S83" i="6"/>
  <c r="R83" i="6"/>
  <c r="T83" i="6" s="1"/>
  <c r="P83" i="6"/>
  <c r="O83" i="6"/>
  <c r="L83" i="6"/>
  <c r="J83" i="6"/>
  <c r="I83" i="6"/>
  <c r="Q83" i="6" s="1"/>
  <c r="H83" i="6"/>
  <c r="N83" i="6" s="1"/>
  <c r="G83" i="6"/>
  <c r="F83" i="6"/>
  <c r="E83" i="6"/>
  <c r="D83" i="6" s="1"/>
  <c r="CI82" i="6"/>
  <c r="CH82" i="6"/>
  <c r="CF82" i="6"/>
  <c r="CE82" i="6"/>
  <c r="CG82" i="6" s="1"/>
  <c r="CD82" i="6"/>
  <c r="CC82" i="6"/>
  <c r="CB82" i="6"/>
  <c r="BZ82" i="6"/>
  <c r="BY82" i="6"/>
  <c r="CA82" i="6" s="1"/>
  <c r="BX82" i="6"/>
  <c r="BW82" i="6"/>
  <c r="BV82" i="6"/>
  <c r="BT82" i="6"/>
  <c r="BS82" i="6"/>
  <c r="BU82" i="6" s="1"/>
  <c r="BR82" i="6"/>
  <c r="BQ82" i="6"/>
  <c r="BP82" i="6"/>
  <c r="BN82" i="6"/>
  <c r="BM82" i="6"/>
  <c r="BL82" i="6"/>
  <c r="BK82" i="6"/>
  <c r="BJ82" i="6"/>
  <c r="BH82" i="6"/>
  <c r="BG82" i="6"/>
  <c r="BI82" i="6" s="1"/>
  <c r="BF82" i="6"/>
  <c r="BE82" i="6"/>
  <c r="BD82" i="6"/>
  <c r="BB82" i="6"/>
  <c r="BA82" i="6"/>
  <c r="BC82" i="6" s="1"/>
  <c r="AZ82" i="6"/>
  <c r="AY82" i="6"/>
  <c r="AX82" i="6"/>
  <c r="AV82" i="6"/>
  <c r="AU82" i="6"/>
  <c r="AW82" i="6" s="1"/>
  <c r="AT82" i="6"/>
  <c r="AS82" i="6"/>
  <c r="AR82" i="6"/>
  <c r="AP82" i="6"/>
  <c r="AO82" i="6"/>
  <c r="AQ82" i="6" s="1"/>
  <c r="AN82" i="6"/>
  <c r="AM82" i="6"/>
  <c r="AK82" i="6"/>
  <c r="AJ82" i="6"/>
  <c r="AL82" i="6" s="1"/>
  <c r="AH82" i="6"/>
  <c r="AI82" i="6" s="1"/>
  <c r="AG82" i="6"/>
  <c r="AE82" i="6"/>
  <c r="AD82" i="6"/>
  <c r="AF82" i="6" s="1"/>
  <c r="AB82" i="6"/>
  <c r="AC82" i="6" s="1"/>
  <c r="AA82" i="6"/>
  <c r="Z82" i="6"/>
  <c r="Y82" i="6"/>
  <c r="X82" i="6"/>
  <c r="V82" i="6"/>
  <c r="W82" i="6" s="1"/>
  <c r="U82" i="6"/>
  <c r="S82" i="6"/>
  <c r="R82" i="6"/>
  <c r="T82" i="6" s="1"/>
  <c r="Q82" i="6"/>
  <c r="P82" i="6"/>
  <c r="O82" i="6"/>
  <c r="L82" i="6"/>
  <c r="J82" i="6" s="1"/>
  <c r="I82" i="6"/>
  <c r="H82" i="6"/>
  <c r="G82" i="6"/>
  <c r="F82" i="6"/>
  <c r="F74" i="6" s="1"/>
  <c r="E82" i="6"/>
  <c r="D82" i="6" s="1"/>
  <c r="CI81" i="6"/>
  <c r="CH81" i="6"/>
  <c r="CF81" i="6"/>
  <c r="CE81" i="6"/>
  <c r="CG81" i="6" s="1"/>
  <c r="CD81" i="6"/>
  <c r="CC81" i="6"/>
  <c r="CB81" i="6"/>
  <c r="BZ81" i="6"/>
  <c r="BZ74" i="6" s="1"/>
  <c r="BY81" i="6"/>
  <c r="CA81" i="6" s="1"/>
  <c r="BX81" i="6"/>
  <c r="BW81" i="6"/>
  <c r="BV81" i="6"/>
  <c r="BT81" i="6"/>
  <c r="BT74" i="6" s="1"/>
  <c r="BS81" i="6"/>
  <c r="BU81" i="6" s="1"/>
  <c r="BR81" i="6"/>
  <c r="BQ81" i="6"/>
  <c r="BP81" i="6"/>
  <c r="BN81" i="6"/>
  <c r="BM81" i="6"/>
  <c r="BO81" i="6" s="1"/>
  <c r="BL81" i="6"/>
  <c r="BK81" i="6"/>
  <c r="BJ81" i="6"/>
  <c r="BH81" i="6"/>
  <c r="BG81" i="6"/>
  <c r="BI81" i="6" s="1"/>
  <c r="BF81" i="6"/>
  <c r="BE81" i="6"/>
  <c r="BD81" i="6"/>
  <c r="BB81" i="6"/>
  <c r="BB74" i="6" s="1"/>
  <c r="BA81" i="6"/>
  <c r="BC81" i="6" s="1"/>
  <c r="AZ81" i="6"/>
  <c r="AY81" i="6"/>
  <c r="AX81" i="6"/>
  <c r="AV81" i="6"/>
  <c r="AU81" i="6"/>
  <c r="AW81" i="6" s="1"/>
  <c r="AT81" i="6"/>
  <c r="AS81" i="6"/>
  <c r="AR81" i="6"/>
  <c r="AP81" i="6"/>
  <c r="AP74" i="6" s="1"/>
  <c r="AO81" i="6"/>
  <c r="AQ81" i="6" s="1"/>
  <c r="AN81" i="6"/>
  <c r="AM81" i="6"/>
  <c r="AK81" i="6"/>
  <c r="AJ81" i="6"/>
  <c r="AL81" i="6" s="1"/>
  <c r="AI81" i="6"/>
  <c r="AH81" i="6"/>
  <c r="AG81" i="6"/>
  <c r="AE81" i="6"/>
  <c r="AD81" i="6"/>
  <c r="AB81" i="6"/>
  <c r="AC81" i="6" s="1"/>
  <c r="AA81" i="6"/>
  <c r="Z81" i="6"/>
  <c r="Y81" i="6"/>
  <c r="X81" i="6"/>
  <c r="V81" i="6"/>
  <c r="W81" i="6" s="1"/>
  <c r="U81" i="6"/>
  <c r="S81" i="6"/>
  <c r="R81" i="6"/>
  <c r="T81" i="6" s="1"/>
  <c r="Q81" i="6"/>
  <c r="O81" i="6"/>
  <c r="L81" i="6"/>
  <c r="J81" i="6" s="1"/>
  <c r="I81" i="6"/>
  <c r="H81" i="6"/>
  <c r="N81" i="6" s="1"/>
  <c r="G81" i="6"/>
  <c r="P81" i="6" s="1"/>
  <c r="F81" i="6"/>
  <c r="E81" i="6"/>
  <c r="D81" i="6" s="1"/>
  <c r="CI80" i="6"/>
  <c r="CH80" i="6"/>
  <c r="CF80" i="6"/>
  <c r="CE80" i="6"/>
  <c r="CG80" i="6" s="1"/>
  <c r="CC80" i="6"/>
  <c r="CB80" i="6"/>
  <c r="CD80" i="6" s="1"/>
  <c r="CA80" i="6"/>
  <c r="BZ80" i="6"/>
  <c r="BY80" i="6"/>
  <c r="BW80" i="6"/>
  <c r="BV80" i="6"/>
  <c r="BX80" i="6" s="1"/>
  <c r="BT80" i="6"/>
  <c r="BS80" i="6"/>
  <c r="BU80" i="6" s="1"/>
  <c r="BQ80" i="6"/>
  <c r="BP80" i="6"/>
  <c r="BR80" i="6" s="1"/>
  <c r="BN80" i="6"/>
  <c r="BM80" i="6"/>
  <c r="BO80" i="6" s="1"/>
  <c r="BK80" i="6"/>
  <c r="BJ80" i="6"/>
  <c r="BL80" i="6" s="1"/>
  <c r="BI80" i="6"/>
  <c r="BH80" i="6"/>
  <c r="BG80" i="6"/>
  <c r="BE80" i="6"/>
  <c r="BD80" i="6"/>
  <c r="BF80" i="6" s="1"/>
  <c r="BC80" i="6"/>
  <c r="BB80" i="6"/>
  <c r="BA80" i="6"/>
  <c r="AY80" i="6"/>
  <c r="AX80" i="6"/>
  <c r="AZ80" i="6" s="1"/>
  <c r="AV80" i="6"/>
  <c r="AU80" i="6"/>
  <c r="AW80" i="6" s="1"/>
  <c r="AS80" i="6"/>
  <c r="AR80" i="6"/>
  <c r="AT80" i="6" s="1"/>
  <c r="AQ80" i="6"/>
  <c r="AP80" i="6"/>
  <c r="AO80" i="6"/>
  <c r="AN80" i="6"/>
  <c r="AM80" i="6"/>
  <c r="AK80" i="6"/>
  <c r="AJ80" i="6"/>
  <c r="AL80" i="6" s="1"/>
  <c r="AI80" i="6"/>
  <c r="AH80" i="6"/>
  <c r="AG80" i="6"/>
  <c r="AE80" i="6"/>
  <c r="AD80" i="6"/>
  <c r="AC80" i="6"/>
  <c r="AB80" i="6"/>
  <c r="AA80" i="6"/>
  <c r="Z80" i="6"/>
  <c r="Y80" i="6"/>
  <c r="Y74" i="6" s="1"/>
  <c r="X80" i="6"/>
  <c r="W80" i="6"/>
  <c r="V80" i="6"/>
  <c r="U80" i="6"/>
  <c r="S80" i="6"/>
  <c r="R80" i="6"/>
  <c r="T80" i="6" s="1"/>
  <c r="Q80" i="6"/>
  <c r="O80" i="6"/>
  <c r="L80" i="6"/>
  <c r="J80" i="6" s="1"/>
  <c r="I80" i="6"/>
  <c r="H80" i="6"/>
  <c r="G80" i="6"/>
  <c r="P80" i="6" s="1"/>
  <c r="F80" i="6"/>
  <c r="E80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H79" i="6"/>
  <c r="AG79" i="6"/>
  <c r="AF79" i="6"/>
  <c r="AE79" i="6"/>
  <c r="AD79" i="6"/>
  <c r="AB79" i="6"/>
  <c r="AA79" i="6"/>
  <c r="AC79" i="6" s="1"/>
  <c r="Z79" i="6"/>
  <c r="Y79" i="6"/>
  <c r="X79" i="6"/>
  <c r="V79" i="6"/>
  <c r="U79" i="6"/>
  <c r="S79" i="6"/>
  <c r="S74" i="6" s="1"/>
  <c r="T74" i="6" s="1"/>
  <c r="R79" i="6"/>
  <c r="T79" i="6" s="1"/>
  <c r="P79" i="6"/>
  <c r="O79" i="6"/>
  <c r="L79" i="6"/>
  <c r="I79" i="6"/>
  <c r="Q79" i="6" s="1"/>
  <c r="H79" i="6"/>
  <c r="N79" i="6" s="1"/>
  <c r="G79" i="6"/>
  <c r="F79" i="6"/>
  <c r="E79" i="6"/>
  <c r="D79" i="6"/>
  <c r="C79" i="6" s="1"/>
  <c r="CI78" i="6"/>
  <c r="CH78" i="6"/>
  <c r="CF78" i="6"/>
  <c r="CE78" i="6"/>
  <c r="CG78" i="6" s="1"/>
  <c r="CC78" i="6"/>
  <c r="CD78" i="6" s="1"/>
  <c r="CB78" i="6"/>
  <c r="BZ78" i="6"/>
  <c r="BY78" i="6"/>
  <c r="CA78" i="6" s="1"/>
  <c r="BW78" i="6"/>
  <c r="BX78" i="6" s="1"/>
  <c r="BV78" i="6"/>
  <c r="BT78" i="6"/>
  <c r="BS78" i="6"/>
  <c r="BU78" i="6" s="1"/>
  <c r="BR78" i="6"/>
  <c r="BQ78" i="6"/>
  <c r="BP78" i="6"/>
  <c r="BN78" i="6"/>
  <c r="BM78" i="6"/>
  <c r="BO78" i="6" s="1"/>
  <c r="BK78" i="6"/>
  <c r="BL78" i="6" s="1"/>
  <c r="BJ78" i="6"/>
  <c r="BH78" i="6"/>
  <c r="BG78" i="6"/>
  <c r="BI78" i="6" s="1"/>
  <c r="BE78" i="6"/>
  <c r="BF78" i="6" s="1"/>
  <c r="BD78" i="6"/>
  <c r="BB78" i="6"/>
  <c r="BA78" i="6"/>
  <c r="BC78" i="6" s="1"/>
  <c r="AY78" i="6"/>
  <c r="AZ78" i="6" s="1"/>
  <c r="AX78" i="6"/>
  <c r="AV78" i="6"/>
  <c r="AU78" i="6"/>
  <c r="AW78" i="6" s="1"/>
  <c r="AS78" i="6"/>
  <c r="AT78" i="6" s="1"/>
  <c r="AR78" i="6"/>
  <c r="AP78" i="6"/>
  <c r="AO78" i="6"/>
  <c r="AQ78" i="6" s="1"/>
  <c r="AN78" i="6"/>
  <c r="AM78" i="6"/>
  <c r="AL78" i="6"/>
  <c r="AK78" i="6"/>
  <c r="AJ78" i="6"/>
  <c r="AI78" i="6"/>
  <c r="AH78" i="6"/>
  <c r="AG78" i="6"/>
  <c r="AE78" i="6"/>
  <c r="AF78" i="6" s="1"/>
  <c r="AD78" i="6"/>
  <c r="AC78" i="6"/>
  <c r="AB78" i="6"/>
  <c r="AA78" i="6"/>
  <c r="Z78" i="6"/>
  <c r="Y78" i="6"/>
  <c r="X78" i="6"/>
  <c r="W78" i="6"/>
  <c r="V78" i="6"/>
  <c r="U78" i="6"/>
  <c r="S78" i="6"/>
  <c r="T78" i="6" s="1"/>
  <c r="R78" i="6"/>
  <c r="Q78" i="6"/>
  <c r="P78" i="6"/>
  <c r="O78" i="6"/>
  <c r="J78" i="6" s="1"/>
  <c r="L78" i="6"/>
  <c r="I78" i="6"/>
  <c r="H78" i="6"/>
  <c r="N78" i="6" s="1"/>
  <c r="G78" i="6"/>
  <c r="F78" i="6"/>
  <c r="E78" i="6"/>
  <c r="D78" i="6" s="1"/>
  <c r="CI77" i="6"/>
  <c r="CH77" i="6"/>
  <c r="CF77" i="6"/>
  <c r="CE77" i="6"/>
  <c r="CG77" i="6" s="1"/>
  <c r="CD77" i="6"/>
  <c r="CC77" i="6"/>
  <c r="CB77" i="6"/>
  <c r="BZ77" i="6"/>
  <c r="BY77" i="6"/>
  <c r="CA77" i="6" s="1"/>
  <c r="BX77" i="6"/>
  <c r="BW77" i="6"/>
  <c r="BV77" i="6"/>
  <c r="BT77" i="6"/>
  <c r="BS77" i="6"/>
  <c r="BU77" i="6" s="1"/>
  <c r="BR77" i="6"/>
  <c r="BQ77" i="6"/>
  <c r="BP77" i="6"/>
  <c r="BN77" i="6"/>
  <c r="BM77" i="6"/>
  <c r="BK77" i="6"/>
  <c r="BK74" i="6" s="1"/>
  <c r="BJ77" i="6"/>
  <c r="BL77" i="6" s="1"/>
  <c r="BH77" i="6"/>
  <c r="BG77" i="6"/>
  <c r="BI77" i="6" s="1"/>
  <c r="BE77" i="6"/>
  <c r="BD77" i="6"/>
  <c r="BF77" i="6" s="1"/>
  <c r="BB77" i="6"/>
  <c r="BA77" i="6"/>
  <c r="BC77" i="6" s="1"/>
  <c r="AZ77" i="6"/>
  <c r="AY77" i="6"/>
  <c r="AX77" i="6"/>
  <c r="AV77" i="6"/>
  <c r="AV74" i="6" s="1"/>
  <c r="AU77" i="6"/>
  <c r="AW77" i="6" s="1"/>
  <c r="AT77" i="6"/>
  <c r="AS77" i="6"/>
  <c r="AR77" i="6"/>
  <c r="AP77" i="6"/>
  <c r="AO77" i="6"/>
  <c r="AQ77" i="6" s="1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O74" i="6" s="1"/>
  <c r="N77" i="6"/>
  <c r="L77" i="6"/>
  <c r="J77" i="6"/>
  <c r="I77" i="6"/>
  <c r="I74" i="6" s="1"/>
  <c r="Q74" i="6" s="1"/>
  <c r="H77" i="6"/>
  <c r="G77" i="6"/>
  <c r="F77" i="6"/>
  <c r="E77" i="6"/>
  <c r="D77" i="6"/>
  <c r="CI76" i="6"/>
  <c r="CI74" i="6" s="1"/>
  <c r="CH76" i="6"/>
  <c r="CF76" i="6"/>
  <c r="CE76" i="6"/>
  <c r="CD76" i="6"/>
  <c r="CC76" i="6"/>
  <c r="CC74" i="6" s="1"/>
  <c r="CB76" i="6"/>
  <c r="BZ76" i="6"/>
  <c r="BY76" i="6"/>
  <c r="BX76" i="6"/>
  <c r="BW76" i="6"/>
  <c r="BV76" i="6"/>
  <c r="BT76" i="6"/>
  <c r="BS76" i="6"/>
  <c r="BR76" i="6"/>
  <c r="BQ76" i="6"/>
  <c r="BP76" i="6"/>
  <c r="BN76" i="6"/>
  <c r="BM76" i="6"/>
  <c r="BL76" i="6"/>
  <c r="BK76" i="6"/>
  <c r="BJ76" i="6"/>
  <c r="BH76" i="6"/>
  <c r="BG76" i="6"/>
  <c r="BI76" i="6" s="1"/>
  <c r="BF76" i="6"/>
  <c r="BE76" i="6"/>
  <c r="BD76" i="6"/>
  <c r="BB76" i="6"/>
  <c r="BA76" i="6"/>
  <c r="BC76" i="6" s="1"/>
  <c r="AZ76" i="6"/>
  <c r="AY76" i="6"/>
  <c r="AY74" i="6" s="1"/>
  <c r="AX76" i="6"/>
  <c r="AV76" i="6"/>
  <c r="AU76" i="6"/>
  <c r="AT76" i="6"/>
  <c r="AS76" i="6"/>
  <c r="AS74" i="6" s="1"/>
  <c r="AR76" i="6"/>
  <c r="AP76" i="6"/>
  <c r="AO76" i="6"/>
  <c r="AN76" i="6"/>
  <c r="AM76" i="6"/>
  <c r="AK76" i="6"/>
  <c r="AJ76" i="6"/>
  <c r="AH76" i="6"/>
  <c r="AG76" i="6"/>
  <c r="AI76" i="6" s="1"/>
  <c r="AE76" i="6"/>
  <c r="AD76" i="6"/>
  <c r="AF76" i="6" s="1"/>
  <c r="AB76" i="6"/>
  <c r="AA76" i="6"/>
  <c r="Z76" i="6"/>
  <c r="Y76" i="6"/>
  <c r="X76" i="6"/>
  <c r="V76" i="6"/>
  <c r="U76" i="6"/>
  <c r="W76" i="6" s="1"/>
  <c r="S76" i="6"/>
  <c r="R76" i="6"/>
  <c r="Q76" i="6"/>
  <c r="O76" i="6"/>
  <c r="L76" i="6"/>
  <c r="J76" i="6" s="1"/>
  <c r="I76" i="6"/>
  <c r="H76" i="6"/>
  <c r="G76" i="6"/>
  <c r="P76" i="6" s="1"/>
  <c r="F76" i="6"/>
  <c r="D76" i="6" s="1"/>
  <c r="C76" i="6" s="1"/>
  <c r="K76" i="6" s="1"/>
  <c r="E76" i="6"/>
  <c r="CI75" i="6"/>
  <c r="CH75" i="6"/>
  <c r="CH74" i="6" s="1"/>
  <c r="CG75" i="6"/>
  <c r="CF75" i="6"/>
  <c r="CE75" i="6"/>
  <c r="CC75" i="6"/>
  <c r="CB75" i="6"/>
  <c r="CA75" i="6"/>
  <c r="BZ75" i="6"/>
  <c r="BY75" i="6"/>
  <c r="BW75" i="6"/>
  <c r="BV75" i="6"/>
  <c r="BU75" i="6"/>
  <c r="BT75" i="6"/>
  <c r="BS75" i="6"/>
  <c r="BQ75" i="6"/>
  <c r="BP75" i="6"/>
  <c r="BO75" i="6"/>
  <c r="BN75" i="6"/>
  <c r="BN74" i="6" s="1"/>
  <c r="BM75" i="6"/>
  <c r="BK75" i="6"/>
  <c r="BJ75" i="6"/>
  <c r="BI75" i="6"/>
  <c r="BH75" i="6"/>
  <c r="BH74" i="6" s="1"/>
  <c r="BG75" i="6"/>
  <c r="BG74" i="6" s="1"/>
  <c r="BI74" i="6" s="1"/>
  <c r="BE75" i="6"/>
  <c r="BD75" i="6"/>
  <c r="BC75" i="6"/>
  <c r="BB75" i="6"/>
  <c r="BA75" i="6"/>
  <c r="BA74" i="6" s="1"/>
  <c r="AY75" i="6"/>
  <c r="AX75" i="6"/>
  <c r="AZ75" i="6" s="1"/>
  <c r="AW75" i="6"/>
  <c r="AV75" i="6"/>
  <c r="AU75" i="6"/>
  <c r="AS75" i="6"/>
  <c r="AR75" i="6"/>
  <c r="AQ75" i="6"/>
  <c r="AP75" i="6"/>
  <c r="AO75" i="6"/>
  <c r="AN75" i="6"/>
  <c r="AM75" i="6"/>
  <c r="AL75" i="6"/>
  <c r="AK75" i="6"/>
  <c r="AK74" i="6" s="1"/>
  <c r="AJ75" i="6"/>
  <c r="AI75" i="6"/>
  <c r="AH75" i="6"/>
  <c r="AG75" i="6"/>
  <c r="AF75" i="6"/>
  <c r="AE75" i="6"/>
  <c r="AE74" i="6" s="1"/>
  <c r="AD75" i="6"/>
  <c r="AD74" i="6" s="1"/>
  <c r="AC75" i="6"/>
  <c r="AB75" i="6"/>
  <c r="AA75" i="6"/>
  <c r="Z75" i="6"/>
  <c r="Z74" i="6" s="1"/>
  <c r="Y75" i="6"/>
  <c r="X75" i="6"/>
  <c r="X74" i="6" s="1"/>
  <c r="W75" i="6"/>
  <c r="V75" i="6"/>
  <c r="U75" i="6"/>
  <c r="T75" i="6"/>
  <c r="S75" i="6"/>
  <c r="R75" i="6"/>
  <c r="Q75" i="6"/>
  <c r="O75" i="6"/>
  <c r="L75" i="6"/>
  <c r="J75" i="6" s="1"/>
  <c r="I75" i="6"/>
  <c r="H75" i="6"/>
  <c r="N75" i="6" s="1"/>
  <c r="G75" i="6"/>
  <c r="P75" i="6" s="1"/>
  <c r="F75" i="6"/>
  <c r="E75" i="6"/>
  <c r="D75" i="6" s="1"/>
  <c r="BW74" i="6"/>
  <c r="BQ74" i="6"/>
  <c r="BE74" i="6"/>
  <c r="AM74" i="6"/>
  <c r="AJ74" i="6"/>
  <c r="U74" i="6"/>
  <c r="R74" i="6"/>
  <c r="G74" i="6"/>
  <c r="P74" i="6" s="1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K73" i="6"/>
  <c r="AJ73" i="6"/>
  <c r="AL73" i="6" s="1"/>
  <c r="AH73" i="6"/>
  <c r="AG73" i="6"/>
  <c r="AI73" i="6" s="1"/>
  <c r="AE73" i="6"/>
  <c r="AD73" i="6"/>
  <c r="AF73" i="6" s="1"/>
  <c r="AB73" i="6"/>
  <c r="AA73" i="6"/>
  <c r="AC73" i="6" s="1"/>
  <c r="Z73" i="6"/>
  <c r="Y73" i="6"/>
  <c r="X73" i="6"/>
  <c r="V73" i="6"/>
  <c r="U73" i="6"/>
  <c r="S73" i="6"/>
  <c r="T73" i="6" s="1"/>
  <c r="R73" i="6"/>
  <c r="O73" i="6"/>
  <c r="L73" i="6"/>
  <c r="I73" i="6"/>
  <c r="Q73" i="6" s="1"/>
  <c r="H73" i="6"/>
  <c r="N73" i="6" s="1"/>
  <c r="G73" i="6"/>
  <c r="P73" i="6" s="1"/>
  <c r="F73" i="6"/>
  <c r="D73" i="6" s="1"/>
  <c r="E73" i="6"/>
  <c r="CI72" i="6"/>
  <c r="CH72" i="6"/>
  <c r="CG72" i="6"/>
  <c r="CF72" i="6"/>
  <c r="CE72" i="6"/>
  <c r="CC72" i="6"/>
  <c r="CB72" i="6"/>
  <c r="CD72" i="6" s="1"/>
  <c r="CA72" i="6"/>
  <c r="BZ72" i="6"/>
  <c r="BY72" i="6"/>
  <c r="BW72" i="6"/>
  <c r="BV72" i="6"/>
  <c r="BX72" i="6" s="1"/>
  <c r="BU72" i="6"/>
  <c r="BT72" i="6"/>
  <c r="BS72" i="6"/>
  <c r="BQ72" i="6"/>
  <c r="BP72" i="6"/>
  <c r="BR72" i="6" s="1"/>
  <c r="BO72" i="6"/>
  <c r="BN72" i="6"/>
  <c r="BM72" i="6"/>
  <c r="BK72" i="6"/>
  <c r="BJ72" i="6"/>
  <c r="BL72" i="6" s="1"/>
  <c r="BI72" i="6"/>
  <c r="BH72" i="6"/>
  <c r="BG72" i="6"/>
  <c r="BE72" i="6"/>
  <c r="BD72" i="6"/>
  <c r="BC72" i="6"/>
  <c r="BB72" i="6"/>
  <c r="BA72" i="6"/>
  <c r="AY72" i="6"/>
  <c r="AX72" i="6"/>
  <c r="AZ72" i="6" s="1"/>
  <c r="AW72" i="6"/>
  <c r="AV72" i="6"/>
  <c r="AU72" i="6"/>
  <c r="AS72" i="6"/>
  <c r="AR72" i="6"/>
  <c r="AT72" i="6" s="1"/>
  <c r="AQ72" i="6"/>
  <c r="AP72" i="6"/>
  <c r="AO72" i="6"/>
  <c r="AN72" i="6"/>
  <c r="AM72" i="6"/>
  <c r="AL72" i="6"/>
  <c r="AK72" i="6"/>
  <c r="AJ72" i="6"/>
  <c r="AH72" i="6"/>
  <c r="AG72" i="6"/>
  <c r="AI72" i="6" s="1"/>
  <c r="AF72" i="6"/>
  <c r="AE72" i="6"/>
  <c r="AD72" i="6"/>
  <c r="AB72" i="6"/>
  <c r="AA72" i="6"/>
  <c r="AC72" i="6" s="1"/>
  <c r="Z72" i="6"/>
  <c r="Y72" i="6"/>
  <c r="X72" i="6"/>
  <c r="V72" i="6"/>
  <c r="U72" i="6"/>
  <c r="W72" i="6" s="1"/>
  <c r="T72" i="6"/>
  <c r="S72" i="6"/>
  <c r="R72" i="6"/>
  <c r="O72" i="6"/>
  <c r="J72" i="6" s="1"/>
  <c r="L72" i="6"/>
  <c r="I72" i="6"/>
  <c r="Q72" i="6" s="1"/>
  <c r="H72" i="6"/>
  <c r="N72" i="6" s="1"/>
  <c r="G72" i="6"/>
  <c r="P72" i="6" s="1"/>
  <c r="F72" i="6"/>
  <c r="E72" i="6"/>
  <c r="D72" i="6" s="1"/>
  <c r="M72" i="6" s="1"/>
  <c r="C72" i="6"/>
  <c r="K72" i="6" s="1"/>
  <c r="CI71" i="6"/>
  <c r="CH71" i="6"/>
  <c r="CF71" i="6"/>
  <c r="CE71" i="6"/>
  <c r="CG71" i="6" s="1"/>
  <c r="CC71" i="6"/>
  <c r="CB71" i="6"/>
  <c r="CD71" i="6" s="1"/>
  <c r="BZ71" i="6"/>
  <c r="BY71" i="6"/>
  <c r="CA71" i="6" s="1"/>
  <c r="BW71" i="6"/>
  <c r="BV71" i="6"/>
  <c r="BX71" i="6" s="1"/>
  <c r="BT71" i="6"/>
  <c r="BS71" i="6"/>
  <c r="BU71" i="6" s="1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K71" i="6"/>
  <c r="AJ71" i="6"/>
  <c r="AL71" i="6" s="1"/>
  <c r="AH71" i="6"/>
  <c r="AI71" i="6" s="1"/>
  <c r="AG71" i="6"/>
  <c r="AE71" i="6"/>
  <c r="AD71" i="6"/>
  <c r="AF71" i="6" s="1"/>
  <c r="AC71" i="6"/>
  <c r="AB71" i="6"/>
  <c r="AA71" i="6"/>
  <c r="Z71" i="6"/>
  <c r="Y71" i="6"/>
  <c r="X71" i="6"/>
  <c r="V71" i="6"/>
  <c r="W71" i="6" s="1"/>
  <c r="U71" i="6"/>
  <c r="S71" i="6"/>
  <c r="R71" i="6"/>
  <c r="T71" i="6" s="1"/>
  <c r="Q71" i="6"/>
  <c r="O71" i="6"/>
  <c r="M71" i="6"/>
  <c r="L71" i="6"/>
  <c r="J71" i="6"/>
  <c r="I71" i="6"/>
  <c r="H71" i="6"/>
  <c r="N71" i="6" s="1"/>
  <c r="G71" i="6"/>
  <c r="P71" i="6" s="1"/>
  <c r="F71" i="6"/>
  <c r="E71" i="6"/>
  <c r="D71" i="6"/>
  <c r="CI70" i="6"/>
  <c r="CH70" i="6"/>
  <c r="CF70" i="6"/>
  <c r="CE70" i="6"/>
  <c r="CG70" i="6" s="1"/>
  <c r="CC70" i="6"/>
  <c r="CB70" i="6"/>
  <c r="CD70" i="6" s="1"/>
  <c r="BZ70" i="6"/>
  <c r="BY70" i="6"/>
  <c r="CA70" i="6" s="1"/>
  <c r="BW70" i="6"/>
  <c r="BV70" i="6"/>
  <c r="BX70" i="6" s="1"/>
  <c r="BT70" i="6"/>
  <c r="BS70" i="6"/>
  <c r="BU70" i="6" s="1"/>
  <c r="BQ70" i="6"/>
  <c r="BP70" i="6"/>
  <c r="BR70" i="6" s="1"/>
  <c r="BN70" i="6"/>
  <c r="BM70" i="6"/>
  <c r="BO70" i="6" s="1"/>
  <c r="BK70" i="6"/>
  <c r="BJ70" i="6"/>
  <c r="BL70" i="6" s="1"/>
  <c r="BH70" i="6"/>
  <c r="BG70" i="6"/>
  <c r="BI70" i="6" s="1"/>
  <c r="BE70" i="6"/>
  <c r="BD70" i="6"/>
  <c r="BF70" i="6" s="1"/>
  <c r="BB70" i="6"/>
  <c r="BA70" i="6"/>
  <c r="BC70" i="6" s="1"/>
  <c r="AY70" i="6"/>
  <c r="AX70" i="6"/>
  <c r="AZ70" i="6" s="1"/>
  <c r="AV70" i="6"/>
  <c r="AU70" i="6"/>
  <c r="AW70" i="6" s="1"/>
  <c r="AS70" i="6"/>
  <c r="AR70" i="6"/>
  <c r="AT70" i="6" s="1"/>
  <c r="AP70" i="6"/>
  <c r="AO70" i="6"/>
  <c r="AQ70" i="6" s="1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O70" i="6"/>
  <c r="N70" i="6"/>
  <c r="L70" i="6"/>
  <c r="J70" i="6" s="1"/>
  <c r="I70" i="6"/>
  <c r="H70" i="6"/>
  <c r="G70" i="6"/>
  <c r="P70" i="6" s="1"/>
  <c r="F70" i="6"/>
  <c r="E70" i="6"/>
  <c r="D70" i="6" s="1"/>
  <c r="CI69" i="6"/>
  <c r="CH69" i="6"/>
  <c r="CF69" i="6"/>
  <c r="CG69" i="6" s="1"/>
  <c r="CE69" i="6"/>
  <c r="CC69" i="6"/>
  <c r="CB69" i="6"/>
  <c r="CD69" i="6" s="1"/>
  <c r="BZ69" i="6"/>
  <c r="CA69" i="6" s="1"/>
  <c r="BY69" i="6"/>
  <c r="BW69" i="6"/>
  <c r="BV69" i="6"/>
  <c r="BT69" i="6"/>
  <c r="BU69" i="6" s="1"/>
  <c r="BS69" i="6"/>
  <c r="BQ69" i="6"/>
  <c r="BP69" i="6"/>
  <c r="BR69" i="6" s="1"/>
  <c r="BN69" i="6"/>
  <c r="BO69" i="6" s="1"/>
  <c r="BM69" i="6"/>
  <c r="BK69" i="6"/>
  <c r="BJ69" i="6"/>
  <c r="BL69" i="6" s="1"/>
  <c r="BH69" i="6"/>
  <c r="BI69" i="6" s="1"/>
  <c r="BG69" i="6"/>
  <c r="BE69" i="6"/>
  <c r="BD69" i="6"/>
  <c r="BB69" i="6"/>
  <c r="BC69" i="6" s="1"/>
  <c r="BA69" i="6"/>
  <c r="AY69" i="6"/>
  <c r="AX69" i="6"/>
  <c r="AZ69" i="6" s="1"/>
  <c r="AV69" i="6"/>
  <c r="AW69" i="6" s="1"/>
  <c r="AU69" i="6"/>
  <c r="AS69" i="6"/>
  <c r="AR69" i="6"/>
  <c r="AT69" i="6" s="1"/>
  <c r="AP69" i="6"/>
  <c r="AQ69" i="6" s="1"/>
  <c r="AO69" i="6"/>
  <c r="AN69" i="6"/>
  <c r="AM69" i="6"/>
  <c r="AK69" i="6"/>
  <c r="AJ69" i="6"/>
  <c r="AL69" i="6" s="1"/>
  <c r="AH69" i="6"/>
  <c r="AG69" i="6"/>
  <c r="AI69" i="6" s="1"/>
  <c r="AE69" i="6"/>
  <c r="AD69" i="6"/>
  <c r="AF69" i="6" s="1"/>
  <c r="AB69" i="6"/>
  <c r="AA69" i="6"/>
  <c r="AC69" i="6" s="1"/>
  <c r="Z69" i="6"/>
  <c r="Y69" i="6"/>
  <c r="X69" i="6"/>
  <c r="V69" i="6"/>
  <c r="U69" i="6"/>
  <c r="W69" i="6" s="1"/>
  <c r="S69" i="6"/>
  <c r="R69" i="6"/>
  <c r="T69" i="6" s="1"/>
  <c r="O69" i="6"/>
  <c r="L69" i="6"/>
  <c r="J69" i="6" s="1"/>
  <c r="I69" i="6"/>
  <c r="Q69" i="6" s="1"/>
  <c r="H69" i="6"/>
  <c r="N69" i="6" s="1"/>
  <c r="G69" i="6"/>
  <c r="P69" i="6" s="1"/>
  <c r="F69" i="6"/>
  <c r="E69" i="6"/>
  <c r="D69" i="6" s="1"/>
  <c r="M69" i="6" s="1"/>
  <c r="C69" i="6"/>
  <c r="K69" i="6" s="1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K68" i="6"/>
  <c r="AL68" i="6" s="1"/>
  <c r="AJ68" i="6"/>
  <c r="AH68" i="6"/>
  <c r="AG68" i="6"/>
  <c r="AI68" i="6" s="1"/>
  <c r="AE68" i="6"/>
  <c r="AF68" i="6" s="1"/>
  <c r="AD68" i="6"/>
  <c r="AB68" i="6"/>
  <c r="AA68" i="6"/>
  <c r="AC68" i="6" s="1"/>
  <c r="Z68" i="6"/>
  <c r="Y68" i="6"/>
  <c r="X68" i="6"/>
  <c r="V68" i="6"/>
  <c r="U68" i="6"/>
  <c r="W68" i="6" s="1"/>
  <c r="S68" i="6"/>
  <c r="T68" i="6" s="1"/>
  <c r="R68" i="6"/>
  <c r="P68" i="6"/>
  <c r="O68" i="6"/>
  <c r="L68" i="6"/>
  <c r="J68" i="6"/>
  <c r="I68" i="6"/>
  <c r="Q68" i="6" s="1"/>
  <c r="H68" i="6"/>
  <c r="N68" i="6" s="1"/>
  <c r="G68" i="6"/>
  <c r="F68" i="6"/>
  <c r="E68" i="6"/>
  <c r="D68" i="6"/>
  <c r="CI67" i="6"/>
  <c r="CH67" i="6"/>
  <c r="CF67" i="6"/>
  <c r="CE67" i="6"/>
  <c r="CG67" i="6" s="1"/>
  <c r="CC67" i="6"/>
  <c r="CB67" i="6"/>
  <c r="CD67" i="6" s="1"/>
  <c r="BZ67" i="6"/>
  <c r="BY67" i="6"/>
  <c r="CA67" i="6" s="1"/>
  <c r="BW67" i="6"/>
  <c r="BV67" i="6"/>
  <c r="BX67" i="6" s="1"/>
  <c r="BT67" i="6"/>
  <c r="BS67" i="6"/>
  <c r="BU67" i="6" s="1"/>
  <c r="BQ67" i="6"/>
  <c r="BP67" i="6"/>
  <c r="BR67" i="6" s="1"/>
  <c r="BN67" i="6"/>
  <c r="BM67" i="6"/>
  <c r="BO67" i="6" s="1"/>
  <c r="BK67" i="6"/>
  <c r="BJ67" i="6"/>
  <c r="BL67" i="6" s="1"/>
  <c r="BH67" i="6"/>
  <c r="BG67" i="6"/>
  <c r="BI67" i="6" s="1"/>
  <c r="BE67" i="6"/>
  <c r="BD67" i="6"/>
  <c r="BF67" i="6" s="1"/>
  <c r="BB67" i="6"/>
  <c r="BA67" i="6"/>
  <c r="BC67" i="6" s="1"/>
  <c r="AY67" i="6"/>
  <c r="AX67" i="6"/>
  <c r="AZ67" i="6" s="1"/>
  <c r="AV67" i="6"/>
  <c r="AU67" i="6"/>
  <c r="AW67" i="6" s="1"/>
  <c r="AS67" i="6"/>
  <c r="AR67" i="6"/>
  <c r="AT67" i="6" s="1"/>
  <c r="AP67" i="6"/>
  <c r="AO67" i="6"/>
  <c r="AQ67" i="6" s="1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L67" i="6"/>
  <c r="J67" i="6"/>
  <c r="I67" i="6"/>
  <c r="H67" i="6"/>
  <c r="N67" i="6" s="1"/>
  <c r="G67" i="6"/>
  <c r="F67" i="6"/>
  <c r="E67" i="6"/>
  <c r="D67" i="6" s="1"/>
  <c r="CI66" i="6"/>
  <c r="CH66" i="6"/>
  <c r="CF66" i="6"/>
  <c r="CE66" i="6"/>
  <c r="CG66" i="6" s="1"/>
  <c r="CC66" i="6"/>
  <c r="CD66" i="6" s="1"/>
  <c r="CB66" i="6"/>
  <c r="BZ66" i="6"/>
  <c r="BY66" i="6"/>
  <c r="BW66" i="6"/>
  <c r="BX66" i="6" s="1"/>
  <c r="BV66" i="6"/>
  <c r="BT66" i="6"/>
  <c r="BS66" i="6"/>
  <c r="BU66" i="6" s="1"/>
  <c r="BR66" i="6"/>
  <c r="BQ66" i="6"/>
  <c r="BP66" i="6"/>
  <c r="BN66" i="6"/>
  <c r="BM66" i="6"/>
  <c r="BK66" i="6"/>
  <c r="BL66" i="6" s="1"/>
  <c r="BJ66" i="6"/>
  <c r="BH66" i="6"/>
  <c r="BG66" i="6"/>
  <c r="BE66" i="6"/>
  <c r="BF66" i="6" s="1"/>
  <c r="BD66" i="6"/>
  <c r="BB66" i="6"/>
  <c r="BA66" i="6"/>
  <c r="BC66" i="6" s="1"/>
  <c r="AZ66" i="6"/>
  <c r="AY66" i="6"/>
  <c r="AX66" i="6"/>
  <c r="AV66" i="6"/>
  <c r="AU66" i="6"/>
  <c r="AW66" i="6" s="1"/>
  <c r="AT66" i="6"/>
  <c r="AS66" i="6"/>
  <c r="AR66" i="6"/>
  <c r="AP66" i="6"/>
  <c r="AO66" i="6"/>
  <c r="AQ66" i="6" s="1"/>
  <c r="AN66" i="6"/>
  <c r="AM66" i="6"/>
  <c r="AK66" i="6"/>
  <c r="AJ66" i="6"/>
  <c r="AL66" i="6" s="1"/>
  <c r="AH66" i="6"/>
  <c r="AG66" i="6"/>
  <c r="AI66" i="6" s="1"/>
  <c r="AE66" i="6"/>
  <c r="AD66" i="6"/>
  <c r="AF66" i="6" s="1"/>
  <c r="AB66" i="6"/>
  <c r="AA66" i="6"/>
  <c r="AC66" i="6" s="1"/>
  <c r="Z66" i="6"/>
  <c r="Y66" i="6"/>
  <c r="X66" i="6"/>
  <c r="V66" i="6"/>
  <c r="U66" i="6"/>
  <c r="W66" i="6" s="1"/>
  <c r="S66" i="6"/>
  <c r="R66" i="6"/>
  <c r="T66" i="6" s="1"/>
  <c r="P66" i="6"/>
  <c r="O66" i="6"/>
  <c r="L66" i="6"/>
  <c r="J66" i="6" s="1"/>
  <c r="I66" i="6"/>
  <c r="Q66" i="6" s="1"/>
  <c r="H66" i="6"/>
  <c r="G66" i="6"/>
  <c r="F66" i="6"/>
  <c r="E66" i="6"/>
  <c r="D66" i="6" s="1"/>
  <c r="CI65" i="6"/>
  <c r="CH65" i="6"/>
  <c r="CG65" i="6"/>
  <c r="CF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K65" i="6"/>
  <c r="AJ65" i="6"/>
  <c r="AL65" i="6" s="1"/>
  <c r="AH65" i="6"/>
  <c r="AI65" i="6" s="1"/>
  <c r="AG65" i="6"/>
  <c r="AE65" i="6"/>
  <c r="AD65" i="6"/>
  <c r="AF65" i="6" s="1"/>
  <c r="AB65" i="6"/>
  <c r="AC65" i="6" s="1"/>
  <c r="AA65" i="6"/>
  <c r="Z65" i="6"/>
  <c r="Y65" i="6"/>
  <c r="X65" i="6"/>
  <c r="V65" i="6"/>
  <c r="W65" i="6" s="1"/>
  <c r="U65" i="6"/>
  <c r="S65" i="6"/>
  <c r="R65" i="6"/>
  <c r="T65" i="6" s="1"/>
  <c r="Q65" i="6"/>
  <c r="O65" i="6"/>
  <c r="M65" i="6"/>
  <c r="L65" i="6"/>
  <c r="J65" i="6"/>
  <c r="I65" i="6"/>
  <c r="H65" i="6"/>
  <c r="N65" i="6" s="1"/>
  <c r="G65" i="6"/>
  <c r="P65" i="6" s="1"/>
  <c r="F65" i="6"/>
  <c r="E65" i="6"/>
  <c r="D65" i="6"/>
  <c r="CI64" i="6"/>
  <c r="CH64" i="6"/>
  <c r="CF64" i="6"/>
  <c r="CE64" i="6"/>
  <c r="CG64" i="6" s="1"/>
  <c r="CC64" i="6"/>
  <c r="CB64" i="6"/>
  <c r="CD64" i="6" s="1"/>
  <c r="BZ64" i="6"/>
  <c r="BY64" i="6"/>
  <c r="CA64" i="6" s="1"/>
  <c r="BW64" i="6"/>
  <c r="BV64" i="6"/>
  <c r="BT64" i="6"/>
  <c r="BS64" i="6"/>
  <c r="BU64" i="6" s="1"/>
  <c r="BQ64" i="6"/>
  <c r="BP64" i="6"/>
  <c r="BR64" i="6" s="1"/>
  <c r="BN64" i="6"/>
  <c r="BM64" i="6"/>
  <c r="BO64" i="6" s="1"/>
  <c r="BK64" i="6"/>
  <c r="BJ64" i="6"/>
  <c r="BL64" i="6" s="1"/>
  <c r="BH64" i="6"/>
  <c r="BG64" i="6"/>
  <c r="BI64" i="6" s="1"/>
  <c r="BE64" i="6"/>
  <c r="BD64" i="6"/>
  <c r="BF64" i="6" s="1"/>
  <c r="BB64" i="6"/>
  <c r="BA64" i="6"/>
  <c r="BC64" i="6" s="1"/>
  <c r="AY64" i="6"/>
  <c r="AX64" i="6"/>
  <c r="AZ64" i="6" s="1"/>
  <c r="AV64" i="6"/>
  <c r="AU64" i="6"/>
  <c r="AW64" i="6" s="1"/>
  <c r="AS64" i="6"/>
  <c r="AR64" i="6"/>
  <c r="AT64" i="6" s="1"/>
  <c r="AP64" i="6"/>
  <c r="AO64" i="6"/>
  <c r="AQ64" i="6" s="1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O64" i="6"/>
  <c r="N64" i="6"/>
  <c r="L64" i="6"/>
  <c r="J64" i="6" s="1"/>
  <c r="I64" i="6"/>
  <c r="H64" i="6"/>
  <c r="G64" i="6"/>
  <c r="P64" i="6" s="1"/>
  <c r="F64" i="6"/>
  <c r="E64" i="6"/>
  <c r="D64" i="6" s="1"/>
  <c r="CI63" i="6"/>
  <c r="CH63" i="6"/>
  <c r="CF63" i="6"/>
  <c r="CG63" i="6" s="1"/>
  <c r="CE63" i="6"/>
  <c r="CC63" i="6"/>
  <c r="CB63" i="6"/>
  <c r="CD63" i="6" s="1"/>
  <c r="BZ63" i="6"/>
  <c r="CA63" i="6" s="1"/>
  <c r="BY63" i="6"/>
  <c r="BW63" i="6"/>
  <c r="BV63" i="6"/>
  <c r="BT63" i="6"/>
  <c r="BU63" i="6" s="1"/>
  <c r="BS63" i="6"/>
  <c r="BQ63" i="6"/>
  <c r="BP63" i="6"/>
  <c r="BR63" i="6" s="1"/>
  <c r="BN63" i="6"/>
  <c r="BO63" i="6" s="1"/>
  <c r="BM63" i="6"/>
  <c r="BK63" i="6"/>
  <c r="BJ63" i="6"/>
  <c r="BL63" i="6" s="1"/>
  <c r="BH63" i="6"/>
  <c r="BI63" i="6" s="1"/>
  <c r="BG63" i="6"/>
  <c r="BE63" i="6"/>
  <c r="BD63" i="6"/>
  <c r="BC63" i="6"/>
  <c r="BB63" i="6"/>
  <c r="BA63" i="6"/>
  <c r="AY63" i="6"/>
  <c r="AX63" i="6"/>
  <c r="AZ63" i="6" s="1"/>
  <c r="AW63" i="6"/>
  <c r="AV63" i="6"/>
  <c r="AU63" i="6"/>
  <c r="AS63" i="6"/>
  <c r="AR63" i="6"/>
  <c r="AT63" i="6" s="1"/>
  <c r="AQ63" i="6"/>
  <c r="AP63" i="6"/>
  <c r="AO63" i="6"/>
  <c r="AN63" i="6"/>
  <c r="AM63" i="6"/>
  <c r="AK63" i="6"/>
  <c r="AJ63" i="6"/>
  <c r="AL63" i="6" s="1"/>
  <c r="AH63" i="6"/>
  <c r="AG63" i="6"/>
  <c r="AI63" i="6" s="1"/>
  <c r="AE63" i="6"/>
  <c r="AD63" i="6"/>
  <c r="AF63" i="6" s="1"/>
  <c r="AB63" i="6"/>
  <c r="AA63" i="6"/>
  <c r="AC63" i="6" s="1"/>
  <c r="Z63" i="6"/>
  <c r="Y63" i="6"/>
  <c r="X63" i="6"/>
  <c r="V63" i="6"/>
  <c r="U63" i="6"/>
  <c r="W63" i="6" s="1"/>
  <c r="S63" i="6"/>
  <c r="R63" i="6"/>
  <c r="T63" i="6" s="1"/>
  <c r="O63" i="6"/>
  <c r="L63" i="6"/>
  <c r="J63" i="6" s="1"/>
  <c r="I63" i="6"/>
  <c r="Q63" i="6" s="1"/>
  <c r="H63" i="6"/>
  <c r="N63" i="6" s="1"/>
  <c r="G63" i="6"/>
  <c r="P63" i="6" s="1"/>
  <c r="F63" i="6"/>
  <c r="E63" i="6"/>
  <c r="D63" i="6" s="1"/>
  <c r="M63" i="6" s="1"/>
  <c r="C63" i="6"/>
  <c r="K63" i="6" s="1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K62" i="6"/>
  <c r="AL62" i="6" s="1"/>
  <c r="AJ62" i="6"/>
  <c r="AH62" i="6"/>
  <c r="AG62" i="6"/>
  <c r="AI62" i="6" s="1"/>
  <c r="AE62" i="6"/>
  <c r="AF62" i="6" s="1"/>
  <c r="AD62" i="6"/>
  <c r="AB62" i="6"/>
  <c r="AA62" i="6"/>
  <c r="AC62" i="6" s="1"/>
  <c r="Z62" i="6"/>
  <c r="Y62" i="6"/>
  <c r="X62" i="6"/>
  <c r="V62" i="6"/>
  <c r="U62" i="6"/>
  <c r="W62" i="6" s="1"/>
  <c r="S62" i="6"/>
  <c r="T62" i="6" s="1"/>
  <c r="R62" i="6"/>
  <c r="P62" i="6"/>
  <c r="O62" i="6"/>
  <c r="L62" i="6"/>
  <c r="J62" i="6"/>
  <c r="I62" i="6"/>
  <c r="Q62" i="6" s="1"/>
  <c r="H62" i="6"/>
  <c r="N62" i="6" s="1"/>
  <c r="G62" i="6"/>
  <c r="F62" i="6"/>
  <c r="E62" i="6"/>
  <c r="D62" i="6"/>
  <c r="CI61" i="6"/>
  <c r="CH61" i="6"/>
  <c r="CF61" i="6"/>
  <c r="CE61" i="6"/>
  <c r="CG61" i="6" s="1"/>
  <c r="CC61" i="6"/>
  <c r="CB61" i="6"/>
  <c r="CD61" i="6" s="1"/>
  <c r="BZ61" i="6"/>
  <c r="BY61" i="6"/>
  <c r="CA61" i="6" s="1"/>
  <c r="BW61" i="6"/>
  <c r="BV61" i="6"/>
  <c r="BX61" i="6" s="1"/>
  <c r="BT61" i="6"/>
  <c r="BS61" i="6"/>
  <c r="BU61" i="6" s="1"/>
  <c r="BQ61" i="6"/>
  <c r="BP61" i="6"/>
  <c r="BR61" i="6" s="1"/>
  <c r="BN61" i="6"/>
  <c r="BM61" i="6"/>
  <c r="BO61" i="6" s="1"/>
  <c r="BK61" i="6"/>
  <c r="BJ61" i="6"/>
  <c r="BL61" i="6" s="1"/>
  <c r="BH61" i="6"/>
  <c r="BG61" i="6"/>
  <c r="BI61" i="6" s="1"/>
  <c r="BE61" i="6"/>
  <c r="BD61" i="6"/>
  <c r="BF61" i="6" s="1"/>
  <c r="BB61" i="6"/>
  <c r="BA61" i="6"/>
  <c r="BC61" i="6" s="1"/>
  <c r="AY61" i="6"/>
  <c r="AX61" i="6"/>
  <c r="AZ61" i="6" s="1"/>
  <c r="AV61" i="6"/>
  <c r="AU61" i="6"/>
  <c r="AW61" i="6" s="1"/>
  <c r="AS61" i="6"/>
  <c r="AR61" i="6"/>
  <c r="AT61" i="6" s="1"/>
  <c r="AP61" i="6"/>
  <c r="AO61" i="6"/>
  <c r="AQ61" i="6" s="1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L61" i="6"/>
  <c r="J61" i="6"/>
  <c r="I61" i="6"/>
  <c r="H61" i="6"/>
  <c r="N61" i="6" s="1"/>
  <c r="G61" i="6"/>
  <c r="F61" i="6"/>
  <c r="E61" i="6"/>
  <c r="D61" i="6" s="1"/>
  <c r="CI60" i="6"/>
  <c r="CH60" i="6"/>
  <c r="CF60" i="6"/>
  <c r="CE60" i="6"/>
  <c r="CG60" i="6" s="1"/>
  <c r="CC60" i="6"/>
  <c r="CD60" i="6" s="1"/>
  <c r="CB60" i="6"/>
  <c r="BZ60" i="6"/>
  <c r="BY60" i="6"/>
  <c r="BW60" i="6"/>
  <c r="BX60" i="6" s="1"/>
  <c r="BV60" i="6"/>
  <c r="BT60" i="6"/>
  <c r="BS60" i="6"/>
  <c r="BU60" i="6" s="1"/>
  <c r="BR60" i="6"/>
  <c r="BQ60" i="6"/>
  <c r="BP60" i="6"/>
  <c r="BN60" i="6"/>
  <c r="BM60" i="6"/>
  <c r="BK60" i="6"/>
  <c r="BL60" i="6" s="1"/>
  <c r="BJ60" i="6"/>
  <c r="BH60" i="6"/>
  <c r="BG60" i="6"/>
  <c r="BI60" i="6" s="1"/>
  <c r="BE60" i="6"/>
  <c r="BF60" i="6" s="1"/>
  <c r="BD60" i="6"/>
  <c r="BB60" i="6"/>
  <c r="BA60" i="6"/>
  <c r="BC60" i="6" s="1"/>
  <c r="AZ60" i="6"/>
  <c r="AY60" i="6"/>
  <c r="AX60" i="6"/>
  <c r="AV60" i="6"/>
  <c r="AU60" i="6"/>
  <c r="AW60" i="6" s="1"/>
  <c r="AT60" i="6"/>
  <c r="AS60" i="6"/>
  <c r="AR60" i="6"/>
  <c r="AP60" i="6"/>
  <c r="AO60" i="6"/>
  <c r="AQ60" i="6" s="1"/>
  <c r="AN60" i="6"/>
  <c r="AM60" i="6"/>
  <c r="AK60" i="6"/>
  <c r="AJ60" i="6"/>
  <c r="AL60" i="6" s="1"/>
  <c r="AH60" i="6"/>
  <c r="AG60" i="6"/>
  <c r="AI60" i="6" s="1"/>
  <c r="AE60" i="6"/>
  <c r="AD60" i="6"/>
  <c r="AF60" i="6" s="1"/>
  <c r="AB60" i="6"/>
  <c r="AA60" i="6"/>
  <c r="AC60" i="6" s="1"/>
  <c r="Z60" i="6"/>
  <c r="Y60" i="6"/>
  <c r="X60" i="6"/>
  <c r="V60" i="6"/>
  <c r="U60" i="6"/>
  <c r="W60" i="6" s="1"/>
  <c r="S60" i="6"/>
  <c r="R60" i="6"/>
  <c r="T60" i="6" s="1"/>
  <c r="P60" i="6"/>
  <c r="O60" i="6"/>
  <c r="L60" i="6"/>
  <c r="J60" i="6" s="1"/>
  <c r="I60" i="6"/>
  <c r="Q60" i="6" s="1"/>
  <c r="H60" i="6"/>
  <c r="G60" i="6"/>
  <c r="F60" i="6"/>
  <c r="E60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K59" i="6"/>
  <c r="AJ59" i="6"/>
  <c r="AL59" i="6" s="1"/>
  <c r="AH59" i="6"/>
  <c r="AI59" i="6" s="1"/>
  <c r="AG59" i="6"/>
  <c r="AE59" i="6"/>
  <c r="AD59" i="6"/>
  <c r="AF59" i="6" s="1"/>
  <c r="AB59" i="6"/>
  <c r="AC59" i="6" s="1"/>
  <c r="AA59" i="6"/>
  <c r="Z59" i="6"/>
  <c r="Y59" i="6"/>
  <c r="X59" i="6"/>
  <c r="V59" i="6"/>
  <c r="W59" i="6" s="1"/>
  <c r="U59" i="6"/>
  <c r="S59" i="6"/>
  <c r="R59" i="6"/>
  <c r="T59" i="6" s="1"/>
  <c r="Q59" i="6"/>
  <c r="O59" i="6"/>
  <c r="M59" i="6"/>
  <c r="L59" i="6"/>
  <c r="J59" i="6"/>
  <c r="I59" i="6"/>
  <c r="H59" i="6"/>
  <c r="N59" i="6" s="1"/>
  <c r="G59" i="6"/>
  <c r="P59" i="6" s="1"/>
  <c r="F59" i="6"/>
  <c r="E59" i="6"/>
  <c r="D59" i="6"/>
  <c r="C59" i="6" s="1"/>
  <c r="K59" i="6" s="1"/>
  <c r="CI58" i="6"/>
  <c r="CH58" i="6"/>
  <c r="CF58" i="6"/>
  <c r="CE58" i="6"/>
  <c r="CG58" i="6" s="1"/>
  <c r="CC58" i="6"/>
  <c r="CB58" i="6"/>
  <c r="CD58" i="6" s="1"/>
  <c r="BZ58" i="6"/>
  <c r="BY58" i="6"/>
  <c r="CA58" i="6" s="1"/>
  <c r="BW58" i="6"/>
  <c r="BV58" i="6"/>
  <c r="BX58" i="6" s="1"/>
  <c r="BT58" i="6"/>
  <c r="BS58" i="6"/>
  <c r="BU58" i="6" s="1"/>
  <c r="BQ58" i="6"/>
  <c r="BP58" i="6"/>
  <c r="BR58" i="6" s="1"/>
  <c r="BN58" i="6"/>
  <c r="BM58" i="6"/>
  <c r="BO58" i="6" s="1"/>
  <c r="BK58" i="6"/>
  <c r="BJ58" i="6"/>
  <c r="BL58" i="6" s="1"/>
  <c r="BH58" i="6"/>
  <c r="BG58" i="6"/>
  <c r="BI58" i="6" s="1"/>
  <c r="BE58" i="6"/>
  <c r="BD58" i="6"/>
  <c r="BF58" i="6" s="1"/>
  <c r="BB58" i="6"/>
  <c r="BA58" i="6"/>
  <c r="BC58" i="6" s="1"/>
  <c r="AY58" i="6"/>
  <c r="AX58" i="6"/>
  <c r="AZ58" i="6" s="1"/>
  <c r="AV58" i="6"/>
  <c r="AU58" i="6"/>
  <c r="AW58" i="6" s="1"/>
  <c r="AS58" i="6"/>
  <c r="AR58" i="6"/>
  <c r="AT58" i="6" s="1"/>
  <c r="AP58" i="6"/>
  <c r="AO58" i="6"/>
  <c r="AQ58" i="6" s="1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O58" i="6"/>
  <c r="L58" i="6"/>
  <c r="J58" i="6" s="1"/>
  <c r="I58" i="6"/>
  <c r="H58" i="6"/>
  <c r="G58" i="6"/>
  <c r="P58" i="6" s="1"/>
  <c r="F58" i="6"/>
  <c r="E58" i="6"/>
  <c r="D58" i="6" s="1"/>
  <c r="CI57" i="6"/>
  <c r="CH57" i="6"/>
  <c r="CG57" i="6"/>
  <c r="CF57" i="6"/>
  <c r="CE57" i="6"/>
  <c r="CC57" i="6"/>
  <c r="CB57" i="6"/>
  <c r="CD57" i="6" s="1"/>
  <c r="CA57" i="6"/>
  <c r="BZ57" i="6"/>
  <c r="BY57" i="6"/>
  <c r="BW57" i="6"/>
  <c r="BV57" i="6"/>
  <c r="BX57" i="6" s="1"/>
  <c r="BU57" i="6"/>
  <c r="BT57" i="6"/>
  <c r="BS57" i="6"/>
  <c r="BQ57" i="6"/>
  <c r="BP57" i="6"/>
  <c r="BR57" i="6" s="1"/>
  <c r="BN57" i="6"/>
  <c r="BO57" i="6" s="1"/>
  <c r="BM57" i="6"/>
  <c r="BK57" i="6"/>
  <c r="BJ57" i="6"/>
  <c r="BL57" i="6" s="1"/>
  <c r="BH57" i="6"/>
  <c r="BI57" i="6" s="1"/>
  <c r="BG57" i="6"/>
  <c r="BE57" i="6"/>
  <c r="BD57" i="6"/>
  <c r="BC57" i="6"/>
  <c r="BB57" i="6"/>
  <c r="BA57" i="6"/>
  <c r="AY57" i="6"/>
  <c r="AX57" i="6"/>
  <c r="AZ57" i="6" s="1"/>
  <c r="AW57" i="6"/>
  <c r="AV57" i="6"/>
  <c r="AU57" i="6"/>
  <c r="AS57" i="6"/>
  <c r="AR57" i="6"/>
  <c r="AT57" i="6" s="1"/>
  <c r="AQ57" i="6"/>
  <c r="AP57" i="6"/>
  <c r="AO57" i="6"/>
  <c r="AN57" i="6"/>
  <c r="AM57" i="6"/>
  <c r="AK57" i="6"/>
  <c r="AJ57" i="6"/>
  <c r="AL57" i="6" s="1"/>
  <c r="AH57" i="6"/>
  <c r="AG57" i="6"/>
  <c r="AI57" i="6" s="1"/>
  <c r="AE57" i="6"/>
  <c r="AD57" i="6"/>
  <c r="AF57" i="6" s="1"/>
  <c r="AB57" i="6"/>
  <c r="AA57" i="6"/>
  <c r="AC57" i="6" s="1"/>
  <c r="Z57" i="6"/>
  <c r="Y57" i="6"/>
  <c r="X57" i="6"/>
  <c r="V57" i="6"/>
  <c r="U57" i="6"/>
  <c r="W57" i="6" s="1"/>
  <c r="S57" i="6"/>
  <c r="R57" i="6"/>
  <c r="T57" i="6" s="1"/>
  <c r="O57" i="6"/>
  <c r="L57" i="6"/>
  <c r="J57" i="6" s="1"/>
  <c r="I57" i="6"/>
  <c r="Q57" i="6" s="1"/>
  <c r="H57" i="6"/>
  <c r="N57" i="6" s="1"/>
  <c r="G57" i="6"/>
  <c r="P57" i="6" s="1"/>
  <c r="F57" i="6"/>
  <c r="D57" i="6" s="1"/>
  <c r="M57" i="6" s="1"/>
  <c r="E57" i="6"/>
  <c r="C57" i="6"/>
  <c r="K57" i="6" s="1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K56" i="6"/>
  <c r="AL56" i="6" s="1"/>
  <c r="AJ56" i="6"/>
  <c r="AH56" i="6"/>
  <c r="AG56" i="6"/>
  <c r="AI56" i="6" s="1"/>
  <c r="AE56" i="6"/>
  <c r="AF56" i="6" s="1"/>
  <c r="AD56" i="6"/>
  <c r="AB56" i="6"/>
  <c r="AA56" i="6"/>
  <c r="AC56" i="6" s="1"/>
  <c r="Z56" i="6"/>
  <c r="Y56" i="6"/>
  <c r="X56" i="6"/>
  <c r="V56" i="6"/>
  <c r="U56" i="6"/>
  <c r="S56" i="6"/>
  <c r="T56" i="6" s="1"/>
  <c r="R56" i="6"/>
  <c r="P56" i="6"/>
  <c r="O56" i="6"/>
  <c r="L56" i="6"/>
  <c r="J56" i="6"/>
  <c r="I56" i="6"/>
  <c r="Q56" i="6" s="1"/>
  <c r="H56" i="6"/>
  <c r="N56" i="6" s="1"/>
  <c r="G56" i="6"/>
  <c r="F56" i="6"/>
  <c r="E56" i="6"/>
  <c r="D56" i="6"/>
  <c r="CI55" i="6"/>
  <c r="CH55" i="6"/>
  <c r="CF55" i="6"/>
  <c r="CE55" i="6"/>
  <c r="CC55" i="6"/>
  <c r="CB55" i="6"/>
  <c r="CD55" i="6" s="1"/>
  <c r="BZ55" i="6"/>
  <c r="BY55" i="6"/>
  <c r="BW55" i="6"/>
  <c r="BV55" i="6"/>
  <c r="BX55" i="6" s="1"/>
  <c r="BT55" i="6"/>
  <c r="BS55" i="6"/>
  <c r="BQ55" i="6"/>
  <c r="BP55" i="6"/>
  <c r="BR55" i="6" s="1"/>
  <c r="BN55" i="6"/>
  <c r="BM55" i="6"/>
  <c r="BK55" i="6"/>
  <c r="BJ55" i="6"/>
  <c r="BL55" i="6" s="1"/>
  <c r="BH55" i="6"/>
  <c r="BG55" i="6"/>
  <c r="BE55" i="6"/>
  <c r="BD55" i="6"/>
  <c r="BF55" i="6" s="1"/>
  <c r="BB55" i="6"/>
  <c r="BA55" i="6"/>
  <c r="AY55" i="6"/>
  <c r="AX55" i="6"/>
  <c r="AZ55" i="6" s="1"/>
  <c r="AV55" i="6"/>
  <c r="AU55" i="6"/>
  <c r="AS55" i="6"/>
  <c r="AR55" i="6"/>
  <c r="AT55" i="6" s="1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L55" i="6"/>
  <c r="J55" i="6"/>
  <c r="I55" i="6"/>
  <c r="H55" i="6"/>
  <c r="N55" i="6" s="1"/>
  <c r="G55" i="6"/>
  <c r="F55" i="6"/>
  <c r="E55" i="6"/>
  <c r="CI54" i="6"/>
  <c r="CI52" i="6" s="1"/>
  <c r="CH54" i="6"/>
  <c r="CF54" i="6"/>
  <c r="CE54" i="6"/>
  <c r="CG54" i="6" s="1"/>
  <c r="CC54" i="6"/>
  <c r="CD54" i="6" s="1"/>
  <c r="CB54" i="6"/>
  <c r="BZ54" i="6"/>
  <c r="BY54" i="6"/>
  <c r="BW54" i="6"/>
  <c r="BX54" i="6" s="1"/>
  <c r="BV54" i="6"/>
  <c r="BT54" i="6"/>
  <c r="BS54" i="6"/>
  <c r="BR54" i="6"/>
  <c r="BQ54" i="6"/>
  <c r="BP54" i="6"/>
  <c r="BN54" i="6"/>
  <c r="BM54" i="6"/>
  <c r="BK54" i="6"/>
  <c r="BL54" i="6" s="1"/>
  <c r="BJ54" i="6"/>
  <c r="BH54" i="6"/>
  <c r="BG54" i="6"/>
  <c r="BI54" i="6" s="1"/>
  <c r="BE54" i="6"/>
  <c r="BF54" i="6" s="1"/>
  <c r="BD54" i="6"/>
  <c r="BB54" i="6"/>
  <c r="BA54" i="6"/>
  <c r="BC54" i="6" s="1"/>
  <c r="AY54" i="6"/>
  <c r="AZ54" i="6" s="1"/>
  <c r="AX54" i="6"/>
  <c r="AV54" i="6"/>
  <c r="AU54" i="6"/>
  <c r="AS54" i="6"/>
  <c r="AT54" i="6" s="1"/>
  <c r="AR54" i="6"/>
  <c r="AP54" i="6"/>
  <c r="AO54" i="6"/>
  <c r="AQ54" i="6" s="1"/>
  <c r="AN54" i="6"/>
  <c r="AM54" i="6"/>
  <c r="AM52" i="6" s="1"/>
  <c r="AK54" i="6"/>
  <c r="AJ54" i="6"/>
  <c r="AL54" i="6" s="1"/>
  <c r="AH54" i="6"/>
  <c r="AG54" i="6"/>
  <c r="AI54" i="6" s="1"/>
  <c r="AE54" i="6"/>
  <c r="AD54" i="6"/>
  <c r="AF54" i="6" s="1"/>
  <c r="AB54" i="6"/>
  <c r="AA54" i="6"/>
  <c r="AC54" i="6" s="1"/>
  <c r="Z54" i="6"/>
  <c r="Y54" i="6"/>
  <c r="X54" i="6"/>
  <c r="V54" i="6"/>
  <c r="U54" i="6"/>
  <c r="W54" i="6" s="1"/>
  <c r="S54" i="6"/>
  <c r="R54" i="6"/>
  <c r="T54" i="6" s="1"/>
  <c r="O54" i="6"/>
  <c r="O52" i="6" s="1"/>
  <c r="L54" i="6"/>
  <c r="J54" i="6" s="1"/>
  <c r="I54" i="6"/>
  <c r="Q54" i="6" s="1"/>
  <c r="H54" i="6"/>
  <c r="G54" i="6"/>
  <c r="P54" i="6" s="1"/>
  <c r="F54" i="6"/>
  <c r="E54" i="6"/>
  <c r="D54" i="6" s="1"/>
  <c r="CI53" i="6"/>
  <c r="CH53" i="6"/>
  <c r="CG53" i="6"/>
  <c r="CF53" i="6"/>
  <c r="CF52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T52" i="6" s="1"/>
  <c r="BS53" i="6"/>
  <c r="BR53" i="6"/>
  <c r="BQ53" i="6"/>
  <c r="BP53" i="6"/>
  <c r="BO53" i="6"/>
  <c r="BN53" i="6"/>
  <c r="BM53" i="6"/>
  <c r="BL53" i="6"/>
  <c r="BK53" i="6"/>
  <c r="BJ53" i="6"/>
  <c r="BI53" i="6"/>
  <c r="BH53" i="6"/>
  <c r="BH52" i="6" s="1"/>
  <c r="BG53" i="6"/>
  <c r="BF53" i="6"/>
  <c r="BE53" i="6"/>
  <c r="BD53" i="6"/>
  <c r="BC53" i="6"/>
  <c r="BB53" i="6"/>
  <c r="BB52" i="6" s="1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K53" i="6"/>
  <c r="AJ53" i="6"/>
  <c r="AH53" i="6"/>
  <c r="AI53" i="6" s="1"/>
  <c r="AG53" i="6"/>
  <c r="AE53" i="6"/>
  <c r="AE52" i="6" s="1"/>
  <c r="AD53" i="6"/>
  <c r="AB53" i="6"/>
  <c r="AC53" i="6" s="1"/>
  <c r="AA53" i="6"/>
  <c r="Z53" i="6"/>
  <c r="Y53" i="6"/>
  <c r="X53" i="6"/>
  <c r="V53" i="6"/>
  <c r="W53" i="6" s="1"/>
  <c r="U53" i="6"/>
  <c r="S53" i="6"/>
  <c r="S52" i="6" s="1"/>
  <c r="R53" i="6"/>
  <c r="Q53" i="6"/>
  <c r="O53" i="6"/>
  <c r="M53" i="6"/>
  <c r="L53" i="6"/>
  <c r="J53" i="6"/>
  <c r="I53" i="6"/>
  <c r="H53" i="6"/>
  <c r="N53" i="6" s="1"/>
  <c r="G53" i="6"/>
  <c r="F53" i="6"/>
  <c r="F52" i="6" s="1"/>
  <c r="E53" i="6"/>
  <c r="D53" i="6"/>
  <c r="CH52" i="6"/>
  <c r="BP52" i="6"/>
  <c r="BR52" i="6" s="1"/>
  <c r="BJ52" i="6"/>
  <c r="AX52" i="6"/>
  <c r="Z52" i="6"/>
  <c r="CI51" i="6"/>
  <c r="CH51" i="6"/>
  <c r="CF51" i="6"/>
  <c r="CG51" i="6" s="1"/>
  <c r="CE51" i="6"/>
  <c r="CC51" i="6"/>
  <c r="CB51" i="6"/>
  <c r="BZ51" i="6"/>
  <c r="CA51" i="6" s="1"/>
  <c r="BY51" i="6"/>
  <c r="BW51" i="6"/>
  <c r="BV51" i="6"/>
  <c r="BT51" i="6"/>
  <c r="BU51" i="6" s="1"/>
  <c r="BS51" i="6"/>
  <c r="BQ51" i="6"/>
  <c r="BP51" i="6"/>
  <c r="BR51" i="6" s="1"/>
  <c r="BN51" i="6"/>
  <c r="BO51" i="6" s="1"/>
  <c r="BM51" i="6"/>
  <c r="BK51" i="6"/>
  <c r="BJ51" i="6"/>
  <c r="BH51" i="6"/>
  <c r="BI51" i="6" s="1"/>
  <c r="BG51" i="6"/>
  <c r="BE51" i="6"/>
  <c r="BD51" i="6"/>
  <c r="BB51" i="6"/>
  <c r="BC51" i="6" s="1"/>
  <c r="BA51" i="6"/>
  <c r="AY51" i="6"/>
  <c r="AX51" i="6"/>
  <c r="AZ51" i="6" s="1"/>
  <c r="AV51" i="6"/>
  <c r="AW51" i="6" s="1"/>
  <c r="AU51" i="6"/>
  <c r="AS51" i="6"/>
  <c r="AR51" i="6"/>
  <c r="AP51" i="6"/>
  <c r="AQ51" i="6" s="1"/>
  <c r="AO51" i="6"/>
  <c r="AN51" i="6"/>
  <c r="AM51" i="6"/>
  <c r="AK51" i="6"/>
  <c r="AJ51" i="6"/>
  <c r="AL51" i="6" s="1"/>
  <c r="AH51" i="6"/>
  <c r="AG51" i="6"/>
  <c r="AI51" i="6" s="1"/>
  <c r="AE51" i="6"/>
  <c r="AD51" i="6"/>
  <c r="AF51" i="6" s="1"/>
  <c r="AB51" i="6"/>
  <c r="AA51" i="6"/>
  <c r="AC51" i="6" s="1"/>
  <c r="Z51" i="6"/>
  <c r="Y51" i="6"/>
  <c r="X51" i="6"/>
  <c r="V51" i="6"/>
  <c r="U51" i="6"/>
  <c r="W51" i="6" s="1"/>
  <c r="S51" i="6"/>
  <c r="R51" i="6"/>
  <c r="T51" i="6" s="1"/>
  <c r="P51" i="6"/>
  <c r="O51" i="6"/>
  <c r="L51" i="6"/>
  <c r="I51" i="6"/>
  <c r="Q51" i="6" s="1"/>
  <c r="H51" i="6"/>
  <c r="N51" i="6" s="1"/>
  <c r="G51" i="6"/>
  <c r="F51" i="6"/>
  <c r="D51" i="6" s="1"/>
  <c r="E51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K50" i="6"/>
  <c r="AL50" i="6" s="1"/>
  <c r="AJ50" i="6"/>
  <c r="AH50" i="6"/>
  <c r="AG50" i="6"/>
  <c r="AE50" i="6"/>
  <c r="AF50" i="6" s="1"/>
  <c r="AD50" i="6"/>
  <c r="AB50" i="6"/>
  <c r="AA50" i="6"/>
  <c r="AC50" i="6" s="1"/>
  <c r="Z50" i="6"/>
  <c r="Y50" i="6"/>
  <c r="X50" i="6"/>
  <c r="V50" i="6"/>
  <c r="U50" i="6"/>
  <c r="S50" i="6"/>
  <c r="T50" i="6" s="1"/>
  <c r="R50" i="6"/>
  <c r="P50" i="6"/>
  <c r="O50" i="6"/>
  <c r="L50" i="6"/>
  <c r="J50" i="6"/>
  <c r="I50" i="6"/>
  <c r="Q50" i="6" s="1"/>
  <c r="H50" i="6"/>
  <c r="N50" i="6" s="1"/>
  <c r="G50" i="6"/>
  <c r="F50" i="6"/>
  <c r="E50" i="6"/>
  <c r="D50" i="6"/>
  <c r="CI49" i="6"/>
  <c r="CH49" i="6"/>
  <c r="CF49" i="6"/>
  <c r="CE49" i="6"/>
  <c r="CG49" i="6" s="1"/>
  <c r="CC49" i="6"/>
  <c r="CB49" i="6"/>
  <c r="CD49" i="6" s="1"/>
  <c r="BZ49" i="6"/>
  <c r="BY49" i="6"/>
  <c r="CA49" i="6" s="1"/>
  <c r="BW49" i="6"/>
  <c r="BV49" i="6"/>
  <c r="BX49" i="6" s="1"/>
  <c r="BT49" i="6"/>
  <c r="BS49" i="6"/>
  <c r="BU49" i="6" s="1"/>
  <c r="BQ49" i="6"/>
  <c r="BP49" i="6"/>
  <c r="BR49" i="6" s="1"/>
  <c r="BN49" i="6"/>
  <c r="BM49" i="6"/>
  <c r="BO49" i="6" s="1"/>
  <c r="BK49" i="6"/>
  <c r="BJ49" i="6"/>
  <c r="BL49" i="6" s="1"/>
  <c r="BH49" i="6"/>
  <c r="BG49" i="6"/>
  <c r="BI49" i="6" s="1"/>
  <c r="BE49" i="6"/>
  <c r="BD49" i="6"/>
  <c r="BF49" i="6" s="1"/>
  <c r="BB49" i="6"/>
  <c r="BA49" i="6"/>
  <c r="BC49" i="6" s="1"/>
  <c r="AY49" i="6"/>
  <c r="AX49" i="6"/>
  <c r="AZ49" i="6" s="1"/>
  <c r="AV49" i="6"/>
  <c r="AU49" i="6"/>
  <c r="AW49" i="6" s="1"/>
  <c r="AS49" i="6"/>
  <c r="AR49" i="6"/>
  <c r="AT49" i="6" s="1"/>
  <c r="AP49" i="6"/>
  <c r="AO49" i="6"/>
  <c r="AQ49" i="6" s="1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L49" i="6"/>
  <c r="J49" i="6"/>
  <c r="I49" i="6"/>
  <c r="H49" i="6"/>
  <c r="N49" i="6" s="1"/>
  <c r="G49" i="6"/>
  <c r="F49" i="6"/>
  <c r="E49" i="6"/>
  <c r="D49" i="6" s="1"/>
  <c r="CI48" i="6"/>
  <c r="CH48" i="6"/>
  <c r="CF48" i="6"/>
  <c r="CE48" i="6"/>
  <c r="CG48" i="6" s="1"/>
  <c r="CD48" i="6"/>
  <c r="CC48" i="6"/>
  <c r="CB48" i="6"/>
  <c r="BZ48" i="6"/>
  <c r="BY48" i="6"/>
  <c r="CA48" i="6" s="1"/>
  <c r="BX48" i="6"/>
  <c r="BW48" i="6"/>
  <c r="BV48" i="6"/>
  <c r="BT48" i="6"/>
  <c r="BS48" i="6"/>
  <c r="BU48" i="6" s="1"/>
  <c r="BR48" i="6"/>
  <c r="BQ48" i="6"/>
  <c r="BP48" i="6"/>
  <c r="BN48" i="6"/>
  <c r="BM48" i="6"/>
  <c r="BO48" i="6" s="1"/>
  <c r="BK48" i="6"/>
  <c r="BL48" i="6" s="1"/>
  <c r="BJ48" i="6"/>
  <c r="BH48" i="6"/>
  <c r="BG48" i="6"/>
  <c r="BI48" i="6" s="1"/>
  <c r="BE48" i="6"/>
  <c r="BF48" i="6" s="1"/>
  <c r="BD48" i="6"/>
  <c r="BB48" i="6"/>
  <c r="BA48" i="6"/>
  <c r="AY48" i="6"/>
  <c r="AZ48" i="6" s="1"/>
  <c r="AX48" i="6"/>
  <c r="AV48" i="6"/>
  <c r="AU48" i="6"/>
  <c r="AW48" i="6" s="1"/>
  <c r="AS48" i="6"/>
  <c r="AT48" i="6" s="1"/>
  <c r="AR48" i="6"/>
  <c r="AP48" i="6"/>
  <c r="AO48" i="6"/>
  <c r="AQ48" i="6" s="1"/>
  <c r="AN48" i="6"/>
  <c r="AM48" i="6"/>
  <c r="AK48" i="6"/>
  <c r="AJ48" i="6"/>
  <c r="AL48" i="6" s="1"/>
  <c r="AH48" i="6"/>
  <c r="AG48" i="6"/>
  <c r="AI48" i="6" s="1"/>
  <c r="AE48" i="6"/>
  <c r="AD48" i="6"/>
  <c r="AF48" i="6" s="1"/>
  <c r="AB48" i="6"/>
  <c r="AA48" i="6"/>
  <c r="AC48" i="6" s="1"/>
  <c r="Z48" i="6"/>
  <c r="Y48" i="6"/>
  <c r="X48" i="6"/>
  <c r="V48" i="6"/>
  <c r="U48" i="6"/>
  <c r="W48" i="6" s="1"/>
  <c r="S48" i="6"/>
  <c r="R48" i="6"/>
  <c r="T48" i="6" s="1"/>
  <c r="O48" i="6"/>
  <c r="L48" i="6"/>
  <c r="J48" i="6" s="1"/>
  <c r="I48" i="6"/>
  <c r="Q48" i="6" s="1"/>
  <c r="H48" i="6"/>
  <c r="N48" i="6" s="1"/>
  <c r="G48" i="6"/>
  <c r="P48" i="6" s="1"/>
  <c r="F48" i="6"/>
  <c r="E48" i="6"/>
  <c r="D48" i="6" s="1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K47" i="6"/>
  <c r="AJ47" i="6"/>
  <c r="AL47" i="6" s="1"/>
  <c r="AH47" i="6"/>
  <c r="AG47" i="6"/>
  <c r="AE47" i="6"/>
  <c r="AD47" i="6"/>
  <c r="AB47" i="6"/>
  <c r="AA47" i="6"/>
  <c r="AC47" i="6" s="1"/>
  <c r="Z47" i="6"/>
  <c r="Y47" i="6"/>
  <c r="X47" i="6"/>
  <c r="V47" i="6"/>
  <c r="U47" i="6"/>
  <c r="W47" i="6" s="1"/>
  <c r="S47" i="6"/>
  <c r="R47" i="6"/>
  <c r="O47" i="6"/>
  <c r="L47" i="6"/>
  <c r="J47" i="6"/>
  <c r="I47" i="6"/>
  <c r="Q47" i="6" s="1"/>
  <c r="H47" i="6"/>
  <c r="N47" i="6" s="1"/>
  <c r="G47" i="6"/>
  <c r="P47" i="6" s="1"/>
  <c r="F47" i="6"/>
  <c r="E47" i="6"/>
  <c r="D47" i="6"/>
  <c r="CI46" i="6"/>
  <c r="CH46" i="6"/>
  <c r="CF46" i="6"/>
  <c r="CE46" i="6"/>
  <c r="CG46" i="6" s="1"/>
  <c r="CC46" i="6"/>
  <c r="CB46" i="6"/>
  <c r="CD46" i="6" s="1"/>
  <c r="BZ46" i="6"/>
  <c r="BY46" i="6"/>
  <c r="CA46" i="6" s="1"/>
  <c r="BW46" i="6"/>
  <c r="BV46" i="6"/>
  <c r="BX46" i="6" s="1"/>
  <c r="BT46" i="6"/>
  <c r="BS46" i="6"/>
  <c r="BU46" i="6" s="1"/>
  <c r="BQ46" i="6"/>
  <c r="BP46" i="6"/>
  <c r="BR46" i="6" s="1"/>
  <c r="BN46" i="6"/>
  <c r="BM46" i="6"/>
  <c r="BO46" i="6" s="1"/>
  <c r="BK46" i="6"/>
  <c r="BJ46" i="6"/>
  <c r="BL46" i="6" s="1"/>
  <c r="BH46" i="6"/>
  <c r="BG46" i="6"/>
  <c r="BI46" i="6" s="1"/>
  <c r="BE46" i="6"/>
  <c r="BD46" i="6"/>
  <c r="BF46" i="6" s="1"/>
  <c r="BB46" i="6"/>
  <c r="BA46" i="6"/>
  <c r="BC46" i="6" s="1"/>
  <c r="AY46" i="6"/>
  <c r="AX46" i="6"/>
  <c r="AZ46" i="6" s="1"/>
  <c r="AV46" i="6"/>
  <c r="AU46" i="6"/>
  <c r="AW46" i="6" s="1"/>
  <c r="AS46" i="6"/>
  <c r="AR46" i="6"/>
  <c r="AT46" i="6" s="1"/>
  <c r="AP46" i="6"/>
  <c r="AO46" i="6"/>
  <c r="AQ46" i="6" s="1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O46" i="6"/>
  <c r="L46" i="6"/>
  <c r="J46" i="6" s="1"/>
  <c r="I46" i="6"/>
  <c r="H46" i="6"/>
  <c r="N46" i="6" s="1"/>
  <c r="G46" i="6"/>
  <c r="P46" i="6" s="1"/>
  <c r="F46" i="6"/>
  <c r="E46" i="6"/>
  <c r="D46" i="6" s="1"/>
  <c r="CI45" i="6"/>
  <c r="CH45" i="6"/>
  <c r="CF45" i="6"/>
  <c r="CG45" i="6" s="1"/>
  <c r="CE45" i="6"/>
  <c r="CC45" i="6"/>
  <c r="CB45" i="6"/>
  <c r="CD45" i="6" s="1"/>
  <c r="BZ45" i="6"/>
  <c r="CA45" i="6" s="1"/>
  <c r="BY45" i="6"/>
  <c r="BW45" i="6"/>
  <c r="BV45" i="6"/>
  <c r="BX45" i="6" s="1"/>
  <c r="BT45" i="6"/>
  <c r="BU45" i="6" s="1"/>
  <c r="BS45" i="6"/>
  <c r="BQ45" i="6"/>
  <c r="BP45" i="6"/>
  <c r="BR45" i="6" s="1"/>
  <c r="BN45" i="6"/>
  <c r="BO45" i="6" s="1"/>
  <c r="BM45" i="6"/>
  <c r="BK45" i="6"/>
  <c r="BJ45" i="6"/>
  <c r="BL45" i="6" s="1"/>
  <c r="BH45" i="6"/>
  <c r="BI45" i="6" s="1"/>
  <c r="BG45" i="6"/>
  <c r="BE45" i="6"/>
  <c r="BD45" i="6"/>
  <c r="BF45" i="6" s="1"/>
  <c r="BC45" i="6"/>
  <c r="BB45" i="6"/>
  <c r="BA45" i="6"/>
  <c r="AY45" i="6"/>
  <c r="AX45" i="6"/>
  <c r="AZ45" i="6" s="1"/>
  <c r="AV45" i="6"/>
  <c r="AU45" i="6"/>
  <c r="AW45" i="6" s="1"/>
  <c r="AS45" i="6"/>
  <c r="AR45" i="6"/>
  <c r="AT45" i="6" s="1"/>
  <c r="AP45" i="6"/>
  <c r="AO45" i="6"/>
  <c r="AQ45" i="6" s="1"/>
  <c r="AN45" i="6"/>
  <c r="AM45" i="6"/>
  <c r="AK45" i="6"/>
  <c r="AJ45" i="6"/>
  <c r="AL45" i="6" s="1"/>
  <c r="AH45" i="6"/>
  <c r="AG45" i="6"/>
  <c r="AI45" i="6" s="1"/>
  <c r="AE45" i="6"/>
  <c r="AD45" i="6"/>
  <c r="AF45" i="6" s="1"/>
  <c r="AB45" i="6"/>
  <c r="AA45" i="6"/>
  <c r="AC45" i="6" s="1"/>
  <c r="Z45" i="6"/>
  <c r="Y45" i="6"/>
  <c r="X45" i="6"/>
  <c r="V45" i="6"/>
  <c r="U45" i="6"/>
  <c r="W45" i="6" s="1"/>
  <c r="S45" i="6"/>
  <c r="R45" i="6"/>
  <c r="T45" i="6" s="1"/>
  <c r="P45" i="6"/>
  <c r="O45" i="6"/>
  <c r="L45" i="6"/>
  <c r="I45" i="6"/>
  <c r="Q45" i="6" s="1"/>
  <c r="H45" i="6"/>
  <c r="N45" i="6" s="1"/>
  <c r="G45" i="6"/>
  <c r="F45" i="6"/>
  <c r="D45" i="6" s="1"/>
  <c r="M45" i="6" s="1"/>
  <c r="E45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K44" i="6"/>
  <c r="AL44" i="6" s="1"/>
  <c r="AJ44" i="6"/>
  <c r="AH44" i="6"/>
  <c r="AG44" i="6"/>
  <c r="AI44" i="6" s="1"/>
  <c r="AE44" i="6"/>
  <c r="AF44" i="6" s="1"/>
  <c r="AD44" i="6"/>
  <c r="AB44" i="6"/>
  <c r="AA44" i="6"/>
  <c r="Z44" i="6"/>
  <c r="Y44" i="6"/>
  <c r="X44" i="6"/>
  <c r="V44" i="6"/>
  <c r="U44" i="6"/>
  <c r="W44" i="6" s="1"/>
  <c r="S44" i="6"/>
  <c r="T44" i="6" s="1"/>
  <c r="R44" i="6"/>
  <c r="P44" i="6"/>
  <c r="O44" i="6"/>
  <c r="L44" i="6"/>
  <c r="J44" i="6"/>
  <c r="I44" i="6"/>
  <c r="Q44" i="6" s="1"/>
  <c r="H44" i="6"/>
  <c r="N44" i="6" s="1"/>
  <c r="G44" i="6"/>
  <c r="F44" i="6"/>
  <c r="E44" i="6"/>
  <c r="D44" i="6"/>
  <c r="C44" i="6" s="1"/>
  <c r="K44" i="6" s="1"/>
  <c r="CI43" i="6"/>
  <c r="CH43" i="6"/>
  <c r="CF43" i="6"/>
  <c r="CE43" i="6"/>
  <c r="CG43" i="6" s="1"/>
  <c r="CC43" i="6"/>
  <c r="CB43" i="6"/>
  <c r="CD43" i="6" s="1"/>
  <c r="BZ43" i="6"/>
  <c r="BY43" i="6"/>
  <c r="CA43" i="6" s="1"/>
  <c r="BW43" i="6"/>
  <c r="BV43" i="6"/>
  <c r="BX43" i="6" s="1"/>
  <c r="BT43" i="6"/>
  <c r="BS43" i="6"/>
  <c r="BU43" i="6" s="1"/>
  <c r="BQ43" i="6"/>
  <c r="BP43" i="6"/>
  <c r="BR43" i="6" s="1"/>
  <c r="BN43" i="6"/>
  <c r="BM43" i="6"/>
  <c r="BO43" i="6" s="1"/>
  <c r="BK43" i="6"/>
  <c r="BJ43" i="6"/>
  <c r="BL43" i="6" s="1"/>
  <c r="BH43" i="6"/>
  <c r="BG43" i="6"/>
  <c r="BI43" i="6" s="1"/>
  <c r="BE43" i="6"/>
  <c r="BD43" i="6"/>
  <c r="BF43" i="6" s="1"/>
  <c r="BB43" i="6"/>
  <c r="BA43" i="6"/>
  <c r="BC43" i="6" s="1"/>
  <c r="AY43" i="6"/>
  <c r="AX43" i="6"/>
  <c r="AZ43" i="6" s="1"/>
  <c r="AV43" i="6"/>
  <c r="AU43" i="6"/>
  <c r="AW43" i="6" s="1"/>
  <c r="AS43" i="6"/>
  <c r="AR43" i="6"/>
  <c r="AT43" i="6" s="1"/>
  <c r="AP43" i="6"/>
  <c r="AO43" i="6"/>
  <c r="AQ43" i="6" s="1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L43" i="6"/>
  <c r="J43" i="6"/>
  <c r="I43" i="6"/>
  <c r="H43" i="6"/>
  <c r="G43" i="6"/>
  <c r="F43" i="6"/>
  <c r="E43" i="6"/>
  <c r="D43" i="6" s="1"/>
  <c r="CI42" i="6"/>
  <c r="CH42" i="6"/>
  <c r="CF42" i="6"/>
  <c r="CE42" i="6"/>
  <c r="CG42" i="6" s="1"/>
  <c r="CD42" i="6"/>
  <c r="CC42" i="6"/>
  <c r="CB42" i="6"/>
  <c r="BZ42" i="6"/>
  <c r="BY42" i="6"/>
  <c r="CA42" i="6" s="1"/>
  <c r="BX42" i="6"/>
  <c r="BW42" i="6"/>
  <c r="BV42" i="6"/>
  <c r="BT42" i="6"/>
  <c r="BS42" i="6"/>
  <c r="BU42" i="6" s="1"/>
  <c r="BR42" i="6"/>
  <c r="BQ42" i="6"/>
  <c r="BP42" i="6"/>
  <c r="BN42" i="6"/>
  <c r="BM42" i="6"/>
  <c r="BO42" i="6" s="1"/>
  <c r="BK42" i="6"/>
  <c r="BL42" i="6" s="1"/>
  <c r="BJ42" i="6"/>
  <c r="BH42" i="6"/>
  <c r="BG42" i="6"/>
  <c r="BE42" i="6"/>
  <c r="BF42" i="6" s="1"/>
  <c r="BD42" i="6"/>
  <c r="BB42" i="6"/>
  <c r="BA42" i="6"/>
  <c r="BC42" i="6" s="1"/>
  <c r="AZ42" i="6"/>
  <c r="AY42" i="6"/>
  <c r="AX42" i="6"/>
  <c r="AV42" i="6"/>
  <c r="AU42" i="6"/>
  <c r="AW42" i="6" s="1"/>
  <c r="AT42" i="6"/>
  <c r="AS42" i="6"/>
  <c r="AR42" i="6"/>
  <c r="AP42" i="6"/>
  <c r="AO42" i="6"/>
  <c r="AQ42" i="6" s="1"/>
  <c r="AN42" i="6"/>
  <c r="AM42" i="6"/>
  <c r="AK42" i="6"/>
  <c r="AJ42" i="6"/>
  <c r="AL42" i="6" s="1"/>
  <c r="AI42" i="6"/>
  <c r="AH42" i="6"/>
  <c r="AG42" i="6"/>
  <c r="AE42" i="6"/>
  <c r="AD42" i="6"/>
  <c r="AF42" i="6" s="1"/>
  <c r="AC42" i="6"/>
  <c r="AB42" i="6"/>
  <c r="AA42" i="6"/>
  <c r="Z42" i="6"/>
  <c r="Y42" i="6"/>
  <c r="X42" i="6"/>
  <c r="W42" i="6"/>
  <c r="V42" i="6"/>
  <c r="U42" i="6"/>
  <c r="S42" i="6"/>
  <c r="R42" i="6"/>
  <c r="T42" i="6" s="1"/>
  <c r="Q42" i="6"/>
  <c r="O42" i="6"/>
  <c r="L42" i="6"/>
  <c r="I42" i="6"/>
  <c r="H42" i="6"/>
  <c r="N42" i="6" s="1"/>
  <c r="G42" i="6"/>
  <c r="P42" i="6" s="1"/>
  <c r="F42" i="6"/>
  <c r="E42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K41" i="6"/>
  <c r="AJ41" i="6"/>
  <c r="AL41" i="6" s="1"/>
  <c r="AH41" i="6"/>
  <c r="AI41" i="6" s="1"/>
  <c r="AG41" i="6"/>
  <c r="AE41" i="6"/>
  <c r="AD41" i="6"/>
  <c r="AB41" i="6"/>
  <c r="AC41" i="6" s="1"/>
  <c r="AA41" i="6"/>
  <c r="Z41" i="6"/>
  <c r="Y41" i="6"/>
  <c r="X41" i="6"/>
  <c r="V41" i="6"/>
  <c r="W41" i="6" s="1"/>
  <c r="U41" i="6"/>
  <c r="S41" i="6"/>
  <c r="R41" i="6"/>
  <c r="O41" i="6"/>
  <c r="L41" i="6"/>
  <c r="J41" i="6"/>
  <c r="I41" i="6"/>
  <c r="Q41" i="6" s="1"/>
  <c r="H41" i="6"/>
  <c r="G41" i="6"/>
  <c r="P41" i="6" s="1"/>
  <c r="F41" i="6"/>
  <c r="E41" i="6"/>
  <c r="D41" i="6"/>
  <c r="CI40" i="6"/>
  <c r="CH40" i="6"/>
  <c r="CG40" i="6"/>
  <c r="CF40" i="6"/>
  <c r="CE40" i="6"/>
  <c r="CC40" i="6"/>
  <c r="CB40" i="6"/>
  <c r="CD40" i="6" s="1"/>
  <c r="CA40" i="6"/>
  <c r="BZ40" i="6"/>
  <c r="BY40" i="6"/>
  <c r="BW40" i="6"/>
  <c r="BV40" i="6"/>
  <c r="BX40" i="6" s="1"/>
  <c r="BU40" i="6"/>
  <c r="BT40" i="6"/>
  <c r="BS40" i="6"/>
  <c r="BQ40" i="6"/>
  <c r="BP40" i="6"/>
  <c r="BR40" i="6" s="1"/>
  <c r="BO40" i="6"/>
  <c r="BN40" i="6"/>
  <c r="BM40" i="6"/>
  <c r="BK40" i="6"/>
  <c r="BJ40" i="6"/>
  <c r="BL40" i="6" s="1"/>
  <c r="BH40" i="6"/>
  <c r="BG40" i="6"/>
  <c r="BI40" i="6" s="1"/>
  <c r="BE40" i="6"/>
  <c r="BD40" i="6"/>
  <c r="BF40" i="6" s="1"/>
  <c r="BB40" i="6"/>
  <c r="BA40" i="6"/>
  <c r="BC40" i="6" s="1"/>
  <c r="AY40" i="6"/>
  <c r="AX40" i="6"/>
  <c r="AZ40" i="6" s="1"/>
  <c r="AW40" i="6"/>
  <c r="AV40" i="6"/>
  <c r="AU40" i="6"/>
  <c r="AS40" i="6"/>
  <c r="AR40" i="6"/>
  <c r="AT40" i="6" s="1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O40" i="6"/>
  <c r="N40" i="6"/>
  <c r="M40" i="6"/>
  <c r="L40" i="6"/>
  <c r="J40" i="6" s="1"/>
  <c r="I40" i="6"/>
  <c r="H40" i="6"/>
  <c r="G40" i="6"/>
  <c r="P40" i="6" s="1"/>
  <c r="F40" i="6"/>
  <c r="E40" i="6"/>
  <c r="D40" i="6" s="1"/>
  <c r="CI39" i="6"/>
  <c r="CH39" i="6"/>
  <c r="CG39" i="6"/>
  <c r="CF39" i="6"/>
  <c r="CE39" i="6"/>
  <c r="CC39" i="6"/>
  <c r="CB39" i="6"/>
  <c r="CD39" i="6" s="1"/>
  <c r="CA39" i="6"/>
  <c r="BZ39" i="6"/>
  <c r="BY39" i="6"/>
  <c r="BW39" i="6"/>
  <c r="BV39" i="6"/>
  <c r="BX39" i="6" s="1"/>
  <c r="BU39" i="6"/>
  <c r="BT39" i="6"/>
  <c r="BS39" i="6"/>
  <c r="BQ39" i="6"/>
  <c r="BP39" i="6"/>
  <c r="BR39" i="6" s="1"/>
  <c r="BN39" i="6"/>
  <c r="BO39" i="6" s="1"/>
  <c r="BM39" i="6"/>
  <c r="BK39" i="6"/>
  <c r="BJ39" i="6"/>
  <c r="BL39" i="6" s="1"/>
  <c r="BH39" i="6"/>
  <c r="BI39" i="6" s="1"/>
  <c r="BG39" i="6"/>
  <c r="BE39" i="6"/>
  <c r="BD39" i="6"/>
  <c r="BF39" i="6" s="1"/>
  <c r="BC39" i="6"/>
  <c r="BB39" i="6"/>
  <c r="BA39" i="6"/>
  <c r="AY39" i="6"/>
  <c r="AX39" i="6"/>
  <c r="AZ39" i="6" s="1"/>
  <c r="AW39" i="6"/>
  <c r="AV39" i="6"/>
  <c r="AU39" i="6"/>
  <c r="AS39" i="6"/>
  <c r="AR39" i="6"/>
  <c r="AT39" i="6" s="1"/>
  <c r="AQ39" i="6"/>
  <c r="AP39" i="6"/>
  <c r="AO39" i="6"/>
  <c r="AN39" i="6"/>
  <c r="AM39" i="6"/>
  <c r="AL39" i="6"/>
  <c r="AK39" i="6"/>
  <c r="AJ39" i="6"/>
  <c r="AH39" i="6"/>
  <c r="AG39" i="6"/>
  <c r="AI39" i="6" s="1"/>
  <c r="AF39" i="6"/>
  <c r="AE39" i="6"/>
  <c r="AD39" i="6"/>
  <c r="AB39" i="6"/>
  <c r="AA39" i="6"/>
  <c r="AC39" i="6" s="1"/>
  <c r="Z39" i="6"/>
  <c r="Y39" i="6"/>
  <c r="X39" i="6"/>
  <c r="V39" i="6"/>
  <c r="U39" i="6"/>
  <c r="W39" i="6" s="1"/>
  <c r="S39" i="6"/>
  <c r="R39" i="6"/>
  <c r="T39" i="6" s="1"/>
  <c r="O39" i="6"/>
  <c r="L39" i="6"/>
  <c r="I39" i="6"/>
  <c r="Q39" i="6" s="1"/>
  <c r="H39" i="6"/>
  <c r="N39" i="6" s="1"/>
  <c r="G39" i="6"/>
  <c r="P39" i="6" s="1"/>
  <c r="F39" i="6"/>
  <c r="D39" i="6" s="1"/>
  <c r="M39" i="6" s="1"/>
  <c r="E39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K38" i="6"/>
  <c r="AJ38" i="6"/>
  <c r="AH38" i="6"/>
  <c r="AI38" i="6" s="1"/>
  <c r="AG38" i="6"/>
  <c r="AE38" i="6"/>
  <c r="AD38" i="6"/>
  <c r="AF38" i="6" s="1"/>
  <c r="AB38" i="6"/>
  <c r="AC38" i="6" s="1"/>
  <c r="AA38" i="6"/>
  <c r="Z38" i="6"/>
  <c r="Y38" i="6"/>
  <c r="X38" i="6"/>
  <c r="V38" i="6"/>
  <c r="W38" i="6" s="1"/>
  <c r="U38" i="6"/>
  <c r="S38" i="6"/>
  <c r="R38" i="6"/>
  <c r="Q38" i="6"/>
  <c r="O38" i="6"/>
  <c r="M38" i="6"/>
  <c r="L38" i="6"/>
  <c r="J38" i="6" s="1"/>
  <c r="I38" i="6"/>
  <c r="H38" i="6"/>
  <c r="N38" i="6" s="1"/>
  <c r="G38" i="6"/>
  <c r="P38" i="6" s="1"/>
  <c r="F38" i="6"/>
  <c r="D38" i="6" s="1"/>
  <c r="E38" i="6"/>
  <c r="CI37" i="6"/>
  <c r="CH37" i="6"/>
  <c r="CG37" i="6"/>
  <c r="CF37" i="6"/>
  <c r="CE37" i="6"/>
  <c r="CC37" i="6"/>
  <c r="CB37" i="6"/>
  <c r="CA37" i="6"/>
  <c r="BZ37" i="6"/>
  <c r="BY37" i="6"/>
  <c r="BW37" i="6"/>
  <c r="BV37" i="6"/>
  <c r="BX37" i="6" s="1"/>
  <c r="BU37" i="6"/>
  <c r="BT37" i="6"/>
  <c r="BS37" i="6"/>
  <c r="BQ37" i="6"/>
  <c r="BP37" i="6"/>
  <c r="BR37" i="6" s="1"/>
  <c r="BO37" i="6"/>
  <c r="BN37" i="6"/>
  <c r="BM37" i="6"/>
  <c r="BK37" i="6"/>
  <c r="BJ37" i="6"/>
  <c r="BL37" i="6" s="1"/>
  <c r="BI37" i="6"/>
  <c r="BH37" i="6"/>
  <c r="BG37" i="6"/>
  <c r="BE37" i="6"/>
  <c r="BD37" i="6"/>
  <c r="BF37" i="6" s="1"/>
  <c r="BC37" i="6"/>
  <c r="BB37" i="6"/>
  <c r="BA37" i="6"/>
  <c r="AY37" i="6"/>
  <c r="AX37" i="6"/>
  <c r="AZ37" i="6" s="1"/>
  <c r="AW37" i="6"/>
  <c r="AV37" i="6"/>
  <c r="AU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Z31" i="6" s="1"/>
  <c r="Y37" i="6"/>
  <c r="X37" i="6"/>
  <c r="W37" i="6"/>
  <c r="V37" i="6"/>
  <c r="U37" i="6"/>
  <c r="T37" i="6"/>
  <c r="S37" i="6"/>
  <c r="R37" i="6"/>
  <c r="Q37" i="6"/>
  <c r="O37" i="6"/>
  <c r="L37" i="6"/>
  <c r="J37" i="6" s="1"/>
  <c r="I37" i="6"/>
  <c r="H37" i="6"/>
  <c r="N37" i="6" s="1"/>
  <c r="G37" i="6"/>
  <c r="P37" i="6" s="1"/>
  <c r="F37" i="6"/>
  <c r="E37" i="6"/>
  <c r="D37" i="6" s="1"/>
  <c r="CI36" i="6"/>
  <c r="CI31" i="6" s="1"/>
  <c r="CH36" i="6"/>
  <c r="CG36" i="6"/>
  <c r="CF36" i="6"/>
  <c r="CE36" i="6"/>
  <c r="CC36" i="6"/>
  <c r="CC31" i="6" s="1"/>
  <c r="CB36" i="6"/>
  <c r="CD36" i="6" s="1"/>
  <c r="CA36" i="6"/>
  <c r="BZ36" i="6"/>
  <c r="BY36" i="6"/>
  <c r="BW36" i="6"/>
  <c r="BW31" i="6" s="1"/>
  <c r="BV36" i="6"/>
  <c r="BX36" i="6" s="1"/>
  <c r="BU36" i="6"/>
  <c r="BT36" i="6"/>
  <c r="BS36" i="6"/>
  <c r="BQ36" i="6"/>
  <c r="BQ31" i="6" s="1"/>
  <c r="BP36" i="6"/>
  <c r="BR36" i="6" s="1"/>
  <c r="BN36" i="6"/>
  <c r="BO36" i="6" s="1"/>
  <c r="BM36" i="6"/>
  <c r="BK36" i="6"/>
  <c r="BK31" i="6" s="1"/>
  <c r="BJ36" i="6"/>
  <c r="BH36" i="6"/>
  <c r="BI36" i="6" s="1"/>
  <c r="BG36" i="6"/>
  <c r="BE36" i="6"/>
  <c r="BE31" i="6" s="1"/>
  <c r="BD36" i="6"/>
  <c r="BF36" i="6" s="1"/>
  <c r="BC36" i="6"/>
  <c r="BB36" i="6"/>
  <c r="BA36" i="6"/>
  <c r="AY36" i="6"/>
  <c r="AY31" i="6" s="1"/>
  <c r="AX36" i="6"/>
  <c r="AZ36" i="6" s="1"/>
  <c r="AW36" i="6"/>
  <c r="AV36" i="6"/>
  <c r="AU36" i="6"/>
  <c r="AS36" i="6"/>
  <c r="AS31" i="6" s="1"/>
  <c r="AR36" i="6"/>
  <c r="AT36" i="6" s="1"/>
  <c r="AQ36" i="6"/>
  <c r="AP36" i="6"/>
  <c r="AO36" i="6"/>
  <c r="AN36" i="6"/>
  <c r="AM36" i="6"/>
  <c r="AM31" i="6" s="1"/>
  <c r="AL36" i="6"/>
  <c r="AK36" i="6"/>
  <c r="AJ36" i="6"/>
  <c r="AH36" i="6"/>
  <c r="AG36" i="6"/>
  <c r="AF36" i="6"/>
  <c r="AE36" i="6"/>
  <c r="AD36" i="6"/>
  <c r="AB36" i="6"/>
  <c r="AA36" i="6"/>
  <c r="Z36" i="6"/>
  <c r="Y36" i="6"/>
  <c r="X36" i="6"/>
  <c r="V36" i="6"/>
  <c r="U36" i="6"/>
  <c r="T36" i="6"/>
  <c r="S36" i="6"/>
  <c r="R36" i="6"/>
  <c r="P36" i="6"/>
  <c r="O36" i="6"/>
  <c r="O31" i="6" s="1"/>
  <c r="L36" i="6"/>
  <c r="J36" i="6" s="1"/>
  <c r="I36" i="6"/>
  <c r="H36" i="6"/>
  <c r="N36" i="6" s="1"/>
  <c r="G36" i="6"/>
  <c r="F36" i="6"/>
  <c r="D36" i="6" s="1"/>
  <c r="M36" i="6" s="1"/>
  <c r="E36" i="6"/>
  <c r="C36" i="6"/>
  <c r="K36" i="6" s="1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K35" i="6"/>
  <c r="AL35" i="6" s="1"/>
  <c r="AJ35" i="6"/>
  <c r="AH35" i="6"/>
  <c r="AG35" i="6"/>
  <c r="AI35" i="6" s="1"/>
  <c r="AE35" i="6"/>
  <c r="AF35" i="6" s="1"/>
  <c r="AD35" i="6"/>
  <c r="AB35" i="6"/>
  <c r="AA35" i="6"/>
  <c r="AC35" i="6" s="1"/>
  <c r="Z35" i="6"/>
  <c r="Y35" i="6"/>
  <c r="X35" i="6"/>
  <c r="V35" i="6"/>
  <c r="U35" i="6"/>
  <c r="S35" i="6"/>
  <c r="T35" i="6" s="1"/>
  <c r="R35" i="6"/>
  <c r="P35" i="6"/>
  <c r="O35" i="6"/>
  <c r="L35" i="6"/>
  <c r="J35" i="6"/>
  <c r="I35" i="6"/>
  <c r="Q35" i="6" s="1"/>
  <c r="H35" i="6"/>
  <c r="N35" i="6" s="1"/>
  <c r="G35" i="6"/>
  <c r="F35" i="6"/>
  <c r="E35" i="6"/>
  <c r="D35" i="6"/>
  <c r="CI34" i="6"/>
  <c r="CH34" i="6"/>
  <c r="CF34" i="6"/>
  <c r="CE34" i="6"/>
  <c r="CD34" i="6"/>
  <c r="CC34" i="6"/>
  <c r="CB34" i="6"/>
  <c r="BZ34" i="6"/>
  <c r="BY34" i="6"/>
  <c r="BX34" i="6"/>
  <c r="BW34" i="6"/>
  <c r="BV34" i="6"/>
  <c r="BT34" i="6"/>
  <c r="BS34" i="6"/>
  <c r="BR34" i="6"/>
  <c r="BQ34" i="6"/>
  <c r="BP34" i="6"/>
  <c r="BN34" i="6"/>
  <c r="BM34" i="6"/>
  <c r="BL34" i="6"/>
  <c r="BK34" i="6"/>
  <c r="BJ34" i="6"/>
  <c r="BH34" i="6"/>
  <c r="BG34" i="6"/>
  <c r="BF34" i="6"/>
  <c r="BE34" i="6"/>
  <c r="BD34" i="6"/>
  <c r="BB34" i="6"/>
  <c r="BA34" i="6"/>
  <c r="AZ34" i="6"/>
  <c r="AY34" i="6"/>
  <c r="AX34" i="6"/>
  <c r="AV34" i="6"/>
  <c r="AU34" i="6"/>
  <c r="AT34" i="6"/>
  <c r="AS34" i="6"/>
  <c r="AR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L34" i="6"/>
  <c r="J34" i="6"/>
  <c r="I34" i="6"/>
  <c r="H34" i="6"/>
  <c r="N34" i="6" s="1"/>
  <c r="G34" i="6"/>
  <c r="F34" i="6"/>
  <c r="E34" i="6"/>
  <c r="CI33" i="6"/>
  <c r="CH33" i="6"/>
  <c r="CF33" i="6"/>
  <c r="CE33" i="6"/>
  <c r="CG33" i="6" s="1"/>
  <c r="CD33" i="6"/>
  <c r="CC33" i="6"/>
  <c r="CB33" i="6"/>
  <c r="BZ33" i="6"/>
  <c r="BY33" i="6"/>
  <c r="CA33" i="6" s="1"/>
  <c r="BX33" i="6"/>
  <c r="BW33" i="6"/>
  <c r="BV33" i="6"/>
  <c r="BT33" i="6"/>
  <c r="BS33" i="6"/>
  <c r="BU33" i="6" s="1"/>
  <c r="BR33" i="6"/>
  <c r="BQ33" i="6"/>
  <c r="BP33" i="6"/>
  <c r="BN33" i="6"/>
  <c r="BM33" i="6"/>
  <c r="BK33" i="6"/>
  <c r="BL33" i="6" s="1"/>
  <c r="BJ33" i="6"/>
  <c r="BH33" i="6"/>
  <c r="BG33" i="6"/>
  <c r="BE33" i="6"/>
  <c r="BF33" i="6" s="1"/>
  <c r="BD33" i="6"/>
  <c r="BB33" i="6"/>
  <c r="BA33" i="6"/>
  <c r="BC33" i="6" s="1"/>
  <c r="AZ33" i="6"/>
  <c r="AY33" i="6"/>
  <c r="AX33" i="6"/>
  <c r="AV33" i="6"/>
  <c r="AU33" i="6"/>
  <c r="AW33" i="6" s="1"/>
  <c r="AT33" i="6"/>
  <c r="AS33" i="6"/>
  <c r="AR33" i="6"/>
  <c r="AP33" i="6"/>
  <c r="AO33" i="6"/>
  <c r="AQ33" i="6" s="1"/>
  <c r="AN33" i="6"/>
  <c r="AM33" i="6"/>
  <c r="AK33" i="6"/>
  <c r="AJ33" i="6"/>
  <c r="AL33" i="6" s="1"/>
  <c r="AI33" i="6"/>
  <c r="AH33" i="6"/>
  <c r="AG33" i="6"/>
  <c r="AE33" i="6"/>
  <c r="AD33" i="6"/>
  <c r="AF33" i="6" s="1"/>
  <c r="AC33" i="6"/>
  <c r="AB33" i="6"/>
  <c r="AA33" i="6"/>
  <c r="Z33" i="6"/>
  <c r="Y33" i="6"/>
  <c r="X33" i="6"/>
  <c r="W33" i="6"/>
  <c r="V33" i="6"/>
  <c r="U33" i="6"/>
  <c r="S33" i="6"/>
  <c r="R33" i="6"/>
  <c r="T33" i="6" s="1"/>
  <c r="Q33" i="6"/>
  <c r="O33" i="6"/>
  <c r="L33" i="6"/>
  <c r="J33" i="6" s="1"/>
  <c r="I33" i="6"/>
  <c r="H33" i="6"/>
  <c r="G33" i="6"/>
  <c r="P33" i="6" s="1"/>
  <c r="F33" i="6"/>
  <c r="E33" i="6"/>
  <c r="CI32" i="6"/>
  <c r="CH32" i="6"/>
  <c r="CG32" i="6"/>
  <c r="CF32" i="6"/>
  <c r="CF31" i="6" s="1"/>
  <c r="CE32" i="6"/>
  <c r="CD32" i="6"/>
  <c r="CC32" i="6"/>
  <c r="CB32" i="6"/>
  <c r="CA32" i="6"/>
  <c r="BZ32" i="6"/>
  <c r="BZ31" i="6" s="1"/>
  <c r="BY32" i="6"/>
  <c r="BX32" i="6"/>
  <c r="BW32" i="6"/>
  <c r="BV32" i="6"/>
  <c r="BU32" i="6"/>
  <c r="BT32" i="6"/>
  <c r="BT31" i="6" s="1"/>
  <c r="BT8" i="6" s="1"/>
  <c r="BT7" i="6" s="1"/>
  <c r="BS32" i="6"/>
  <c r="BR32" i="6"/>
  <c r="BQ32" i="6"/>
  <c r="BP32" i="6"/>
  <c r="BO32" i="6"/>
  <c r="BN32" i="6"/>
  <c r="BN31" i="6" s="1"/>
  <c r="BM32" i="6"/>
  <c r="BL32" i="6"/>
  <c r="BK32" i="6"/>
  <c r="BJ32" i="6"/>
  <c r="BI32" i="6"/>
  <c r="BH32" i="6"/>
  <c r="BH31" i="6" s="1"/>
  <c r="BG32" i="6"/>
  <c r="BF32" i="6"/>
  <c r="BE32" i="6"/>
  <c r="BD32" i="6"/>
  <c r="BC32" i="6"/>
  <c r="BB32" i="6"/>
  <c r="BB31" i="6" s="1"/>
  <c r="BA32" i="6"/>
  <c r="AZ32" i="6"/>
  <c r="AY32" i="6"/>
  <c r="AX32" i="6"/>
  <c r="AW32" i="6"/>
  <c r="AV32" i="6"/>
  <c r="AV31" i="6" s="1"/>
  <c r="AU32" i="6"/>
  <c r="AT32" i="6"/>
  <c r="AS32" i="6"/>
  <c r="AR32" i="6"/>
  <c r="AQ32" i="6"/>
  <c r="AP32" i="6"/>
  <c r="AP31" i="6" s="1"/>
  <c r="AO32" i="6"/>
  <c r="AN32" i="6"/>
  <c r="AM32" i="6"/>
  <c r="AK32" i="6"/>
  <c r="AJ32" i="6"/>
  <c r="AH32" i="6"/>
  <c r="AI32" i="6" s="1"/>
  <c r="AG32" i="6"/>
  <c r="AE32" i="6"/>
  <c r="AE31" i="6" s="1"/>
  <c r="AD32" i="6"/>
  <c r="AD31" i="6" s="1"/>
  <c r="AF31" i="6" s="1"/>
  <c r="AB32" i="6"/>
  <c r="AC32" i="6" s="1"/>
  <c r="AA32" i="6"/>
  <c r="Z32" i="6"/>
  <c r="Y32" i="6"/>
  <c r="X32" i="6"/>
  <c r="V32" i="6"/>
  <c r="W32" i="6" s="1"/>
  <c r="U32" i="6"/>
  <c r="S32" i="6"/>
  <c r="R32" i="6"/>
  <c r="R31" i="6" s="1"/>
  <c r="Q32" i="6"/>
  <c r="O32" i="6"/>
  <c r="L32" i="6"/>
  <c r="I32" i="6"/>
  <c r="H32" i="6"/>
  <c r="N32" i="6" s="1"/>
  <c r="G32" i="6"/>
  <c r="F32" i="6"/>
  <c r="E32" i="6"/>
  <c r="CH31" i="6"/>
  <c r="BV31" i="6"/>
  <c r="BX31" i="6" s="1"/>
  <c r="BP31" i="6"/>
  <c r="BR31" i="6" s="1"/>
  <c r="BD31" i="6"/>
  <c r="BF31" i="6" s="1"/>
  <c r="AX31" i="6"/>
  <c r="AZ31" i="6" s="1"/>
  <c r="H31" i="6"/>
  <c r="CI30" i="6"/>
  <c r="CH30" i="6"/>
  <c r="CG30" i="6"/>
  <c r="CF30" i="6"/>
  <c r="CE30" i="6"/>
  <c r="CC30" i="6"/>
  <c r="CB30" i="6"/>
  <c r="CD30" i="6" s="1"/>
  <c r="CA30" i="6"/>
  <c r="BZ30" i="6"/>
  <c r="BY30" i="6"/>
  <c r="BW30" i="6"/>
  <c r="BV30" i="6"/>
  <c r="BX30" i="6" s="1"/>
  <c r="BU30" i="6"/>
  <c r="BT30" i="6"/>
  <c r="BS30" i="6"/>
  <c r="BQ30" i="6"/>
  <c r="BP30" i="6"/>
  <c r="BR30" i="6" s="1"/>
  <c r="BN30" i="6"/>
  <c r="BO30" i="6" s="1"/>
  <c r="BM30" i="6"/>
  <c r="BK30" i="6"/>
  <c r="BJ30" i="6"/>
  <c r="BH30" i="6"/>
  <c r="BI30" i="6" s="1"/>
  <c r="BG30" i="6"/>
  <c r="BE30" i="6"/>
  <c r="BD30" i="6"/>
  <c r="BF30" i="6" s="1"/>
  <c r="BC30" i="6"/>
  <c r="BB30" i="6"/>
  <c r="BA30" i="6"/>
  <c r="AY30" i="6"/>
  <c r="AX30" i="6"/>
  <c r="AZ30" i="6" s="1"/>
  <c r="AW30" i="6"/>
  <c r="AV30" i="6"/>
  <c r="AU30" i="6"/>
  <c r="AS30" i="6"/>
  <c r="AR30" i="6"/>
  <c r="AT30" i="6" s="1"/>
  <c r="AQ30" i="6"/>
  <c r="AP30" i="6"/>
  <c r="AO30" i="6"/>
  <c r="AN30" i="6"/>
  <c r="AM30" i="6"/>
  <c r="AL30" i="6"/>
  <c r="AK30" i="6"/>
  <c r="AJ30" i="6"/>
  <c r="AH30" i="6"/>
  <c r="AG30" i="6"/>
  <c r="AI30" i="6" s="1"/>
  <c r="AF30" i="6"/>
  <c r="AE30" i="6"/>
  <c r="AD30" i="6"/>
  <c r="AB30" i="6"/>
  <c r="AA30" i="6"/>
  <c r="AC30" i="6" s="1"/>
  <c r="Z30" i="6"/>
  <c r="Y30" i="6"/>
  <c r="X30" i="6"/>
  <c r="V30" i="6"/>
  <c r="U30" i="6"/>
  <c r="W30" i="6" s="1"/>
  <c r="T30" i="6"/>
  <c r="S30" i="6"/>
  <c r="R30" i="6"/>
  <c r="O30" i="6"/>
  <c r="L30" i="6"/>
  <c r="J30" i="6" s="1"/>
  <c r="I30" i="6"/>
  <c r="Q30" i="6" s="1"/>
  <c r="H30" i="6"/>
  <c r="N30" i="6" s="1"/>
  <c r="G30" i="6"/>
  <c r="P30" i="6" s="1"/>
  <c r="F30" i="6"/>
  <c r="D30" i="6" s="1"/>
  <c r="M30" i="6" s="1"/>
  <c r="E30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K29" i="6"/>
  <c r="AL29" i="6" s="1"/>
  <c r="AJ29" i="6"/>
  <c r="AH29" i="6"/>
  <c r="AG29" i="6"/>
  <c r="AE29" i="6"/>
  <c r="AF29" i="6" s="1"/>
  <c r="AD29" i="6"/>
  <c r="AB29" i="6"/>
  <c r="AA29" i="6"/>
  <c r="Z29" i="6"/>
  <c r="Y29" i="6"/>
  <c r="X29" i="6"/>
  <c r="V29" i="6"/>
  <c r="U29" i="6"/>
  <c r="S29" i="6"/>
  <c r="T29" i="6" s="1"/>
  <c r="R29" i="6"/>
  <c r="P29" i="6"/>
  <c r="O29" i="6"/>
  <c r="L29" i="6"/>
  <c r="J29" i="6"/>
  <c r="I29" i="6"/>
  <c r="Q29" i="6" s="1"/>
  <c r="H29" i="6"/>
  <c r="N29" i="6" s="1"/>
  <c r="G29" i="6"/>
  <c r="F29" i="6"/>
  <c r="E29" i="6"/>
  <c r="D29" i="6"/>
  <c r="CI28" i="6"/>
  <c r="CH28" i="6"/>
  <c r="CF28" i="6"/>
  <c r="CE28" i="6"/>
  <c r="CG28" i="6" s="1"/>
  <c r="CD28" i="6"/>
  <c r="CC28" i="6"/>
  <c r="CB28" i="6"/>
  <c r="BZ28" i="6"/>
  <c r="BY28" i="6"/>
  <c r="CA28" i="6" s="1"/>
  <c r="BX28" i="6"/>
  <c r="BW28" i="6"/>
  <c r="BV28" i="6"/>
  <c r="BT28" i="6"/>
  <c r="BS28" i="6"/>
  <c r="BU28" i="6" s="1"/>
  <c r="BR28" i="6"/>
  <c r="BQ28" i="6"/>
  <c r="BP28" i="6"/>
  <c r="BN28" i="6"/>
  <c r="BM28" i="6"/>
  <c r="BO28" i="6" s="1"/>
  <c r="BL28" i="6"/>
  <c r="BK28" i="6"/>
  <c r="BJ28" i="6"/>
  <c r="BH28" i="6"/>
  <c r="BG28" i="6"/>
  <c r="BI28" i="6" s="1"/>
  <c r="BF28" i="6"/>
  <c r="BE28" i="6"/>
  <c r="BD28" i="6"/>
  <c r="BB28" i="6"/>
  <c r="BA28" i="6"/>
  <c r="AZ28" i="6"/>
  <c r="AY28" i="6"/>
  <c r="AX28" i="6"/>
  <c r="AV28" i="6"/>
  <c r="AU28" i="6"/>
  <c r="AW28" i="6" s="1"/>
  <c r="AT28" i="6"/>
  <c r="AS28" i="6"/>
  <c r="AR28" i="6"/>
  <c r="AP28" i="6"/>
  <c r="AO28" i="6"/>
  <c r="AQ28" i="6" s="1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L28" i="6"/>
  <c r="J28" i="6"/>
  <c r="I28" i="6"/>
  <c r="H28" i="6"/>
  <c r="N28" i="6" s="1"/>
  <c r="G28" i="6"/>
  <c r="F28" i="6"/>
  <c r="E28" i="6"/>
  <c r="D28" i="6" s="1"/>
  <c r="CI27" i="6"/>
  <c r="CH27" i="6"/>
  <c r="CF27" i="6"/>
  <c r="CE27" i="6"/>
  <c r="CG27" i="6" s="1"/>
  <c r="CD27" i="6"/>
  <c r="CC27" i="6"/>
  <c r="CB27" i="6"/>
  <c r="BZ27" i="6"/>
  <c r="BY27" i="6"/>
  <c r="CA27" i="6" s="1"/>
  <c r="BW27" i="6"/>
  <c r="BX27" i="6" s="1"/>
  <c r="BV27" i="6"/>
  <c r="BT27" i="6"/>
  <c r="BS27" i="6"/>
  <c r="BU27" i="6" s="1"/>
  <c r="BR27" i="6"/>
  <c r="BQ27" i="6"/>
  <c r="BP27" i="6"/>
  <c r="BN27" i="6"/>
  <c r="BM27" i="6"/>
  <c r="BK27" i="6"/>
  <c r="BL27" i="6" s="1"/>
  <c r="BJ27" i="6"/>
  <c r="BH27" i="6"/>
  <c r="BG27" i="6"/>
  <c r="BI27" i="6" s="1"/>
  <c r="BE27" i="6"/>
  <c r="BF27" i="6" s="1"/>
  <c r="BD27" i="6"/>
  <c r="BB27" i="6"/>
  <c r="BA27" i="6"/>
  <c r="BC27" i="6" s="1"/>
  <c r="AZ27" i="6"/>
  <c r="AY27" i="6"/>
  <c r="AX27" i="6"/>
  <c r="AV27" i="6"/>
  <c r="AU27" i="6"/>
  <c r="AW27" i="6" s="1"/>
  <c r="AT27" i="6"/>
  <c r="AS27" i="6"/>
  <c r="AR27" i="6"/>
  <c r="AP27" i="6"/>
  <c r="AO27" i="6"/>
  <c r="AQ27" i="6" s="1"/>
  <c r="AN27" i="6"/>
  <c r="AM27" i="6"/>
  <c r="AK27" i="6"/>
  <c r="AJ27" i="6"/>
  <c r="AL27" i="6" s="1"/>
  <c r="AI27" i="6"/>
  <c r="AH27" i="6"/>
  <c r="AG27" i="6"/>
  <c r="AE27" i="6"/>
  <c r="AD27" i="6"/>
  <c r="AF27" i="6" s="1"/>
  <c r="AC27" i="6"/>
  <c r="AB27" i="6"/>
  <c r="AA27" i="6"/>
  <c r="Z27" i="6"/>
  <c r="Y27" i="6"/>
  <c r="X27" i="6"/>
  <c r="W27" i="6"/>
  <c r="V27" i="6"/>
  <c r="U27" i="6"/>
  <c r="S27" i="6"/>
  <c r="R27" i="6"/>
  <c r="T27" i="6" s="1"/>
  <c r="Q27" i="6"/>
  <c r="P27" i="6"/>
  <c r="O27" i="6"/>
  <c r="L27" i="6"/>
  <c r="J27" i="6" s="1"/>
  <c r="I27" i="6"/>
  <c r="H27" i="6"/>
  <c r="N27" i="6" s="1"/>
  <c r="G27" i="6"/>
  <c r="F27" i="6"/>
  <c r="E27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K26" i="6"/>
  <c r="AJ26" i="6"/>
  <c r="AI26" i="6"/>
  <c r="AH26" i="6"/>
  <c r="AG26" i="6"/>
  <c r="AE26" i="6"/>
  <c r="AD26" i="6"/>
  <c r="AF26" i="6" s="1"/>
  <c r="AC26" i="6"/>
  <c r="AB26" i="6"/>
  <c r="AA26" i="6"/>
  <c r="Z26" i="6"/>
  <c r="Y26" i="6"/>
  <c r="X26" i="6"/>
  <c r="W26" i="6"/>
  <c r="V26" i="6"/>
  <c r="U26" i="6"/>
  <c r="S26" i="6"/>
  <c r="R26" i="6"/>
  <c r="Q26" i="6"/>
  <c r="O26" i="6"/>
  <c r="L26" i="6"/>
  <c r="J26" i="6" s="1"/>
  <c r="I26" i="6"/>
  <c r="H26" i="6"/>
  <c r="N26" i="6" s="1"/>
  <c r="G26" i="6"/>
  <c r="P26" i="6" s="1"/>
  <c r="F26" i="6"/>
  <c r="E26" i="6"/>
  <c r="D26" i="6" s="1"/>
  <c r="CI25" i="6"/>
  <c r="CH25" i="6"/>
  <c r="CG25" i="6"/>
  <c r="CF25" i="6"/>
  <c r="CE25" i="6"/>
  <c r="CC25" i="6"/>
  <c r="CB25" i="6"/>
  <c r="CD25" i="6" s="1"/>
  <c r="CA25" i="6"/>
  <c r="BZ25" i="6"/>
  <c r="BY25" i="6"/>
  <c r="BW25" i="6"/>
  <c r="BV25" i="6"/>
  <c r="BX25" i="6" s="1"/>
  <c r="BU25" i="6"/>
  <c r="BT25" i="6"/>
  <c r="BS25" i="6"/>
  <c r="BQ25" i="6"/>
  <c r="BP25" i="6"/>
  <c r="BR25" i="6" s="1"/>
  <c r="BO25" i="6"/>
  <c r="BN25" i="6"/>
  <c r="BM25" i="6"/>
  <c r="BK25" i="6"/>
  <c r="BJ25" i="6"/>
  <c r="BL25" i="6" s="1"/>
  <c r="BI25" i="6"/>
  <c r="BH25" i="6"/>
  <c r="BG25" i="6"/>
  <c r="BE25" i="6"/>
  <c r="BD25" i="6"/>
  <c r="BF25" i="6" s="1"/>
  <c r="BC25" i="6"/>
  <c r="BB25" i="6"/>
  <c r="BA25" i="6"/>
  <c r="AY25" i="6"/>
  <c r="AX25" i="6"/>
  <c r="AZ25" i="6" s="1"/>
  <c r="AW25" i="6"/>
  <c r="AV25" i="6"/>
  <c r="AU25" i="6"/>
  <c r="AS25" i="6"/>
  <c r="AR25" i="6"/>
  <c r="AT25" i="6" s="1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Z13" i="6" s="1"/>
  <c r="Z8" i="6" s="1"/>
  <c r="Y25" i="6"/>
  <c r="X25" i="6"/>
  <c r="W25" i="6"/>
  <c r="V25" i="6"/>
  <c r="U25" i="6"/>
  <c r="T25" i="6"/>
  <c r="S25" i="6"/>
  <c r="R25" i="6"/>
  <c r="Q25" i="6"/>
  <c r="O25" i="6"/>
  <c r="N25" i="6"/>
  <c r="L25" i="6"/>
  <c r="J25" i="6" s="1"/>
  <c r="I25" i="6"/>
  <c r="H25" i="6"/>
  <c r="G25" i="6"/>
  <c r="P25" i="6" s="1"/>
  <c r="F25" i="6"/>
  <c r="E25" i="6"/>
  <c r="D25" i="6" s="1"/>
  <c r="CI24" i="6"/>
  <c r="CH24" i="6"/>
  <c r="CG24" i="6"/>
  <c r="CF24" i="6"/>
  <c r="CE24" i="6"/>
  <c r="CC24" i="6"/>
  <c r="CB24" i="6"/>
  <c r="CD24" i="6" s="1"/>
  <c r="CA24" i="6"/>
  <c r="BZ24" i="6"/>
  <c r="BY24" i="6"/>
  <c r="BW24" i="6"/>
  <c r="BV24" i="6"/>
  <c r="BX24" i="6" s="1"/>
  <c r="BU24" i="6"/>
  <c r="BT24" i="6"/>
  <c r="BS24" i="6"/>
  <c r="BQ24" i="6"/>
  <c r="BP24" i="6"/>
  <c r="BR24" i="6" s="1"/>
  <c r="BO24" i="6"/>
  <c r="BN24" i="6"/>
  <c r="BM24" i="6"/>
  <c r="BK24" i="6"/>
  <c r="BJ24" i="6"/>
  <c r="BL24" i="6" s="1"/>
  <c r="BI24" i="6"/>
  <c r="BH24" i="6"/>
  <c r="BG24" i="6"/>
  <c r="BE24" i="6"/>
  <c r="BD24" i="6"/>
  <c r="BC24" i="6"/>
  <c r="BB24" i="6"/>
  <c r="BA24" i="6"/>
  <c r="AY24" i="6"/>
  <c r="AX24" i="6"/>
  <c r="AZ24" i="6" s="1"/>
  <c r="AW24" i="6"/>
  <c r="AV24" i="6"/>
  <c r="AU24" i="6"/>
  <c r="AS24" i="6"/>
  <c r="AR24" i="6"/>
  <c r="AT24" i="6" s="1"/>
  <c r="AQ24" i="6"/>
  <c r="AP24" i="6"/>
  <c r="AO24" i="6"/>
  <c r="AN24" i="6"/>
  <c r="AM24" i="6"/>
  <c r="AL24" i="6"/>
  <c r="AK24" i="6"/>
  <c r="AJ24" i="6"/>
  <c r="AH24" i="6"/>
  <c r="AG24" i="6"/>
  <c r="AI24" i="6" s="1"/>
  <c r="AF24" i="6"/>
  <c r="AE24" i="6"/>
  <c r="AD24" i="6"/>
  <c r="AB24" i="6"/>
  <c r="AA24" i="6"/>
  <c r="AC24" i="6" s="1"/>
  <c r="Z24" i="6"/>
  <c r="Y24" i="6"/>
  <c r="X24" i="6"/>
  <c r="V24" i="6"/>
  <c r="U24" i="6"/>
  <c r="W24" i="6" s="1"/>
  <c r="T24" i="6"/>
  <c r="S24" i="6"/>
  <c r="R24" i="6"/>
  <c r="O24" i="6"/>
  <c r="L24" i="6"/>
  <c r="I24" i="6"/>
  <c r="Q24" i="6" s="1"/>
  <c r="H24" i="6"/>
  <c r="N24" i="6" s="1"/>
  <c r="G24" i="6"/>
  <c r="P24" i="6" s="1"/>
  <c r="F24" i="6"/>
  <c r="D24" i="6" s="1"/>
  <c r="M24" i="6" s="1"/>
  <c r="E24" i="6"/>
  <c r="C24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H23" i="6"/>
  <c r="AG23" i="6"/>
  <c r="AF23" i="6"/>
  <c r="AE23" i="6"/>
  <c r="AD23" i="6"/>
  <c r="AB23" i="6"/>
  <c r="AA23" i="6"/>
  <c r="AC23" i="6" s="1"/>
  <c r="Z23" i="6"/>
  <c r="Y23" i="6"/>
  <c r="X23" i="6"/>
  <c r="V23" i="6"/>
  <c r="U23" i="6"/>
  <c r="W23" i="6" s="1"/>
  <c r="T23" i="6"/>
  <c r="S23" i="6"/>
  <c r="R23" i="6"/>
  <c r="P23" i="6"/>
  <c r="O23" i="6"/>
  <c r="L23" i="6"/>
  <c r="J23" i="6"/>
  <c r="I23" i="6"/>
  <c r="Q23" i="6" s="1"/>
  <c r="H23" i="6"/>
  <c r="N23" i="6" s="1"/>
  <c r="G23" i="6"/>
  <c r="F23" i="6"/>
  <c r="E23" i="6"/>
  <c r="D23" i="6"/>
  <c r="CI22" i="6"/>
  <c r="CH22" i="6"/>
  <c r="CF22" i="6"/>
  <c r="CE22" i="6"/>
  <c r="CG22" i="6" s="1"/>
  <c r="CD22" i="6"/>
  <c r="CC22" i="6"/>
  <c r="CB22" i="6"/>
  <c r="BZ22" i="6"/>
  <c r="BY22" i="6"/>
  <c r="CA22" i="6" s="1"/>
  <c r="BX22" i="6"/>
  <c r="BW22" i="6"/>
  <c r="BV22" i="6"/>
  <c r="BT22" i="6"/>
  <c r="BS22" i="6"/>
  <c r="BU22" i="6" s="1"/>
  <c r="BR22" i="6"/>
  <c r="BQ22" i="6"/>
  <c r="BP22" i="6"/>
  <c r="BN22" i="6"/>
  <c r="BM22" i="6"/>
  <c r="BO22" i="6" s="1"/>
  <c r="BL22" i="6"/>
  <c r="BK22" i="6"/>
  <c r="BJ22" i="6"/>
  <c r="BH22" i="6"/>
  <c r="BG22" i="6"/>
  <c r="BE22" i="6"/>
  <c r="BD22" i="6"/>
  <c r="BF22" i="6" s="1"/>
  <c r="BB22" i="6"/>
  <c r="BA22" i="6"/>
  <c r="BC22" i="6" s="1"/>
  <c r="AY22" i="6"/>
  <c r="AX22" i="6"/>
  <c r="AZ22" i="6" s="1"/>
  <c r="AV22" i="6"/>
  <c r="AU22" i="6"/>
  <c r="AW22" i="6" s="1"/>
  <c r="AS22" i="6"/>
  <c r="AR22" i="6"/>
  <c r="AT22" i="6" s="1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L22" i="6"/>
  <c r="J22" i="6"/>
  <c r="I22" i="6"/>
  <c r="H22" i="6"/>
  <c r="N22" i="6" s="1"/>
  <c r="G22" i="6"/>
  <c r="F22" i="6"/>
  <c r="E22" i="6"/>
  <c r="D22" i="6" s="1"/>
  <c r="CI21" i="6"/>
  <c r="CH21" i="6"/>
  <c r="CF21" i="6"/>
  <c r="CE21" i="6"/>
  <c r="CG21" i="6" s="1"/>
  <c r="CD21" i="6"/>
  <c r="CC21" i="6"/>
  <c r="CB21" i="6"/>
  <c r="BZ21" i="6"/>
  <c r="BY21" i="6"/>
  <c r="CA21" i="6" s="1"/>
  <c r="BX21" i="6"/>
  <c r="BW21" i="6"/>
  <c r="BV21" i="6"/>
  <c r="BT21" i="6"/>
  <c r="BS21" i="6"/>
  <c r="BU21" i="6" s="1"/>
  <c r="BR21" i="6"/>
  <c r="BQ21" i="6"/>
  <c r="BP21" i="6"/>
  <c r="BN21" i="6"/>
  <c r="BM21" i="6"/>
  <c r="BO21" i="6" s="1"/>
  <c r="BK21" i="6"/>
  <c r="BL21" i="6" s="1"/>
  <c r="BJ21" i="6"/>
  <c r="BH21" i="6"/>
  <c r="BG21" i="6"/>
  <c r="BI21" i="6" s="1"/>
  <c r="BE21" i="6"/>
  <c r="BF21" i="6" s="1"/>
  <c r="BD21" i="6"/>
  <c r="BB21" i="6"/>
  <c r="BA21" i="6"/>
  <c r="BC21" i="6" s="1"/>
  <c r="AZ21" i="6"/>
  <c r="AY21" i="6"/>
  <c r="AX21" i="6"/>
  <c r="AV21" i="6"/>
  <c r="AU21" i="6"/>
  <c r="AW21" i="6" s="1"/>
  <c r="AT21" i="6"/>
  <c r="AS21" i="6"/>
  <c r="AR21" i="6"/>
  <c r="AP21" i="6"/>
  <c r="AO21" i="6"/>
  <c r="AQ21" i="6" s="1"/>
  <c r="AN21" i="6"/>
  <c r="AM21" i="6"/>
  <c r="AK21" i="6"/>
  <c r="AJ21" i="6"/>
  <c r="AL21" i="6" s="1"/>
  <c r="AH21" i="6"/>
  <c r="AG21" i="6"/>
  <c r="AI21" i="6" s="1"/>
  <c r="AE21" i="6"/>
  <c r="AD21" i="6"/>
  <c r="AF21" i="6" s="1"/>
  <c r="AB21" i="6"/>
  <c r="AA21" i="6"/>
  <c r="AC21" i="6" s="1"/>
  <c r="Z21" i="6"/>
  <c r="Y21" i="6"/>
  <c r="X21" i="6"/>
  <c r="X13" i="6" s="1"/>
  <c r="V21" i="6"/>
  <c r="U21" i="6"/>
  <c r="W21" i="6" s="1"/>
  <c r="S21" i="6"/>
  <c r="R21" i="6"/>
  <c r="T21" i="6" s="1"/>
  <c r="P21" i="6"/>
  <c r="O21" i="6"/>
  <c r="L21" i="6"/>
  <c r="J21" i="6" s="1"/>
  <c r="I21" i="6"/>
  <c r="Q21" i="6" s="1"/>
  <c r="H21" i="6"/>
  <c r="N21" i="6" s="1"/>
  <c r="G21" i="6"/>
  <c r="F21" i="6"/>
  <c r="E21" i="6"/>
  <c r="D21" i="6" s="1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K20" i="6"/>
  <c r="AJ20" i="6"/>
  <c r="AL20" i="6" s="1"/>
  <c r="AH20" i="6"/>
  <c r="AI20" i="6" s="1"/>
  <c r="AG20" i="6"/>
  <c r="AE20" i="6"/>
  <c r="AD20" i="6"/>
  <c r="AB20" i="6"/>
  <c r="AC20" i="6" s="1"/>
  <c r="AA20" i="6"/>
  <c r="Z20" i="6"/>
  <c r="Y20" i="6"/>
  <c r="X20" i="6"/>
  <c r="V20" i="6"/>
  <c r="W20" i="6" s="1"/>
  <c r="U20" i="6"/>
  <c r="S20" i="6"/>
  <c r="S13" i="6" s="1"/>
  <c r="R20" i="6"/>
  <c r="Q20" i="6"/>
  <c r="O20" i="6"/>
  <c r="M20" i="6"/>
  <c r="L20" i="6"/>
  <c r="J20" i="6"/>
  <c r="I20" i="6"/>
  <c r="H20" i="6"/>
  <c r="N20" i="6" s="1"/>
  <c r="G20" i="6"/>
  <c r="P20" i="6" s="1"/>
  <c r="F20" i="6"/>
  <c r="E20" i="6"/>
  <c r="D20" i="6"/>
  <c r="CI19" i="6"/>
  <c r="CH19" i="6"/>
  <c r="CF19" i="6"/>
  <c r="CE19" i="6"/>
  <c r="CG19" i="6" s="1"/>
  <c r="CC19" i="6"/>
  <c r="CB19" i="6"/>
  <c r="CD19" i="6" s="1"/>
  <c r="BZ19" i="6"/>
  <c r="BY19" i="6"/>
  <c r="CA19" i="6" s="1"/>
  <c r="BW19" i="6"/>
  <c r="BV19" i="6"/>
  <c r="BX19" i="6" s="1"/>
  <c r="BT19" i="6"/>
  <c r="BS19" i="6"/>
  <c r="BU19" i="6" s="1"/>
  <c r="BQ19" i="6"/>
  <c r="BP19" i="6"/>
  <c r="BR19" i="6" s="1"/>
  <c r="BN19" i="6"/>
  <c r="BM19" i="6"/>
  <c r="BO19" i="6" s="1"/>
  <c r="BK19" i="6"/>
  <c r="BJ19" i="6"/>
  <c r="BL19" i="6" s="1"/>
  <c r="BH19" i="6"/>
  <c r="BG19" i="6"/>
  <c r="BI19" i="6" s="1"/>
  <c r="BE19" i="6"/>
  <c r="BD19" i="6"/>
  <c r="BF19" i="6" s="1"/>
  <c r="BB19" i="6"/>
  <c r="BA19" i="6"/>
  <c r="BC19" i="6" s="1"/>
  <c r="AY19" i="6"/>
  <c r="AX19" i="6"/>
  <c r="AZ19" i="6" s="1"/>
  <c r="AV19" i="6"/>
  <c r="AU19" i="6"/>
  <c r="AW19" i="6" s="1"/>
  <c r="AS19" i="6"/>
  <c r="AR19" i="6"/>
  <c r="AT19" i="6" s="1"/>
  <c r="AP19" i="6"/>
  <c r="AO19" i="6"/>
  <c r="AQ19" i="6" s="1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O19" i="6"/>
  <c r="N19" i="6"/>
  <c r="L19" i="6"/>
  <c r="J19" i="6" s="1"/>
  <c r="I19" i="6"/>
  <c r="H19" i="6"/>
  <c r="G19" i="6"/>
  <c r="P19" i="6" s="1"/>
  <c r="F19" i="6"/>
  <c r="E19" i="6"/>
  <c r="D19" i="6" s="1"/>
  <c r="CI18" i="6"/>
  <c r="CH18" i="6"/>
  <c r="CG18" i="6"/>
  <c r="CF18" i="6"/>
  <c r="CE18" i="6"/>
  <c r="CC18" i="6"/>
  <c r="CB18" i="6"/>
  <c r="CD18" i="6" s="1"/>
  <c r="CA18" i="6"/>
  <c r="BZ18" i="6"/>
  <c r="BY18" i="6"/>
  <c r="BW18" i="6"/>
  <c r="BV18" i="6"/>
  <c r="BX18" i="6" s="1"/>
  <c r="BU18" i="6"/>
  <c r="BT18" i="6"/>
  <c r="BS18" i="6"/>
  <c r="BQ18" i="6"/>
  <c r="BP18" i="6"/>
  <c r="BR18" i="6" s="1"/>
  <c r="BN18" i="6"/>
  <c r="BO18" i="6" s="1"/>
  <c r="BM18" i="6"/>
  <c r="BK18" i="6"/>
  <c r="BJ18" i="6"/>
  <c r="BL18" i="6" s="1"/>
  <c r="BH18" i="6"/>
  <c r="BI18" i="6" s="1"/>
  <c r="BG18" i="6"/>
  <c r="BE18" i="6"/>
  <c r="BD18" i="6"/>
  <c r="BF18" i="6" s="1"/>
  <c r="BC18" i="6"/>
  <c r="BB18" i="6"/>
  <c r="BA18" i="6"/>
  <c r="AY18" i="6"/>
  <c r="AX18" i="6"/>
  <c r="AZ18" i="6" s="1"/>
  <c r="AW18" i="6"/>
  <c r="AV18" i="6"/>
  <c r="AU18" i="6"/>
  <c r="AS18" i="6"/>
  <c r="AR18" i="6"/>
  <c r="AT18" i="6" s="1"/>
  <c r="AQ18" i="6"/>
  <c r="AP18" i="6"/>
  <c r="AO18" i="6"/>
  <c r="AN18" i="6"/>
  <c r="AM18" i="6"/>
  <c r="AK18" i="6"/>
  <c r="AJ18" i="6"/>
  <c r="AL18" i="6" s="1"/>
  <c r="AH18" i="6"/>
  <c r="AG18" i="6"/>
  <c r="AI18" i="6" s="1"/>
  <c r="AE18" i="6"/>
  <c r="AD18" i="6"/>
  <c r="AB18" i="6"/>
  <c r="AA18" i="6"/>
  <c r="AC18" i="6" s="1"/>
  <c r="Z18" i="6"/>
  <c r="Y18" i="6"/>
  <c r="X18" i="6"/>
  <c r="V18" i="6"/>
  <c r="U18" i="6"/>
  <c r="W18" i="6" s="1"/>
  <c r="S18" i="6"/>
  <c r="R18" i="6"/>
  <c r="T18" i="6" s="1"/>
  <c r="O18" i="6"/>
  <c r="L18" i="6"/>
  <c r="J18" i="6" s="1"/>
  <c r="I18" i="6"/>
  <c r="Q18" i="6" s="1"/>
  <c r="H18" i="6"/>
  <c r="N18" i="6" s="1"/>
  <c r="G18" i="6"/>
  <c r="P18" i="6" s="1"/>
  <c r="F18" i="6"/>
  <c r="D18" i="6" s="1"/>
  <c r="M18" i="6" s="1"/>
  <c r="E18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K17" i="6"/>
  <c r="AL17" i="6" s="1"/>
  <c r="AJ17" i="6"/>
  <c r="AH17" i="6"/>
  <c r="AG17" i="6"/>
  <c r="AE17" i="6"/>
  <c r="AF17" i="6" s="1"/>
  <c r="AD17" i="6"/>
  <c r="AB17" i="6"/>
  <c r="AA17" i="6"/>
  <c r="Z17" i="6"/>
  <c r="Y17" i="6"/>
  <c r="X17" i="6"/>
  <c r="V17" i="6"/>
  <c r="U17" i="6"/>
  <c r="S17" i="6"/>
  <c r="T17" i="6" s="1"/>
  <c r="R17" i="6"/>
  <c r="O17" i="6"/>
  <c r="M17" i="6"/>
  <c r="L17" i="6"/>
  <c r="J17" i="6"/>
  <c r="I17" i="6"/>
  <c r="Q17" i="6" s="1"/>
  <c r="H17" i="6"/>
  <c r="N17" i="6" s="1"/>
  <c r="G17" i="6"/>
  <c r="P17" i="6" s="1"/>
  <c r="F17" i="6"/>
  <c r="E17" i="6"/>
  <c r="D17" i="6"/>
  <c r="CI16" i="6"/>
  <c r="CH16" i="6"/>
  <c r="CF16" i="6"/>
  <c r="CE16" i="6"/>
  <c r="CC16" i="6"/>
  <c r="CB16" i="6"/>
  <c r="CD16" i="6" s="1"/>
  <c r="BZ16" i="6"/>
  <c r="BY16" i="6"/>
  <c r="CA16" i="6" s="1"/>
  <c r="BW16" i="6"/>
  <c r="BV16" i="6"/>
  <c r="BT16" i="6"/>
  <c r="BS16" i="6"/>
  <c r="BU16" i="6" s="1"/>
  <c r="BQ16" i="6"/>
  <c r="BP16" i="6"/>
  <c r="BR16" i="6" s="1"/>
  <c r="BN16" i="6"/>
  <c r="BM16" i="6"/>
  <c r="BK16" i="6"/>
  <c r="BJ16" i="6"/>
  <c r="BL16" i="6" s="1"/>
  <c r="BH16" i="6"/>
  <c r="BG16" i="6"/>
  <c r="BI16" i="6" s="1"/>
  <c r="BE16" i="6"/>
  <c r="BD16" i="6"/>
  <c r="BB16" i="6"/>
  <c r="BA16" i="6"/>
  <c r="BC16" i="6" s="1"/>
  <c r="AY16" i="6"/>
  <c r="AX16" i="6"/>
  <c r="AZ16" i="6" s="1"/>
  <c r="AV16" i="6"/>
  <c r="AU16" i="6"/>
  <c r="AS16" i="6"/>
  <c r="AR16" i="6"/>
  <c r="AT16" i="6" s="1"/>
  <c r="AP16" i="6"/>
  <c r="AO16" i="6"/>
  <c r="AQ16" i="6" s="1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J16" i="6" s="1"/>
  <c r="N16" i="6"/>
  <c r="L16" i="6"/>
  <c r="I16" i="6"/>
  <c r="H16" i="6"/>
  <c r="G16" i="6"/>
  <c r="F16" i="6"/>
  <c r="E16" i="6"/>
  <c r="D16" i="6" s="1"/>
  <c r="CI15" i="6"/>
  <c r="CH15" i="6"/>
  <c r="CF15" i="6"/>
  <c r="CE15" i="6"/>
  <c r="CG15" i="6" s="1"/>
  <c r="CD15" i="6"/>
  <c r="CC15" i="6"/>
  <c r="CC13" i="6" s="1"/>
  <c r="CB15" i="6"/>
  <c r="BZ15" i="6"/>
  <c r="BY15" i="6"/>
  <c r="CA15" i="6" s="1"/>
  <c r="BX15" i="6"/>
  <c r="BW15" i="6"/>
  <c r="BW13" i="6" s="1"/>
  <c r="BV15" i="6"/>
  <c r="BT15" i="6"/>
  <c r="BT13" i="6" s="1"/>
  <c r="BS15" i="6"/>
  <c r="BU15" i="6" s="1"/>
  <c r="BR15" i="6"/>
  <c r="BQ15" i="6"/>
  <c r="BP15" i="6"/>
  <c r="BN15" i="6"/>
  <c r="BN13" i="6" s="1"/>
  <c r="BM15" i="6"/>
  <c r="BO15" i="6" s="1"/>
  <c r="BK15" i="6"/>
  <c r="BJ15" i="6"/>
  <c r="BH15" i="6"/>
  <c r="BG15" i="6"/>
  <c r="BE15" i="6"/>
  <c r="BD15" i="6"/>
  <c r="BB15" i="6"/>
  <c r="BA15" i="6"/>
  <c r="BC15" i="6" s="1"/>
  <c r="AZ15" i="6"/>
  <c r="AY15" i="6"/>
  <c r="AX15" i="6"/>
  <c r="AV15" i="6"/>
  <c r="AV13" i="6" s="1"/>
  <c r="AU15" i="6"/>
  <c r="AW15" i="6" s="1"/>
  <c r="AT15" i="6"/>
  <c r="AS15" i="6"/>
  <c r="AR15" i="6"/>
  <c r="AP15" i="6"/>
  <c r="AO15" i="6"/>
  <c r="AQ15" i="6" s="1"/>
  <c r="AN15" i="6"/>
  <c r="AM15" i="6"/>
  <c r="AK15" i="6"/>
  <c r="AJ15" i="6"/>
  <c r="AH15" i="6"/>
  <c r="AG15" i="6"/>
  <c r="AE15" i="6"/>
  <c r="AD15" i="6"/>
  <c r="AF15" i="6" s="1"/>
  <c r="AB15" i="6"/>
  <c r="AA15" i="6"/>
  <c r="Z15" i="6"/>
  <c r="Y15" i="6"/>
  <c r="X15" i="6"/>
  <c r="V15" i="6"/>
  <c r="U15" i="6"/>
  <c r="S15" i="6"/>
  <c r="R15" i="6"/>
  <c r="T15" i="6" s="1"/>
  <c r="P15" i="6"/>
  <c r="O15" i="6"/>
  <c r="L15" i="6"/>
  <c r="J15" i="6" s="1"/>
  <c r="I15" i="6"/>
  <c r="H15" i="6"/>
  <c r="N15" i="6" s="1"/>
  <c r="G15" i="6"/>
  <c r="F15" i="6"/>
  <c r="D15" i="6" s="1"/>
  <c r="M15" i="6" s="1"/>
  <c r="E15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N13" i="6" s="1"/>
  <c r="AM14" i="6"/>
  <c r="AK14" i="6"/>
  <c r="AJ14" i="6"/>
  <c r="AL14" i="6" s="1"/>
  <c r="AH14" i="6"/>
  <c r="AG14" i="6"/>
  <c r="AE14" i="6"/>
  <c r="AD14" i="6"/>
  <c r="AF14" i="6" s="1"/>
  <c r="AB14" i="6"/>
  <c r="AA14" i="6"/>
  <c r="Z14" i="6"/>
  <c r="Y14" i="6"/>
  <c r="Y13" i="6" s="1"/>
  <c r="X14" i="6"/>
  <c r="V14" i="6"/>
  <c r="U14" i="6"/>
  <c r="S14" i="6"/>
  <c r="R14" i="6"/>
  <c r="T14" i="6" s="1"/>
  <c r="Q14" i="6"/>
  <c r="O14" i="6"/>
  <c r="L14" i="6"/>
  <c r="J14" i="6"/>
  <c r="I14" i="6"/>
  <c r="H14" i="6"/>
  <c r="N14" i="6" s="1"/>
  <c r="G14" i="6"/>
  <c r="F14" i="6"/>
  <c r="E14" i="6"/>
  <c r="D14" i="6"/>
  <c r="CH13" i="6"/>
  <c r="CB13" i="6"/>
  <c r="CD13" i="6" s="1"/>
  <c r="BS13" i="6"/>
  <c r="BP13" i="6"/>
  <c r="BR13" i="6" s="1"/>
  <c r="BJ13" i="6"/>
  <c r="AX13" i="6"/>
  <c r="AR13" i="6"/>
  <c r="R13" i="6"/>
  <c r="L13" i="6"/>
  <c r="H13" i="6"/>
  <c r="E13" i="6"/>
  <c r="O10" i="6"/>
  <c r="O9" i="6" s="1"/>
  <c r="F10" i="6"/>
  <c r="F9" i="6"/>
  <c r="CH8" i="6"/>
  <c r="CH7" i="6" s="1"/>
  <c r="Z7" i="6"/>
  <c r="Q106" i="5"/>
  <c r="O106" i="5"/>
  <c r="M106" i="5"/>
  <c r="L106" i="5"/>
  <c r="J106" i="5"/>
  <c r="I106" i="5"/>
  <c r="H106" i="5"/>
  <c r="N106" i="5" s="1"/>
  <c r="G106" i="5"/>
  <c r="F106" i="5"/>
  <c r="E106" i="5"/>
  <c r="D106" i="5"/>
  <c r="O105" i="5"/>
  <c r="J105" i="5" s="1"/>
  <c r="L105" i="5"/>
  <c r="I105" i="5"/>
  <c r="Q105" i="5" s="1"/>
  <c r="H105" i="5"/>
  <c r="N105" i="5" s="1"/>
  <c r="G105" i="5"/>
  <c r="P105" i="5" s="1"/>
  <c r="F105" i="5"/>
  <c r="E105" i="5"/>
  <c r="D105" i="5"/>
  <c r="M105" i="5" s="1"/>
  <c r="C105" i="5"/>
  <c r="K105" i="5" s="1"/>
  <c r="Q104" i="5"/>
  <c r="O104" i="5"/>
  <c r="L104" i="5"/>
  <c r="J104" i="5" s="1"/>
  <c r="I104" i="5"/>
  <c r="H104" i="5"/>
  <c r="G104" i="5"/>
  <c r="P104" i="5" s="1"/>
  <c r="F104" i="5"/>
  <c r="D104" i="5" s="1"/>
  <c r="E104" i="5"/>
  <c r="O103" i="5"/>
  <c r="L103" i="5"/>
  <c r="I103" i="5"/>
  <c r="Q103" i="5" s="1"/>
  <c r="H103" i="5"/>
  <c r="N103" i="5" s="1"/>
  <c r="G103" i="5"/>
  <c r="P103" i="5" s="1"/>
  <c r="F103" i="5"/>
  <c r="D103" i="5" s="1"/>
  <c r="E103" i="5"/>
  <c r="P102" i="5"/>
  <c r="O102" i="5"/>
  <c r="L102" i="5"/>
  <c r="J102" i="5" s="1"/>
  <c r="I102" i="5"/>
  <c r="Q102" i="5" s="1"/>
  <c r="H102" i="5"/>
  <c r="N102" i="5" s="1"/>
  <c r="G102" i="5"/>
  <c r="F102" i="5"/>
  <c r="D102" i="5" s="1"/>
  <c r="E102" i="5"/>
  <c r="O101" i="5"/>
  <c r="L101" i="5"/>
  <c r="J101" i="5" s="1"/>
  <c r="I101" i="5"/>
  <c r="Q101" i="5" s="1"/>
  <c r="H101" i="5"/>
  <c r="N101" i="5" s="1"/>
  <c r="G101" i="5"/>
  <c r="P101" i="5" s="1"/>
  <c r="F101" i="5"/>
  <c r="D101" i="5" s="1"/>
  <c r="M101" i="5" s="1"/>
  <c r="E101" i="5"/>
  <c r="C101" i="5"/>
  <c r="K101" i="5" s="1"/>
  <c r="P100" i="5"/>
  <c r="O100" i="5"/>
  <c r="L100" i="5"/>
  <c r="J100" i="5" s="1"/>
  <c r="I100" i="5"/>
  <c r="Q100" i="5" s="1"/>
  <c r="H100" i="5"/>
  <c r="N100" i="5" s="1"/>
  <c r="G100" i="5"/>
  <c r="F100" i="5"/>
  <c r="E100" i="5"/>
  <c r="O99" i="5"/>
  <c r="L99" i="5"/>
  <c r="I99" i="5"/>
  <c r="Q99" i="5" s="1"/>
  <c r="H99" i="5"/>
  <c r="N99" i="5" s="1"/>
  <c r="G99" i="5"/>
  <c r="P99" i="5" s="1"/>
  <c r="F99" i="5"/>
  <c r="D99" i="5" s="1"/>
  <c r="M99" i="5" s="1"/>
  <c r="E99" i="5"/>
  <c r="P98" i="5"/>
  <c r="O98" i="5"/>
  <c r="L98" i="5"/>
  <c r="J98" i="5" s="1"/>
  <c r="I98" i="5"/>
  <c r="Q98" i="5" s="1"/>
  <c r="H98" i="5"/>
  <c r="G98" i="5"/>
  <c r="F98" i="5"/>
  <c r="E98" i="5"/>
  <c r="D98" i="5" s="1"/>
  <c r="O97" i="5"/>
  <c r="L97" i="5"/>
  <c r="I97" i="5"/>
  <c r="Q97" i="5" s="1"/>
  <c r="H97" i="5"/>
  <c r="N97" i="5" s="1"/>
  <c r="G97" i="5"/>
  <c r="P97" i="5" s="1"/>
  <c r="F97" i="5"/>
  <c r="D97" i="5" s="1"/>
  <c r="E97" i="5"/>
  <c r="P96" i="5"/>
  <c r="O96" i="5"/>
  <c r="L96" i="5"/>
  <c r="J96" i="5" s="1"/>
  <c r="I96" i="5"/>
  <c r="Q96" i="5" s="1"/>
  <c r="H96" i="5"/>
  <c r="N96" i="5" s="1"/>
  <c r="G96" i="5"/>
  <c r="F96" i="5"/>
  <c r="E96" i="5"/>
  <c r="O95" i="5"/>
  <c r="L95" i="5"/>
  <c r="J95" i="5" s="1"/>
  <c r="I95" i="5"/>
  <c r="Q95" i="5" s="1"/>
  <c r="H95" i="5"/>
  <c r="N95" i="5" s="1"/>
  <c r="G95" i="5"/>
  <c r="P95" i="5" s="1"/>
  <c r="F95" i="5"/>
  <c r="E95" i="5"/>
  <c r="D95" i="5" s="1"/>
  <c r="M95" i="5" s="1"/>
  <c r="C95" i="5"/>
  <c r="K95" i="5" s="1"/>
  <c r="P94" i="5"/>
  <c r="O94" i="5"/>
  <c r="L94" i="5"/>
  <c r="J94" i="5" s="1"/>
  <c r="I94" i="5"/>
  <c r="Q94" i="5" s="1"/>
  <c r="H94" i="5"/>
  <c r="N94" i="5" s="1"/>
  <c r="G94" i="5"/>
  <c r="F94" i="5"/>
  <c r="E94" i="5"/>
  <c r="O93" i="5"/>
  <c r="L93" i="5"/>
  <c r="I93" i="5"/>
  <c r="Q93" i="5" s="1"/>
  <c r="H93" i="5"/>
  <c r="N93" i="5" s="1"/>
  <c r="G93" i="5"/>
  <c r="P93" i="5" s="1"/>
  <c r="F93" i="5"/>
  <c r="E93" i="5"/>
  <c r="D93" i="5" s="1"/>
  <c r="M93" i="5" s="1"/>
  <c r="P92" i="5"/>
  <c r="O92" i="5"/>
  <c r="L92" i="5"/>
  <c r="J92" i="5" s="1"/>
  <c r="I92" i="5"/>
  <c r="Q92" i="5" s="1"/>
  <c r="H92" i="5"/>
  <c r="N92" i="5" s="1"/>
  <c r="G92" i="5"/>
  <c r="F92" i="5"/>
  <c r="E92" i="5"/>
  <c r="D92" i="5" s="1"/>
  <c r="O91" i="5"/>
  <c r="L91" i="5"/>
  <c r="I91" i="5"/>
  <c r="Q91" i="5" s="1"/>
  <c r="H91" i="5"/>
  <c r="N91" i="5" s="1"/>
  <c r="G91" i="5"/>
  <c r="P91" i="5" s="1"/>
  <c r="F91" i="5"/>
  <c r="E91" i="5"/>
  <c r="D91" i="5" s="1"/>
  <c r="P90" i="5"/>
  <c r="O90" i="5"/>
  <c r="L90" i="5"/>
  <c r="I90" i="5"/>
  <c r="Q90" i="5" s="1"/>
  <c r="H90" i="5"/>
  <c r="N90" i="5" s="1"/>
  <c r="G90" i="5"/>
  <c r="F90" i="5"/>
  <c r="E90" i="5"/>
  <c r="I89" i="5"/>
  <c r="I10" i="5" s="1"/>
  <c r="H89" i="5"/>
  <c r="E89" i="5"/>
  <c r="S88" i="5"/>
  <c r="R88" i="5"/>
  <c r="T88" i="5" s="1"/>
  <c r="O88" i="5"/>
  <c r="L88" i="5"/>
  <c r="I88" i="5"/>
  <c r="Q88" i="5" s="1"/>
  <c r="H88" i="5"/>
  <c r="N88" i="5" s="1"/>
  <c r="G88" i="5"/>
  <c r="P88" i="5" s="1"/>
  <c r="F88" i="5"/>
  <c r="E88" i="5"/>
  <c r="D88" i="5" s="1"/>
  <c r="M88" i="5" s="1"/>
  <c r="S87" i="5"/>
  <c r="R87" i="5"/>
  <c r="T87" i="5" s="1"/>
  <c r="O87" i="5"/>
  <c r="L87" i="5"/>
  <c r="J87" i="5" s="1"/>
  <c r="I87" i="5"/>
  <c r="Q87" i="5" s="1"/>
  <c r="H87" i="5"/>
  <c r="N87" i="5" s="1"/>
  <c r="G87" i="5"/>
  <c r="P87" i="5" s="1"/>
  <c r="F87" i="5"/>
  <c r="E87" i="5"/>
  <c r="D87" i="5" s="1"/>
  <c r="M87" i="5" s="1"/>
  <c r="C87" i="5"/>
  <c r="K87" i="5" s="1"/>
  <c r="S86" i="5"/>
  <c r="R86" i="5"/>
  <c r="T86" i="5" s="1"/>
  <c r="O86" i="5"/>
  <c r="L86" i="5"/>
  <c r="J86" i="5" s="1"/>
  <c r="I86" i="5"/>
  <c r="Q86" i="5" s="1"/>
  <c r="H86" i="5"/>
  <c r="N86" i="5" s="1"/>
  <c r="G86" i="5"/>
  <c r="P86" i="5" s="1"/>
  <c r="F86" i="5"/>
  <c r="E86" i="5"/>
  <c r="D86" i="5" s="1"/>
  <c r="M86" i="5" s="1"/>
  <c r="C86" i="5"/>
  <c r="K86" i="5" s="1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D85" i="5" s="1"/>
  <c r="M85" i="5" s="1"/>
  <c r="S84" i="5"/>
  <c r="R84" i="5"/>
  <c r="T84" i="5" s="1"/>
  <c r="O84" i="5"/>
  <c r="L84" i="5"/>
  <c r="J84" i="5" s="1"/>
  <c r="I84" i="5"/>
  <c r="Q84" i="5" s="1"/>
  <c r="H84" i="5"/>
  <c r="N84" i="5" s="1"/>
  <c r="G84" i="5"/>
  <c r="P84" i="5" s="1"/>
  <c r="F84" i="5"/>
  <c r="E84" i="5"/>
  <c r="D84" i="5" s="1"/>
  <c r="M84" i="5" s="1"/>
  <c r="C84" i="5"/>
  <c r="K84" i="5" s="1"/>
  <c r="S83" i="5"/>
  <c r="R83" i="5"/>
  <c r="T83" i="5" s="1"/>
  <c r="O83" i="5"/>
  <c r="L83" i="5"/>
  <c r="J83" i="5" s="1"/>
  <c r="I83" i="5"/>
  <c r="Q83" i="5" s="1"/>
  <c r="H83" i="5"/>
  <c r="N83" i="5" s="1"/>
  <c r="G83" i="5"/>
  <c r="P83" i="5" s="1"/>
  <c r="F83" i="5"/>
  <c r="E83" i="5"/>
  <c r="D83" i="5" s="1"/>
  <c r="M83" i="5" s="1"/>
  <c r="S82" i="5"/>
  <c r="R82" i="5"/>
  <c r="T82" i="5" s="1"/>
  <c r="O82" i="5"/>
  <c r="L82" i="5"/>
  <c r="J82" i="5" s="1"/>
  <c r="I82" i="5"/>
  <c r="Q82" i="5" s="1"/>
  <c r="H82" i="5"/>
  <c r="N82" i="5" s="1"/>
  <c r="G82" i="5"/>
  <c r="P82" i="5" s="1"/>
  <c r="F82" i="5"/>
  <c r="E82" i="5"/>
  <c r="D82" i="5" s="1"/>
  <c r="M82" i="5" s="1"/>
  <c r="C82" i="5"/>
  <c r="K82" i="5" s="1"/>
  <c r="S81" i="5"/>
  <c r="R81" i="5"/>
  <c r="T81" i="5" s="1"/>
  <c r="O81" i="5"/>
  <c r="L81" i="5"/>
  <c r="J81" i="5" s="1"/>
  <c r="I81" i="5"/>
  <c r="Q81" i="5" s="1"/>
  <c r="H81" i="5"/>
  <c r="N81" i="5" s="1"/>
  <c r="G81" i="5"/>
  <c r="P81" i="5" s="1"/>
  <c r="F81" i="5"/>
  <c r="E81" i="5"/>
  <c r="D81" i="5" s="1"/>
  <c r="M81" i="5" s="1"/>
  <c r="C81" i="5"/>
  <c r="K81" i="5" s="1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D80" i="5" s="1"/>
  <c r="M80" i="5" s="1"/>
  <c r="S79" i="5"/>
  <c r="R79" i="5"/>
  <c r="T79" i="5" s="1"/>
  <c r="O79" i="5"/>
  <c r="L79" i="5"/>
  <c r="J79" i="5" s="1"/>
  <c r="I79" i="5"/>
  <c r="Q79" i="5" s="1"/>
  <c r="H79" i="5"/>
  <c r="N79" i="5" s="1"/>
  <c r="G79" i="5"/>
  <c r="P79" i="5" s="1"/>
  <c r="F79" i="5"/>
  <c r="E79" i="5"/>
  <c r="D79" i="5" s="1"/>
  <c r="M79" i="5" s="1"/>
  <c r="C79" i="5"/>
  <c r="K79" i="5" s="1"/>
  <c r="S78" i="5"/>
  <c r="R78" i="5"/>
  <c r="T78" i="5" s="1"/>
  <c r="O78" i="5"/>
  <c r="L78" i="5"/>
  <c r="J78" i="5" s="1"/>
  <c r="I78" i="5"/>
  <c r="Q78" i="5" s="1"/>
  <c r="H78" i="5"/>
  <c r="N78" i="5" s="1"/>
  <c r="G78" i="5"/>
  <c r="P78" i="5" s="1"/>
  <c r="F78" i="5"/>
  <c r="E78" i="5"/>
  <c r="D78" i="5" s="1"/>
  <c r="M78" i="5" s="1"/>
  <c r="C78" i="5"/>
  <c r="K78" i="5" s="1"/>
  <c r="S77" i="5"/>
  <c r="R77" i="5"/>
  <c r="T77" i="5" s="1"/>
  <c r="O77" i="5"/>
  <c r="L77" i="5"/>
  <c r="I77" i="5"/>
  <c r="Q77" i="5" s="1"/>
  <c r="H77" i="5"/>
  <c r="N77" i="5" s="1"/>
  <c r="G77" i="5"/>
  <c r="P77" i="5" s="1"/>
  <c r="F77" i="5"/>
  <c r="E77" i="5"/>
  <c r="D77" i="5" s="1"/>
  <c r="M77" i="5" s="1"/>
  <c r="S76" i="5"/>
  <c r="R76" i="5"/>
  <c r="T76" i="5" s="1"/>
  <c r="O76" i="5"/>
  <c r="L76" i="5"/>
  <c r="J76" i="5" s="1"/>
  <c r="I76" i="5"/>
  <c r="Q76" i="5" s="1"/>
  <c r="H76" i="5"/>
  <c r="N76" i="5" s="1"/>
  <c r="G76" i="5"/>
  <c r="P76" i="5" s="1"/>
  <c r="F76" i="5"/>
  <c r="E76" i="5"/>
  <c r="D76" i="5" s="1"/>
  <c r="M76" i="5" s="1"/>
  <c r="S75" i="5"/>
  <c r="S74" i="5" s="1"/>
  <c r="R75" i="5"/>
  <c r="T75" i="5" s="1"/>
  <c r="O75" i="5"/>
  <c r="L75" i="5"/>
  <c r="J75" i="5" s="1"/>
  <c r="I75" i="5"/>
  <c r="H75" i="5"/>
  <c r="N75" i="5" s="1"/>
  <c r="G75" i="5"/>
  <c r="P75" i="5" s="1"/>
  <c r="F75" i="5"/>
  <c r="E75" i="5"/>
  <c r="D75" i="5" s="1"/>
  <c r="C75" i="5"/>
  <c r="K75" i="5" s="1"/>
  <c r="V74" i="5"/>
  <c r="U74" i="5"/>
  <c r="W74" i="5" s="1"/>
  <c r="R74" i="5"/>
  <c r="T74" i="5" s="1"/>
  <c r="L74" i="5"/>
  <c r="H74" i="5"/>
  <c r="F74" i="5"/>
  <c r="E74" i="5"/>
  <c r="S73" i="5"/>
  <c r="R73" i="5"/>
  <c r="T73" i="5" s="1"/>
  <c r="P73" i="5"/>
  <c r="O73" i="5"/>
  <c r="L73" i="5"/>
  <c r="J73" i="5" s="1"/>
  <c r="I73" i="5"/>
  <c r="Q73" i="5" s="1"/>
  <c r="H73" i="5"/>
  <c r="N73" i="5" s="1"/>
  <c r="G73" i="5"/>
  <c r="F73" i="5"/>
  <c r="D73" i="5" s="1"/>
  <c r="E73" i="5"/>
  <c r="S72" i="5"/>
  <c r="R72" i="5"/>
  <c r="T72" i="5" s="1"/>
  <c r="P72" i="5"/>
  <c r="O72" i="5"/>
  <c r="L72" i="5"/>
  <c r="J72" i="5" s="1"/>
  <c r="I72" i="5"/>
  <c r="Q72" i="5" s="1"/>
  <c r="H72" i="5"/>
  <c r="N72" i="5" s="1"/>
  <c r="G72" i="5"/>
  <c r="F72" i="5"/>
  <c r="D72" i="5" s="1"/>
  <c r="E72" i="5"/>
  <c r="S71" i="5"/>
  <c r="R71" i="5"/>
  <c r="T71" i="5" s="1"/>
  <c r="P71" i="5"/>
  <c r="O71" i="5"/>
  <c r="L71" i="5"/>
  <c r="J71" i="5" s="1"/>
  <c r="I71" i="5"/>
  <c r="Q71" i="5" s="1"/>
  <c r="H71" i="5"/>
  <c r="G71" i="5"/>
  <c r="F71" i="5"/>
  <c r="D71" i="5" s="1"/>
  <c r="E71" i="5"/>
  <c r="S70" i="5"/>
  <c r="R70" i="5"/>
  <c r="T70" i="5" s="1"/>
  <c r="P70" i="5"/>
  <c r="O70" i="5"/>
  <c r="L70" i="5"/>
  <c r="J70" i="5" s="1"/>
  <c r="I70" i="5"/>
  <c r="Q70" i="5" s="1"/>
  <c r="H70" i="5"/>
  <c r="N70" i="5" s="1"/>
  <c r="G70" i="5"/>
  <c r="F70" i="5"/>
  <c r="D70" i="5" s="1"/>
  <c r="E70" i="5"/>
  <c r="S69" i="5"/>
  <c r="R69" i="5"/>
  <c r="T69" i="5" s="1"/>
  <c r="P69" i="5"/>
  <c r="O69" i="5"/>
  <c r="L69" i="5"/>
  <c r="J69" i="5" s="1"/>
  <c r="I69" i="5"/>
  <c r="Q69" i="5" s="1"/>
  <c r="H69" i="5"/>
  <c r="N69" i="5" s="1"/>
  <c r="G69" i="5"/>
  <c r="F69" i="5"/>
  <c r="D69" i="5" s="1"/>
  <c r="E69" i="5"/>
  <c r="S68" i="5"/>
  <c r="R68" i="5"/>
  <c r="T68" i="5" s="1"/>
  <c r="P68" i="5"/>
  <c r="O68" i="5"/>
  <c r="L68" i="5"/>
  <c r="J68" i="5" s="1"/>
  <c r="I68" i="5"/>
  <c r="Q68" i="5" s="1"/>
  <c r="H68" i="5"/>
  <c r="G68" i="5"/>
  <c r="F68" i="5"/>
  <c r="D68" i="5" s="1"/>
  <c r="E68" i="5"/>
  <c r="C68" i="5"/>
  <c r="K68" i="5" s="1"/>
  <c r="S67" i="5"/>
  <c r="R67" i="5"/>
  <c r="T67" i="5" s="1"/>
  <c r="P67" i="5"/>
  <c r="O67" i="5"/>
  <c r="L67" i="5"/>
  <c r="J67" i="5" s="1"/>
  <c r="I67" i="5"/>
  <c r="Q67" i="5" s="1"/>
  <c r="H67" i="5"/>
  <c r="G67" i="5"/>
  <c r="F67" i="5"/>
  <c r="E67" i="5"/>
  <c r="D67" i="5" s="1"/>
  <c r="C67" i="5"/>
  <c r="K67" i="5" s="1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T65" i="5" s="1"/>
  <c r="O65" i="5"/>
  <c r="L65" i="5"/>
  <c r="I65" i="5"/>
  <c r="Q65" i="5" s="1"/>
  <c r="H65" i="5"/>
  <c r="G65" i="5"/>
  <c r="P65" i="5" s="1"/>
  <c r="F65" i="5"/>
  <c r="E65" i="5"/>
  <c r="S64" i="5"/>
  <c r="R64" i="5"/>
  <c r="T64" i="5" s="1"/>
  <c r="O64" i="5"/>
  <c r="L64" i="5"/>
  <c r="J64" i="5" s="1"/>
  <c r="I64" i="5"/>
  <c r="Q64" i="5" s="1"/>
  <c r="H64" i="5"/>
  <c r="G64" i="5"/>
  <c r="P64" i="5" s="1"/>
  <c r="F64" i="5"/>
  <c r="E64" i="5"/>
  <c r="D64" i="5" s="1"/>
  <c r="C64" i="5"/>
  <c r="K64" i="5" s="1"/>
  <c r="S63" i="5"/>
  <c r="R63" i="5"/>
  <c r="T63" i="5" s="1"/>
  <c r="O63" i="5"/>
  <c r="L63" i="5"/>
  <c r="I63" i="5"/>
  <c r="Q63" i="5" s="1"/>
  <c r="H63" i="5"/>
  <c r="N63" i="5" s="1"/>
  <c r="G63" i="5"/>
  <c r="P63" i="5" s="1"/>
  <c r="F63" i="5"/>
  <c r="E63" i="5"/>
  <c r="S62" i="5"/>
  <c r="R62" i="5"/>
  <c r="T62" i="5" s="1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J61" i="5" s="1"/>
  <c r="I61" i="5"/>
  <c r="Q61" i="5" s="1"/>
  <c r="H61" i="5"/>
  <c r="G61" i="5"/>
  <c r="P61" i="5" s="1"/>
  <c r="F61" i="5"/>
  <c r="E61" i="5"/>
  <c r="D61" i="5" s="1"/>
  <c r="C61" i="5"/>
  <c r="K61" i="5" s="1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D59" i="5" s="1"/>
  <c r="S58" i="5"/>
  <c r="R58" i="5"/>
  <c r="T58" i="5" s="1"/>
  <c r="O58" i="5"/>
  <c r="L58" i="5"/>
  <c r="J58" i="5" s="1"/>
  <c r="I58" i="5"/>
  <c r="Q58" i="5" s="1"/>
  <c r="H58" i="5"/>
  <c r="G58" i="5"/>
  <c r="P58" i="5" s="1"/>
  <c r="F58" i="5"/>
  <c r="E58" i="5"/>
  <c r="D58" i="5" s="1"/>
  <c r="C58" i="5"/>
  <c r="K58" i="5" s="1"/>
  <c r="S57" i="5"/>
  <c r="R57" i="5"/>
  <c r="T57" i="5" s="1"/>
  <c r="O57" i="5"/>
  <c r="L57" i="5"/>
  <c r="I57" i="5"/>
  <c r="Q57" i="5" s="1"/>
  <c r="H57" i="5"/>
  <c r="N57" i="5" s="1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T55" i="5" s="1"/>
  <c r="O55" i="5"/>
  <c r="L55" i="5"/>
  <c r="I55" i="5"/>
  <c r="H55" i="5"/>
  <c r="G55" i="5"/>
  <c r="P55" i="5" s="1"/>
  <c r="F55" i="5"/>
  <c r="E55" i="5"/>
  <c r="D55" i="5" s="1"/>
  <c r="C55" i="5"/>
  <c r="S54" i="5"/>
  <c r="R54" i="5"/>
  <c r="T54" i="5" s="1"/>
  <c r="O54" i="5"/>
  <c r="L54" i="5"/>
  <c r="I54" i="5"/>
  <c r="Q54" i="5" s="1"/>
  <c r="H54" i="5"/>
  <c r="N54" i="5" s="1"/>
  <c r="G54" i="5"/>
  <c r="P54" i="5" s="1"/>
  <c r="F54" i="5"/>
  <c r="E54" i="5"/>
  <c r="S53" i="5"/>
  <c r="S52" i="5" s="1"/>
  <c r="R53" i="5"/>
  <c r="O53" i="5"/>
  <c r="O52" i="5" s="1"/>
  <c r="L53" i="5"/>
  <c r="I53" i="5"/>
  <c r="Q53" i="5" s="1"/>
  <c r="H53" i="5"/>
  <c r="G53" i="5"/>
  <c r="P53" i="5" s="1"/>
  <c r="F53" i="5"/>
  <c r="F52" i="5" s="1"/>
  <c r="E53" i="5"/>
  <c r="V52" i="5"/>
  <c r="U52" i="5"/>
  <c r="W52" i="5" s="1"/>
  <c r="H52" i="5"/>
  <c r="E52" i="5"/>
  <c r="S51" i="5"/>
  <c r="R51" i="5"/>
  <c r="T51" i="5" s="1"/>
  <c r="P51" i="5"/>
  <c r="O51" i="5"/>
  <c r="L51" i="5"/>
  <c r="J51" i="5" s="1"/>
  <c r="I51" i="5"/>
  <c r="Q51" i="5" s="1"/>
  <c r="H51" i="5"/>
  <c r="N51" i="5" s="1"/>
  <c r="G51" i="5"/>
  <c r="F51" i="5"/>
  <c r="D51" i="5" s="1"/>
  <c r="E51" i="5"/>
  <c r="C51" i="5"/>
  <c r="K51" i="5" s="1"/>
  <c r="S50" i="5"/>
  <c r="R50" i="5"/>
  <c r="T50" i="5" s="1"/>
  <c r="P50" i="5"/>
  <c r="O50" i="5"/>
  <c r="L50" i="5"/>
  <c r="I50" i="5"/>
  <c r="Q50" i="5" s="1"/>
  <c r="H50" i="5"/>
  <c r="N50" i="5" s="1"/>
  <c r="G50" i="5"/>
  <c r="F50" i="5"/>
  <c r="D50" i="5" s="1"/>
  <c r="M50" i="5" s="1"/>
  <c r="E50" i="5"/>
  <c r="S49" i="5"/>
  <c r="R49" i="5"/>
  <c r="T49" i="5" s="1"/>
  <c r="O49" i="5"/>
  <c r="L49" i="5"/>
  <c r="I49" i="5"/>
  <c r="Q49" i="5" s="1"/>
  <c r="H49" i="5"/>
  <c r="G49" i="5"/>
  <c r="P49" i="5" s="1"/>
  <c r="F49" i="5"/>
  <c r="D49" i="5" s="1"/>
  <c r="E49" i="5"/>
  <c r="S48" i="5"/>
  <c r="R48" i="5"/>
  <c r="T48" i="5" s="1"/>
  <c r="O48" i="5"/>
  <c r="L48" i="5"/>
  <c r="J48" i="5" s="1"/>
  <c r="I48" i="5"/>
  <c r="Q48" i="5" s="1"/>
  <c r="H48" i="5"/>
  <c r="G48" i="5"/>
  <c r="P48" i="5" s="1"/>
  <c r="F48" i="5"/>
  <c r="E48" i="5"/>
  <c r="D48" i="5" s="1"/>
  <c r="C48" i="5"/>
  <c r="K48" i="5" s="1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G46" i="5"/>
  <c r="P46" i="5" s="1"/>
  <c r="F46" i="5"/>
  <c r="E46" i="5"/>
  <c r="D46" i="5" s="1"/>
  <c r="S45" i="5"/>
  <c r="R45" i="5"/>
  <c r="T45" i="5" s="1"/>
  <c r="O45" i="5"/>
  <c r="L45" i="5"/>
  <c r="J45" i="5" s="1"/>
  <c r="I45" i="5"/>
  <c r="Q45" i="5" s="1"/>
  <c r="H45" i="5"/>
  <c r="G45" i="5"/>
  <c r="P45" i="5" s="1"/>
  <c r="F45" i="5"/>
  <c r="E45" i="5"/>
  <c r="D45" i="5" s="1"/>
  <c r="C45" i="5"/>
  <c r="K45" i="5" s="1"/>
  <c r="S44" i="5"/>
  <c r="R44" i="5"/>
  <c r="T44" i="5" s="1"/>
  <c r="O44" i="5"/>
  <c r="L44" i="5"/>
  <c r="I44" i="5"/>
  <c r="Q44" i="5" s="1"/>
  <c r="H44" i="5"/>
  <c r="N44" i="5" s="1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D43" i="5" s="1"/>
  <c r="S42" i="5"/>
  <c r="R42" i="5"/>
  <c r="T42" i="5" s="1"/>
  <c r="O42" i="5"/>
  <c r="L42" i="5"/>
  <c r="J42" i="5" s="1"/>
  <c r="I42" i="5"/>
  <c r="Q42" i="5" s="1"/>
  <c r="H42" i="5"/>
  <c r="G42" i="5"/>
  <c r="P42" i="5" s="1"/>
  <c r="F42" i="5"/>
  <c r="E42" i="5"/>
  <c r="D42" i="5" s="1"/>
  <c r="C42" i="5"/>
  <c r="K42" i="5" s="1"/>
  <c r="S41" i="5"/>
  <c r="R41" i="5"/>
  <c r="T41" i="5" s="1"/>
  <c r="O41" i="5"/>
  <c r="L41" i="5"/>
  <c r="I41" i="5"/>
  <c r="Q41" i="5" s="1"/>
  <c r="H41" i="5"/>
  <c r="N41" i="5" s="1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G40" i="5"/>
  <c r="P40" i="5" s="1"/>
  <c r="F40" i="5"/>
  <c r="E40" i="5"/>
  <c r="S39" i="5"/>
  <c r="R39" i="5"/>
  <c r="T39" i="5" s="1"/>
  <c r="O39" i="5"/>
  <c r="L39" i="5"/>
  <c r="J39" i="5" s="1"/>
  <c r="I39" i="5"/>
  <c r="Q39" i="5" s="1"/>
  <c r="H39" i="5"/>
  <c r="G39" i="5"/>
  <c r="P39" i="5" s="1"/>
  <c r="F39" i="5"/>
  <c r="E39" i="5"/>
  <c r="D39" i="5" s="1"/>
  <c r="C39" i="5"/>
  <c r="K39" i="5" s="1"/>
  <c r="S38" i="5"/>
  <c r="R38" i="5"/>
  <c r="T38" i="5" s="1"/>
  <c r="O38" i="5"/>
  <c r="L38" i="5"/>
  <c r="I38" i="5"/>
  <c r="Q38" i="5" s="1"/>
  <c r="H38" i="5"/>
  <c r="N38" i="5" s="1"/>
  <c r="G38" i="5"/>
  <c r="P38" i="5" s="1"/>
  <c r="F38" i="5"/>
  <c r="E38" i="5"/>
  <c r="S37" i="5"/>
  <c r="R37" i="5"/>
  <c r="T37" i="5" s="1"/>
  <c r="O37" i="5"/>
  <c r="L37" i="5"/>
  <c r="I37" i="5"/>
  <c r="Q37" i="5" s="1"/>
  <c r="H37" i="5"/>
  <c r="G37" i="5"/>
  <c r="P37" i="5" s="1"/>
  <c r="F37" i="5"/>
  <c r="F31" i="5" s="1"/>
  <c r="E37" i="5"/>
  <c r="D37" i="5" s="1"/>
  <c r="S36" i="5"/>
  <c r="R36" i="5"/>
  <c r="T36" i="5" s="1"/>
  <c r="O36" i="5"/>
  <c r="L36" i="5"/>
  <c r="J36" i="5" s="1"/>
  <c r="I36" i="5"/>
  <c r="Q36" i="5" s="1"/>
  <c r="H36" i="5"/>
  <c r="G36" i="5"/>
  <c r="P36" i="5" s="1"/>
  <c r="F36" i="5"/>
  <c r="E36" i="5"/>
  <c r="D36" i="5" s="1"/>
  <c r="C36" i="5"/>
  <c r="K36" i="5" s="1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D34" i="5" s="1"/>
  <c r="S33" i="5"/>
  <c r="R33" i="5"/>
  <c r="T33" i="5" s="1"/>
  <c r="O33" i="5"/>
  <c r="L33" i="5"/>
  <c r="I33" i="5"/>
  <c r="Q33" i="5" s="1"/>
  <c r="H33" i="5"/>
  <c r="G33" i="5"/>
  <c r="P33" i="5" s="1"/>
  <c r="F33" i="5"/>
  <c r="E33" i="5"/>
  <c r="D33" i="5" s="1"/>
  <c r="C33" i="5"/>
  <c r="S32" i="5"/>
  <c r="S31" i="5" s="1"/>
  <c r="R32" i="5"/>
  <c r="T32" i="5" s="1"/>
  <c r="O32" i="5"/>
  <c r="L32" i="5"/>
  <c r="I32" i="5"/>
  <c r="Q32" i="5" s="1"/>
  <c r="H32" i="5"/>
  <c r="N32" i="5" s="1"/>
  <c r="G32" i="5"/>
  <c r="P32" i="5" s="1"/>
  <c r="F32" i="5"/>
  <c r="E32" i="5"/>
  <c r="V31" i="5"/>
  <c r="U31" i="5"/>
  <c r="W31" i="5" s="1"/>
  <c r="H31" i="5"/>
  <c r="E31" i="5"/>
  <c r="S30" i="5"/>
  <c r="R30" i="5"/>
  <c r="T30" i="5" s="1"/>
  <c r="P30" i="5"/>
  <c r="O30" i="5"/>
  <c r="L30" i="5"/>
  <c r="J30" i="5" s="1"/>
  <c r="I30" i="5"/>
  <c r="Q30" i="5" s="1"/>
  <c r="H30" i="5"/>
  <c r="G30" i="5"/>
  <c r="F30" i="5"/>
  <c r="D30" i="5" s="1"/>
  <c r="E30" i="5"/>
  <c r="C30" i="5"/>
  <c r="K30" i="5" s="1"/>
  <c r="S29" i="5"/>
  <c r="R29" i="5"/>
  <c r="T29" i="5" s="1"/>
  <c r="P29" i="5"/>
  <c r="O29" i="5"/>
  <c r="L29" i="5"/>
  <c r="J29" i="5" s="1"/>
  <c r="I29" i="5"/>
  <c r="Q29" i="5" s="1"/>
  <c r="H29" i="5"/>
  <c r="G29" i="5"/>
  <c r="F29" i="5"/>
  <c r="D29" i="5" s="1"/>
  <c r="E29" i="5"/>
  <c r="C29" i="5"/>
  <c r="K29" i="5" s="1"/>
  <c r="S28" i="5"/>
  <c r="R28" i="5"/>
  <c r="T28" i="5" s="1"/>
  <c r="O28" i="5"/>
  <c r="L28" i="5"/>
  <c r="I28" i="5"/>
  <c r="Q28" i="5" s="1"/>
  <c r="H28" i="5"/>
  <c r="N28" i="5" s="1"/>
  <c r="G28" i="5"/>
  <c r="P28" i="5" s="1"/>
  <c r="F28" i="5"/>
  <c r="E28" i="5"/>
  <c r="S27" i="5"/>
  <c r="R27" i="5"/>
  <c r="T27" i="5" s="1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J26" i="5" s="1"/>
  <c r="I26" i="5"/>
  <c r="Q26" i="5" s="1"/>
  <c r="H26" i="5"/>
  <c r="G26" i="5"/>
  <c r="P26" i="5" s="1"/>
  <c r="F26" i="5"/>
  <c r="E26" i="5"/>
  <c r="D26" i="5" s="1"/>
  <c r="C26" i="5"/>
  <c r="K26" i="5" s="1"/>
  <c r="S25" i="5"/>
  <c r="R25" i="5"/>
  <c r="T25" i="5" s="1"/>
  <c r="O25" i="5"/>
  <c r="L25" i="5"/>
  <c r="J25" i="5" s="1"/>
  <c r="I25" i="5"/>
  <c r="Q25" i="5" s="1"/>
  <c r="H25" i="5"/>
  <c r="N25" i="5" s="1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T23" i="5" s="1"/>
  <c r="O23" i="5"/>
  <c r="L23" i="5"/>
  <c r="J23" i="5" s="1"/>
  <c r="I23" i="5"/>
  <c r="Q23" i="5" s="1"/>
  <c r="H23" i="5"/>
  <c r="G23" i="5"/>
  <c r="P23" i="5" s="1"/>
  <c r="F23" i="5"/>
  <c r="E23" i="5"/>
  <c r="D23" i="5" s="1"/>
  <c r="C23" i="5"/>
  <c r="K23" i="5" s="1"/>
  <c r="S22" i="5"/>
  <c r="R22" i="5"/>
  <c r="T22" i="5" s="1"/>
  <c r="O22" i="5"/>
  <c r="L22" i="5"/>
  <c r="J22" i="5" s="1"/>
  <c r="I22" i="5"/>
  <c r="Q22" i="5" s="1"/>
  <c r="H22" i="5"/>
  <c r="N22" i="5" s="1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D21" i="5" s="1"/>
  <c r="S20" i="5"/>
  <c r="R20" i="5"/>
  <c r="T20" i="5" s="1"/>
  <c r="O20" i="5"/>
  <c r="L20" i="5"/>
  <c r="J20" i="5" s="1"/>
  <c r="I20" i="5"/>
  <c r="Q20" i="5" s="1"/>
  <c r="H20" i="5"/>
  <c r="G20" i="5"/>
  <c r="P20" i="5" s="1"/>
  <c r="F20" i="5"/>
  <c r="E20" i="5"/>
  <c r="D20" i="5" s="1"/>
  <c r="C20" i="5"/>
  <c r="K20" i="5" s="1"/>
  <c r="S19" i="5"/>
  <c r="R19" i="5"/>
  <c r="T19" i="5" s="1"/>
  <c r="O19" i="5"/>
  <c r="L19" i="5"/>
  <c r="J19" i="5" s="1"/>
  <c r="I19" i="5"/>
  <c r="Q19" i="5" s="1"/>
  <c r="H19" i="5"/>
  <c r="N19" i="5" s="1"/>
  <c r="G19" i="5"/>
  <c r="P19" i="5" s="1"/>
  <c r="F19" i="5"/>
  <c r="E19" i="5"/>
  <c r="S18" i="5"/>
  <c r="R18" i="5"/>
  <c r="T18" i="5" s="1"/>
  <c r="O18" i="5"/>
  <c r="L18" i="5"/>
  <c r="I18" i="5"/>
  <c r="Q18" i="5" s="1"/>
  <c r="H18" i="5"/>
  <c r="G18" i="5"/>
  <c r="P18" i="5" s="1"/>
  <c r="F18" i="5"/>
  <c r="E18" i="5"/>
  <c r="S17" i="5"/>
  <c r="R17" i="5"/>
  <c r="T17" i="5" s="1"/>
  <c r="O17" i="5"/>
  <c r="L17" i="5"/>
  <c r="J17" i="5" s="1"/>
  <c r="I17" i="5"/>
  <c r="Q17" i="5" s="1"/>
  <c r="H17" i="5"/>
  <c r="G17" i="5"/>
  <c r="P17" i="5" s="1"/>
  <c r="F17" i="5"/>
  <c r="E17" i="5"/>
  <c r="D17" i="5" s="1"/>
  <c r="C17" i="5"/>
  <c r="K17" i="5" s="1"/>
  <c r="S16" i="5"/>
  <c r="R16" i="5"/>
  <c r="T16" i="5" s="1"/>
  <c r="O16" i="5"/>
  <c r="L16" i="5"/>
  <c r="J16" i="5" s="1"/>
  <c r="I16" i="5"/>
  <c r="Q16" i="5" s="1"/>
  <c r="H16" i="5"/>
  <c r="N16" i="5" s="1"/>
  <c r="G16" i="5"/>
  <c r="P16" i="5" s="1"/>
  <c r="F16" i="5"/>
  <c r="E16" i="5"/>
  <c r="S15" i="5"/>
  <c r="R15" i="5"/>
  <c r="T15" i="5" s="1"/>
  <c r="O15" i="5"/>
  <c r="L15" i="5"/>
  <c r="I15" i="5"/>
  <c r="Q15" i="5" s="1"/>
  <c r="H15" i="5"/>
  <c r="G15" i="5"/>
  <c r="P15" i="5" s="1"/>
  <c r="F15" i="5"/>
  <c r="F13" i="5" s="1"/>
  <c r="E15" i="5"/>
  <c r="S14" i="5"/>
  <c r="S13" i="5" s="1"/>
  <c r="R14" i="5"/>
  <c r="T14" i="5" s="1"/>
  <c r="O14" i="5"/>
  <c r="L14" i="5"/>
  <c r="I14" i="5"/>
  <c r="H14" i="5"/>
  <c r="G14" i="5"/>
  <c r="P14" i="5" s="1"/>
  <c r="F14" i="5"/>
  <c r="E14" i="5"/>
  <c r="D14" i="5" s="1"/>
  <c r="C14" i="5"/>
  <c r="V13" i="5"/>
  <c r="U13" i="5"/>
  <c r="H13" i="5"/>
  <c r="H10" i="5"/>
  <c r="H9" i="5" s="1"/>
  <c r="E10" i="5"/>
  <c r="W9" i="5"/>
  <c r="E9" i="5"/>
  <c r="V8" i="5"/>
  <c r="V7" i="5" s="1"/>
  <c r="S8" i="5"/>
  <c r="S7" i="5" s="1"/>
  <c r="H8" i="5"/>
  <c r="O106" i="4"/>
  <c r="L106" i="4"/>
  <c r="J106" i="4"/>
  <c r="I106" i="4"/>
  <c r="Q106" i="4" s="1"/>
  <c r="H106" i="4"/>
  <c r="N106" i="4" s="1"/>
  <c r="G106" i="4"/>
  <c r="P106" i="4" s="1"/>
  <c r="F106" i="4"/>
  <c r="E106" i="4"/>
  <c r="D106" i="4"/>
  <c r="Q105" i="4"/>
  <c r="O105" i="4"/>
  <c r="L105" i="4"/>
  <c r="J105" i="4"/>
  <c r="J89" i="4" s="1"/>
  <c r="I105" i="4"/>
  <c r="H105" i="4"/>
  <c r="N105" i="4" s="1"/>
  <c r="G105" i="4"/>
  <c r="P105" i="4" s="1"/>
  <c r="F105" i="4"/>
  <c r="E105" i="4"/>
  <c r="D105" i="4"/>
  <c r="P104" i="4"/>
  <c r="O104" i="4"/>
  <c r="L104" i="4"/>
  <c r="J104" i="4"/>
  <c r="I104" i="4"/>
  <c r="Q104" i="4" s="1"/>
  <c r="H104" i="4"/>
  <c r="N104" i="4" s="1"/>
  <c r="G104" i="4"/>
  <c r="F104" i="4"/>
  <c r="E104" i="4"/>
  <c r="D104" i="4"/>
  <c r="Q103" i="4"/>
  <c r="P103" i="4"/>
  <c r="O103" i="4"/>
  <c r="L103" i="4"/>
  <c r="J103" i="4"/>
  <c r="I103" i="4"/>
  <c r="H103" i="4"/>
  <c r="N103" i="4" s="1"/>
  <c r="G103" i="4"/>
  <c r="F103" i="4"/>
  <c r="E103" i="4"/>
  <c r="D103" i="4"/>
  <c r="P102" i="4"/>
  <c r="O102" i="4"/>
  <c r="L102" i="4"/>
  <c r="J102" i="4"/>
  <c r="I102" i="4"/>
  <c r="Q102" i="4" s="1"/>
  <c r="H102" i="4"/>
  <c r="N102" i="4" s="1"/>
  <c r="G102" i="4"/>
  <c r="F102" i="4"/>
  <c r="E102" i="4"/>
  <c r="D102" i="4"/>
  <c r="Q101" i="4"/>
  <c r="P101" i="4"/>
  <c r="O101" i="4"/>
  <c r="L101" i="4"/>
  <c r="J101" i="4"/>
  <c r="I101" i="4"/>
  <c r="H101" i="4"/>
  <c r="N101" i="4" s="1"/>
  <c r="G101" i="4"/>
  <c r="F101" i="4"/>
  <c r="E101" i="4"/>
  <c r="D101" i="4"/>
  <c r="P100" i="4"/>
  <c r="O100" i="4"/>
  <c r="M100" i="4"/>
  <c r="L100" i="4"/>
  <c r="J100" i="4"/>
  <c r="I100" i="4"/>
  <c r="Q100" i="4" s="1"/>
  <c r="H100" i="4"/>
  <c r="N100" i="4" s="1"/>
  <c r="G100" i="4"/>
  <c r="F100" i="4"/>
  <c r="E100" i="4"/>
  <c r="D100" i="4"/>
  <c r="Q99" i="4"/>
  <c r="P99" i="4"/>
  <c r="O99" i="4"/>
  <c r="M99" i="4"/>
  <c r="L99" i="4"/>
  <c r="J99" i="4"/>
  <c r="I99" i="4"/>
  <c r="H99" i="4"/>
  <c r="N99" i="4" s="1"/>
  <c r="G99" i="4"/>
  <c r="F99" i="4"/>
  <c r="E99" i="4"/>
  <c r="D99" i="4"/>
  <c r="O98" i="4"/>
  <c r="M98" i="4"/>
  <c r="L98" i="4"/>
  <c r="J98" i="4"/>
  <c r="I98" i="4"/>
  <c r="Q98" i="4" s="1"/>
  <c r="H98" i="4"/>
  <c r="N98" i="4" s="1"/>
  <c r="G98" i="4"/>
  <c r="P98" i="4" s="1"/>
  <c r="F98" i="4"/>
  <c r="E98" i="4"/>
  <c r="D98" i="4"/>
  <c r="Q97" i="4"/>
  <c r="O97" i="4"/>
  <c r="M97" i="4"/>
  <c r="L97" i="4"/>
  <c r="J97" i="4"/>
  <c r="I97" i="4"/>
  <c r="H97" i="4"/>
  <c r="N97" i="4" s="1"/>
  <c r="G97" i="4"/>
  <c r="F97" i="4"/>
  <c r="E97" i="4"/>
  <c r="D97" i="4"/>
  <c r="O96" i="4"/>
  <c r="M96" i="4"/>
  <c r="L96" i="4"/>
  <c r="J96" i="4"/>
  <c r="I96" i="4"/>
  <c r="Q96" i="4" s="1"/>
  <c r="H96" i="4"/>
  <c r="N96" i="4" s="1"/>
  <c r="G96" i="4"/>
  <c r="P96" i="4" s="1"/>
  <c r="F96" i="4"/>
  <c r="E96" i="4"/>
  <c r="D96" i="4"/>
  <c r="C96" i="4" s="1"/>
  <c r="K96" i="4" s="1"/>
  <c r="Q95" i="4"/>
  <c r="O95" i="4"/>
  <c r="M95" i="4"/>
  <c r="L95" i="4"/>
  <c r="J95" i="4"/>
  <c r="I95" i="4"/>
  <c r="H95" i="4"/>
  <c r="N95" i="4" s="1"/>
  <c r="G95" i="4"/>
  <c r="P95" i="4" s="1"/>
  <c r="F95" i="4"/>
  <c r="E95" i="4"/>
  <c r="D95" i="4"/>
  <c r="C95" i="4" s="1"/>
  <c r="K95" i="4" s="1"/>
  <c r="Q94" i="4"/>
  <c r="O94" i="4"/>
  <c r="M94" i="4"/>
  <c r="L94" i="4"/>
  <c r="J94" i="4"/>
  <c r="I94" i="4"/>
  <c r="H94" i="4"/>
  <c r="N94" i="4" s="1"/>
  <c r="G94" i="4"/>
  <c r="P94" i="4" s="1"/>
  <c r="F94" i="4"/>
  <c r="E94" i="4"/>
  <c r="D94" i="4"/>
  <c r="C94" i="4" s="1"/>
  <c r="K94" i="4" s="1"/>
  <c r="Q93" i="4"/>
  <c r="O93" i="4"/>
  <c r="M93" i="4"/>
  <c r="L93" i="4"/>
  <c r="J93" i="4"/>
  <c r="I93" i="4"/>
  <c r="H93" i="4"/>
  <c r="N93" i="4" s="1"/>
  <c r="G93" i="4"/>
  <c r="P93" i="4" s="1"/>
  <c r="F93" i="4"/>
  <c r="E93" i="4"/>
  <c r="D93" i="4"/>
  <c r="C93" i="4" s="1"/>
  <c r="K93" i="4" s="1"/>
  <c r="Q92" i="4"/>
  <c r="O92" i="4"/>
  <c r="M92" i="4"/>
  <c r="L92" i="4"/>
  <c r="J92" i="4"/>
  <c r="I92" i="4"/>
  <c r="H92" i="4"/>
  <c r="N92" i="4" s="1"/>
  <c r="G92" i="4"/>
  <c r="P92" i="4" s="1"/>
  <c r="F92" i="4"/>
  <c r="E92" i="4"/>
  <c r="D92" i="4"/>
  <c r="C92" i="4" s="1"/>
  <c r="K92" i="4" s="1"/>
  <c r="Q91" i="4"/>
  <c r="O91" i="4"/>
  <c r="M91" i="4"/>
  <c r="L91" i="4"/>
  <c r="J91" i="4"/>
  <c r="I91" i="4"/>
  <c r="H91" i="4"/>
  <c r="N91" i="4" s="1"/>
  <c r="G91" i="4"/>
  <c r="P91" i="4" s="1"/>
  <c r="F91" i="4"/>
  <c r="E91" i="4"/>
  <c r="D91" i="4"/>
  <c r="C91" i="4" s="1"/>
  <c r="K91" i="4" s="1"/>
  <c r="Q90" i="4"/>
  <c r="O90" i="4"/>
  <c r="M90" i="4"/>
  <c r="L90" i="4"/>
  <c r="J90" i="4"/>
  <c r="I90" i="4"/>
  <c r="H90" i="4"/>
  <c r="N90" i="4" s="1"/>
  <c r="G90" i="4"/>
  <c r="P90" i="4" s="1"/>
  <c r="F90" i="4"/>
  <c r="E90" i="4"/>
  <c r="D90" i="4"/>
  <c r="C90" i="4" s="1"/>
  <c r="O89" i="4"/>
  <c r="L89" i="4"/>
  <c r="I89" i="4"/>
  <c r="H89" i="4"/>
  <c r="F89" i="4"/>
  <c r="E89" i="4"/>
  <c r="S88" i="4"/>
  <c r="T88" i="4" s="1"/>
  <c r="R88" i="4"/>
  <c r="O88" i="4"/>
  <c r="M88" i="4"/>
  <c r="L88" i="4"/>
  <c r="J88" i="4"/>
  <c r="I88" i="4"/>
  <c r="Q88" i="4" s="1"/>
  <c r="H88" i="4"/>
  <c r="N88" i="4" s="1"/>
  <c r="G88" i="4"/>
  <c r="P88" i="4" s="1"/>
  <c r="F88" i="4"/>
  <c r="E88" i="4"/>
  <c r="D88" i="4"/>
  <c r="C88" i="4" s="1"/>
  <c r="K88" i="4" s="1"/>
  <c r="S87" i="4"/>
  <c r="R87" i="4"/>
  <c r="T87" i="4" s="1"/>
  <c r="O87" i="4"/>
  <c r="M87" i="4"/>
  <c r="L87" i="4"/>
  <c r="J87" i="4"/>
  <c r="I87" i="4"/>
  <c r="Q87" i="4" s="1"/>
  <c r="H87" i="4"/>
  <c r="N87" i="4" s="1"/>
  <c r="G87" i="4"/>
  <c r="P87" i="4" s="1"/>
  <c r="F87" i="4"/>
  <c r="E87" i="4"/>
  <c r="D87" i="4"/>
  <c r="S86" i="4"/>
  <c r="R86" i="4"/>
  <c r="T86" i="4" s="1"/>
  <c r="O86" i="4"/>
  <c r="M86" i="4"/>
  <c r="L86" i="4"/>
  <c r="J86" i="4"/>
  <c r="I86" i="4"/>
  <c r="Q86" i="4" s="1"/>
  <c r="H86" i="4"/>
  <c r="N86" i="4" s="1"/>
  <c r="G86" i="4"/>
  <c r="P86" i="4" s="1"/>
  <c r="F86" i="4"/>
  <c r="E86" i="4"/>
  <c r="D86" i="4"/>
  <c r="S85" i="4"/>
  <c r="R85" i="4"/>
  <c r="T85" i="4" s="1"/>
  <c r="P85" i="4"/>
  <c r="O85" i="4"/>
  <c r="L85" i="4"/>
  <c r="J85" i="4"/>
  <c r="I85" i="4"/>
  <c r="Q85" i="4" s="1"/>
  <c r="H85" i="4"/>
  <c r="N85" i="4" s="1"/>
  <c r="G85" i="4"/>
  <c r="F85" i="4"/>
  <c r="E85" i="4"/>
  <c r="D85" i="4"/>
  <c r="S84" i="4"/>
  <c r="R84" i="4"/>
  <c r="T84" i="4" s="1"/>
  <c r="P84" i="4"/>
  <c r="O84" i="4"/>
  <c r="L84" i="4"/>
  <c r="J84" i="4"/>
  <c r="I84" i="4"/>
  <c r="Q84" i="4" s="1"/>
  <c r="H84" i="4"/>
  <c r="N84" i="4" s="1"/>
  <c r="G84" i="4"/>
  <c r="F84" i="4"/>
  <c r="E84" i="4"/>
  <c r="D84" i="4"/>
  <c r="S83" i="4"/>
  <c r="R83" i="4"/>
  <c r="T83" i="4" s="1"/>
  <c r="O83" i="4"/>
  <c r="L83" i="4"/>
  <c r="J83" i="4"/>
  <c r="I83" i="4"/>
  <c r="Q83" i="4" s="1"/>
  <c r="H83" i="4"/>
  <c r="N83" i="4" s="1"/>
  <c r="G83" i="4"/>
  <c r="P83" i="4" s="1"/>
  <c r="F83" i="4"/>
  <c r="E83" i="4"/>
  <c r="D83" i="4"/>
  <c r="S82" i="4"/>
  <c r="R82" i="4"/>
  <c r="T82" i="4" s="1"/>
  <c r="O82" i="4"/>
  <c r="M82" i="4"/>
  <c r="L82" i="4"/>
  <c r="J82" i="4"/>
  <c r="I82" i="4"/>
  <c r="Q82" i="4" s="1"/>
  <c r="H82" i="4"/>
  <c r="N82" i="4" s="1"/>
  <c r="G82" i="4"/>
  <c r="P82" i="4" s="1"/>
  <c r="F82" i="4"/>
  <c r="E82" i="4"/>
  <c r="D82" i="4"/>
  <c r="C82" i="4" s="1"/>
  <c r="K82" i="4" s="1"/>
  <c r="S81" i="4"/>
  <c r="R81" i="4"/>
  <c r="T81" i="4" s="1"/>
  <c r="O81" i="4"/>
  <c r="M81" i="4"/>
  <c r="L81" i="4"/>
  <c r="J81" i="4"/>
  <c r="I81" i="4"/>
  <c r="Q81" i="4" s="1"/>
  <c r="H81" i="4"/>
  <c r="N81" i="4" s="1"/>
  <c r="G81" i="4"/>
  <c r="P81" i="4" s="1"/>
  <c r="F81" i="4"/>
  <c r="E81" i="4"/>
  <c r="D81" i="4"/>
  <c r="S80" i="4"/>
  <c r="R80" i="4"/>
  <c r="T80" i="4" s="1"/>
  <c r="O80" i="4"/>
  <c r="M80" i="4"/>
  <c r="L80" i="4"/>
  <c r="J80" i="4"/>
  <c r="I80" i="4"/>
  <c r="Q80" i="4" s="1"/>
  <c r="H80" i="4"/>
  <c r="N80" i="4" s="1"/>
  <c r="G80" i="4"/>
  <c r="P80" i="4" s="1"/>
  <c r="F80" i="4"/>
  <c r="E80" i="4"/>
  <c r="D80" i="4"/>
  <c r="S79" i="4"/>
  <c r="R79" i="4"/>
  <c r="T79" i="4" s="1"/>
  <c r="P79" i="4"/>
  <c r="O79" i="4"/>
  <c r="L79" i="4"/>
  <c r="J79" i="4"/>
  <c r="I79" i="4"/>
  <c r="Q79" i="4" s="1"/>
  <c r="H79" i="4"/>
  <c r="N79" i="4" s="1"/>
  <c r="G79" i="4"/>
  <c r="F79" i="4"/>
  <c r="E79" i="4"/>
  <c r="D79" i="4"/>
  <c r="S78" i="4"/>
  <c r="R78" i="4"/>
  <c r="T78" i="4" s="1"/>
  <c r="P78" i="4"/>
  <c r="O78" i="4"/>
  <c r="L78" i="4"/>
  <c r="J78" i="4"/>
  <c r="I78" i="4"/>
  <c r="Q78" i="4" s="1"/>
  <c r="H78" i="4"/>
  <c r="N78" i="4" s="1"/>
  <c r="G78" i="4"/>
  <c r="F78" i="4"/>
  <c r="E78" i="4"/>
  <c r="D78" i="4"/>
  <c r="S77" i="4"/>
  <c r="R77" i="4"/>
  <c r="T77" i="4" s="1"/>
  <c r="O77" i="4"/>
  <c r="L77" i="4"/>
  <c r="J77" i="4"/>
  <c r="I77" i="4"/>
  <c r="Q77" i="4" s="1"/>
  <c r="H77" i="4"/>
  <c r="N77" i="4" s="1"/>
  <c r="G77" i="4"/>
  <c r="P77" i="4" s="1"/>
  <c r="F77" i="4"/>
  <c r="E77" i="4"/>
  <c r="D77" i="4"/>
  <c r="S76" i="4"/>
  <c r="S74" i="4" s="1"/>
  <c r="R76" i="4"/>
  <c r="O76" i="4"/>
  <c r="M76" i="4"/>
  <c r="L76" i="4"/>
  <c r="J76" i="4"/>
  <c r="I76" i="4"/>
  <c r="Q76" i="4" s="1"/>
  <c r="H76" i="4"/>
  <c r="N76" i="4" s="1"/>
  <c r="G76" i="4"/>
  <c r="P76" i="4" s="1"/>
  <c r="F76" i="4"/>
  <c r="E76" i="4"/>
  <c r="D76" i="4"/>
  <c r="C76" i="4" s="1"/>
  <c r="K76" i="4" s="1"/>
  <c r="S75" i="4"/>
  <c r="R75" i="4"/>
  <c r="T75" i="4" s="1"/>
  <c r="O75" i="4"/>
  <c r="M75" i="4"/>
  <c r="L75" i="4"/>
  <c r="J75" i="4"/>
  <c r="I75" i="4"/>
  <c r="Q75" i="4" s="1"/>
  <c r="H75" i="4"/>
  <c r="N75" i="4" s="1"/>
  <c r="G75" i="4"/>
  <c r="P75" i="4" s="1"/>
  <c r="F75" i="4"/>
  <c r="E75" i="4"/>
  <c r="D75" i="4"/>
  <c r="R74" i="4"/>
  <c r="O74" i="4"/>
  <c r="L74" i="4"/>
  <c r="J74" i="4"/>
  <c r="I74" i="4"/>
  <c r="Q74" i="4" s="1"/>
  <c r="H74" i="4"/>
  <c r="N74" i="4" s="1"/>
  <c r="F74" i="4"/>
  <c r="E74" i="4"/>
  <c r="S73" i="4"/>
  <c r="R73" i="4"/>
  <c r="T73" i="4" s="1"/>
  <c r="P73" i="4"/>
  <c r="O73" i="4"/>
  <c r="L73" i="4"/>
  <c r="J73" i="4"/>
  <c r="I73" i="4"/>
  <c r="Q73" i="4" s="1"/>
  <c r="H73" i="4"/>
  <c r="N73" i="4" s="1"/>
  <c r="G73" i="4"/>
  <c r="F73" i="4"/>
  <c r="E73" i="4"/>
  <c r="D73" i="4"/>
  <c r="S72" i="4"/>
  <c r="R72" i="4"/>
  <c r="P72" i="4"/>
  <c r="O72" i="4"/>
  <c r="L72" i="4"/>
  <c r="J72" i="4"/>
  <c r="I72" i="4"/>
  <c r="Q72" i="4" s="1"/>
  <c r="H72" i="4"/>
  <c r="N72" i="4" s="1"/>
  <c r="G72" i="4"/>
  <c r="F72" i="4"/>
  <c r="E72" i="4"/>
  <c r="D72" i="4"/>
  <c r="S71" i="4"/>
  <c r="R71" i="4"/>
  <c r="T71" i="4" s="1"/>
  <c r="O71" i="4"/>
  <c r="L71" i="4"/>
  <c r="J71" i="4"/>
  <c r="I71" i="4"/>
  <c r="Q71" i="4" s="1"/>
  <c r="H71" i="4"/>
  <c r="N71" i="4" s="1"/>
  <c r="G71" i="4"/>
  <c r="P71" i="4" s="1"/>
  <c r="F71" i="4"/>
  <c r="E71" i="4"/>
  <c r="D71" i="4"/>
  <c r="S70" i="4"/>
  <c r="R70" i="4"/>
  <c r="O70" i="4"/>
  <c r="M70" i="4"/>
  <c r="L70" i="4"/>
  <c r="J70" i="4"/>
  <c r="I70" i="4"/>
  <c r="Q70" i="4" s="1"/>
  <c r="H70" i="4"/>
  <c r="N70" i="4" s="1"/>
  <c r="G70" i="4"/>
  <c r="P70" i="4" s="1"/>
  <c r="F70" i="4"/>
  <c r="E70" i="4"/>
  <c r="D70" i="4"/>
  <c r="C70" i="4" s="1"/>
  <c r="K70" i="4" s="1"/>
  <c r="S69" i="4"/>
  <c r="R69" i="4"/>
  <c r="T69" i="4" s="1"/>
  <c r="O69" i="4"/>
  <c r="M69" i="4"/>
  <c r="L69" i="4"/>
  <c r="J69" i="4"/>
  <c r="I69" i="4"/>
  <c r="Q69" i="4" s="1"/>
  <c r="H69" i="4"/>
  <c r="N69" i="4" s="1"/>
  <c r="G69" i="4"/>
  <c r="P69" i="4" s="1"/>
  <c r="F69" i="4"/>
  <c r="E69" i="4"/>
  <c r="D69" i="4"/>
  <c r="S68" i="4"/>
  <c r="R68" i="4"/>
  <c r="P68" i="4"/>
  <c r="O68" i="4"/>
  <c r="M68" i="4"/>
  <c r="L68" i="4"/>
  <c r="J68" i="4"/>
  <c r="I68" i="4"/>
  <c r="Q68" i="4" s="1"/>
  <c r="H68" i="4"/>
  <c r="N68" i="4" s="1"/>
  <c r="G68" i="4"/>
  <c r="F68" i="4"/>
  <c r="E68" i="4"/>
  <c r="D68" i="4"/>
  <c r="S67" i="4"/>
  <c r="R67" i="4"/>
  <c r="T67" i="4" s="1"/>
  <c r="P67" i="4"/>
  <c r="O67" i="4"/>
  <c r="L67" i="4"/>
  <c r="J67" i="4"/>
  <c r="I67" i="4"/>
  <c r="Q67" i="4" s="1"/>
  <c r="H67" i="4"/>
  <c r="N67" i="4" s="1"/>
  <c r="G67" i="4"/>
  <c r="F67" i="4"/>
  <c r="E67" i="4"/>
  <c r="D67" i="4"/>
  <c r="S66" i="4"/>
  <c r="R66" i="4"/>
  <c r="T66" i="4" s="1"/>
  <c r="P66" i="4"/>
  <c r="O66" i="4"/>
  <c r="L66" i="4"/>
  <c r="J66" i="4"/>
  <c r="I66" i="4"/>
  <c r="Q66" i="4" s="1"/>
  <c r="H66" i="4"/>
  <c r="N66" i="4" s="1"/>
  <c r="G66" i="4"/>
  <c r="F66" i="4"/>
  <c r="E66" i="4"/>
  <c r="D66" i="4"/>
  <c r="S65" i="4"/>
  <c r="R65" i="4"/>
  <c r="O65" i="4"/>
  <c r="L65" i="4"/>
  <c r="J65" i="4"/>
  <c r="I65" i="4"/>
  <c r="Q65" i="4" s="1"/>
  <c r="H65" i="4"/>
  <c r="N65" i="4" s="1"/>
  <c r="G65" i="4"/>
  <c r="P65" i="4" s="1"/>
  <c r="F65" i="4"/>
  <c r="E65" i="4"/>
  <c r="D65" i="4"/>
  <c r="S64" i="4"/>
  <c r="R64" i="4"/>
  <c r="O64" i="4"/>
  <c r="M64" i="4"/>
  <c r="L64" i="4"/>
  <c r="J64" i="4"/>
  <c r="I64" i="4"/>
  <c r="Q64" i="4" s="1"/>
  <c r="H64" i="4"/>
  <c r="N64" i="4" s="1"/>
  <c r="G64" i="4"/>
  <c r="P64" i="4" s="1"/>
  <c r="F64" i="4"/>
  <c r="E64" i="4"/>
  <c r="D64" i="4"/>
  <c r="C64" i="4" s="1"/>
  <c r="K64" i="4" s="1"/>
  <c r="S63" i="4"/>
  <c r="R63" i="4"/>
  <c r="T63" i="4" s="1"/>
  <c r="O63" i="4"/>
  <c r="M63" i="4"/>
  <c r="L63" i="4"/>
  <c r="J63" i="4"/>
  <c r="I63" i="4"/>
  <c r="Q63" i="4" s="1"/>
  <c r="H63" i="4"/>
  <c r="N63" i="4" s="1"/>
  <c r="G63" i="4"/>
  <c r="P63" i="4" s="1"/>
  <c r="F63" i="4"/>
  <c r="E63" i="4"/>
  <c r="D63" i="4"/>
  <c r="S62" i="4"/>
  <c r="R62" i="4"/>
  <c r="P62" i="4"/>
  <c r="O62" i="4"/>
  <c r="M62" i="4"/>
  <c r="L62" i="4"/>
  <c r="J62" i="4"/>
  <c r="I62" i="4"/>
  <c r="Q62" i="4" s="1"/>
  <c r="H62" i="4"/>
  <c r="N62" i="4" s="1"/>
  <c r="G62" i="4"/>
  <c r="F62" i="4"/>
  <c r="E62" i="4"/>
  <c r="D62" i="4"/>
  <c r="S61" i="4"/>
  <c r="R61" i="4"/>
  <c r="T61" i="4" s="1"/>
  <c r="P61" i="4"/>
  <c r="O61" i="4"/>
  <c r="L61" i="4"/>
  <c r="J61" i="4"/>
  <c r="I61" i="4"/>
  <c r="Q61" i="4" s="1"/>
  <c r="H61" i="4"/>
  <c r="N61" i="4" s="1"/>
  <c r="G61" i="4"/>
  <c r="F61" i="4"/>
  <c r="E61" i="4"/>
  <c r="D61" i="4"/>
  <c r="S60" i="4"/>
  <c r="R60" i="4"/>
  <c r="T60" i="4" s="1"/>
  <c r="P60" i="4"/>
  <c r="O60" i="4"/>
  <c r="L60" i="4"/>
  <c r="J60" i="4"/>
  <c r="I60" i="4"/>
  <c r="Q60" i="4" s="1"/>
  <c r="H60" i="4"/>
  <c r="N60" i="4" s="1"/>
  <c r="G60" i="4"/>
  <c r="F60" i="4"/>
  <c r="E60" i="4"/>
  <c r="D60" i="4"/>
  <c r="S59" i="4"/>
  <c r="R59" i="4"/>
  <c r="T59" i="4" s="1"/>
  <c r="O59" i="4"/>
  <c r="L59" i="4"/>
  <c r="J59" i="4"/>
  <c r="I59" i="4"/>
  <c r="Q59" i="4" s="1"/>
  <c r="H59" i="4"/>
  <c r="N59" i="4" s="1"/>
  <c r="G59" i="4"/>
  <c r="P59" i="4" s="1"/>
  <c r="F59" i="4"/>
  <c r="E59" i="4"/>
  <c r="D59" i="4"/>
  <c r="S58" i="4"/>
  <c r="R58" i="4"/>
  <c r="T58" i="4" s="1"/>
  <c r="O58" i="4"/>
  <c r="M58" i="4"/>
  <c r="L58" i="4"/>
  <c r="J58" i="4"/>
  <c r="I58" i="4"/>
  <c r="Q58" i="4" s="1"/>
  <c r="H58" i="4"/>
  <c r="N58" i="4" s="1"/>
  <c r="G58" i="4"/>
  <c r="P58" i="4" s="1"/>
  <c r="F58" i="4"/>
  <c r="E58" i="4"/>
  <c r="D58" i="4"/>
  <c r="C58" i="4" s="1"/>
  <c r="K58" i="4" s="1"/>
  <c r="S57" i="4"/>
  <c r="R57" i="4"/>
  <c r="T57" i="4" s="1"/>
  <c r="O57" i="4"/>
  <c r="M57" i="4"/>
  <c r="L57" i="4"/>
  <c r="J57" i="4"/>
  <c r="I57" i="4"/>
  <c r="Q57" i="4" s="1"/>
  <c r="H57" i="4"/>
  <c r="N57" i="4" s="1"/>
  <c r="G57" i="4"/>
  <c r="P57" i="4" s="1"/>
  <c r="F57" i="4"/>
  <c r="E57" i="4"/>
  <c r="D57" i="4"/>
  <c r="S56" i="4"/>
  <c r="R56" i="4"/>
  <c r="T56" i="4" s="1"/>
  <c r="P56" i="4"/>
  <c r="O56" i="4"/>
  <c r="M56" i="4"/>
  <c r="L56" i="4"/>
  <c r="J56" i="4"/>
  <c r="I56" i="4"/>
  <c r="Q56" i="4" s="1"/>
  <c r="H56" i="4"/>
  <c r="N56" i="4" s="1"/>
  <c r="G56" i="4"/>
  <c r="F56" i="4"/>
  <c r="E56" i="4"/>
  <c r="D56" i="4"/>
  <c r="S55" i="4"/>
  <c r="R55" i="4"/>
  <c r="T55" i="4" s="1"/>
  <c r="P55" i="4"/>
  <c r="O55" i="4"/>
  <c r="L55" i="4"/>
  <c r="J55" i="4" s="1"/>
  <c r="I55" i="4"/>
  <c r="Q55" i="4" s="1"/>
  <c r="H55" i="4"/>
  <c r="N55" i="4" s="1"/>
  <c r="G55" i="4"/>
  <c r="G52" i="4" s="1"/>
  <c r="F55" i="4"/>
  <c r="E55" i="4"/>
  <c r="D55" i="4"/>
  <c r="S54" i="4"/>
  <c r="R54" i="4"/>
  <c r="P54" i="4"/>
  <c r="O54" i="4"/>
  <c r="L54" i="4"/>
  <c r="J54" i="4"/>
  <c r="I54" i="4"/>
  <c r="H54" i="4"/>
  <c r="N54" i="4" s="1"/>
  <c r="G54" i="4"/>
  <c r="F54" i="4"/>
  <c r="E54" i="4"/>
  <c r="D54" i="4"/>
  <c r="M54" i="4" s="1"/>
  <c r="C54" i="4"/>
  <c r="K54" i="4" s="1"/>
  <c r="S53" i="4"/>
  <c r="S52" i="4" s="1"/>
  <c r="S8" i="4" s="1"/>
  <c r="S7" i="4" s="1"/>
  <c r="R53" i="4"/>
  <c r="O53" i="4"/>
  <c r="L53" i="4"/>
  <c r="I53" i="4"/>
  <c r="Q53" i="4" s="1"/>
  <c r="H53" i="4"/>
  <c r="N53" i="4" s="1"/>
  <c r="G53" i="4"/>
  <c r="P53" i="4" s="1"/>
  <c r="F53" i="4"/>
  <c r="E53" i="4"/>
  <c r="P52" i="4"/>
  <c r="O52" i="4"/>
  <c r="H52" i="4"/>
  <c r="N52" i="4" s="1"/>
  <c r="E52" i="4"/>
  <c r="S51" i="4"/>
  <c r="R51" i="4"/>
  <c r="T51" i="4" s="1"/>
  <c r="Q51" i="4"/>
  <c r="P51" i="4"/>
  <c r="O51" i="4"/>
  <c r="L51" i="4"/>
  <c r="J51" i="4"/>
  <c r="I51" i="4"/>
  <c r="H51" i="4"/>
  <c r="N51" i="4" s="1"/>
  <c r="G51" i="4"/>
  <c r="F51" i="4"/>
  <c r="E51" i="4"/>
  <c r="D51" i="4" s="1"/>
  <c r="S50" i="4"/>
  <c r="R50" i="4"/>
  <c r="T50" i="4" s="1"/>
  <c r="Q50" i="4"/>
  <c r="P50" i="4"/>
  <c r="O50" i="4"/>
  <c r="L50" i="4"/>
  <c r="J50" i="4"/>
  <c r="I50" i="4"/>
  <c r="H50" i="4"/>
  <c r="N50" i="4" s="1"/>
  <c r="G50" i="4"/>
  <c r="F50" i="4"/>
  <c r="E50" i="4"/>
  <c r="D50" i="4" s="1"/>
  <c r="S49" i="4"/>
  <c r="R49" i="4"/>
  <c r="T49" i="4" s="1"/>
  <c r="Q49" i="4"/>
  <c r="P49" i="4"/>
  <c r="O49" i="4"/>
  <c r="L49" i="4"/>
  <c r="J49" i="4"/>
  <c r="I49" i="4"/>
  <c r="H49" i="4"/>
  <c r="N49" i="4" s="1"/>
  <c r="G49" i="4"/>
  <c r="F49" i="4"/>
  <c r="E49" i="4"/>
  <c r="D49" i="4"/>
  <c r="S48" i="4"/>
  <c r="R48" i="4"/>
  <c r="T48" i="4" s="1"/>
  <c r="Q48" i="4"/>
  <c r="P48" i="4"/>
  <c r="O48" i="4"/>
  <c r="L48" i="4"/>
  <c r="J48" i="4"/>
  <c r="I48" i="4"/>
  <c r="H48" i="4"/>
  <c r="N48" i="4" s="1"/>
  <c r="G48" i="4"/>
  <c r="F48" i="4"/>
  <c r="E48" i="4"/>
  <c r="D48" i="4" s="1"/>
  <c r="S47" i="4"/>
  <c r="R47" i="4"/>
  <c r="T47" i="4" s="1"/>
  <c r="Q47" i="4"/>
  <c r="P47" i="4"/>
  <c r="O47" i="4"/>
  <c r="L47" i="4"/>
  <c r="J47" i="4"/>
  <c r="I47" i="4"/>
  <c r="H47" i="4"/>
  <c r="N47" i="4" s="1"/>
  <c r="G47" i="4"/>
  <c r="F47" i="4"/>
  <c r="E47" i="4"/>
  <c r="D47" i="4" s="1"/>
  <c r="S46" i="4"/>
  <c r="R46" i="4"/>
  <c r="T46" i="4" s="1"/>
  <c r="Q46" i="4"/>
  <c r="P46" i="4"/>
  <c r="O46" i="4"/>
  <c r="L46" i="4"/>
  <c r="J46" i="4"/>
  <c r="I46" i="4"/>
  <c r="H46" i="4"/>
  <c r="N46" i="4" s="1"/>
  <c r="G46" i="4"/>
  <c r="F46" i="4"/>
  <c r="E46" i="4"/>
  <c r="D46" i="4"/>
  <c r="S45" i="4"/>
  <c r="R45" i="4"/>
  <c r="T45" i="4" s="1"/>
  <c r="Q45" i="4"/>
  <c r="P45" i="4"/>
  <c r="O45" i="4"/>
  <c r="L45" i="4"/>
  <c r="J45" i="4"/>
  <c r="I45" i="4"/>
  <c r="H45" i="4"/>
  <c r="N45" i="4" s="1"/>
  <c r="G45" i="4"/>
  <c r="F45" i="4"/>
  <c r="E45" i="4"/>
  <c r="D45" i="4" s="1"/>
  <c r="S44" i="4"/>
  <c r="R44" i="4"/>
  <c r="T44" i="4" s="1"/>
  <c r="Q44" i="4"/>
  <c r="P44" i="4"/>
  <c r="O44" i="4"/>
  <c r="L44" i="4"/>
  <c r="J44" i="4"/>
  <c r="I44" i="4"/>
  <c r="H44" i="4"/>
  <c r="N44" i="4" s="1"/>
  <c r="G44" i="4"/>
  <c r="F44" i="4"/>
  <c r="E44" i="4"/>
  <c r="D44" i="4" s="1"/>
  <c r="S43" i="4"/>
  <c r="R43" i="4"/>
  <c r="T43" i="4" s="1"/>
  <c r="Q43" i="4"/>
  <c r="P43" i="4"/>
  <c r="O43" i="4"/>
  <c r="L43" i="4"/>
  <c r="J43" i="4"/>
  <c r="I43" i="4"/>
  <c r="H43" i="4"/>
  <c r="N43" i="4" s="1"/>
  <c r="G43" i="4"/>
  <c r="F43" i="4"/>
  <c r="E43" i="4"/>
  <c r="D43" i="4"/>
  <c r="S42" i="4"/>
  <c r="R42" i="4"/>
  <c r="T42" i="4" s="1"/>
  <c r="Q42" i="4"/>
  <c r="P42" i="4"/>
  <c r="O42" i="4"/>
  <c r="L42" i="4"/>
  <c r="J42" i="4"/>
  <c r="I42" i="4"/>
  <c r="H42" i="4"/>
  <c r="N42" i="4" s="1"/>
  <c r="G42" i="4"/>
  <c r="F42" i="4"/>
  <c r="E42" i="4"/>
  <c r="D42" i="4" s="1"/>
  <c r="S41" i="4"/>
  <c r="R41" i="4"/>
  <c r="T41" i="4" s="1"/>
  <c r="Q41" i="4"/>
  <c r="P41" i="4"/>
  <c r="O41" i="4"/>
  <c r="L41" i="4"/>
  <c r="J41" i="4"/>
  <c r="I41" i="4"/>
  <c r="H41" i="4"/>
  <c r="N41" i="4" s="1"/>
  <c r="G41" i="4"/>
  <c r="F41" i="4"/>
  <c r="E41" i="4"/>
  <c r="D41" i="4" s="1"/>
  <c r="S40" i="4"/>
  <c r="R40" i="4"/>
  <c r="T40" i="4" s="1"/>
  <c r="Q40" i="4"/>
  <c r="P40" i="4"/>
  <c r="O40" i="4"/>
  <c r="L40" i="4"/>
  <c r="J40" i="4"/>
  <c r="I40" i="4"/>
  <c r="H40" i="4"/>
  <c r="N40" i="4" s="1"/>
  <c r="G40" i="4"/>
  <c r="F40" i="4"/>
  <c r="E40" i="4"/>
  <c r="D40" i="4"/>
  <c r="S39" i="4"/>
  <c r="R39" i="4"/>
  <c r="T39" i="4" s="1"/>
  <c r="Q39" i="4"/>
  <c r="P39" i="4"/>
  <c r="O39" i="4"/>
  <c r="L39" i="4"/>
  <c r="J39" i="4"/>
  <c r="I39" i="4"/>
  <c r="H39" i="4"/>
  <c r="N39" i="4" s="1"/>
  <c r="G39" i="4"/>
  <c r="F39" i="4"/>
  <c r="E39" i="4"/>
  <c r="D39" i="4" s="1"/>
  <c r="S38" i="4"/>
  <c r="R38" i="4"/>
  <c r="T38" i="4" s="1"/>
  <c r="Q38" i="4"/>
  <c r="P38" i="4"/>
  <c r="O38" i="4"/>
  <c r="L38" i="4"/>
  <c r="J38" i="4"/>
  <c r="I38" i="4"/>
  <c r="H38" i="4"/>
  <c r="N38" i="4" s="1"/>
  <c r="G38" i="4"/>
  <c r="F38" i="4"/>
  <c r="E38" i="4"/>
  <c r="D38" i="4" s="1"/>
  <c r="S37" i="4"/>
  <c r="R37" i="4"/>
  <c r="T37" i="4" s="1"/>
  <c r="Q37" i="4"/>
  <c r="P37" i="4"/>
  <c r="O37" i="4"/>
  <c r="L37" i="4"/>
  <c r="J37" i="4"/>
  <c r="I37" i="4"/>
  <c r="H37" i="4"/>
  <c r="N37" i="4" s="1"/>
  <c r="G37" i="4"/>
  <c r="F37" i="4"/>
  <c r="E37" i="4"/>
  <c r="D37" i="4"/>
  <c r="S36" i="4"/>
  <c r="R36" i="4"/>
  <c r="T36" i="4" s="1"/>
  <c r="Q36" i="4"/>
  <c r="P36" i="4"/>
  <c r="O36" i="4"/>
  <c r="L36" i="4"/>
  <c r="J36" i="4"/>
  <c r="I36" i="4"/>
  <c r="H36" i="4"/>
  <c r="N36" i="4" s="1"/>
  <c r="G36" i="4"/>
  <c r="F36" i="4"/>
  <c r="E36" i="4"/>
  <c r="D36" i="4" s="1"/>
  <c r="S35" i="4"/>
  <c r="R35" i="4"/>
  <c r="T35" i="4" s="1"/>
  <c r="Q35" i="4"/>
  <c r="P35" i="4"/>
  <c r="O35" i="4"/>
  <c r="L35" i="4"/>
  <c r="J35" i="4"/>
  <c r="I35" i="4"/>
  <c r="H35" i="4"/>
  <c r="N35" i="4" s="1"/>
  <c r="G35" i="4"/>
  <c r="F35" i="4"/>
  <c r="E35" i="4"/>
  <c r="D35" i="4" s="1"/>
  <c r="S34" i="4"/>
  <c r="R34" i="4"/>
  <c r="T34" i="4" s="1"/>
  <c r="Q34" i="4"/>
  <c r="P34" i="4"/>
  <c r="O34" i="4"/>
  <c r="L34" i="4"/>
  <c r="J34" i="4"/>
  <c r="I34" i="4"/>
  <c r="H34" i="4"/>
  <c r="N34" i="4" s="1"/>
  <c r="G34" i="4"/>
  <c r="F34" i="4"/>
  <c r="E34" i="4"/>
  <c r="D34" i="4"/>
  <c r="S33" i="4"/>
  <c r="R33" i="4"/>
  <c r="T33" i="4" s="1"/>
  <c r="Q33" i="4"/>
  <c r="P33" i="4"/>
  <c r="O33" i="4"/>
  <c r="L33" i="4"/>
  <c r="J33" i="4"/>
  <c r="I33" i="4"/>
  <c r="H33" i="4"/>
  <c r="N33" i="4" s="1"/>
  <c r="G33" i="4"/>
  <c r="F33" i="4"/>
  <c r="E33" i="4"/>
  <c r="S32" i="4"/>
  <c r="R32" i="4"/>
  <c r="T32" i="4" s="1"/>
  <c r="Q32" i="4"/>
  <c r="P32" i="4"/>
  <c r="O32" i="4"/>
  <c r="L32" i="4"/>
  <c r="J32" i="4"/>
  <c r="I32" i="4"/>
  <c r="H32" i="4"/>
  <c r="N32" i="4" s="1"/>
  <c r="G32" i="4"/>
  <c r="F32" i="4"/>
  <c r="E32" i="4"/>
  <c r="D32" i="4" s="1"/>
  <c r="S31" i="4"/>
  <c r="R31" i="4"/>
  <c r="T31" i="4" s="1"/>
  <c r="Q31" i="4"/>
  <c r="P31" i="4"/>
  <c r="O31" i="4"/>
  <c r="L31" i="4"/>
  <c r="J31" i="4"/>
  <c r="I31" i="4"/>
  <c r="H31" i="4"/>
  <c r="N31" i="4" s="1"/>
  <c r="G31" i="4"/>
  <c r="F31" i="4"/>
  <c r="S30" i="4"/>
  <c r="R30" i="4"/>
  <c r="T30" i="4" s="1"/>
  <c r="Q30" i="4"/>
  <c r="P30" i="4"/>
  <c r="O30" i="4"/>
  <c r="L30" i="4"/>
  <c r="J30" i="4"/>
  <c r="I30" i="4"/>
  <c r="H30" i="4"/>
  <c r="N30" i="4" s="1"/>
  <c r="G30" i="4"/>
  <c r="F30" i="4"/>
  <c r="E30" i="4"/>
  <c r="D30" i="4" s="1"/>
  <c r="S29" i="4"/>
  <c r="R29" i="4"/>
  <c r="T29" i="4" s="1"/>
  <c r="Q29" i="4"/>
  <c r="P29" i="4"/>
  <c r="O29" i="4"/>
  <c r="L29" i="4"/>
  <c r="J29" i="4"/>
  <c r="I29" i="4"/>
  <c r="H29" i="4"/>
  <c r="N29" i="4" s="1"/>
  <c r="G29" i="4"/>
  <c r="F29" i="4"/>
  <c r="E29" i="4"/>
  <c r="D29" i="4" s="1"/>
  <c r="S28" i="4"/>
  <c r="R28" i="4"/>
  <c r="T28" i="4" s="1"/>
  <c r="Q28" i="4"/>
  <c r="P28" i="4"/>
  <c r="O28" i="4"/>
  <c r="L28" i="4"/>
  <c r="J28" i="4"/>
  <c r="I28" i="4"/>
  <c r="H28" i="4"/>
  <c r="N28" i="4" s="1"/>
  <c r="G28" i="4"/>
  <c r="F28" i="4"/>
  <c r="E28" i="4"/>
  <c r="D28" i="4"/>
  <c r="S27" i="4"/>
  <c r="R27" i="4"/>
  <c r="T27" i="4" s="1"/>
  <c r="Q27" i="4"/>
  <c r="P27" i="4"/>
  <c r="O27" i="4"/>
  <c r="L27" i="4"/>
  <c r="J27" i="4"/>
  <c r="I27" i="4"/>
  <c r="H27" i="4"/>
  <c r="N27" i="4" s="1"/>
  <c r="G27" i="4"/>
  <c r="F27" i="4"/>
  <c r="E27" i="4"/>
  <c r="D27" i="4" s="1"/>
  <c r="S26" i="4"/>
  <c r="R26" i="4"/>
  <c r="T26" i="4" s="1"/>
  <c r="Q26" i="4"/>
  <c r="P26" i="4"/>
  <c r="O26" i="4"/>
  <c r="L26" i="4"/>
  <c r="J26" i="4"/>
  <c r="I26" i="4"/>
  <c r="H26" i="4"/>
  <c r="N26" i="4" s="1"/>
  <c r="G26" i="4"/>
  <c r="F26" i="4"/>
  <c r="E26" i="4"/>
  <c r="D26" i="4" s="1"/>
  <c r="S25" i="4"/>
  <c r="R25" i="4"/>
  <c r="T25" i="4" s="1"/>
  <c r="Q25" i="4"/>
  <c r="P25" i="4"/>
  <c r="O25" i="4"/>
  <c r="L25" i="4"/>
  <c r="J25" i="4"/>
  <c r="I25" i="4"/>
  <c r="H25" i="4"/>
  <c r="N25" i="4" s="1"/>
  <c r="G25" i="4"/>
  <c r="F25" i="4"/>
  <c r="E25" i="4"/>
  <c r="D25" i="4"/>
  <c r="S24" i="4"/>
  <c r="R24" i="4"/>
  <c r="T24" i="4" s="1"/>
  <c r="Q24" i="4"/>
  <c r="P24" i="4"/>
  <c r="O24" i="4"/>
  <c r="L24" i="4"/>
  <c r="J24" i="4"/>
  <c r="I24" i="4"/>
  <c r="H24" i="4"/>
  <c r="N24" i="4" s="1"/>
  <c r="G24" i="4"/>
  <c r="F24" i="4"/>
  <c r="E24" i="4"/>
  <c r="D24" i="4" s="1"/>
  <c r="S23" i="4"/>
  <c r="R23" i="4"/>
  <c r="T23" i="4" s="1"/>
  <c r="Q23" i="4"/>
  <c r="P23" i="4"/>
  <c r="O23" i="4"/>
  <c r="L23" i="4"/>
  <c r="J23" i="4"/>
  <c r="I23" i="4"/>
  <c r="H23" i="4"/>
  <c r="N23" i="4" s="1"/>
  <c r="G23" i="4"/>
  <c r="F23" i="4"/>
  <c r="E23" i="4"/>
  <c r="D23" i="4" s="1"/>
  <c r="S22" i="4"/>
  <c r="R22" i="4"/>
  <c r="T22" i="4" s="1"/>
  <c r="Q22" i="4"/>
  <c r="P22" i="4"/>
  <c r="O22" i="4"/>
  <c r="L22" i="4"/>
  <c r="J22" i="4"/>
  <c r="I22" i="4"/>
  <c r="H22" i="4"/>
  <c r="N22" i="4" s="1"/>
  <c r="G22" i="4"/>
  <c r="F22" i="4"/>
  <c r="E22" i="4"/>
  <c r="D22" i="4"/>
  <c r="S21" i="4"/>
  <c r="R21" i="4"/>
  <c r="T21" i="4" s="1"/>
  <c r="Q21" i="4"/>
  <c r="P21" i="4"/>
  <c r="O21" i="4"/>
  <c r="L21" i="4"/>
  <c r="J21" i="4"/>
  <c r="I21" i="4"/>
  <c r="H21" i="4"/>
  <c r="N21" i="4" s="1"/>
  <c r="G21" i="4"/>
  <c r="F21" i="4"/>
  <c r="E21" i="4"/>
  <c r="D21" i="4" s="1"/>
  <c r="S20" i="4"/>
  <c r="R20" i="4"/>
  <c r="T20" i="4" s="1"/>
  <c r="Q20" i="4"/>
  <c r="P20" i="4"/>
  <c r="O20" i="4"/>
  <c r="L20" i="4"/>
  <c r="J20" i="4"/>
  <c r="I20" i="4"/>
  <c r="H20" i="4"/>
  <c r="N20" i="4" s="1"/>
  <c r="G20" i="4"/>
  <c r="F20" i="4"/>
  <c r="E20" i="4"/>
  <c r="D20" i="4" s="1"/>
  <c r="S19" i="4"/>
  <c r="R19" i="4"/>
  <c r="T19" i="4" s="1"/>
  <c r="Q19" i="4"/>
  <c r="P19" i="4"/>
  <c r="O19" i="4"/>
  <c r="L19" i="4"/>
  <c r="J19" i="4"/>
  <c r="I19" i="4"/>
  <c r="H19" i="4"/>
  <c r="N19" i="4" s="1"/>
  <c r="G19" i="4"/>
  <c r="F19" i="4"/>
  <c r="E19" i="4"/>
  <c r="D19" i="4"/>
  <c r="S18" i="4"/>
  <c r="R18" i="4"/>
  <c r="T18" i="4" s="1"/>
  <c r="Q18" i="4"/>
  <c r="P18" i="4"/>
  <c r="O18" i="4"/>
  <c r="L18" i="4"/>
  <c r="J18" i="4"/>
  <c r="I18" i="4"/>
  <c r="H18" i="4"/>
  <c r="N18" i="4" s="1"/>
  <c r="G18" i="4"/>
  <c r="F18" i="4"/>
  <c r="E18" i="4"/>
  <c r="D18" i="4" s="1"/>
  <c r="S17" i="4"/>
  <c r="R17" i="4"/>
  <c r="T17" i="4" s="1"/>
  <c r="Q17" i="4"/>
  <c r="P17" i="4"/>
  <c r="O17" i="4"/>
  <c r="L17" i="4"/>
  <c r="J17" i="4"/>
  <c r="I17" i="4"/>
  <c r="H17" i="4"/>
  <c r="N17" i="4" s="1"/>
  <c r="G17" i="4"/>
  <c r="F17" i="4"/>
  <c r="E17" i="4"/>
  <c r="D17" i="4" s="1"/>
  <c r="S16" i="4"/>
  <c r="R16" i="4"/>
  <c r="T16" i="4" s="1"/>
  <c r="Q16" i="4"/>
  <c r="P16" i="4"/>
  <c r="O16" i="4"/>
  <c r="L16" i="4"/>
  <c r="J16" i="4"/>
  <c r="I16" i="4"/>
  <c r="H16" i="4"/>
  <c r="N16" i="4" s="1"/>
  <c r="G16" i="4"/>
  <c r="F16" i="4"/>
  <c r="E16" i="4"/>
  <c r="D16" i="4"/>
  <c r="S15" i="4"/>
  <c r="R15" i="4"/>
  <c r="T15" i="4" s="1"/>
  <c r="Q15" i="4"/>
  <c r="P15" i="4"/>
  <c r="O15" i="4"/>
  <c r="L15" i="4"/>
  <c r="J15" i="4"/>
  <c r="I15" i="4"/>
  <c r="H15" i="4"/>
  <c r="N15" i="4" s="1"/>
  <c r="G15" i="4"/>
  <c r="F15" i="4"/>
  <c r="E15" i="4"/>
  <c r="S14" i="4"/>
  <c r="R14" i="4"/>
  <c r="T14" i="4" s="1"/>
  <c r="Q14" i="4"/>
  <c r="P14" i="4"/>
  <c r="O14" i="4"/>
  <c r="L14" i="4"/>
  <c r="J14" i="4"/>
  <c r="I14" i="4"/>
  <c r="H14" i="4"/>
  <c r="N14" i="4" s="1"/>
  <c r="G14" i="4"/>
  <c r="F14" i="4"/>
  <c r="E14" i="4"/>
  <c r="D14" i="4" s="1"/>
  <c r="S13" i="4"/>
  <c r="R13" i="4"/>
  <c r="T13" i="4" s="1"/>
  <c r="Q13" i="4"/>
  <c r="P13" i="4"/>
  <c r="O13" i="4"/>
  <c r="L13" i="4"/>
  <c r="J13" i="4"/>
  <c r="I13" i="4"/>
  <c r="H13" i="4"/>
  <c r="N13" i="4" s="1"/>
  <c r="G13" i="4"/>
  <c r="F13" i="4"/>
  <c r="O10" i="4"/>
  <c r="O9" i="4" s="1"/>
  <c r="L10" i="4"/>
  <c r="I10" i="4"/>
  <c r="I9" i="4" s="1"/>
  <c r="Q9" i="4" s="1"/>
  <c r="H10" i="4"/>
  <c r="F10" i="4"/>
  <c r="E10" i="4"/>
  <c r="L9" i="4"/>
  <c r="F9" i="4"/>
  <c r="E9" i="4"/>
  <c r="O8" i="4"/>
  <c r="H8" i="4"/>
  <c r="N8" i="4" s="1"/>
  <c r="O106" i="3"/>
  <c r="N106" i="3"/>
  <c r="L106" i="3"/>
  <c r="J106" i="3" s="1"/>
  <c r="I106" i="3"/>
  <c r="Q106" i="3" s="1"/>
  <c r="H106" i="3"/>
  <c r="G106" i="3"/>
  <c r="P106" i="3" s="1"/>
  <c r="F106" i="3"/>
  <c r="E106" i="3"/>
  <c r="D106" i="3" s="1"/>
  <c r="C106" i="3" s="1"/>
  <c r="K106" i="3" s="1"/>
  <c r="Q105" i="3"/>
  <c r="P105" i="3"/>
  <c r="O105" i="3"/>
  <c r="L105" i="3"/>
  <c r="J105" i="3"/>
  <c r="I105" i="3"/>
  <c r="H105" i="3"/>
  <c r="N105" i="3" s="1"/>
  <c r="G105" i="3"/>
  <c r="F105" i="3"/>
  <c r="E105" i="3"/>
  <c r="D105" i="3"/>
  <c r="M105" i="3" s="1"/>
  <c r="C105" i="3"/>
  <c r="K105" i="3" s="1"/>
  <c r="O104" i="3"/>
  <c r="L104" i="3"/>
  <c r="J104" i="3" s="1"/>
  <c r="I104" i="3"/>
  <c r="Q104" i="3" s="1"/>
  <c r="H104" i="3"/>
  <c r="N104" i="3" s="1"/>
  <c r="G104" i="3"/>
  <c r="P104" i="3" s="1"/>
  <c r="F104" i="3"/>
  <c r="E104" i="3"/>
  <c r="P103" i="3"/>
  <c r="O103" i="3"/>
  <c r="J103" i="3" s="1"/>
  <c r="L103" i="3"/>
  <c r="I103" i="3"/>
  <c r="Q103" i="3" s="1"/>
  <c r="H103" i="3"/>
  <c r="N103" i="3" s="1"/>
  <c r="G103" i="3"/>
  <c r="F103" i="3"/>
  <c r="E103" i="3"/>
  <c r="D103" i="3" s="1"/>
  <c r="O102" i="3"/>
  <c r="N102" i="3"/>
  <c r="L102" i="3"/>
  <c r="J102" i="3" s="1"/>
  <c r="I102" i="3"/>
  <c r="Q102" i="3" s="1"/>
  <c r="H102" i="3"/>
  <c r="G102" i="3"/>
  <c r="P102" i="3" s="1"/>
  <c r="F102" i="3"/>
  <c r="E102" i="3"/>
  <c r="P101" i="3"/>
  <c r="O101" i="3"/>
  <c r="L101" i="3"/>
  <c r="J101" i="3"/>
  <c r="I101" i="3"/>
  <c r="Q101" i="3" s="1"/>
  <c r="H101" i="3"/>
  <c r="N101" i="3" s="1"/>
  <c r="G101" i="3"/>
  <c r="F101" i="3"/>
  <c r="E101" i="3"/>
  <c r="D101" i="3" s="1"/>
  <c r="O100" i="3"/>
  <c r="N100" i="3"/>
  <c r="L100" i="3"/>
  <c r="J100" i="3" s="1"/>
  <c r="I100" i="3"/>
  <c r="Q100" i="3" s="1"/>
  <c r="H100" i="3"/>
  <c r="G100" i="3"/>
  <c r="P100" i="3" s="1"/>
  <c r="F100" i="3"/>
  <c r="E100" i="3"/>
  <c r="Q99" i="3"/>
  <c r="O99" i="3"/>
  <c r="L99" i="3"/>
  <c r="J99" i="3" s="1"/>
  <c r="I99" i="3"/>
  <c r="H99" i="3"/>
  <c r="N99" i="3" s="1"/>
  <c r="G99" i="3"/>
  <c r="P99" i="3" s="1"/>
  <c r="F99" i="3"/>
  <c r="E99" i="3"/>
  <c r="D99" i="3" s="1"/>
  <c r="C99" i="3" s="1"/>
  <c r="K99" i="3" s="1"/>
  <c r="P98" i="3"/>
  <c r="O98" i="3"/>
  <c r="L98" i="3"/>
  <c r="J98" i="3"/>
  <c r="I98" i="3"/>
  <c r="Q98" i="3" s="1"/>
  <c r="H98" i="3"/>
  <c r="N98" i="3" s="1"/>
  <c r="G98" i="3"/>
  <c r="F98" i="3"/>
  <c r="E98" i="3"/>
  <c r="D98" i="3"/>
  <c r="M98" i="3" s="1"/>
  <c r="Q97" i="3"/>
  <c r="O97" i="3"/>
  <c r="L97" i="3"/>
  <c r="J97" i="3" s="1"/>
  <c r="I97" i="3"/>
  <c r="H97" i="3"/>
  <c r="N97" i="3" s="1"/>
  <c r="G97" i="3"/>
  <c r="P97" i="3" s="1"/>
  <c r="F97" i="3"/>
  <c r="E97" i="3"/>
  <c r="D97" i="3" s="1"/>
  <c r="P96" i="3"/>
  <c r="O96" i="3"/>
  <c r="L96" i="3"/>
  <c r="J96" i="3"/>
  <c r="I96" i="3"/>
  <c r="Q96" i="3" s="1"/>
  <c r="H96" i="3"/>
  <c r="N96" i="3" s="1"/>
  <c r="G96" i="3"/>
  <c r="F96" i="3"/>
  <c r="E96" i="3"/>
  <c r="D96" i="3"/>
  <c r="Q95" i="3"/>
  <c r="O95" i="3"/>
  <c r="L95" i="3"/>
  <c r="J95" i="3" s="1"/>
  <c r="I95" i="3"/>
  <c r="H95" i="3"/>
  <c r="N95" i="3" s="1"/>
  <c r="G95" i="3"/>
  <c r="P95" i="3" s="1"/>
  <c r="F95" i="3"/>
  <c r="F89" i="3" s="1"/>
  <c r="F10" i="3" s="1"/>
  <c r="F9" i="3" s="1"/>
  <c r="E95" i="3"/>
  <c r="P94" i="3"/>
  <c r="O94" i="3"/>
  <c r="J94" i="3" s="1"/>
  <c r="L94" i="3"/>
  <c r="I94" i="3"/>
  <c r="Q94" i="3" s="1"/>
  <c r="H94" i="3"/>
  <c r="N94" i="3" s="1"/>
  <c r="G94" i="3"/>
  <c r="F94" i="3"/>
  <c r="E94" i="3"/>
  <c r="D94" i="3"/>
  <c r="M94" i="3" s="1"/>
  <c r="C94" i="3"/>
  <c r="K94" i="3" s="1"/>
  <c r="Q93" i="3"/>
  <c r="O93" i="3"/>
  <c r="L93" i="3"/>
  <c r="J93" i="3" s="1"/>
  <c r="I93" i="3"/>
  <c r="H93" i="3"/>
  <c r="N93" i="3" s="1"/>
  <c r="G93" i="3"/>
  <c r="P93" i="3" s="1"/>
  <c r="F93" i="3"/>
  <c r="E93" i="3"/>
  <c r="D93" i="3" s="1"/>
  <c r="C93" i="3" s="1"/>
  <c r="K93" i="3" s="1"/>
  <c r="P92" i="3"/>
  <c r="O92" i="3"/>
  <c r="L92" i="3"/>
  <c r="J92" i="3"/>
  <c r="I92" i="3"/>
  <c r="Q92" i="3" s="1"/>
  <c r="H92" i="3"/>
  <c r="N92" i="3" s="1"/>
  <c r="G92" i="3"/>
  <c r="F92" i="3"/>
  <c r="E92" i="3"/>
  <c r="D92" i="3"/>
  <c r="M92" i="3" s="1"/>
  <c r="Q91" i="3"/>
  <c r="O91" i="3"/>
  <c r="L91" i="3"/>
  <c r="J91" i="3" s="1"/>
  <c r="I91" i="3"/>
  <c r="H91" i="3"/>
  <c r="N91" i="3" s="1"/>
  <c r="G91" i="3"/>
  <c r="F91" i="3"/>
  <c r="E91" i="3"/>
  <c r="D91" i="3" s="1"/>
  <c r="P90" i="3"/>
  <c r="O90" i="3"/>
  <c r="L90" i="3"/>
  <c r="J90" i="3"/>
  <c r="I90" i="3"/>
  <c r="H90" i="3"/>
  <c r="N90" i="3" s="1"/>
  <c r="G90" i="3"/>
  <c r="F90" i="3"/>
  <c r="E90" i="3"/>
  <c r="D90" i="3"/>
  <c r="AF88" i="3"/>
  <c r="AE88" i="3"/>
  <c r="AG88" i="3" s="1"/>
  <c r="AC88" i="3"/>
  <c r="AA88" i="3"/>
  <c r="Z88" i="3"/>
  <c r="AD88" i="3" s="1"/>
  <c r="Y88" i="3"/>
  <c r="AB88" i="3" s="1"/>
  <c r="W88" i="3"/>
  <c r="U88" i="3"/>
  <c r="T88" i="3"/>
  <c r="X88" i="3" s="1"/>
  <c r="S88" i="3"/>
  <c r="V88" i="3" s="1"/>
  <c r="R88" i="3"/>
  <c r="O88" i="3"/>
  <c r="N88" i="3"/>
  <c r="L88" i="3"/>
  <c r="J88" i="3" s="1"/>
  <c r="I88" i="3"/>
  <c r="Q88" i="3" s="1"/>
  <c r="H88" i="3"/>
  <c r="G88" i="3"/>
  <c r="P88" i="3" s="1"/>
  <c r="F88" i="3"/>
  <c r="E88" i="3"/>
  <c r="D88" i="3" s="1"/>
  <c r="AG87" i="3"/>
  <c r="AF87" i="3"/>
  <c r="AE87" i="3"/>
  <c r="AC87" i="3"/>
  <c r="AA87" i="3"/>
  <c r="Z87" i="3"/>
  <c r="AD87" i="3" s="1"/>
  <c r="Y87" i="3"/>
  <c r="AB87" i="3" s="1"/>
  <c r="W87" i="3"/>
  <c r="U87" i="3"/>
  <c r="T87" i="3"/>
  <c r="X87" i="3" s="1"/>
  <c r="S87" i="3"/>
  <c r="V87" i="3" s="1"/>
  <c r="R87" i="3"/>
  <c r="O87" i="3"/>
  <c r="J87" i="3" s="1"/>
  <c r="N87" i="3"/>
  <c r="M87" i="3"/>
  <c r="L87" i="3"/>
  <c r="I87" i="3"/>
  <c r="Q87" i="3" s="1"/>
  <c r="H87" i="3"/>
  <c r="G87" i="3"/>
  <c r="P87" i="3" s="1"/>
  <c r="F87" i="3"/>
  <c r="E87" i="3"/>
  <c r="D87" i="3"/>
  <c r="C87" i="3"/>
  <c r="K87" i="3" s="1"/>
  <c r="AG86" i="3"/>
  <c r="AF86" i="3"/>
  <c r="AE86" i="3"/>
  <c r="AC86" i="3"/>
  <c r="AA86" i="3"/>
  <c r="AB86" i="3" s="1"/>
  <c r="Z86" i="3"/>
  <c r="AD86" i="3" s="1"/>
  <c r="Y86" i="3"/>
  <c r="W86" i="3"/>
  <c r="V86" i="3"/>
  <c r="U86" i="3"/>
  <c r="T86" i="3"/>
  <c r="X86" i="3" s="1"/>
  <c r="S86" i="3"/>
  <c r="R86" i="3"/>
  <c r="P86" i="3"/>
  <c r="O86" i="3"/>
  <c r="O74" i="3" s="1"/>
  <c r="L86" i="3"/>
  <c r="J86" i="3"/>
  <c r="I86" i="3"/>
  <c r="Q86" i="3" s="1"/>
  <c r="H86" i="3"/>
  <c r="N86" i="3" s="1"/>
  <c r="G86" i="3"/>
  <c r="F86" i="3"/>
  <c r="E86" i="3"/>
  <c r="D86" i="3"/>
  <c r="AG85" i="3"/>
  <c r="AF85" i="3"/>
  <c r="AE85" i="3"/>
  <c r="AC85" i="3"/>
  <c r="AD85" i="3" s="1"/>
  <c r="AB85" i="3"/>
  <c r="AA85" i="3"/>
  <c r="Z85" i="3"/>
  <c r="Y85" i="3"/>
  <c r="W85" i="3"/>
  <c r="X85" i="3" s="1"/>
  <c r="V85" i="3"/>
  <c r="U85" i="3"/>
  <c r="T85" i="3"/>
  <c r="S85" i="3"/>
  <c r="R85" i="3"/>
  <c r="Q85" i="3"/>
  <c r="P85" i="3"/>
  <c r="O85" i="3"/>
  <c r="L85" i="3"/>
  <c r="J85" i="3"/>
  <c r="I85" i="3"/>
  <c r="H85" i="3"/>
  <c r="N85" i="3" s="1"/>
  <c r="G85" i="3"/>
  <c r="F85" i="3"/>
  <c r="E85" i="3"/>
  <c r="D85" i="3"/>
  <c r="AF84" i="3"/>
  <c r="AE84" i="3"/>
  <c r="AG84" i="3" s="1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L84" i="3"/>
  <c r="J84" i="3" s="1"/>
  <c r="I84" i="3"/>
  <c r="H84" i="3"/>
  <c r="N84" i="3" s="1"/>
  <c r="G84" i="3"/>
  <c r="F84" i="3"/>
  <c r="E84" i="3"/>
  <c r="AF83" i="3"/>
  <c r="AE83" i="3"/>
  <c r="AG83" i="3" s="1"/>
  <c r="AD83" i="3"/>
  <c r="AC83" i="3"/>
  <c r="AA83" i="3"/>
  <c r="Z83" i="3"/>
  <c r="Y83" i="3"/>
  <c r="AB83" i="3" s="1"/>
  <c r="X83" i="3"/>
  <c r="W83" i="3"/>
  <c r="U83" i="3"/>
  <c r="T83" i="3"/>
  <c r="S83" i="3"/>
  <c r="V83" i="3" s="1"/>
  <c r="R83" i="3"/>
  <c r="Q83" i="3"/>
  <c r="O83" i="3"/>
  <c r="L83" i="3"/>
  <c r="J83" i="3" s="1"/>
  <c r="I83" i="3"/>
  <c r="H83" i="3"/>
  <c r="N83" i="3" s="1"/>
  <c r="G83" i="3"/>
  <c r="P83" i="3" s="1"/>
  <c r="F83" i="3"/>
  <c r="E83" i="3"/>
  <c r="D83" i="3" s="1"/>
  <c r="AF82" i="3"/>
  <c r="AE82" i="3"/>
  <c r="AC82" i="3"/>
  <c r="AA82" i="3"/>
  <c r="Z82" i="3"/>
  <c r="AD82" i="3" s="1"/>
  <c r="Y82" i="3"/>
  <c r="AB82" i="3" s="1"/>
  <c r="W82" i="3"/>
  <c r="U82" i="3"/>
  <c r="T82" i="3"/>
  <c r="X82" i="3" s="1"/>
  <c r="S82" i="3"/>
  <c r="V82" i="3" s="1"/>
  <c r="R82" i="3"/>
  <c r="O82" i="3"/>
  <c r="N82" i="3"/>
  <c r="L82" i="3"/>
  <c r="J82" i="3" s="1"/>
  <c r="I82" i="3"/>
  <c r="Q82" i="3" s="1"/>
  <c r="H82" i="3"/>
  <c r="G82" i="3"/>
  <c r="P82" i="3" s="1"/>
  <c r="F82" i="3"/>
  <c r="E82" i="3"/>
  <c r="D82" i="3" s="1"/>
  <c r="C82" i="3" s="1"/>
  <c r="K82" i="3" s="1"/>
  <c r="AG81" i="3"/>
  <c r="AF81" i="3"/>
  <c r="AE81" i="3"/>
  <c r="AC81" i="3"/>
  <c r="AA81" i="3"/>
  <c r="Z81" i="3"/>
  <c r="AD81" i="3" s="1"/>
  <c r="Y81" i="3"/>
  <c r="AB81" i="3" s="1"/>
  <c r="W81" i="3"/>
  <c r="U81" i="3"/>
  <c r="T81" i="3"/>
  <c r="X81" i="3" s="1"/>
  <c r="S81" i="3"/>
  <c r="V81" i="3" s="1"/>
  <c r="R81" i="3"/>
  <c r="O81" i="3"/>
  <c r="J81" i="3" s="1"/>
  <c r="N81" i="3"/>
  <c r="M81" i="3"/>
  <c r="L81" i="3"/>
  <c r="I81" i="3"/>
  <c r="H81" i="3"/>
  <c r="G81" i="3"/>
  <c r="P81" i="3" s="1"/>
  <c r="F81" i="3"/>
  <c r="E81" i="3"/>
  <c r="D81" i="3"/>
  <c r="C81" i="3"/>
  <c r="K81" i="3" s="1"/>
  <c r="AG80" i="3"/>
  <c r="AF80" i="3"/>
  <c r="AE80" i="3"/>
  <c r="AC80" i="3"/>
  <c r="AB80" i="3"/>
  <c r="AA80" i="3"/>
  <c r="Z80" i="3"/>
  <c r="AD80" i="3" s="1"/>
  <c r="Y80" i="3"/>
  <c r="W80" i="3"/>
  <c r="V80" i="3"/>
  <c r="U80" i="3"/>
  <c r="T80" i="3"/>
  <c r="X80" i="3" s="1"/>
  <c r="S80" i="3"/>
  <c r="R80" i="3"/>
  <c r="P80" i="3"/>
  <c r="O80" i="3"/>
  <c r="L80" i="3"/>
  <c r="J80" i="3"/>
  <c r="I80" i="3"/>
  <c r="Q80" i="3" s="1"/>
  <c r="H80" i="3"/>
  <c r="N80" i="3" s="1"/>
  <c r="G80" i="3"/>
  <c r="F80" i="3"/>
  <c r="E80" i="3"/>
  <c r="D80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L79" i="3"/>
  <c r="J79" i="3"/>
  <c r="I79" i="3"/>
  <c r="H79" i="3"/>
  <c r="N79" i="3" s="1"/>
  <c r="G79" i="3"/>
  <c r="F79" i="3"/>
  <c r="E79" i="3"/>
  <c r="D79" i="3"/>
  <c r="AF78" i="3"/>
  <c r="AE78" i="3"/>
  <c r="AG78" i="3" s="1"/>
  <c r="AC78" i="3"/>
  <c r="AD78" i="3" s="1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L78" i="3"/>
  <c r="J78" i="3" s="1"/>
  <c r="I78" i="3"/>
  <c r="H78" i="3"/>
  <c r="N78" i="3" s="1"/>
  <c r="G78" i="3"/>
  <c r="F78" i="3"/>
  <c r="E78" i="3"/>
  <c r="D78" i="3" s="1"/>
  <c r="AF77" i="3"/>
  <c r="AE77" i="3"/>
  <c r="AG77" i="3" s="1"/>
  <c r="AD77" i="3"/>
  <c r="AC77" i="3"/>
  <c r="AA77" i="3"/>
  <c r="Z77" i="3"/>
  <c r="Y77" i="3"/>
  <c r="AB77" i="3" s="1"/>
  <c r="X77" i="3"/>
  <c r="W77" i="3"/>
  <c r="U77" i="3"/>
  <c r="T77" i="3"/>
  <c r="S77" i="3"/>
  <c r="V77" i="3" s="1"/>
  <c r="R77" i="3"/>
  <c r="Q77" i="3"/>
  <c r="O77" i="3"/>
  <c r="L77" i="3"/>
  <c r="J77" i="3" s="1"/>
  <c r="I77" i="3"/>
  <c r="H77" i="3"/>
  <c r="N77" i="3" s="1"/>
  <c r="G77" i="3"/>
  <c r="P77" i="3" s="1"/>
  <c r="F77" i="3"/>
  <c r="E77" i="3"/>
  <c r="AF76" i="3"/>
  <c r="AE76" i="3"/>
  <c r="AC76" i="3"/>
  <c r="AA76" i="3"/>
  <c r="Z76" i="3"/>
  <c r="AD76" i="3" s="1"/>
  <c r="Y76" i="3"/>
  <c r="W76" i="3"/>
  <c r="U76" i="3"/>
  <c r="T76" i="3"/>
  <c r="X76" i="3" s="1"/>
  <c r="S76" i="3"/>
  <c r="R76" i="3"/>
  <c r="Q76" i="3"/>
  <c r="O76" i="3"/>
  <c r="N76" i="3"/>
  <c r="L76" i="3"/>
  <c r="J76" i="3" s="1"/>
  <c r="I76" i="3"/>
  <c r="H76" i="3"/>
  <c r="G76" i="3"/>
  <c r="F76" i="3"/>
  <c r="E76" i="3"/>
  <c r="D76" i="3" s="1"/>
  <c r="C76" i="3" s="1"/>
  <c r="K76" i="3" s="1"/>
  <c r="AG75" i="3"/>
  <c r="AF75" i="3"/>
  <c r="AF74" i="3" s="1"/>
  <c r="AE75" i="3"/>
  <c r="AC75" i="3"/>
  <c r="AA75" i="3"/>
  <c r="AA74" i="3" s="1"/>
  <c r="Z75" i="3"/>
  <c r="Y75" i="3"/>
  <c r="AB75" i="3" s="1"/>
  <c r="W75" i="3"/>
  <c r="U75" i="3"/>
  <c r="T75" i="3"/>
  <c r="S75" i="3"/>
  <c r="V75" i="3" s="1"/>
  <c r="R75" i="3"/>
  <c r="O75" i="3"/>
  <c r="L75" i="3"/>
  <c r="I75" i="3"/>
  <c r="Q75" i="3" s="1"/>
  <c r="H75" i="3"/>
  <c r="H74" i="3" s="1"/>
  <c r="G75" i="3"/>
  <c r="P75" i="3" s="1"/>
  <c r="F75" i="3"/>
  <c r="E75" i="3"/>
  <c r="U74" i="3"/>
  <c r="AG73" i="3"/>
  <c r="AF73" i="3"/>
  <c r="AE73" i="3"/>
  <c r="AC73" i="3"/>
  <c r="AB73" i="3"/>
  <c r="AA73" i="3"/>
  <c r="Z73" i="3"/>
  <c r="AD73" i="3" s="1"/>
  <c r="Y73" i="3"/>
  <c r="W73" i="3"/>
  <c r="V73" i="3"/>
  <c r="U73" i="3"/>
  <c r="T73" i="3"/>
  <c r="X73" i="3" s="1"/>
  <c r="S73" i="3"/>
  <c r="R73" i="3"/>
  <c r="Q73" i="3"/>
  <c r="P73" i="3"/>
  <c r="O73" i="3"/>
  <c r="L73" i="3"/>
  <c r="J73" i="3"/>
  <c r="I73" i="3"/>
  <c r="H73" i="3"/>
  <c r="N73" i="3" s="1"/>
  <c r="G73" i="3"/>
  <c r="F73" i="3"/>
  <c r="E73" i="3"/>
  <c r="D73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L72" i="3"/>
  <c r="J72" i="3" s="1"/>
  <c r="I72" i="3"/>
  <c r="H72" i="3"/>
  <c r="N72" i="3" s="1"/>
  <c r="G72" i="3"/>
  <c r="F72" i="3"/>
  <c r="E72" i="3"/>
  <c r="AF71" i="3"/>
  <c r="AE71" i="3"/>
  <c r="AG71" i="3" s="1"/>
  <c r="AD71" i="3"/>
  <c r="AC71" i="3"/>
  <c r="AA71" i="3"/>
  <c r="Z71" i="3"/>
  <c r="Y71" i="3"/>
  <c r="AB71" i="3" s="1"/>
  <c r="X71" i="3"/>
  <c r="W71" i="3"/>
  <c r="U71" i="3"/>
  <c r="T71" i="3"/>
  <c r="S71" i="3"/>
  <c r="V71" i="3" s="1"/>
  <c r="R71" i="3"/>
  <c r="Q71" i="3"/>
  <c r="O71" i="3"/>
  <c r="M71" i="3"/>
  <c r="L71" i="3"/>
  <c r="J71" i="3" s="1"/>
  <c r="I71" i="3"/>
  <c r="H71" i="3"/>
  <c r="N71" i="3" s="1"/>
  <c r="G71" i="3"/>
  <c r="P71" i="3" s="1"/>
  <c r="F71" i="3"/>
  <c r="D71" i="3" s="1"/>
  <c r="E71" i="3"/>
  <c r="AF70" i="3"/>
  <c r="AE70" i="3"/>
  <c r="AG70" i="3" s="1"/>
  <c r="AC70" i="3"/>
  <c r="AA70" i="3"/>
  <c r="Z70" i="3"/>
  <c r="AD70" i="3" s="1"/>
  <c r="Y70" i="3"/>
  <c r="AB70" i="3" s="1"/>
  <c r="W70" i="3"/>
  <c r="U70" i="3"/>
  <c r="T70" i="3"/>
  <c r="X70" i="3" s="1"/>
  <c r="S70" i="3"/>
  <c r="V70" i="3" s="1"/>
  <c r="R70" i="3"/>
  <c r="Q70" i="3"/>
  <c r="O70" i="3"/>
  <c r="N70" i="3"/>
  <c r="L70" i="3"/>
  <c r="J70" i="3" s="1"/>
  <c r="I70" i="3"/>
  <c r="H70" i="3"/>
  <c r="G70" i="3"/>
  <c r="P70" i="3" s="1"/>
  <c r="F70" i="3"/>
  <c r="E70" i="3"/>
  <c r="D70" i="3" s="1"/>
  <c r="AG69" i="3"/>
  <c r="AF69" i="3"/>
  <c r="AE69" i="3"/>
  <c r="AC69" i="3"/>
  <c r="AA69" i="3"/>
  <c r="Z69" i="3"/>
  <c r="AD69" i="3" s="1"/>
  <c r="Y69" i="3"/>
  <c r="AB69" i="3" s="1"/>
  <c r="W69" i="3"/>
  <c r="U69" i="3"/>
  <c r="T69" i="3"/>
  <c r="X69" i="3" s="1"/>
  <c r="S69" i="3"/>
  <c r="V69" i="3" s="1"/>
  <c r="R69" i="3"/>
  <c r="O69" i="3"/>
  <c r="L69" i="3"/>
  <c r="I69" i="3"/>
  <c r="Q69" i="3" s="1"/>
  <c r="H69" i="3"/>
  <c r="N69" i="3" s="1"/>
  <c r="G69" i="3"/>
  <c r="P69" i="3" s="1"/>
  <c r="F69" i="3"/>
  <c r="D69" i="3" s="1"/>
  <c r="E69" i="3"/>
  <c r="AG68" i="3"/>
  <c r="AF68" i="3"/>
  <c r="AE68" i="3"/>
  <c r="AC68" i="3"/>
  <c r="AB68" i="3"/>
  <c r="AA68" i="3"/>
  <c r="Z68" i="3"/>
  <c r="AD68" i="3" s="1"/>
  <c r="Y68" i="3"/>
  <c r="W68" i="3"/>
  <c r="V68" i="3"/>
  <c r="U68" i="3"/>
  <c r="T68" i="3"/>
  <c r="X68" i="3" s="1"/>
  <c r="S68" i="3"/>
  <c r="R68" i="3"/>
  <c r="P68" i="3"/>
  <c r="O68" i="3"/>
  <c r="J68" i="3" s="1"/>
  <c r="L68" i="3"/>
  <c r="I68" i="3"/>
  <c r="Q68" i="3" s="1"/>
  <c r="H68" i="3"/>
  <c r="N68" i="3" s="1"/>
  <c r="G68" i="3"/>
  <c r="F68" i="3"/>
  <c r="E68" i="3"/>
  <c r="D68" i="3"/>
  <c r="M68" i="3" s="1"/>
  <c r="C68" i="3"/>
  <c r="K68" i="3" s="1"/>
  <c r="AF67" i="3"/>
  <c r="AG67" i="3" s="1"/>
  <c r="AE67" i="3"/>
  <c r="AC67" i="3"/>
  <c r="AB67" i="3"/>
  <c r="AA67" i="3"/>
  <c r="Z67" i="3"/>
  <c r="AD67" i="3" s="1"/>
  <c r="Y67" i="3"/>
  <c r="W67" i="3"/>
  <c r="V67" i="3"/>
  <c r="U67" i="3"/>
  <c r="T67" i="3"/>
  <c r="X67" i="3" s="1"/>
  <c r="S67" i="3"/>
  <c r="R67" i="3"/>
  <c r="Q67" i="3"/>
  <c r="P67" i="3"/>
  <c r="O67" i="3"/>
  <c r="L67" i="3"/>
  <c r="J67" i="3"/>
  <c r="I67" i="3"/>
  <c r="H67" i="3"/>
  <c r="N67" i="3" s="1"/>
  <c r="G67" i="3"/>
  <c r="F67" i="3"/>
  <c r="E67" i="3"/>
  <c r="D67" i="3" s="1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L66" i="3"/>
  <c r="J66" i="3" s="1"/>
  <c r="I66" i="3"/>
  <c r="H66" i="3"/>
  <c r="N66" i="3" s="1"/>
  <c r="G66" i="3"/>
  <c r="F66" i="3"/>
  <c r="E66" i="3"/>
  <c r="D66" i="3" s="1"/>
  <c r="AF65" i="3"/>
  <c r="AE65" i="3"/>
  <c r="AG65" i="3" s="1"/>
  <c r="AD65" i="3"/>
  <c r="AC65" i="3"/>
  <c r="AA65" i="3"/>
  <c r="Z65" i="3"/>
  <c r="Y65" i="3"/>
  <c r="AB65" i="3" s="1"/>
  <c r="X65" i="3"/>
  <c r="W65" i="3"/>
  <c r="U65" i="3"/>
  <c r="T65" i="3"/>
  <c r="S65" i="3"/>
  <c r="V65" i="3" s="1"/>
  <c r="R65" i="3"/>
  <c r="Q65" i="3"/>
  <c r="O65" i="3"/>
  <c r="L65" i="3"/>
  <c r="J65" i="3" s="1"/>
  <c r="I65" i="3"/>
  <c r="H65" i="3"/>
  <c r="G65" i="3"/>
  <c r="P65" i="3" s="1"/>
  <c r="F65" i="3"/>
  <c r="D65" i="3" s="1"/>
  <c r="E65" i="3"/>
  <c r="AF64" i="3"/>
  <c r="AE64" i="3"/>
  <c r="AG64" i="3" s="1"/>
  <c r="AC64" i="3"/>
  <c r="AA64" i="3"/>
  <c r="Z64" i="3"/>
  <c r="AD64" i="3" s="1"/>
  <c r="Y64" i="3"/>
  <c r="AB64" i="3" s="1"/>
  <c r="W64" i="3"/>
  <c r="U64" i="3"/>
  <c r="T64" i="3"/>
  <c r="X64" i="3" s="1"/>
  <c r="S64" i="3"/>
  <c r="V64" i="3" s="1"/>
  <c r="R64" i="3"/>
  <c r="Q64" i="3"/>
  <c r="O64" i="3"/>
  <c r="N64" i="3"/>
  <c r="L64" i="3"/>
  <c r="J64" i="3" s="1"/>
  <c r="I64" i="3"/>
  <c r="H64" i="3"/>
  <c r="G64" i="3"/>
  <c r="P64" i="3" s="1"/>
  <c r="F64" i="3"/>
  <c r="E64" i="3"/>
  <c r="D64" i="3" s="1"/>
  <c r="AG63" i="3"/>
  <c r="AF63" i="3"/>
  <c r="AE63" i="3"/>
  <c r="AC63" i="3"/>
  <c r="AA63" i="3"/>
  <c r="Z63" i="3"/>
  <c r="AD63" i="3" s="1"/>
  <c r="Y63" i="3"/>
  <c r="W63" i="3"/>
  <c r="U63" i="3"/>
  <c r="T63" i="3"/>
  <c r="X63" i="3" s="1"/>
  <c r="S63" i="3"/>
  <c r="V63" i="3" s="1"/>
  <c r="R63" i="3"/>
  <c r="O63" i="3"/>
  <c r="N63" i="3"/>
  <c r="L63" i="3"/>
  <c r="J63" i="3" s="1"/>
  <c r="I63" i="3"/>
  <c r="Q63" i="3" s="1"/>
  <c r="H63" i="3"/>
  <c r="G63" i="3"/>
  <c r="P63" i="3" s="1"/>
  <c r="F63" i="3"/>
  <c r="D63" i="3" s="1"/>
  <c r="M63" i="3" s="1"/>
  <c r="E63" i="3"/>
  <c r="C63" i="3"/>
  <c r="K63" i="3" s="1"/>
  <c r="AG62" i="3"/>
  <c r="AF62" i="3"/>
  <c r="AE62" i="3"/>
  <c r="AC62" i="3"/>
  <c r="AB62" i="3"/>
  <c r="AA62" i="3"/>
  <c r="Z62" i="3"/>
  <c r="AD62" i="3" s="1"/>
  <c r="Y62" i="3"/>
  <c r="W62" i="3"/>
  <c r="V62" i="3"/>
  <c r="U62" i="3"/>
  <c r="T62" i="3"/>
  <c r="X62" i="3" s="1"/>
  <c r="S62" i="3"/>
  <c r="R62" i="3"/>
  <c r="P62" i="3"/>
  <c r="O62" i="3"/>
  <c r="L62" i="3"/>
  <c r="J62" i="3"/>
  <c r="I62" i="3"/>
  <c r="Q62" i="3" s="1"/>
  <c r="H62" i="3"/>
  <c r="N62" i="3" s="1"/>
  <c r="G62" i="3"/>
  <c r="F62" i="3"/>
  <c r="E62" i="3"/>
  <c r="D62" i="3"/>
  <c r="M62" i="3" s="1"/>
  <c r="AG61" i="3"/>
  <c r="AF61" i="3"/>
  <c r="AE61" i="3"/>
  <c r="AC61" i="3"/>
  <c r="AB61" i="3"/>
  <c r="AA61" i="3"/>
  <c r="Z61" i="3"/>
  <c r="AD61" i="3" s="1"/>
  <c r="Y61" i="3"/>
  <c r="W61" i="3"/>
  <c r="V61" i="3"/>
  <c r="U61" i="3"/>
  <c r="T61" i="3"/>
  <c r="X61" i="3" s="1"/>
  <c r="S61" i="3"/>
  <c r="R61" i="3"/>
  <c r="Q61" i="3"/>
  <c r="P61" i="3"/>
  <c r="O61" i="3"/>
  <c r="L61" i="3"/>
  <c r="J61" i="3"/>
  <c r="I61" i="3"/>
  <c r="H61" i="3"/>
  <c r="N61" i="3" s="1"/>
  <c r="G61" i="3"/>
  <c r="F61" i="3"/>
  <c r="E61" i="3"/>
  <c r="D61" i="3" s="1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L60" i="3"/>
  <c r="J60" i="3" s="1"/>
  <c r="I60" i="3"/>
  <c r="H60" i="3"/>
  <c r="N60" i="3" s="1"/>
  <c r="G60" i="3"/>
  <c r="F60" i="3"/>
  <c r="E60" i="3"/>
  <c r="D60" i="3" s="1"/>
  <c r="AF59" i="3"/>
  <c r="AE59" i="3"/>
  <c r="AG59" i="3" s="1"/>
  <c r="AD59" i="3"/>
  <c r="AC59" i="3"/>
  <c r="AA59" i="3"/>
  <c r="Z59" i="3"/>
  <c r="Y59" i="3"/>
  <c r="AB59" i="3" s="1"/>
  <c r="X59" i="3"/>
  <c r="W59" i="3"/>
  <c r="U59" i="3"/>
  <c r="T59" i="3"/>
  <c r="S59" i="3"/>
  <c r="V59" i="3" s="1"/>
  <c r="R59" i="3"/>
  <c r="Q59" i="3"/>
  <c r="O59" i="3"/>
  <c r="L59" i="3"/>
  <c r="J59" i="3" s="1"/>
  <c r="I59" i="3"/>
  <c r="H59" i="3"/>
  <c r="N59" i="3" s="1"/>
  <c r="G59" i="3"/>
  <c r="P59" i="3" s="1"/>
  <c r="F59" i="3"/>
  <c r="D59" i="3" s="1"/>
  <c r="E59" i="3"/>
  <c r="AF58" i="3"/>
  <c r="AE58" i="3"/>
  <c r="AC58" i="3"/>
  <c r="AA58" i="3"/>
  <c r="Z58" i="3"/>
  <c r="AD58" i="3" s="1"/>
  <c r="Y58" i="3"/>
  <c r="AB58" i="3" s="1"/>
  <c r="W58" i="3"/>
  <c r="U58" i="3"/>
  <c r="T58" i="3"/>
  <c r="X58" i="3" s="1"/>
  <c r="S58" i="3"/>
  <c r="V58" i="3" s="1"/>
  <c r="R58" i="3"/>
  <c r="Q58" i="3"/>
  <c r="O58" i="3"/>
  <c r="N58" i="3"/>
  <c r="L58" i="3"/>
  <c r="J58" i="3" s="1"/>
  <c r="I58" i="3"/>
  <c r="H58" i="3"/>
  <c r="G58" i="3"/>
  <c r="P58" i="3" s="1"/>
  <c r="F58" i="3"/>
  <c r="E58" i="3"/>
  <c r="D58" i="3" s="1"/>
  <c r="C58" i="3" s="1"/>
  <c r="K58" i="3" s="1"/>
  <c r="AG57" i="3"/>
  <c r="AF57" i="3"/>
  <c r="AF52" i="3" s="1"/>
  <c r="AE57" i="3"/>
  <c r="AC57" i="3"/>
  <c r="AA57" i="3"/>
  <c r="Z57" i="3"/>
  <c r="AD57" i="3" s="1"/>
  <c r="Y57" i="3"/>
  <c r="AB57" i="3" s="1"/>
  <c r="W57" i="3"/>
  <c r="U57" i="3"/>
  <c r="T57" i="3"/>
  <c r="X57" i="3" s="1"/>
  <c r="S57" i="3"/>
  <c r="V57" i="3" s="1"/>
  <c r="R57" i="3"/>
  <c r="O57" i="3"/>
  <c r="L57" i="3"/>
  <c r="I57" i="3"/>
  <c r="Q57" i="3" s="1"/>
  <c r="H57" i="3"/>
  <c r="N57" i="3" s="1"/>
  <c r="G57" i="3"/>
  <c r="P57" i="3" s="1"/>
  <c r="F57" i="3"/>
  <c r="D57" i="3" s="1"/>
  <c r="M57" i="3" s="1"/>
  <c r="E57" i="3"/>
  <c r="AG56" i="3"/>
  <c r="AF56" i="3"/>
  <c r="AE56" i="3"/>
  <c r="AC56" i="3"/>
  <c r="AB56" i="3"/>
  <c r="AA56" i="3"/>
  <c r="Z56" i="3"/>
  <c r="AD56" i="3" s="1"/>
  <c r="Y56" i="3"/>
  <c r="W56" i="3"/>
  <c r="V56" i="3"/>
  <c r="U56" i="3"/>
  <c r="T56" i="3"/>
  <c r="X56" i="3" s="1"/>
  <c r="S56" i="3"/>
  <c r="R56" i="3"/>
  <c r="P56" i="3"/>
  <c r="O56" i="3"/>
  <c r="J56" i="3" s="1"/>
  <c r="L56" i="3"/>
  <c r="I56" i="3"/>
  <c r="Q56" i="3" s="1"/>
  <c r="H56" i="3"/>
  <c r="N56" i="3" s="1"/>
  <c r="G56" i="3"/>
  <c r="F56" i="3"/>
  <c r="E56" i="3"/>
  <c r="D56" i="3"/>
  <c r="M56" i="3" s="1"/>
  <c r="C56" i="3"/>
  <c r="AF55" i="3"/>
  <c r="AG55" i="3" s="1"/>
  <c r="AE55" i="3"/>
  <c r="AC55" i="3"/>
  <c r="AB55" i="3"/>
  <c r="AA55" i="3"/>
  <c r="Z55" i="3"/>
  <c r="AD55" i="3" s="1"/>
  <c r="Y55" i="3"/>
  <c r="W55" i="3"/>
  <c r="V55" i="3"/>
  <c r="U55" i="3"/>
  <c r="T55" i="3"/>
  <c r="S55" i="3"/>
  <c r="R55" i="3"/>
  <c r="Q55" i="3"/>
  <c r="P55" i="3"/>
  <c r="O55" i="3"/>
  <c r="L55" i="3"/>
  <c r="J55" i="3"/>
  <c r="I55" i="3"/>
  <c r="H55" i="3"/>
  <c r="N55" i="3" s="1"/>
  <c r="G55" i="3"/>
  <c r="F55" i="3"/>
  <c r="E55" i="3"/>
  <c r="D55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L54" i="3"/>
  <c r="J54" i="3" s="1"/>
  <c r="I54" i="3"/>
  <c r="H54" i="3"/>
  <c r="N54" i="3" s="1"/>
  <c r="G54" i="3"/>
  <c r="F54" i="3"/>
  <c r="E54" i="3"/>
  <c r="AF53" i="3"/>
  <c r="AE53" i="3"/>
  <c r="AG53" i="3" s="1"/>
  <c r="AD53" i="3"/>
  <c r="AC53" i="3"/>
  <c r="AA53" i="3"/>
  <c r="Z53" i="3"/>
  <c r="Y53" i="3"/>
  <c r="X53" i="3"/>
  <c r="W53" i="3"/>
  <c r="U53" i="3"/>
  <c r="T53" i="3"/>
  <c r="S53" i="3"/>
  <c r="V53" i="3" s="1"/>
  <c r="R53" i="3"/>
  <c r="R52" i="3" s="1"/>
  <c r="Q53" i="3"/>
  <c r="O53" i="3"/>
  <c r="L53" i="3"/>
  <c r="I53" i="3"/>
  <c r="H53" i="3"/>
  <c r="N53" i="3" s="1"/>
  <c r="G53" i="3"/>
  <c r="P53" i="3" s="1"/>
  <c r="F53" i="3"/>
  <c r="E53" i="3"/>
  <c r="Z52" i="3"/>
  <c r="S52" i="3"/>
  <c r="H52" i="3"/>
  <c r="AG51" i="3"/>
  <c r="AF51" i="3"/>
  <c r="AE51" i="3"/>
  <c r="AC51" i="3"/>
  <c r="AA51" i="3"/>
  <c r="Z51" i="3"/>
  <c r="AD51" i="3" s="1"/>
  <c r="Y51" i="3"/>
  <c r="W51" i="3"/>
  <c r="U51" i="3"/>
  <c r="T51" i="3"/>
  <c r="X51" i="3" s="1"/>
  <c r="S51" i="3"/>
  <c r="V51" i="3" s="1"/>
  <c r="R51" i="3"/>
  <c r="O51" i="3"/>
  <c r="L51" i="3"/>
  <c r="J51" i="3" s="1"/>
  <c r="I51" i="3"/>
  <c r="Q51" i="3" s="1"/>
  <c r="H51" i="3"/>
  <c r="N51" i="3" s="1"/>
  <c r="G51" i="3"/>
  <c r="P51" i="3" s="1"/>
  <c r="F51" i="3"/>
  <c r="D51" i="3" s="1"/>
  <c r="M51" i="3" s="1"/>
  <c r="E51" i="3"/>
  <c r="C51" i="3"/>
  <c r="K51" i="3" s="1"/>
  <c r="AG50" i="3"/>
  <c r="AF50" i="3"/>
  <c r="AE50" i="3"/>
  <c r="AC50" i="3"/>
  <c r="AB50" i="3"/>
  <c r="AA50" i="3"/>
  <c r="Z50" i="3"/>
  <c r="AD50" i="3" s="1"/>
  <c r="Y50" i="3"/>
  <c r="W50" i="3"/>
  <c r="V50" i="3"/>
  <c r="U50" i="3"/>
  <c r="T50" i="3"/>
  <c r="X50" i="3" s="1"/>
  <c r="S50" i="3"/>
  <c r="R50" i="3"/>
  <c r="P50" i="3"/>
  <c r="O50" i="3"/>
  <c r="L50" i="3"/>
  <c r="J50" i="3"/>
  <c r="I50" i="3"/>
  <c r="Q50" i="3" s="1"/>
  <c r="H50" i="3"/>
  <c r="N50" i="3" s="1"/>
  <c r="G50" i="3"/>
  <c r="F50" i="3"/>
  <c r="E50" i="3"/>
  <c r="D50" i="3"/>
  <c r="M50" i="3" s="1"/>
  <c r="AG49" i="3"/>
  <c r="AF49" i="3"/>
  <c r="AE49" i="3"/>
  <c r="AC49" i="3"/>
  <c r="AB49" i="3"/>
  <c r="AA49" i="3"/>
  <c r="Z49" i="3"/>
  <c r="AD49" i="3" s="1"/>
  <c r="Y49" i="3"/>
  <c r="W49" i="3"/>
  <c r="V49" i="3"/>
  <c r="U49" i="3"/>
  <c r="T49" i="3"/>
  <c r="X49" i="3" s="1"/>
  <c r="S49" i="3"/>
  <c r="R49" i="3"/>
  <c r="Q49" i="3"/>
  <c r="P49" i="3"/>
  <c r="O49" i="3"/>
  <c r="L49" i="3"/>
  <c r="J49" i="3"/>
  <c r="I49" i="3"/>
  <c r="H49" i="3"/>
  <c r="N49" i="3" s="1"/>
  <c r="G49" i="3"/>
  <c r="F49" i="3"/>
  <c r="E49" i="3"/>
  <c r="D49" i="3" s="1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L48" i="3"/>
  <c r="J48" i="3" s="1"/>
  <c r="I48" i="3"/>
  <c r="H48" i="3"/>
  <c r="N48" i="3" s="1"/>
  <c r="G48" i="3"/>
  <c r="F48" i="3"/>
  <c r="E48" i="3"/>
  <c r="D48" i="3" s="1"/>
  <c r="AF47" i="3"/>
  <c r="AE47" i="3"/>
  <c r="AG47" i="3" s="1"/>
  <c r="AD47" i="3"/>
  <c r="AC47" i="3"/>
  <c r="AA47" i="3"/>
  <c r="Z47" i="3"/>
  <c r="Y47" i="3"/>
  <c r="AB47" i="3" s="1"/>
  <c r="X47" i="3"/>
  <c r="W47" i="3"/>
  <c r="U47" i="3"/>
  <c r="T47" i="3"/>
  <c r="S47" i="3"/>
  <c r="V47" i="3" s="1"/>
  <c r="R47" i="3"/>
  <c r="Q47" i="3"/>
  <c r="O47" i="3"/>
  <c r="L47" i="3"/>
  <c r="J47" i="3" s="1"/>
  <c r="I47" i="3"/>
  <c r="H47" i="3"/>
  <c r="N47" i="3" s="1"/>
  <c r="G47" i="3"/>
  <c r="P47" i="3" s="1"/>
  <c r="F47" i="3"/>
  <c r="D47" i="3" s="1"/>
  <c r="E47" i="3"/>
  <c r="AF46" i="3"/>
  <c r="AE46" i="3"/>
  <c r="AG46" i="3" s="1"/>
  <c r="AC46" i="3"/>
  <c r="AA46" i="3"/>
  <c r="Z46" i="3"/>
  <c r="AD46" i="3" s="1"/>
  <c r="Y46" i="3"/>
  <c r="AB46" i="3" s="1"/>
  <c r="W46" i="3"/>
  <c r="U46" i="3"/>
  <c r="T46" i="3"/>
  <c r="X46" i="3" s="1"/>
  <c r="S46" i="3"/>
  <c r="V46" i="3" s="1"/>
  <c r="R46" i="3"/>
  <c r="Q46" i="3"/>
  <c r="O46" i="3"/>
  <c r="N46" i="3"/>
  <c r="L46" i="3"/>
  <c r="J46" i="3" s="1"/>
  <c r="I46" i="3"/>
  <c r="H46" i="3"/>
  <c r="G46" i="3"/>
  <c r="P46" i="3" s="1"/>
  <c r="F46" i="3"/>
  <c r="E46" i="3"/>
  <c r="D46" i="3" s="1"/>
  <c r="C46" i="3" s="1"/>
  <c r="K46" i="3" s="1"/>
  <c r="AG45" i="3"/>
  <c r="AF45" i="3"/>
  <c r="AE45" i="3"/>
  <c r="AC45" i="3"/>
  <c r="AA45" i="3"/>
  <c r="Z45" i="3"/>
  <c r="AD45" i="3" s="1"/>
  <c r="Y45" i="3"/>
  <c r="W45" i="3"/>
  <c r="U45" i="3"/>
  <c r="T45" i="3"/>
  <c r="X45" i="3" s="1"/>
  <c r="S45" i="3"/>
  <c r="V45" i="3" s="1"/>
  <c r="R45" i="3"/>
  <c r="O45" i="3"/>
  <c r="N45" i="3"/>
  <c r="L45" i="3"/>
  <c r="I45" i="3"/>
  <c r="Q45" i="3" s="1"/>
  <c r="H45" i="3"/>
  <c r="G45" i="3"/>
  <c r="P45" i="3" s="1"/>
  <c r="F45" i="3"/>
  <c r="D45" i="3" s="1"/>
  <c r="M45" i="3" s="1"/>
  <c r="E45" i="3"/>
  <c r="AG44" i="3"/>
  <c r="AF44" i="3"/>
  <c r="AE44" i="3"/>
  <c r="AC44" i="3"/>
  <c r="AB44" i="3"/>
  <c r="AA44" i="3"/>
  <c r="Z44" i="3"/>
  <c r="AD44" i="3" s="1"/>
  <c r="Y44" i="3"/>
  <c r="W44" i="3"/>
  <c r="V44" i="3"/>
  <c r="U44" i="3"/>
  <c r="T44" i="3"/>
  <c r="X44" i="3" s="1"/>
  <c r="S44" i="3"/>
  <c r="R44" i="3"/>
  <c r="P44" i="3"/>
  <c r="O44" i="3"/>
  <c r="J44" i="3" s="1"/>
  <c r="L44" i="3"/>
  <c r="I44" i="3"/>
  <c r="Q44" i="3" s="1"/>
  <c r="H44" i="3"/>
  <c r="N44" i="3" s="1"/>
  <c r="G44" i="3"/>
  <c r="F44" i="3"/>
  <c r="E44" i="3"/>
  <c r="D44" i="3"/>
  <c r="M44" i="3" s="1"/>
  <c r="C44" i="3"/>
  <c r="K44" i="3" s="1"/>
  <c r="AG43" i="3"/>
  <c r="AF43" i="3"/>
  <c r="AE43" i="3"/>
  <c r="AC43" i="3"/>
  <c r="AB43" i="3"/>
  <c r="AA43" i="3"/>
  <c r="Z43" i="3"/>
  <c r="Y43" i="3"/>
  <c r="W43" i="3"/>
  <c r="V43" i="3"/>
  <c r="U43" i="3"/>
  <c r="T43" i="3"/>
  <c r="X43" i="3" s="1"/>
  <c r="S43" i="3"/>
  <c r="R43" i="3"/>
  <c r="Q43" i="3"/>
  <c r="P43" i="3"/>
  <c r="O43" i="3"/>
  <c r="L43" i="3"/>
  <c r="J43" i="3"/>
  <c r="I43" i="3"/>
  <c r="H43" i="3"/>
  <c r="N43" i="3" s="1"/>
  <c r="G43" i="3"/>
  <c r="F43" i="3"/>
  <c r="E43" i="3"/>
  <c r="D43" i="3" s="1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L42" i="3"/>
  <c r="J42" i="3" s="1"/>
  <c r="I42" i="3"/>
  <c r="H42" i="3"/>
  <c r="N42" i="3" s="1"/>
  <c r="G42" i="3"/>
  <c r="F42" i="3"/>
  <c r="E42" i="3"/>
  <c r="D42" i="3" s="1"/>
  <c r="AF41" i="3"/>
  <c r="AE41" i="3"/>
  <c r="AG41" i="3" s="1"/>
  <c r="AD41" i="3"/>
  <c r="AC41" i="3"/>
  <c r="AA41" i="3"/>
  <c r="Z41" i="3"/>
  <c r="Y41" i="3"/>
  <c r="AB41" i="3" s="1"/>
  <c r="X41" i="3"/>
  <c r="W41" i="3"/>
  <c r="U41" i="3"/>
  <c r="T41" i="3"/>
  <c r="S41" i="3"/>
  <c r="V41" i="3" s="1"/>
  <c r="R41" i="3"/>
  <c r="Q41" i="3"/>
  <c r="O41" i="3"/>
  <c r="L41" i="3"/>
  <c r="J41" i="3" s="1"/>
  <c r="I41" i="3"/>
  <c r="H41" i="3"/>
  <c r="G41" i="3"/>
  <c r="P41" i="3" s="1"/>
  <c r="F41" i="3"/>
  <c r="D41" i="3" s="1"/>
  <c r="E41" i="3"/>
  <c r="AF40" i="3"/>
  <c r="AE40" i="3"/>
  <c r="AG40" i="3" s="1"/>
  <c r="AC40" i="3"/>
  <c r="AA40" i="3"/>
  <c r="Z40" i="3"/>
  <c r="AD40" i="3" s="1"/>
  <c r="Y40" i="3"/>
  <c r="AB40" i="3" s="1"/>
  <c r="W40" i="3"/>
  <c r="U40" i="3"/>
  <c r="T40" i="3"/>
  <c r="X40" i="3" s="1"/>
  <c r="S40" i="3"/>
  <c r="V40" i="3" s="1"/>
  <c r="R40" i="3"/>
  <c r="Q40" i="3"/>
  <c r="O40" i="3"/>
  <c r="N40" i="3"/>
  <c r="L40" i="3"/>
  <c r="J40" i="3" s="1"/>
  <c r="I40" i="3"/>
  <c r="H40" i="3"/>
  <c r="G40" i="3"/>
  <c r="P40" i="3" s="1"/>
  <c r="F40" i="3"/>
  <c r="E40" i="3"/>
  <c r="D40" i="3" s="1"/>
  <c r="AG39" i="3"/>
  <c r="AF39" i="3"/>
  <c r="AE39" i="3"/>
  <c r="AC39" i="3"/>
  <c r="AA39" i="3"/>
  <c r="Z39" i="3"/>
  <c r="AD39" i="3" s="1"/>
  <c r="Y39" i="3"/>
  <c r="W39" i="3"/>
  <c r="U39" i="3"/>
  <c r="T39" i="3"/>
  <c r="X39" i="3" s="1"/>
  <c r="S39" i="3"/>
  <c r="V39" i="3" s="1"/>
  <c r="R39" i="3"/>
  <c r="O39" i="3"/>
  <c r="L39" i="3"/>
  <c r="J39" i="3" s="1"/>
  <c r="I39" i="3"/>
  <c r="Q39" i="3" s="1"/>
  <c r="H39" i="3"/>
  <c r="N39" i="3" s="1"/>
  <c r="G39" i="3"/>
  <c r="P39" i="3" s="1"/>
  <c r="F39" i="3"/>
  <c r="D39" i="3" s="1"/>
  <c r="M39" i="3" s="1"/>
  <c r="E39" i="3"/>
  <c r="C39" i="3"/>
  <c r="K39" i="3" s="1"/>
  <c r="AG38" i="3"/>
  <c r="AF38" i="3"/>
  <c r="AE38" i="3"/>
  <c r="AC38" i="3"/>
  <c r="AB38" i="3"/>
  <c r="AA38" i="3"/>
  <c r="Z38" i="3"/>
  <c r="AD38" i="3" s="1"/>
  <c r="Y38" i="3"/>
  <c r="W38" i="3"/>
  <c r="V38" i="3"/>
  <c r="U38" i="3"/>
  <c r="T38" i="3"/>
  <c r="X38" i="3" s="1"/>
  <c r="S38" i="3"/>
  <c r="R38" i="3"/>
  <c r="P38" i="3"/>
  <c r="O38" i="3"/>
  <c r="L38" i="3"/>
  <c r="J38" i="3"/>
  <c r="I38" i="3"/>
  <c r="Q38" i="3" s="1"/>
  <c r="H38" i="3"/>
  <c r="N38" i="3" s="1"/>
  <c r="G38" i="3"/>
  <c r="F38" i="3"/>
  <c r="E38" i="3"/>
  <c r="D38" i="3"/>
  <c r="M38" i="3" s="1"/>
  <c r="AG37" i="3"/>
  <c r="AF37" i="3"/>
  <c r="AE37" i="3"/>
  <c r="AC37" i="3"/>
  <c r="AB37" i="3"/>
  <c r="AA37" i="3"/>
  <c r="Z37" i="3"/>
  <c r="AD37" i="3" s="1"/>
  <c r="Y37" i="3"/>
  <c r="W37" i="3"/>
  <c r="V37" i="3"/>
  <c r="U37" i="3"/>
  <c r="T37" i="3"/>
  <c r="X37" i="3" s="1"/>
  <c r="S37" i="3"/>
  <c r="R37" i="3"/>
  <c r="Q37" i="3"/>
  <c r="P37" i="3"/>
  <c r="O37" i="3"/>
  <c r="L37" i="3"/>
  <c r="J37" i="3"/>
  <c r="I37" i="3"/>
  <c r="H37" i="3"/>
  <c r="N37" i="3" s="1"/>
  <c r="G37" i="3"/>
  <c r="F37" i="3"/>
  <c r="E37" i="3"/>
  <c r="D37" i="3" s="1"/>
  <c r="AG36" i="3"/>
  <c r="AF36" i="3"/>
  <c r="AE36" i="3"/>
  <c r="AC36" i="3"/>
  <c r="AA36" i="3"/>
  <c r="AB36" i="3" s="1"/>
  <c r="Z36" i="3"/>
  <c r="Y36" i="3"/>
  <c r="X36" i="3"/>
  <c r="W36" i="3"/>
  <c r="U36" i="3"/>
  <c r="V36" i="3" s="1"/>
  <c r="T36" i="3"/>
  <c r="S36" i="3"/>
  <c r="R36" i="3"/>
  <c r="Q36" i="3"/>
  <c r="P36" i="3"/>
  <c r="O36" i="3"/>
  <c r="L36" i="3"/>
  <c r="J36" i="3" s="1"/>
  <c r="I36" i="3"/>
  <c r="H36" i="3"/>
  <c r="N36" i="3" s="1"/>
  <c r="G36" i="3"/>
  <c r="F36" i="3"/>
  <c r="E36" i="3"/>
  <c r="AF35" i="3"/>
  <c r="AE35" i="3"/>
  <c r="AG35" i="3" s="1"/>
  <c r="AD35" i="3"/>
  <c r="AC35" i="3"/>
  <c r="AA35" i="3"/>
  <c r="Z35" i="3"/>
  <c r="Y35" i="3"/>
  <c r="AB35" i="3" s="1"/>
  <c r="X35" i="3"/>
  <c r="W35" i="3"/>
  <c r="U35" i="3"/>
  <c r="T35" i="3"/>
  <c r="S35" i="3"/>
  <c r="V35" i="3" s="1"/>
  <c r="R35" i="3"/>
  <c r="Q35" i="3"/>
  <c r="O35" i="3"/>
  <c r="L35" i="3"/>
  <c r="J35" i="3" s="1"/>
  <c r="I35" i="3"/>
  <c r="H35" i="3"/>
  <c r="G35" i="3"/>
  <c r="P35" i="3" s="1"/>
  <c r="F35" i="3"/>
  <c r="D35" i="3" s="1"/>
  <c r="M35" i="3" s="1"/>
  <c r="E35" i="3"/>
  <c r="AF34" i="3"/>
  <c r="AE34" i="3"/>
  <c r="AG34" i="3" s="1"/>
  <c r="AC34" i="3"/>
  <c r="AA34" i="3"/>
  <c r="Z34" i="3"/>
  <c r="AD34" i="3" s="1"/>
  <c r="Y34" i="3"/>
  <c r="AB34" i="3" s="1"/>
  <c r="W34" i="3"/>
  <c r="U34" i="3"/>
  <c r="T34" i="3"/>
  <c r="X34" i="3" s="1"/>
  <c r="S34" i="3"/>
  <c r="V34" i="3" s="1"/>
  <c r="R34" i="3"/>
  <c r="Q34" i="3"/>
  <c r="O34" i="3"/>
  <c r="L34" i="3"/>
  <c r="J34" i="3" s="1"/>
  <c r="I34" i="3"/>
  <c r="H34" i="3"/>
  <c r="N34" i="3" s="1"/>
  <c r="G34" i="3"/>
  <c r="P34" i="3" s="1"/>
  <c r="F34" i="3"/>
  <c r="E34" i="3"/>
  <c r="D34" i="3" s="1"/>
  <c r="AG33" i="3"/>
  <c r="AF33" i="3"/>
  <c r="AE33" i="3"/>
  <c r="AC33" i="3"/>
  <c r="AA33" i="3"/>
  <c r="Z33" i="3"/>
  <c r="Y33" i="3"/>
  <c r="AB33" i="3" s="1"/>
  <c r="W33" i="3"/>
  <c r="U33" i="3"/>
  <c r="T33" i="3"/>
  <c r="S33" i="3"/>
  <c r="V33" i="3" s="1"/>
  <c r="R33" i="3"/>
  <c r="O33" i="3"/>
  <c r="N33" i="3"/>
  <c r="L33" i="3"/>
  <c r="I33" i="3"/>
  <c r="Q33" i="3" s="1"/>
  <c r="H33" i="3"/>
  <c r="G33" i="3"/>
  <c r="P33" i="3" s="1"/>
  <c r="F33" i="3"/>
  <c r="D33" i="3" s="1"/>
  <c r="E33" i="3"/>
  <c r="AG32" i="3"/>
  <c r="AF32" i="3"/>
  <c r="AE32" i="3"/>
  <c r="AC32" i="3"/>
  <c r="AB32" i="3"/>
  <c r="AA32" i="3"/>
  <c r="Z32" i="3"/>
  <c r="AD32" i="3" s="1"/>
  <c r="Y32" i="3"/>
  <c r="W32" i="3"/>
  <c r="V32" i="3"/>
  <c r="U32" i="3"/>
  <c r="T32" i="3"/>
  <c r="X32" i="3" s="1"/>
  <c r="S32" i="3"/>
  <c r="S31" i="3" s="1"/>
  <c r="R32" i="3"/>
  <c r="P32" i="3"/>
  <c r="O32" i="3"/>
  <c r="L32" i="3"/>
  <c r="I32" i="3"/>
  <c r="H32" i="3"/>
  <c r="N32" i="3" s="1"/>
  <c r="G32" i="3"/>
  <c r="F32" i="3"/>
  <c r="E32" i="3"/>
  <c r="D32" i="3"/>
  <c r="M32" i="3" s="1"/>
  <c r="C32" i="3"/>
  <c r="K32" i="3" s="1"/>
  <c r="W31" i="3"/>
  <c r="E31" i="3"/>
  <c r="AG30" i="3"/>
  <c r="AF30" i="3"/>
  <c r="AE30" i="3"/>
  <c r="AC30" i="3"/>
  <c r="AD30" i="3" s="1"/>
  <c r="AA30" i="3"/>
  <c r="AB30" i="3" s="1"/>
  <c r="Z30" i="3"/>
  <c r="Y30" i="3"/>
  <c r="W30" i="3"/>
  <c r="X30" i="3" s="1"/>
  <c r="U30" i="3"/>
  <c r="V30" i="3" s="1"/>
  <c r="T30" i="3"/>
  <c r="S30" i="3"/>
  <c r="R30" i="3"/>
  <c r="Q30" i="3"/>
  <c r="P30" i="3"/>
  <c r="O30" i="3"/>
  <c r="L30" i="3"/>
  <c r="J30" i="3" s="1"/>
  <c r="I30" i="3"/>
  <c r="H30" i="3"/>
  <c r="G30" i="3"/>
  <c r="F30" i="3"/>
  <c r="E30" i="3"/>
  <c r="AF29" i="3"/>
  <c r="AE29" i="3"/>
  <c r="AG29" i="3" s="1"/>
  <c r="AD29" i="3"/>
  <c r="AC29" i="3"/>
  <c r="AA29" i="3"/>
  <c r="Z29" i="3"/>
  <c r="Y29" i="3"/>
  <c r="AB29" i="3" s="1"/>
  <c r="X29" i="3"/>
  <c r="W29" i="3"/>
  <c r="U29" i="3"/>
  <c r="T29" i="3"/>
  <c r="S29" i="3"/>
  <c r="V29" i="3" s="1"/>
  <c r="R29" i="3"/>
  <c r="Q29" i="3"/>
  <c r="O29" i="3"/>
  <c r="L29" i="3"/>
  <c r="I29" i="3"/>
  <c r="H29" i="3"/>
  <c r="G29" i="3"/>
  <c r="P29" i="3" s="1"/>
  <c r="F29" i="3"/>
  <c r="D29" i="3" s="1"/>
  <c r="E29" i="3"/>
  <c r="AF28" i="3"/>
  <c r="AE28" i="3"/>
  <c r="AG28" i="3" s="1"/>
  <c r="AC28" i="3"/>
  <c r="AA28" i="3"/>
  <c r="Z28" i="3"/>
  <c r="AD28" i="3" s="1"/>
  <c r="Y28" i="3"/>
  <c r="AB28" i="3" s="1"/>
  <c r="W28" i="3"/>
  <c r="U28" i="3"/>
  <c r="T28" i="3"/>
  <c r="X28" i="3" s="1"/>
  <c r="S28" i="3"/>
  <c r="V28" i="3" s="1"/>
  <c r="R28" i="3"/>
  <c r="Q28" i="3"/>
  <c r="O28" i="3"/>
  <c r="N28" i="3"/>
  <c r="L28" i="3"/>
  <c r="J28" i="3" s="1"/>
  <c r="I28" i="3"/>
  <c r="H28" i="3"/>
  <c r="G28" i="3"/>
  <c r="P28" i="3" s="1"/>
  <c r="F28" i="3"/>
  <c r="E28" i="3"/>
  <c r="D28" i="3" s="1"/>
  <c r="AG27" i="3"/>
  <c r="AF27" i="3"/>
  <c r="AE27" i="3"/>
  <c r="AC27" i="3"/>
  <c r="AA27" i="3"/>
  <c r="Z27" i="3"/>
  <c r="AD27" i="3" s="1"/>
  <c r="Y27" i="3"/>
  <c r="AB27" i="3" s="1"/>
  <c r="W27" i="3"/>
  <c r="U27" i="3"/>
  <c r="T27" i="3"/>
  <c r="X27" i="3" s="1"/>
  <c r="S27" i="3"/>
  <c r="V27" i="3" s="1"/>
  <c r="R27" i="3"/>
  <c r="O27" i="3"/>
  <c r="L27" i="3"/>
  <c r="I27" i="3"/>
  <c r="Q27" i="3" s="1"/>
  <c r="H27" i="3"/>
  <c r="N27" i="3" s="1"/>
  <c r="G27" i="3"/>
  <c r="P27" i="3" s="1"/>
  <c r="F27" i="3"/>
  <c r="E27" i="3"/>
  <c r="D27" i="3" s="1"/>
  <c r="M27" i="3" s="1"/>
  <c r="C27" i="3"/>
  <c r="K27" i="3" s="1"/>
  <c r="AG26" i="3"/>
  <c r="AF26" i="3"/>
  <c r="AE26" i="3"/>
  <c r="AC26" i="3"/>
  <c r="AA26" i="3"/>
  <c r="AB26" i="3" s="1"/>
  <c r="Z26" i="3"/>
  <c r="AD26" i="3" s="1"/>
  <c r="Y26" i="3"/>
  <c r="W26" i="3"/>
  <c r="V26" i="3"/>
  <c r="U26" i="3"/>
  <c r="T26" i="3"/>
  <c r="X26" i="3" s="1"/>
  <c r="S26" i="3"/>
  <c r="R26" i="3"/>
  <c r="P26" i="3"/>
  <c r="O26" i="3"/>
  <c r="J26" i="3" s="1"/>
  <c r="L26" i="3"/>
  <c r="I26" i="3"/>
  <c r="Q26" i="3" s="1"/>
  <c r="H26" i="3"/>
  <c r="N26" i="3" s="1"/>
  <c r="G26" i="3"/>
  <c r="F26" i="3"/>
  <c r="E26" i="3"/>
  <c r="D26" i="3"/>
  <c r="M26" i="3" s="1"/>
  <c r="C26" i="3"/>
  <c r="K26" i="3" s="1"/>
  <c r="AG25" i="3"/>
  <c r="AF25" i="3"/>
  <c r="AE25" i="3"/>
  <c r="AC25" i="3"/>
  <c r="AB25" i="3"/>
  <c r="AA25" i="3"/>
  <c r="Z25" i="3"/>
  <c r="AD25" i="3" s="1"/>
  <c r="Y25" i="3"/>
  <c r="W25" i="3"/>
  <c r="V25" i="3"/>
  <c r="U25" i="3"/>
  <c r="T25" i="3"/>
  <c r="X25" i="3" s="1"/>
  <c r="S25" i="3"/>
  <c r="R25" i="3"/>
  <c r="Q25" i="3"/>
  <c r="P25" i="3"/>
  <c r="O25" i="3"/>
  <c r="L25" i="3"/>
  <c r="J25" i="3"/>
  <c r="I25" i="3"/>
  <c r="H25" i="3"/>
  <c r="N25" i="3" s="1"/>
  <c r="G25" i="3"/>
  <c r="F25" i="3"/>
  <c r="E25" i="3"/>
  <c r="D25" i="3" s="1"/>
  <c r="AG24" i="3"/>
  <c r="AF24" i="3"/>
  <c r="AE24" i="3"/>
  <c r="AD24" i="3"/>
  <c r="AC24" i="3"/>
  <c r="AA24" i="3"/>
  <c r="AB24" i="3" s="1"/>
  <c r="Z24" i="3"/>
  <c r="Y24" i="3"/>
  <c r="W24" i="3"/>
  <c r="X24" i="3" s="1"/>
  <c r="U24" i="3"/>
  <c r="V24" i="3" s="1"/>
  <c r="T24" i="3"/>
  <c r="S24" i="3"/>
  <c r="R24" i="3"/>
  <c r="Q24" i="3"/>
  <c r="P24" i="3"/>
  <c r="O24" i="3"/>
  <c r="L24" i="3"/>
  <c r="J24" i="3" s="1"/>
  <c r="I24" i="3"/>
  <c r="H24" i="3"/>
  <c r="N24" i="3" s="1"/>
  <c r="G24" i="3"/>
  <c r="F24" i="3"/>
  <c r="E24" i="3"/>
  <c r="AF23" i="3"/>
  <c r="AE23" i="3"/>
  <c r="AG23" i="3" s="1"/>
  <c r="AD23" i="3"/>
  <c r="AC23" i="3"/>
  <c r="AA23" i="3"/>
  <c r="Z23" i="3"/>
  <c r="Y23" i="3"/>
  <c r="AB23" i="3" s="1"/>
  <c r="X23" i="3"/>
  <c r="W23" i="3"/>
  <c r="U23" i="3"/>
  <c r="T23" i="3"/>
  <c r="S23" i="3"/>
  <c r="V23" i="3" s="1"/>
  <c r="R23" i="3"/>
  <c r="Q23" i="3"/>
  <c r="O23" i="3"/>
  <c r="M23" i="3"/>
  <c r="L23" i="3"/>
  <c r="J23" i="3" s="1"/>
  <c r="I23" i="3"/>
  <c r="H23" i="3"/>
  <c r="N23" i="3" s="1"/>
  <c r="G23" i="3"/>
  <c r="P23" i="3" s="1"/>
  <c r="F23" i="3"/>
  <c r="D23" i="3" s="1"/>
  <c r="C23" i="3" s="1"/>
  <c r="E23" i="3"/>
  <c r="AF22" i="3"/>
  <c r="AE22" i="3"/>
  <c r="AG22" i="3" s="1"/>
  <c r="AC22" i="3"/>
  <c r="AA22" i="3"/>
  <c r="Z22" i="3"/>
  <c r="AD22" i="3" s="1"/>
  <c r="Y22" i="3"/>
  <c r="AB22" i="3" s="1"/>
  <c r="W22" i="3"/>
  <c r="U22" i="3"/>
  <c r="T22" i="3"/>
  <c r="X22" i="3" s="1"/>
  <c r="S22" i="3"/>
  <c r="V22" i="3" s="1"/>
  <c r="R22" i="3"/>
  <c r="Q22" i="3"/>
  <c r="O22" i="3"/>
  <c r="L22" i="3"/>
  <c r="J22" i="3" s="1"/>
  <c r="I22" i="3"/>
  <c r="H22" i="3"/>
  <c r="N22" i="3" s="1"/>
  <c r="G22" i="3"/>
  <c r="P22" i="3" s="1"/>
  <c r="F22" i="3"/>
  <c r="E22" i="3"/>
  <c r="D22" i="3" s="1"/>
  <c r="C22" i="3" s="1"/>
  <c r="K22" i="3" s="1"/>
  <c r="AG21" i="3"/>
  <c r="AF21" i="3"/>
  <c r="AE21" i="3"/>
  <c r="AC21" i="3"/>
  <c r="AA21" i="3"/>
  <c r="Z21" i="3"/>
  <c r="AD21" i="3" s="1"/>
  <c r="Y21" i="3"/>
  <c r="AB21" i="3" s="1"/>
  <c r="W21" i="3"/>
  <c r="U21" i="3"/>
  <c r="U13" i="3" s="1"/>
  <c r="T21" i="3"/>
  <c r="X21" i="3" s="1"/>
  <c r="S21" i="3"/>
  <c r="V21" i="3" s="1"/>
  <c r="R21" i="3"/>
  <c r="O21" i="3"/>
  <c r="N21" i="3"/>
  <c r="L21" i="3"/>
  <c r="J21" i="3" s="1"/>
  <c r="I21" i="3"/>
  <c r="Q21" i="3" s="1"/>
  <c r="H21" i="3"/>
  <c r="G21" i="3"/>
  <c r="P21" i="3" s="1"/>
  <c r="F21" i="3"/>
  <c r="E21" i="3"/>
  <c r="D21" i="3" s="1"/>
  <c r="M21" i="3" s="1"/>
  <c r="C21" i="3"/>
  <c r="K21" i="3" s="1"/>
  <c r="AG20" i="3"/>
  <c r="AF20" i="3"/>
  <c r="AE20" i="3"/>
  <c r="AC20" i="3"/>
  <c r="AA20" i="3"/>
  <c r="AB20" i="3" s="1"/>
  <c r="Z20" i="3"/>
  <c r="AD20" i="3" s="1"/>
  <c r="Y20" i="3"/>
  <c r="W20" i="3"/>
  <c r="U20" i="3"/>
  <c r="V20" i="3" s="1"/>
  <c r="T20" i="3"/>
  <c r="X20" i="3" s="1"/>
  <c r="S20" i="3"/>
  <c r="R20" i="3"/>
  <c r="P20" i="3"/>
  <c r="O20" i="3"/>
  <c r="L20" i="3"/>
  <c r="J20" i="3"/>
  <c r="I20" i="3"/>
  <c r="Q20" i="3" s="1"/>
  <c r="H20" i="3"/>
  <c r="N20" i="3" s="1"/>
  <c r="G20" i="3"/>
  <c r="F20" i="3"/>
  <c r="E20" i="3"/>
  <c r="D20" i="3"/>
  <c r="AF19" i="3"/>
  <c r="AG19" i="3" s="1"/>
  <c r="AE19" i="3"/>
  <c r="AC19" i="3"/>
  <c r="AB19" i="3"/>
  <c r="AA19" i="3"/>
  <c r="Z19" i="3"/>
  <c r="AD19" i="3" s="1"/>
  <c r="Y19" i="3"/>
  <c r="W19" i="3"/>
  <c r="V19" i="3"/>
  <c r="U19" i="3"/>
  <c r="T19" i="3"/>
  <c r="S19" i="3"/>
  <c r="R19" i="3"/>
  <c r="Q19" i="3"/>
  <c r="P19" i="3"/>
  <c r="O19" i="3"/>
  <c r="L19" i="3"/>
  <c r="J19" i="3"/>
  <c r="I19" i="3"/>
  <c r="H19" i="3"/>
  <c r="N19" i="3" s="1"/>
  <c r="G19" i="3"/>
  <c r="F19" i="3"/>
  <c r="E19" i="3"/>
  <c r="D19" i="3" s="1"/>
  <c r="AG18" i="3"/>
  <c r="AF18" i="3"/>
  <c r="AE18" i="3"/>
  <c r="AD18" i="3"/>
  <c r="AC18" i="3"/>
  <c r="AA18" i="3"/>
  <c r="AB18" i="3" s="1"/>
  <c r="Z18" i="3"/>
  <c r="Y18" i="3"/>
  <c r="X18" i="3"/>
  <c r="W18" i="3"/>
  <c r="V18" i="3"/>
  <c r="U18" i="3"/>
  <c r="T18" i="3"/>
  <c r="S18" i="3"/>
  <c r="R18" i="3"/>
  <c r="Q18" i="3"/>
  <c r="P18" i="3"/>
  <c r="O18" i="3"/>
  <c r="L18" i="3"/>
  <c r="J18" i="3" s="1"/>
  <c r="I18" i="3"/>
  <c r="H18" i="3"/>
  <c r="N18" i="3" s="1"/>
  <c r="G18" i="3"/>
  <c r="F18" i="3"/>
  <c r="E18" i="3"/>
  <c r="D18" i="3" s="1"/>
  <c r="AF17" i="3"/>
  <c r="AE17" i="3"/>
  <c r="AG17" i="3" s="1"/>
  <c r="AD17" i="3"/>
  <c r="AC17" i="3"/>
  <c r="AA17" i="3"/>
  <c r="Z17" i="3"/>
  <c r="Y17" i="3"/>
  <c r="AB17" i="3" s="1"/>
  <c r="X17" i="3"/>
  <c r="W17" i="3"/>
  <c r="W13" i="3" s="1"/>
  <c r="U17" i="3"/>
  <c r="T17" i="3"/>
  <c r="S17" i="3"/>
  <c r="V17" i="3" s="1"/>
  <c r="R17" i="3"/>
  <c r="Q17" i="3"/>
  <c r="O17" i="3"/>
  <c r="L17" i="3"/>
  <c r="J17" i="3" s="1"/>
  <c r="I17" i="3"/>
  <c r="H17" i="3"/>
  <c r="N17" i="3" s="1"/>
  <c r="G17" i="3"/>
  <c r="P17" i="3" s="1"/>
  <c r="F17" i="3"/>
  <c r="E17" i="3"/>
  <c r="AF16" i="3"/>
  <c r="AE16" i="3"/>
  <c r="AD16" i="3"/>
  <c r="AC16" i="3"/>
  <c r="AA16" i="3"/>
  <c r="Z16" i="3"/>
  <c r="Y16" i="3"/>
  <c r="AB16" i="3" s="1"/>
  <c r="W16" i="3"/>
  <c r="U16" i="3"/>
  <c r="T16" i="3"/>
  <c r="X16" i="3" s="1"/>
  <c r="S16" i="3"/>
  <c r="V16" i="3" s="1"/>
  <c r="R16" i="3"/>
  <c r="Q16" i="3"/>
  <c r="O16" i="3"/>
  <c r="N16" i="3"/>
  <c r="L16" i="3"/>
  <c r="J16" i="3" s="1"/>
  <c r="I16" i="3"/>
  <c r="H16" i="3"/>
  <c r="G16" i="3"/>
  <c r="P16" i="3" s="1"/>
  <c r="F16" i="3"/>
  <c r="E16" i="3"/>
  <c r="AF15" i="3"/>
  <c r="AG15" i="3" s="1"/>
  <c r="AE15" i="3"/>
  <c r="AC15" i="3"/>
  <c r="AA15" i="3"/>
  <c r="AA13" i="3" s="1"/>
  <c r="Z15" i="3"/>
  <c r="AD15" i="3" s="1"/>
  <c r="Y15" i="3"/>
  <c r="W15" i="3"/>
  <c r="U15" i="3"/>
  <c r="T15" i="3"/>
  <c r="X15" i="3" s="1"/>
  <c r="S15" i="3"/>
  <c r="V15" i="3" s="1"/>
  <c r="R15" i="3"/>
  <c r="O15" i="3"/>
  <c r="N15" i="3"/>
  <c r="L15" i="3"/>
  <c r="J15" i="3" s="1"/>
  <c r="I15" i="3"/>
  <c r="Q15" i="3" s="1"/>
  <c r="H15" i="3"/>
  <c r="G15" i="3"/>
  <c r="P15" i="3" s="1"/>
  <c r="F15" i="3"/>
  <c r="F13" i="3" s="1"/>
  <c r="E15" i="3"/>
  <c r="D15" i="3" s="1"/>
  <c r="M15" i="3" s="1"/>
  <c r="C15" i="3"/>
  <c r="K15" i="3" s="1"/>
  <c r="AG14" i="3"/>
  <c r="AF14" i="3"/>
  <c r="AE14" i="3"/>
  <c r="AC14" i="3"/>
  <c r="AB14" i="3"/>
  <c r="AA14" i="3"/>
  <c r="Z14" i="3"/>
  <c r="Y14" i="3"/>
  <c r="W14" i="3"/>
  <c r="V14" i="3"/>
  <c r="U14" i="3"/>
  <c r="T14" i="3"/>
  <c r="S14" i="3"/>
  <c r="S13" i="3" s="1"/>
  <c r="R14" i="3"/>
  <c r="P14" i="3"/>
  <c r="O14" i="3"/>
  <c r="O13" i="3" s="1"/>
  <c r="L14" i="3"/>
  <c r="J14" i="3"/>
  <c r="I14" i="3"/>
  <c r="Q14" i="3" s="1"/>
  <c r="H14" i="3"/>
  <c r="G14" i="3"/>
  <c r="G13" i="3" s="1"/>
  <c r="F14" i="3"/>
  <c r="E14" i="3"/>
  <c r="D14" i="3"/>
  <c r="AC13" i="3"/>
  <c r="E13" i="3"/>
  <c r="P106" i="2"/>
  <c r="O106" i="2"/>
  <c r="L106" i="2"/>
  <c r="J106" i="2"/>
  <c r="I106" i="2"/>
  <c r="Q106" i="2" s="1"/>
  <c r="H106" i="2"/>
  <c r="N106" i="2" s="1"/>
  <c r="G106" i="2"/>
  <c r="F106" i="2"/>
  <c r="E106" i="2"/>
  <c r="D106" i="2"/>
  <c r="M106" i="2" s="1"/>
  <c r="Q105" i="2"/>
  <c r="O105" i="2"/>
  <c r="L105" i="2"/>
  <c r="J105" i="2" s="1"/>
  <c r="I105" i="2"/>
  <c r="H105" i="2"/>
  <c r="N105" i="2" s="1"/>
  <c r="G105" i="2"/>
  <c r="P105" i="2" s="1"/>
  <c r="F105" i="2"/>
  <c r="E105" i="2"/>
  <c r="D105" i="2" s="1"/>
  <c r="P104" i="2"/>
  <c r="O104" i="2"/>
  <c r="N104" i="2"/>
  <c r="L104" i="2"/>
  <c r="J104" i="2"/>
  <c r="I104" i="2"/>
  <c r="Q104" i="2" s="1"/>
  <c r="H104" i="2"/>
  <c r="G104" i="2"/>
  <c r="F104" i="2"/>
  <c r="E104" i="2"/>
  <c r="D104" i="2"/>
  <c r="M104" i="2" s="1"/>
  <c r="C104" i="2"/>
  <c r="K104" i="2" s="1"/>
  <c r="Q103" i="2"/>
  <c r="O103" i="2"/>
  <c r="L103" i="2"/>
  <c r="J103" i="2" s="1"/>
  <c r="I103" i="2"/>
  <c r="H103" i="2"/>
  <c r="N103" i="2" s="1"/>
  <c r="G103" i="2"/>
  <c r="P103" i="2" s="1"/>
  <c r="F103" i="2"/>
  <c r="E103" i="2"/>
  <c r="P102" i="2"/>
  <c r="O102" i="2"/>
  <c r="N102" i="2"/>
  <c r="L102" i="2"/>
  <c r="J102" i="2"/>
  <c r="I102" i="2"/>
  <c r="Q102" i="2" s="1"/>
  <c r="H102" i="2"/>
  <c r="G102" i="2"/>
  <c r="F102" i="2"/>
  <c r="E102" i="2"/>
  <c r="D102" i="2"/>
  <c r="Q101" i="2"/>
  <c r="O101" i="2"/>
  <c r="L101" i="2"/>
  <c r="J101" i="2" s="1"/>
  <c r="I101" i="2"/>
  <c r="H101" i="2"/>
  <c r="N101" i="2" s="1"/>
  <c r="G101" i="2"/>
  <c r="P101" i="2" s="1"/>
  <c r="F101" i="2"/>
  <c r="E101" i="2"/>
  <c r="P100" i="2"/>
  <c r="O100" i="2"/>
  <c r="L100" i="2"/>
  <c r="J100" i="2"/>
  <c r="I100" i="2"/>
  <c r="Q100" i="2" s="1"/>
  <c r="H100" i="2"/>
  <c r="N100" i="2" s="1"/>
  <c r="G100" i="2"/>
  <c r="F100" i="2"/>
  <c r="E100" i="2"/>
  <c r="D100" i="2"/>
  <c r="M100" i="2" s="1"/>
  <c r="Q99" i="2"/>
  <c r="O99" i="2"/>
  <c r="L99" i="2"/>
  <c r="J99" i="2" s="1"/>
  <c r="I99" i="2"/>
  <c r="H99" i="2"/>
  <c r="N99" i="2" s="1"/>
  <c r="G99" i="2"/>
  <c r="P99" i="2" s="1"/>
  <c r="F99" i="2"/>
  <c r="E99" i="2"/>
  <c r="D99" i="2" s="1"/>
  <c r="P98" i="2"/>
  <c r="O98" i="2"/>
  <c r="N98" i="2"/>
  <c r="L98" i="2"/>
  <c r="J98" i="2"/>
  <c r="I98" i="2"/>
  <c r="Q98" i="2" s="1"/>
  <c r="H98" i="2"/>
  <c r="G98" i="2"/>
  <c r="F98" i="2"/>
  <c r="E98" i="2"/>
  <c r="D98" i="2"/>
  <c r="M98" i="2" s="1"/>
  <c r="C98" i="2"/>
  <c r="K98" i="2" s="1"/>
  <c r="Q97" i="2"/>
  <c r="O97" i="2"/>
  <c r="L97" i="2"/>
  <c r="J97" i="2" s="1"/>
  <c r="I97" i="2"/>
  <c r="H97" i="2"/>
  <c r="N97" i="2" s="1"/>
  <c r="G97" i="2"/>
  <c r="P97" i="2" s="1"/>
  <c r="F97" i="2"/>
  <c r="E97" i="2"/>
  <c r="P96" i="2"/>
  <c r="O96" i="2"/>
  <c r="J96" i="2" s="1"/>
  <c r="N96" i="2"/>
  <c r="L96" i="2"/>
  <c r="I96" i="2"/>
  <c r="Q96" i="2" s="1"/>
  <c r="H96" i="2"/>
  <c r="G96" i="2"/>
  <c r="F96" i="2"/>
  <c r="E96" i="2"/>
  <c r="D96" i="2"/>
  <c r="Q95" i="2"/>
  <c r="O95" i="2"/>
  <c r="L95" i="2"/>
  <c r="J95" i="2" s="1"/>
  <c r="I95" i="2"/>
  <c r="H95" i="2"/>
  <c r="N95" i="2" s="1"/>
  <c r="G95" i="2"/>
  <c r="P95" i="2" s="1"/>
  <c r="F95" i="2"/>
  <c r="E95" i="2"/>
  <c r="P94" i="2"/>
  <c r="O94" i="2"/>
  <c r="L94" i="2"/>
  <c r="J94" i="2"/>
  <c r="I94" i="2"/>
  <c r="Q94" i="2" s="1"/>
  <c r="H94" i="2"/>
  <c r="N94" i="2" s="1"/>
  <c r="G94" i="2"/>
  <c r="F94" i="2"/>
  <c r="E94" i="2"/>
  <c r="D94" i="2"/>
  <c r="M94" i="2" s="1"/>
  <c r="Q93" i="2"/>
  <c r="O93" i="2"/>
  <c r="L93" i="2"/>
  <c r="I93" i="2"/>
  <c r="H93" i="2"/>
  <c r="G93" i="2"/>
  <c r="P93" i="2" s="1"/>
  <c r="F93" i="2"/>
  <c r="E93" i="2"/>
  <c r="P92" i="2"/>
  <c r="O92" i="2"/>
  <c r="N92" i="2"/>
  <c r="L92" i="2"/>
  <c r="J92" i="2"/>
  <c r="I92" i="2"/>
  <c r="Q92" i="2" s="1"/>
  <c r="H92" i="2"/>
  <c r="G92" i="2"/>
  <c r="F92" i="2"/>
  <c r="E92" i="2"/>
  <c r="D92" i="2"/>
  <c r="M92" i="2" s="1"/>
  <c r="C92" i="2"/>
  <c r="K92" i="2" s="1"/>
  <c r="Q91" i="2"/>
  <c r="O91" i="2"/>
  <c r="L91" i="2"/>
  <c r="J91" i="2" s="1"/>
  <c r="I91" i="2"/>
  <c r="H91" i="2"/>
  <c r="N91" i="2" s="1"/>
  <c r="G91" i="2"/>
  <c r="P91" i="2" s="1"/>
  <c r="F91" i="2"/>
  <c r="F89" i="2" s="1"/>
  <c r="E91" i="2"/>
  <c r="P90" i="2"/>
  <c r="O90" i="2"/>
  <c r="N90" i="2"/>
  <c r="L90" i="2"/>
  <c r="J90" i="2"/>
  <c r="I90" i="2"/>
  <c r="H90" i="2"/>
  <c r="G90" i="2"/>
  <c r="F90" i="2"/>
  <c r="E90" i="2"/>
  <c r="D90" i="2"/>
  <c r="G89" i="2"/>
  <c r="G10" i="2" s="1"/>
  <c r="Y88" i="2"/>
  <c r="X88" i="2"/>
  <c r="Z88" i="2" s="1"/>
  <c r="W88" i="2"/>
  <c r="V88" i="2"/>
  <c r="U88" i="2"/>
  <c r="S88" i="2"/>
  <c r="R88" i="2"/>
  <c r="T88" i="2" s="1"/>
  <c r="Q88" i="2"/>
  <c r="O88" i="2"/>
  <c r="L88" i="2"/>
  <c r="J88" i="2" s="1"/>
  <c r="I88" i="2"/>
  <c r="H88" i="2"/>
  <c r="N88" i="2" s="1"/>
  <c r="G88" i="2"/>
  <c r="P88" i="2" s="1"/>
  <c r="F88" i="2"/>
  <c r="E88" i="2"/>
  <c r="Y87" i="2"/>
  <c r="X87" i="2"/>
  <c r="Z87" i="2" s="1"/>
  <c r="W87" i="2"/>
  <c r="V87" i="2"/>
  <c r="U87" i="2"/>
  <c r="S87" i="2"/>
  <c r="R87" i="2"/>
  <c r="T87" i="2" s="1"/>
  <c r="Q87" i="2"/>
  <c r="O87" i="2"/>
  <c r="L87" i="2"/>
  <c r="J87" i="2" s="1"/>
  <c r="I87" i="2"/>
  <c r="H87" i="2"/>
  <c r="N87" i="2" s="1"/>
  <c r="G87" i="2"/>
  <c r="P87" i="2" s="1"/>
  <c r="F87" i="2"/>
  <c r="E87" i="2"/>
  <c r="D87" i="2" s="1"/>
  <c r="Y86" i="2"/>
  <c r="X86" i="2"/>
  <c r="Z86" i="2" s="1"/>
  <c r="W86" i="2"/>
  <c r="V86" i="2"/>
  <c r="U86" i="2"/>
  <c r="S86" i="2"/>
  <c r="R86" i="2"/>
  <c r="T86" i="2" s="1"/>
  <c r="Q86" i="2"/>
  <c r="O86" i="2"/>
  <c r="L86" i="2"/>
  <c r="J86" i="2" s="1"/>
  <c r="I86" i="2"/>
  <c r="H86" i="2"/>
  <c r="N86" i="2" s="1"/>
  <c r="G86" i="2"/>
  <c r="P86" i="2" s="1"/>
  <c r="F86" i="2"/>
  <c r="E86" i="2"/>
  <c r="Y85" i="2"/>
  <c r="X85" i="2"/>
  <c r="Z85" i="2" s="1"/>
  <c r="W85" i="2"/>
  <c r="V85" i="2"/>
  <c r="U85" i="2"/>
  <c r="S85" i="2"/>
  <c r="R85" i="2"/>
  <c r="T85" i="2" s="1"/>
  <c r="Q85" i="2"/>
  <c r="O85" i="2"/>
  <c r="L85" i="2"/>
  <c r="J85" i="2" s="1"/>
  <c r="I85" i="2"/>
  <c r="H85" i="2"/>
  <c r="N85" i="2" s="1"/>
  <c r="G85" i="2"/>
  <c r="P85" i="2" s="1"/>
  <c r="F85" i="2"/>
  <c r="E85" i="2"/>
  <c r="Y84" i="2"/>
  <c r="X84" i="2"/>
  <c r="Z84" i="2" s="1"/>
  <c r="W84" i="2"/>
  <c r="V84" i="2"/>
  <c r="U84" i="2"/>
  <c r="S84" i="2"/>
  <c r="R84" i="2"/>
  <c r="T84" i="2" s="1"/>
  <c r="Q84" i="2"/>
  <c r="O84" i="2"/>
  <c r="L84" i="2"/>
  <c r="J84" i="2" s="1"/>
  <c r="I84" i="2"/>
  <c r="H84" i="2"/>
  <c r="N84" i="2" s="1"/>
  <c r="G84" i="2"/>
  <c r="P84" i="2" s="1"/>
  <c r="F84" i="2"/>
  <c r="E84" i="2"/>
  <c r="D84" i="2" s="1"/>
  <c r="Y83" i="2"/>
  <c r="X83" i="2"/>
  <c r="Z83" i="2" s="1"/>
  <c r="W83" i="2"/>
  <c r="V83" i="2"/>
  <c r="U83" i="2"/>
  <c r="S83" i="2"/>
  <c r="R83" i="2"/>
  <c r="T83" i="2" s="1"/>
  <c r="Q83" i="2"/>
  <c r="O83" i="2"/>
  <c r="L83" i="2"/>
  <c r="J83" i="2" s="1"/>
  <c r="I83" i="2"/>
  <c r="H83" i="2"/>
  <c r="N83" i="2" s="1"/>
  <c r="G83" i="2"/>
  <c r="P83" i="2" s="1"/>
  <c r="F83" i="2"/>
  <c r="E83" i="2"/>
  <c r="D83" i="2" s="1"/>
  <c r="Y82" i="2"/>
  <c r="X82" i="2"/>
  <c r="Z82" i="2" s="1"/>
  <c r="W82" i="2"/>
  <c r="V82" i="2"/>
  <c r="U82" i="2"/>
  <c r="S82" i="2"/>
  <c r="R82" i="2"/>
  <c r="T82" i="2" s="1"/>
  <c r="Q82" i="2"/>
  <c r="O82" i="2"/>
  <c r="L82" i="2"/>
  <c r="J82" i="2" s="1"/>
  <c r="I82" i="2"/>
  <c r="H82" i="2"/>
  <c r="N82" i="2" s="1"/>
  <c r="G82" i="2"/>
  <c r="P82" i="2" s="1"/>
  <c r="F82" i="2"/>
  <c r="E82" i="2"/>
  <c r="Y81" i="2"/>
  <c r="X81" i="2"/>
  <c r="Z81" i="2" s="1"/>
  <c r="W81" i="2"/>
  <c r="V81" i="2"/>
  <c r="U81" i="2"/>
  <c r="S81" i="2"/>
  <c r="R81" i="2"/>
  <c r="T81" i="2" s="1"/>
  <c r="Q81" i="2"/>
  <c r="O81" i="2"/>
  <c r="L81" i="2"/>
  <c r="J81" i="2" s="1"/>
  <c r="I81" i="2"/>
  <c r="H81" i="2"/>
  <c r="N81" i="2" s="1"/>
  <c r="G81" i="2"/>
  <c r="P81" i="2" s="1"/>
  <c r="F81" i="2"/>
  <c r="E81" i="2"/>
  <c r="D81" i="2" s="1"/>
  <c r="Y80" i="2"/>
  <c r="X80" i="2"/>
  <c r="Z80" i="2" s="1"/>
  <c r="W80" i="2"/>
  <c r="V80" i="2"/>
  <c r="U80" i="2"/>
  <c r="S80" i="2"/>
  <c r="R80" i="2"/>
  <c r="T80" i="2" s="1"/>
  <c r="Q80" i="2"/>
  <c r="O80" i="2"/>
  <c r="L80" i="2"/>
  <c r="J80" i="2" s="1"/>
  <c r="I80" i="2"/>
  <c r="H80" i="2"/>
  <c r="N80" i="2" s="1"/>
  <c r="G80" i="2"/>
  <c r="P80" i="2" s="1"/>
  <c r="F80" i="2"/>
  <c r="E80" i="2"/>
  <c r="Y79" i="2"/>
  <c r="X79" i="2"/>
  <c r="Z79" i="2" s="1"/>
  <c r="W79" i="2"/>
  <c r="V79" i="2"/>
  <c r="U79" i="2"/>
  <c r="S79" i="2"/>
  <c r="R79" i="2"/>
  <c r="T79" i="2" s="1"/>
  <c r="Q79" i="2"/>
  <c r="O79" i="2"/>
  <c r="L79" i="2"/>
  <c r="J79" i="2" s="1"/>
  <c r="I79" i="2"/>
  <c r="H79" i="2"/>
  <c r="N79" i="2" s="1"/>
  <c r="G79" i="2"/>
  <c r="P79" i="2" s="1"/>
  <c r="F79" i="2"/>
  <c r="E79" i="2"/>
  <c r="Y78" i="2"/>
  <c r="X78" i="2"/>
  <c r="Z78" i="2" s="1"/>
  <c r="W78" i="2"/>
  <c r="V78" i="2"/>
  <c r="U78" i="2"/>
  <c r="S78" i="2"/>
  <c r="R78" i="2"/>
  <c r="T78" i="2" s="1"/>
  <c r="Q78" i="2"/>
  <c r="O78" i="2"/>
  <c r="L78" i="2"/>
  <c r="J78" i="2" s="1"/>
  <c r="I78" i="2"/>
  <c r="H78" i="2"/>
  <c r="N78" i="2" s="1"/>
  <c r="G78" i="2"/>
  <c r="P78" i="2" s="1"/>
  <c r="F78" i="2"/>
  <c r="E78" i="2"/>
  <c r="D78" i="2" s="1"/>
  <c r="Y77" i="2"/>
  <c r="X77" i="2"/>
  <c r="Z77" i="2" s="1"/>
  <c r="W77" i="2"/>
  <c r="V77" i="2"/>
  <c r="U77" i="2"/>
  <c r="S77" i="2"/>
  <c r="R77" i="2"/>
  <c r="T77" i="2" s="1"/>
  <c r="Q77" i="2"/>
  <c r="O77" i="2"/>
  <c r="L77" i="2"/>
  <c r="J77" i="2" s="1"/>
  <c r="I77" i="2"/>
  <c r="H77" i="2"/>
  <c r="N77" i="2" s="1"/>
  <c r="G77" i="2"/>
  <c r="P77" i="2" s="1"/>
  <c r="F77" i="2"/>
  <c r="E77" i="2"/>
  <c r="D77" i="2" s="1"/>
  <c r="Y76" i="2"/>
  <c r="X76" i="2"/>
  <c r="Z76" i="2" s="1"/>
  <c r="W76" i="2"/>
  <c r="V76" i="2"/>
  <c r="U76" i="2"/>
  <c r="S76" i="2"/>
  <c r="R76" i="2"/>
  <c r="T76" i="2" s="1"/>
  <c r="Q76" i="2"/>
  <c r="O76" i="2"/>
  <c r="L76" i="2"/>
  <c r="J76" i="2" s="1"/>
  <c r="I76" i="2"/>
  <c r="H76" i="2"/>
  <c r="N76" i="2" s="1"/>
  <c r="G76" i="2"/>
  <c r="P76" i="2" s="1"/>
  <c r="F76" i="2"/>
  <c r="F74" i="2" s="1"/>
  <c r="E76" i="2"/>
  <c r="Y75" i="2"/>
  <c r="Y74" i="2" s="1"/>
  <c r="X75" i="2"/>
  <c r="W75" i="2"/>
  <c r="V75" i="2"/>
  <c r="U75" i="2"/>
  <c r="S75" i="2"/>
  <c r="R75" i="2"/>
  <c r="T75" i="2" s="1"/>
  <c r="Q75" i="2"/>
  <c r="O75" i="2"/>
  <c r="L75" i="2"/>
  <c r="I75" i="2"/>
  <c r="H75" i="2"/>
  <c r="N75" i="2" s="1"/>
  <c r="G75" i="2"/>
  <c r="P75" i="2" s="1"/>
  <c r="F75" i="2"/>
  <c r="E75" i="2"/>
  <c r="W74" i="2"/>
  <c r="V74" i="2"/>
  <c r="U74" i="2"/>
  <c r="S74" i="2"/>
  <c r="Q74" i="2"/>
  <c r="O74" i="2"/>
  <c r="I74" i="2"/>
  <c r="H74" i="2"/>
  <c r="N74" i="2" s="1"/>
  <c r="G74" i="2"/>
  <c r="P74" i="2" s="1"/>
  <c r="Y73" i="2"/>
  <c r="X73" i="2"/>
  <c r="Z73" i="2" s="1"/>
  <c r="W73" i="2"/>
  <c r="V73" i="2"/>
  <c r="U73" i="2"/>
  <c r="S73" i="2"/>
  <c r="R73" i="2"/>
  <c r="T73" i="2" s="1"/>
  <c r="Q73" i="2"/>
  <c r="O73" i="2"/>
  <c r="L73" i="2"/>
  <c r="J73" i="2" s="1"/>
  <c r="I73" i="2"/>
  <c r="H73" i="2"/>
  <c r="N73" i="2" s="1"/>
  <c r="G73" i="2"/>
  <c r="P73" i="2" s="1"/>
  <c r="F73" i="2"/>
  <c r="E73" i="2"/>
  <c r="Y72" i="2"/>
  <c r="X72" i="2"/>
  <c r="Z72" i="2" s="1"/>
  <c r="W72" i="2"/>
  <c r="V72" i="2"/>
  <c r="U72" i="2"/>
  <c r="S72" i="2"/>
  <c r="R72" i="2"/>
  <c r="T72" i="2" s="1"/>
  <c r="Q72" i="2"/>
  <c r="O72" i="2"/>
  <c r="L72" i="2"/>
  <c r="J72" i="2" s="1"/>
  <c r="I72" i="2"/>
  <c r="H72" i="2"/>
  <c r="N72" i="2" s="1"/>
  <c r="G72" i="2"/>
  <c r="P72" i="2" s="1"/>
  <c r="F72" i="2"/>
  <c r="E72" i="2"/>
  <c r="D72" i="2" s="1"/>
  <c r="Y71" i="2"/>
  <c r="X71" i="2"/>
  <c r="Z71" i="2" s="1"/>
  <c r="W71" i="2"/>
  <c r="V71" i="2"/>
  <c r="U71" i="2"/>
  <c r="S71" i="2"/>
  <c r="R71" i="2"/>
  <c r="T71" i="2" s="1"/>
  <c r="Q71" i="2"/>
  <c r="O71" i="2"/>
  <c r="L71" i="2"/>
  <c r="J71" i="2" s="1"/>
  <c r="I71" i="2"/>
  <c r="H71" i="2"/>
  <c r="N71" i="2" s="1"/>
  <c r="G71" i="2"/>
  <c r="P71" i="2" s="1"/>
  <c r="F71" i="2"/>
  <c r="E71" i="2"/>
  <c r="D71" i="2" s="1"/>
  <c r="Y70" i="2"/>
  <c r="Y52" i="2" s="1"/>
  <c r="Y8" i="2" s="1"/>
  <c r="Y7" i="2" s="1"/>
  <c r="X70" i="2"/>
  <c r="Z70" i="2" s="1"/>
  <c r="W70" i="2"/>
  <c r="V70" i="2"/>
  <c r="U70" i="2"/>
  <c r="S70" i="2"/>
  <c r="R70" i="2"/>
  <c r="T70" i="2" s="1"/>
  <c r="Q70" i="2"/>
  <c r="O70" i="2"/>
  <c r="L70" i="2"/>
  <c r="J70" i="2" s="1"/>
  <c r="I70" i="2"/>
  <c r="H70" i="2"/>
  <c r="N70" i="2" s="1"/>
  <c r="G70" i="2"/>
  <c r="P70" i="2" s="1"/>
  <c r="F70" i="2"/>
  <c r="E70" i="2"/>
  <c r="Y69" i="2"/>
  <c r="X69" i="2"/>
  <c r="Z69" i="2" s="1"/>
  <c r="W69" i="2"/>
  <c r="V69" i="2"/>
  <c r="U69" i="2"/>
  <c r="S69" i="2"/>
  <c r="R69" i="2"/>
  <c r="T69" i="2" s="1"/>
  <c r="Q69" i="2"/>
  <c r="O69" i="2"/>
  <c r="L69" i="2"/>
  <c r="J69" i="2" s="1"/>
  <c r="I69" i="2"/>
  <c r="H69" i="2"/>
  <c r="N69" i="2" s="1"/>
  <c r="G69" i="2"/>
  <c r="P69" i="2" s="1"/>
  <c r="F69" i="2"/>
  <c r="E69" i="2"/>
  <c r="D69" i="2" s="1"/>
  <c r="Y68" i="2"/>
  <c r="X68" i="2"/>
  <c r="Z68" i="2" s="1"/>
  <c r="W68" i="2"/>
  <c r="V68" i="2"/>
  <c r="U68" i="2"/>
  <c r="S68" i="2"/>
  <c r="R68" i="2"/>
  <c r="T68" i="2" s="1"/>
  <c r="Q68" i="2"/>
  <c r="O68" i="2"/>
  <c r="L68" i="2"/>
  <c r="J68" i="2" s="1"/>
  <c r="I68" i="2"/>
  <c r="H68" i="2"/>
  <c r="N68" i="2" s="1"/>
  <c r="G68" i="2"/>
  <c r="P68" i="2" s="1"/>
  <c r="F68" i="2"/>
  <c r="E68" i="2"/>
  <c r="Y67" i="2"/>
  <c r="X67" i="2"/>
  <c r="Z67" i="2" s="1"/>
  <c r="W67" i="2"/>
  <c r="V67" i="2"/>
  <c r="U67" i="2"/>
  <c r="S67" i="2"/>
  <c r="R67" i="2"/>
  <c r="T67" i="2" s="1"/>
  <c r="Q67" i="2"/>
  <c r="O67" i="2"/>
  <c r="L67" i="2"/>
  <c r="I67" i="2"/>
  <c r="H67" i="2"/>
  <c r="N67" i="2" s="1"/>
  <c r="G67" i="2"/>
  <c r="P67" i="2" s="1"/>
  <c r="F67" i="2"/>
  <c r="E67" i="2"/>
  <c r="Y66" i="2"/>
  <c r="X66" i="2"/>
  <c r="Z66" i="2" s="1"/>
  <c r="W66" i="2"/>
  <c r="V66" i="2"/>
  <c r="U66" i="2"/>
  <c r="S66" i="2"/>
  <c r="R66" i="2"/>
  <c r="T66" i="2" s="1"/>
  <c r="Q66" i="2"/>
  <c r="O66" i="2"/>
  <c r="L66" i="2"/>
  <c r="I66" i="2"/>
  <c r="H66" i="2"/>
  <c r="N66" i="2" s="1"/>
  <c r="G66" i="2"/>
  <c r="F66" i="2"/>
  <c r="E66" i="2"/>
  <c r="Y65" i="2"/>
  <c r="X65" i="2"/>
  <c r="Z65" i="2" s="1"/>
  <c r="W65" i="2"/>
  <c r="V65" i="2"/>
  <c r="U65" i="2"/>
  <c r="S65" i="2"/>
  <c r="R65" i="2"/>
  <c r="T65" i="2" s="1"/>
  <c r="O65" i="2"/>
  <c r="L65" i="2"/>
  <c r="J65" i="2" s="1"/>
  <c r="I65" i="2"/>
  <c r="Q65" i="2" s="1"/>
  <c r="H65" i="2"/>
  <c r="N65" i="2" s="1"/>
  <c r="G65" i="2"/>
  <c r="P65" i="2" s="1"/>
  <c r="F65" i="2"/>
  <c r="D65" i="2" s="1"/>
  <c r="M65" i="2" s="1"/>
  <c r="E65" i="2"/>
  <c r="C65" i="2"/>
  <c r="K65" i="2" s="1"/>
  <c r="Y64" i="2"/>
  <c r="X64" i="2"/>
  <c r="Z64" i="2" s="1"/>
  <c r="V64" i="2"/>
  <c r="U64" i="2"/>
  <c r="W64" i="2" s="1"/>
  <c r="S64" i="2"/>
  <c r="R64" i="2"/>
  <c r="T64" i="2" s="1"/>
  <c r="P64" i="2"/>
  <c r="O64" i="2"/>
  <c r="L64" i="2"/>
  <c r="J64" i="2" s="1"/>
  <c r="I64" i="2"/>
  <c r="Q64" i="2" s="1"/>
  <c r="H64" i="2"/>
  <c r="N64" i="2" s="1"/>
  <c r="G64" i="2"/>
  <c r="F64" i="2"/>
  <c r="D64" i="2" s="1"/>
  <c r="M64" i="2" s="1"/>
  <c r="E64" i="2"/>
  <c r="Y63" i="2"/>
  <c r="X63" i="2"/>
  <c r="Z63" i="2" s="1"/>
  <c r="V63" i="2"/>
  <c r="U63" i="2"/>
  <c r="W63" i="2" s="1"/>
  <c r="S63" i="2"/>
  <c r="R63" i="2"/>
  <c r="T63" i="2" s="1"/>
  <c r="O63" i="2"/>
  <c r="L63" i="2"/>
  <c r="J63" i="2" s="1"/>
  <c r="I63" i="2"/>
  <c r="Q63" i="2" s="1"/>
  <c r="H63" i="2"/>
  <c r="N63" i="2" s="1"/>
  <c r="G63" i="2"/>
  <c r="P63" i="2" s="1"/>
  <c r="F63" i="2"/>
  <c r="D63" i="2" s="1"/>
  <c r="M63" i="2" s="1"/>
  <c r="E63" i="2"/>
  <c r="Y62" i="2"/>
  <c r="X62" i="2"/>
  <c r="Z62" i="2" s="1"/>
  <c r="V62" i="2"/>
  <c r="U62" i="2"/>
  <c r="W62" i="2" s="1"/>
  <c r="S62" i="2"/>
  <c r="R62" i="2"/>
  <c r="T62" i="2" s="1"/>
  <c r="O62" i="2"/>
  <c r="L62" i="2"/>
  <c r="I62" i="2"/>
  <c r="Q62" i="2" s="1"/>
  <c r="H62" i="2"/>
  <c r="N62" i="2" s="1"/>
  <c r="G62" i="2"/>
  <c r="P62" i="2" s="1"/>
  <c r="F62" i="2"/>
  <c r="D62" i="2" s="1"/>
  <c r="M62" i="2" s="1"/>
  <c r="E62" i="2"/>
  <c r="C62" i="2"/>
  <c r="K62" i="2" s="1"/>
  <c r="Y61" i="2"/>
  <c r="X61" i="2"/>
  <c r="Z61" i="2" s="1"/>
  <c r="V61" i="2"/>
  <c r="U61" i="2"/>
  <c r="W61" i="2" s="1"/>
  <c r="S61" i="2"/>
  <c r="R61" i="2"/>
  <c r="T61" i="2" s="1"/>
  <c r="O61" i="2"/>
  <c r="L61" i="2"/>
  <c r="J61" i="2" s="1"/>
  <c r="I61" i="2"/>
  <c r="Q61" i="2" s="1"/>
  <c r="H61" i="2"/>
  <c r="N61" i="2" s="1"/>
  <c r="G61" i="2"/>
  <c r="P61" i="2" s="1"/>
  <c r="F61" i="2"/>
  <c r="D61" i="2" s="1"/>
  <c r="M61" i="2" s="1"/>
  <c r="E61" i="2"/>
  <c r="Y60" i="2"/>
  <c r="X60" i="2"/>
  <c r="Z60" i="2" s="1"/>
  <c r="V60" i="2"/>
  <c r="U60" i="2"/>
  <c r="W60" i="2" s="1"/>
  <c r="S60" i="2"/>
  <c r="R60" i="2"/>
  <c r="T60" i="2" s="1"/>
  <c r="O60" i="2"/>
  <c r="L60" i="2"/>
  <c r="J60" i="2" s="1"/>
  <c r="I60" i="2"/>
  <c r="Q60" i="2" s="1"/>
  <c r="H60" i="2"/>
  <c r="N60" i="2" s="1"/>
  <c r="G60" i="2"/>
  <c r="P60" i="2" s="1"/>
  <c r="F60" i="2"/>
  <c r="D60" i="2" s="1"/>
  <c r="M60" i="2" s="1"/>
  <c r="E60" i="2"/>
  <c r="Y59" i="2"/>
  <c r="X59" i="2"/>
  <c r="Z59" i="2" s="1"/>
  <c r="V59" i="2"/>
  <c r="U59" i="2"/>
  <c r="W59" i="2" s="1"/>
  <c r="S59" i="2"/>
  <c r="R59" i="2"/>
  <c r="T59" i="2" s="1"/>
  <c r="O59" i="2"/>
  <c r="L59" i="2"/>
  <c r="J59" i="2" s="1"/>
  <c r="I59" i="2"/>
  <c r="Q59" i="2" s="1"/>
  <c r="H59" i="2"/>
  <c r="N59" i="2" s="1"/>
  <c r="G59" i="2"/>
  <c r="P59" i="2" s="1"/>
  <c r="F59" i="2"/>
  <c r="D59" i="2" s="1"/>
  <c r="M59" i="2" s="1"/>
  <c r="E59" i="2"/>
  <c r="C59" i="2"/>
  <c r="K59" i="2" s="1"/>
  <c r="Y58" i="2"/>
  <c r="X58" i="2"/>
  <c r="Z58" i="2" s="1"/>
  <c r="V58" i="2"/>
  <c r="U58" i="2"/>
  <c r="W58" i="2" s="1"/>
  <c r="S58" i="2"/>
  <c r="R58" i="2"/>
  <c r="T58" i="2" s="1"/>
  <c r="O58" i="2"/>
  <c r="L58" i="2"/>
  <c r="J58" i="2" s="1"/>
  <c r="I58" i="2"/>
  <c r="Q58" i="2" s="1"/>
  <c r="H58" i="2"/>
  <c r="N58" i="2" s="1"/>
  <c r="G58" i="2"/>
  <c r="P58" i="2" s="1"/>
  <c r="F58" i="2"/>
  <c r="D58" i="2" s="1"/>
  <c r="M58" i="2" s="1"/>
  <c r="E58" i="2"/>
  <c r="Y57" i="2"/>
  <c r="X57" i="2"/>
  <c r="Z57" i="2" s="1"/>
  <c r="V57" i="2"/>
  <c r="U57" i="2"/>
  <c r="W57" i="2" s="1"/>
  <c r="S57" i="2"/>
  <c r="R57" i="2"/>
  <c r="T57" i="2" s="1"/>
  <c r="O57" i="2"/>
  <c r="L57" i="2"/>
  <c r="J57" i="2" s="1"/>
  <c r="I57" i="2"/>
  <c r="Q57" i="2" s="1"/>
  <c r="H57" i="2"/>
  <c r="N57" i="2" s="1"/>
  <c r="G57" i="2"/>
  <c r="P57" i="2" s="1"/>
  <c r="F57" i="2"/>
  <c r="D57" i="2" s="1"/>
  <c r="M57" i="2" s="1"/>
  <c r="E57" i="2"/>
  <c r="C57" i="2"/>
  <c r="K57" i="2" s="1"/>
  <c r="Y56" i="2"/>
  <c r="X56" i="2"/>
  <c r="Z56" i="2" s="1"/>
  <c r="V56" i="2"/>
  <c r="U56" i="2"/>
  <c r="W56" i="2" s="1"/>
  <c r="S56" i="2"/>
  <c r="R56" i="2"/>
  <c r="T56" i="2" s="1"/>
  <c r="O56" i="2"/>
  <c r="L56" i="2"/>
  <c r="J56" i="2" s="1"/>
  <c r="I56" i="2"/>
  <c r="Q56" i="2" s="1"/>
  <c r="H56" i="2"/>
  <c r="N56" i="2" s="1"/>
  <c r="G56" i="2"/>
  <c r="P56" i="2" s="1"/>
  <c r="F56" i="2"/>
  <c r="D56" i="2" s="1"/>
  <c r="M56" i="2" s="1"/>
  <c r="E56" i="2"/>
  <c r="Y55" i="2"/>
  <c r="X55" i="2"/>
  <c r="Z55" i="2" s="1"/>
  <c r="V55" i="2"/>
  <c r="U55" i="2"/>
  <c r="W55" i="2" s="1"/>
  <c r="S55" i="2"/>
  <c r="R55" i="2"/>
  <c r="T55" i="2" s="1"/>
  <c r="O55" i="2"/>
  <c r="L55" i="2"/>
  <c r="J55" i="2" s="1"/>
  <c r="I55" i="2"/>
  <c r="Q55" i="2" s="1"/>
  <c r="H55" i="2"/>
  <c r="N55" i="2" s="1"/>
  <c r="G55" i="2"/>
  <c r="P55" i="2" s="1"/>
  <c r="F55" i="2"/>
  <c r="D55" i="2" s="1"/>
  <c r="M55" i="2" s="1"/>
  <c r="E55" i="2"/>
  <c r="Y54" i="2"/>
  <c r="X54" i="2"/>
  <c r="Z54" i="2" s="1"/>
  <c r="V54" i="2"/>
  <c r="U54" i="2"/>
  <c r="W54" i="2" s="1"/>
  <c r="S54" i="2"/>
  <c r="R54" i="2"/>
  <c r="T54" i="2" s="1"/>
  <c r="O54" i="2"/>
  <c r="L54" i="2"/>
  <c r="J54" i="2" s="1"/>
  <c r="I54" i="2"/>
  <c r="Q54" i="2" s="1"/>
  <c r="H54" i="2"/>
  <c r="N54" i="2" s="1"/>
  <c r="G54" i="2"/>
  <c r="P54" i="2" s="1"/>
  <c r="F54" i="2"/>
  <c r="D54" i="2" s="1"/>
  <c r="M54" i="2" s="1"/>
  <c r="E54" i="2"/>
  <c r="C54" i="2"/>
  <c r="K54" i="2" s="1"/>
  <c r="Y53" i="2"/>
  <c r="X53" i="2"/>
  <c r="Z53" i="2" s="1"/>
  <c r="V53" i="2"/>
  <c r="U53" i="2"/>
  <c r="W53" i="2" s="1"/>
  <c r="S53" i="2"/>
  <c r="R53" i="2"/>
  <c r="T53" i="2" s="1"/>
  <c r="O53" i="2"/>
  <c r="L53" i="2"/>
  <c r="J53" i="2" s="1"/>
  <c r="I53" i="2"/>
  <c r="Q53" i="2" s="1"/>
  <c r="H53" i="2"/>
  <c r="N53" i="2" s="1"/>
  <c r="G53" i="2"/>
  <c r="P53" i="2" s="1"/>
  <c r="F53" i="2"/>
  <c r="D53" i="2" s="1"/>
  <c r="C53" i="2" s="1"/>
  <c r="K53" i="2" s="1"/>
  <c r="E53" i="2"/>
  <c r="V52" i="2"/>
  <c r="R52" i="2"/>
  <c r="O52" i="2"/>
  <c r="L52" i="2"/>
  <c r="J52" i="2" s="1"/>
  <c r="H52" i="2"/>
  <c r="Y51" i="2"/>
  <c r="X51" i="2"/>
  <c r="Z51" i="2" s="1"/>
  <c r="V51" i="2"/>
  <c r="U51" i="2"/>
  <c r="W51" i="2" s="1"/>
  <c r="S51" i="2"/>
  <c r="R51" i="2"/>
  <c r="T51" i="2" s="1"/>
  <c r="O51" i="2"/>
  <c r="L51" i="2"/>
  <c r="J51" i="2" s="1"/>
  <c r="I51" i="2"/>
  <c r="Q51" i="2" s="1"/>
  <c r="H51" i="2"/>
  <c r="N51" i="2" s="1"/>
  <c r="G51" i="2"/>
  <c r="P51" i="2" s="1"/>
  <c r="F51" i="2"/>
  <c r="D51" i="2" s="1"/>
  <c r="M51" i="2" s="1"/>
  <c r="E51" i="2"/>
  <c r="Y50" i="2"/>
  <c r="X50" i="2"/>
  <c r="Z50" i="2" s="1"/>
  <c r="V50" i="2"/>
  <c r="U50" i="2"/>
  <c r="W50" i="2" s="1"/>
  <c r="S50" i="2"/>
  <c r="R50" i="2"/>
  <c r="T50" i="2" s="1"/>
  <c r="O50" i="2"/>
  <c r="L50" i="2"/>
  <c r="J50" i="2" s="1"/>
  <c r="I50" i="2"/>
  <c r="Q50" i="2" s="1"/>
  <c r="H50" i="2"/>
  <c r="N50" i="2" s="1"/>
  <c r="G50" i="2"/>
  <c r="P50" i="2" s="1"/>
  <c r="F50" i="2"/>
  <c r="D50" i="2" s="1"/>
  <c r="M50" i="2" s="1"/>
  <c r="E50" i="2"/>
  <c r="Y49" i="2"/>
  <c r="X49" i="2"/>
  <c r="Z49" i="2" s="1"/>
  <c r="V49" i="2"/>
  <c r="U49" i="2"/>
  <c r="W49" i="2" s="1"/>
  <c r="S49" i="2"/>
  <c r="R49" i="2"/>
  <c r="T49" i="2" s="1"/>
  <c r="O49" i="2"/>
  <c r="L49" i="2"/>
  <c r="J49" i="2" s="1"/>
  <c r="I49" i="2"/>
  <c r="Q49" i="2" s="1"/>
  <c r="H49" i="2"/>
  <c r="G49" i="2"/>
  <c r="P49" i="2" s="1"/>
  <c r="F49" i="2"/>
  <c r="D49" i="2" s="1"/>
  <c r="E49" i="2"/>
  <c r="C49" i="2"/>
  <c r="K49" i="2" s="1"/>
  <c r="Y48" i="2"/>
  <c r="X48" i="2"/>
  <c r="Z48" i="2" s="1"/>
  <c r="V48" i="2"/>
  <c r="U48" i="2"/>
  <c r="W48" i="2" s="1"/>
  <c r="S48" i="2"/>
  <c r="R48" i="2"/>
  <c r="T48" i="2" s="1"/>
  <c r="O48" i="2"/>
  <c r="L48" i="2"/>
  <c r="J48" i="2" s="1"/>
  <c r="I48" i="2"/>
  <c r="Q48" i="2" s="1"/>
  <c r="H48" i="2"/>
  <c r="N48" i="2" s="1"/>
  <c r="G48" i="2"/>
  <c r="P48" i="2" s="1"/>
  <c r="F48" i="2"/>
  <c r="D48" i="2" s="1"/>
  <c r="M48" i="2" s="1"/>
  <c r="E48" i="2"/>
  <c r="Y47" i="2"/>
  <c r="X47" i="2"/>
  <c r="Z47" i="2" s="1"/>
  <c r="V47" i="2"/>
  <c r="U47" i="2"/>
  <c r="W47" i="2" s="1"/>
  <c r="S47" i="2"/>
  <c r="R47" i="2"/>
  <c r="T47" i="2" s="1"/>
  <c r="O47" i="2"/>
  <c r="L47" i="2"/>
  <c r="J47" i="2" s="1"/>
  <c r="I47" i="2"/>
  <c r="Q47" i="2" s="1"/>
  <c r="H47" i="2"/>
  <c r="N47" i="2" s="1"/>
  <c r="G47" i="2"/>
  <c r="P47" i="2" s="1"/>
  <c r="F47" i="2"/>
  <c r="D47" i="2" s="1"/>
  <c r="M47" i="2" s="1"/>
  <c r="E47" i="2"/>
  <c r="C47" i="2"/>
  <c r="K47" i="2" s="1"/>
  <c r="Y46" i="2"/>
  <c r="X46" i="2"/>
  <c r="Z46" i="2" s="1"/>
  <c r="V46" i="2"/>
  <c r="U46" i="2"/>
  <c r="W46" i="2" s="1"/>
  <c r="S46" i="2"/>
  <c r="R46" i="2"/>
  <c r="T46" i="2" s="1"/>
  <c r="O46" i="2"/>
  <c r="L46" i="2"/>
  <c r="J46" i="2" s="1"/>
  <c r="I46" i="2"/>
  <c r="Q46" i="2" s="1"/>
  <c r="H46" i="2"/>
  <c r="N46" i="2" s="1"/>
  <c r="G46" i="2"/>
  <c r="P46" i="2" s="1"/>
  <c r="F46" i="2"/>
  <c r="D46" i="2" s="1"/>
  <c r="M46" i="2" s="1"/>
  <c r="E46" i="2"/>
  <c r="C46" i="2"/>
  <c r="K46" i="2" s="1"/>
  <c r="Y45" i="2"/>
  <c r="X45" i="2"/>
  <c r="Z45" i="2" s="1"/>
  <c r="V45" i="2"/>
  <c r="U45" i="2"/>
  <c r="W45" i="2" s="1"/>
  <c r="S45" i="2"/>
  <c r="R45" i="2"/>
  <c r="T45" i="2" s="1"/>
  <c r="O45" i="2"/>
  <c r="L45" i="2"/>
  <c r="J45" i="2" s="1"/>
  <c r="I45" i="2"/>
  <c r="Q45" i="2" s="1"/>
  <c r="H45" i="2"/>
  <c r="N45" i="2" s="1"/>
  <c r="G45" i="2"/>
  <c r="P45" i="2" s="1"/>
  <c r="F45" i="2"/>
  <c r="D45" i="2" s="1"/>
  <c r="M45" i="2" s="1"/>
  <c r="E45" i="2"/>
  <c r="Y44" i="2"/>
  <c r="X44" i="2"/>
  <c r="Z44" i="2" s="1"/>
  <c r="V44" i="2"/>
  <c r="U44" i="2"/>
  <c r="W44" i="2" s="1"/>
  <c r="S44" i="2"/>
  <c r="R44" i="2"/>
  <c r="T44" i="2" s="1"/>
  <c r="O44" i="2"/>
  <c r="L44" i="2"/>
  <c r="J44" i="2" s="1"/>
  <c r="I44" i="2"/>
  <c r="Q44" i="2" s="1"/>
  <c r="H44" i="2"/>
  <c r="N44" i="2" s="1"/>
  <c r="G44" i="2"/>
  <c r="P44" i="2" s="1"/>
  <c r="F44" i="2"/>
  <c r="D44" i="2" s="1"/>
  <c r="M44" i="2" s="1"/>
  <c r="E44" i="2"/>
  <c r="C44" i="2"/>
  <c r="K44" i="2" s="1"/>
  <c r="Y43" i="2"/>
  <c r="X43" i="2"/>
  <c r="Z43" i="2" s="1"/>
  <c r="V43" i="2"/>
  <c r="U43" i="2"/>
  <c r="W43" i="2" s="1"/>
  <c r="S43" i="2"/>
  <c r="R43" i="2"/>
  <c r="T43" i="2" s="1"/>
  <c r="O43" i="2"/>
  <c r="L43" i="2"/>
  <c r="J43" i="2" s="1"/>
  <c r="I43" i="2"/>
  <c r="Q43" i="2" s="1"/>
  <c r="H43" i="2"/>
  <c r="N43" i="2" s="1"/>
  <c r="G43" i="2"/>
  <c r="P43" i="2" s="1"/>
  <c r="F43" i="2"/>
  <c r="D43" i="2" s="1"/>
  <c r="M43" i="2" s="1"/>
  <c r="E43" i="2"/>
  <c r="C43" i="2"/>
  <c r="K43" i="2" s="1"/>
  <c r="Y42" i="2"/>
  <c r="X42" i="2"/>
  <c r="Z42" i="2" s="1"/>
  <c r="V42" i="2"/>
  <c r="U42" i="2"/>
  <c r="W42" i="2" s="1"/>
  <c r="S42" i="2"/>
  <c r="R42" i="2"/>
  <c r="T42" i="2" s="1"/>
  <c r="O42" i="2"/>
  <c r="L42" i="2"/>
  <c r="J42" i="2" s="1"/>
  <c r="I42" i="2"/>
  <c r="Q42" i="2" s="1"/>
  <c r="H42" i="2"/>
  <c r="N42" i="2" s="1"/>
  <c r="G42" i="2"/>
  <c r="P42" i="2" s="1"/>
  <c r="F42" i="2"/>
  <c r="D42" i="2" s="1"/>
  <c r="M42" i="2" s="1"/>
  <c r="E42" i="2"/>
  <c r="Y41" i="2"/>
  <c r="X41" i="2"/>
  <c r="Z41" i="2" s="1"/>
  <c r="V41" i="2"/>
  <c r="U41" i="2"/>
  <c r="W41" i="2" s="1"/>
  <c r="S41" i="2"/>
  <c r="R41" i="2"/>
  <c r="T41" i="2" s="1"/>
  <c r="O41" i="2"/>
  <c r="L41" i="2"/>
  <c r="J41" i="2" s="1"/>
  <c r="I41" i="2"/>
  <c r="Q41" i="2" s="1"/>
  <c r="H41" i="2"/>
  <c r="N41" i="2" s="1"/>
  <c r="G41" i="2"/>
  <c r="P41" i="2" s="1"/>
  <c r="F41" i="2"/>
  <c r="D41" i="2" s="1"/>
  <c r="M41" i="2" s="1"/>
  <c r="E41" i="2"/>
  <c r="C41" i="2"/>
  <c r="K41" i="2" s="1"/>
  <c r="Y40" i="2"/>
  <c r="X40" i="2"/>
  <c r="Z40" i="2" s="1"/>
  <c r="V40" i="2"/>
  <c r="U40" i="2"/>
  <c r="W40" i="2" s="1"/>
  <c r="S40" i="2"/>
  <c r="R40" i="2"/>
  <c r="T40" i="2" s="1"/>
  <c r="O40" i="2"/>
  <c r="L40" i="2"/>
  <c r="J40" i="2" s="1"/>
  <c r="I40" i="2"/>
  <c r="Q40" i="2" s="1"/>
  <c r="H40" i="2"/>
  <c r="G40" i="2"/>
  <c r="P40" i="2" s="1"/>
  <c r="F40" i="2"/>
  <c r="D40" i="2" s="1"/>
  <c r="E40" i="2"/>
  <c r="C40" i="2"/>
  <c r="K40" i="2" s="1"/>
  <c r="Y39" i="2"/>
  <c r="X39" i="2"/>
  <c r="Z39" i="2" s="1"/>
  <c r="V39" i="2"/>
  <c r="U39" i="2"/>
  <c r="W39" i="2" s="1"/>
  <c r="S39" i="2"/>
  <c r="R39" i="2"/>
  <c r="T39" i="2" s="1"/>
  <c r="O39" i="2"/>
  <c r="L39" i="2"/>
  <c r="J39" i="2" s="1"/>
  <c r="I39" i="2"/>
  <c r="Q39" i="2" s="1"/>
  <c r="H39" i="2"/>
  <c r="N39" i="2" s="1"/>
  <c r="G39" i="2"/>
  <c r="P39" i="2" s="1"/>
  <c r="F39" i="2"/>
  <c r="D39" i="2" s="1"/>
  <c r="M39" i="2" s="1"/>
  <c r="E39" i="2"/>
  <c r="Y38" i="2"/>
  <c r="X38" i="2"/>
  <c r="Z38" i="2" s="1"/>
  <c r="V38" i="2"/>
  <c r="U38" i="2"/>
  <c r="W38" i="2" s="1"/>
  <c r="S38" i="2"/>
  <c r="R38" i="2"/>
  <c r="T38" i="2" s="1"/>
  <c r="O38" i="2"/>
  <c r="L38" i="2"/>
  <c r="J38" i="2" s="1"/>
  <c r="I38" i="2"/>
  <c r="Q38" i="2" s="1"/>
  <c r="H38" i="2"/>
  <c r="N38" i="2" s="1"/>
  <c r="G38" i="2"/>
  <c r="P38" i="2" s="1"/>
  <c r="F38" i="2"/>
  <c r="D38" i="2" s="1"/>
  <c r="E38" i="2"/>
  <c r="C38" i="2"/>
  <c r="K38" i="2" s="1"/>
  <c r="Y37" i="2"/>
  <c r="X37" i="2"/>
  <c r="Z37" i="2" s="1"/>
  <c r="V37" i="2"/>
  <c r="U37" i="2"/>
  <c r="W37" i="2" s="1"/>
  <c r="S37" i="2"/>
  <c r="R37" i="2"/>
  <c r="T37" i="2" s="1"/>
  <c r="O37" i="2"/>
  <c r="L37" i="2"/>
  <c r="J37" i="2" s="1"/>
  <c r="I37" i="2"/>
  <c r="Q37" i="2" s="1"/>
  <c r="H37" i="2"/>
  <c r="G37" i="2"/>
  <c r="P37" i="2" s="1"/>
  <c r="F37" i="2"/>
  <c r="D37" i="2" s="1"/>
  <c r="E37" i="2"/>
  <c r="C37" i="2"/>
  <c r="K37" i="2" s="1"/>
  <c r="Y36" i="2"/>
  <c r="X36" i="2"/>
  <c r="Z36" i="2" s="1"/>
  <c r="V36" i="2"/>
  <c r="U36" i="2"/>
  <c r="W36" i="2" s="1"/>
  <c r="S36" i="2"/>
  <c r="R36" i="2"/>
  <c r="T36" i="2" s="1"/>
  <c r="O36" i="2"/>
  <c r="L36" i="2"/>
  <c r="J36" i="2" s="1"/>
  <c r="I36" i="2"/>
  <c r="Q36" i="2" s="1"/>
  <c r="H36" i="2"/>
  <c r="N36" i="2" s="1"/>
  <c r="G36" i="2"/>
  <c r="P36" i="2" s="1"/>
  <c r="F36" i="2"/>
  <c r="D36" i="2" s="1"/>
  <c r="M36" i="2" s="1"/>
  <c r="E36" i="2"/>
  <c r="Y35" i="2"/>
  <c r="X35" i="2"/>
  <c r="Z35" i="2" s="1"/>
  <c r="V35" i="2"/>
  <c r="U35" i="2"/>
  <c r="W35" i="2" s="1"/>
  <c r="S35" i="2"/>
  <c r="R35" i="2"/>
  <c r="T35" i="2" s="1"/>
  <c r="O35" i="2"/>
  <c r="L35" i="2"/>
  <c r="J35" i="2" s="1"/>
  <c r="I35" i="2"/>
  <c r="Q35" i="2" s="1"/>
  <c r="H35" i="2"/>
  <c r="N35" i="2" s="1"/>
  <c r="G35" i="2"/>
  <c r="P35" i="2" s="1"/>
  <c r="F35" i="2"/>
  <c r="E35" i="2"/>
  <c r="Y34" i="2"/>
  <c r="X34" i="2"/>
  <c r="Z34" i="2" s="1"/>
  <c r="V34" i="2"/>
  <c r="U34" i="2"/>
  <c r="W34" i="2" s="1"/>
  <c r="S34" i="2"/>
  <c r="R34" i="2"/>
  <c r="T34" i="2" s="1"/>
  <c r="O34" i="2"/>
  <c r="L34" i="2"/>
  <c r="J34" i="2" s="1"/>
  <c r="I34" i="2"/>
  <c r="Q34" i="2" s="1"/>
  <c r="H34" i="2"/>
  <c r="N34" i="2" s="1"/>
  <c r="G34" i="2"/>
  <c r="P34" i="2" s="1"/>
  <c r="F34" i="2"/>
  <c r="E34" i="2"/>
  <c r="Y33" i="2"/>
  <c r="X33" i="2"/>
  <c r="Z33" i="2" s="1"/>
  <c r="V33" i="2"/>
  <c r="U33" i="2"/>
  <c r="W33" i="2" s="1"/>
  <c r="S33" i="2"/>
  <c r="R33" i="2"/>
  <c r="T33" i="2" s="1"/>
  <c r="O33" i="2"/>
  <c r="L33" i="2"/>
  <c r="J33" i="2" s="1"/>
  <c r="I33" i="2"/>
  <c r="Q33" i="2" s="1"/>
  <c r="H33" i="2"/>
  <c r="G33" i="2"/>
  <c r="P33" i="2" s="1"/>
  <c r="F33" i="2"/>
  <c r="E33" i="2"/>
  <c r="Y32" i="2"/>
  <c r="X32" i="2"/>
  <c r="Z32" i="2" s="1"/>
  <c r="V32" i="2"/>
  <c r="U32" i="2"/>
  <c r="W32" i="2" s="1"/>
  <c r="S32" i="2"/>
  <c r="R32" i="2"/>
  <c r="T32" i="2" s="1"/>
  <c r="O32" i="2"/>
  <c r="L32" i="2"/>
  <c r="J32" i="2" s="1"/>
  <c r="I32" i="2"/>
  <c r="Q32" i="2" s="1"/>
  <c r="H32" i="2"/>
  <c r="N32" i="2" s="1"/>
  <c r="G32" i="2"/>
  <c r="P32" i="2" s="1"/>
  <c r="F32" i="2"/>
  <c r="F31" i="2" s="1"/>
  <c r="E32" i="2"/>
  <c r="Y31" i="2"/>
  <c r="X31" i="2"/>
  <c r="Z31" i="2" s="1"/>
  <c r="V31" i="2"/>
  <c r="S31" i="2"/>
  <c r="O31" i="2"/>
  <c r="L31" i="2"/>
  <c r="J31" i="2" s="1"/>
  <c r="I31" i="2"/>
  <c r="Q31" i="2" s="1"/>
  <c r="H31" i="2"/>
  <c r="G31" i="2"/>
  <c r="P31" i="2" s="1"/>
  <c r="E31" i="2"/>
  <c r="Y30" i="2"/>
  <c r="X30" i="2"/>
  <c r="Z30" i="2" s="1"/>
  <c r="V30" i="2"/>
  <c r="U30" i="2"/>
  <c r="W30" i="2" s="1"/>
  <c r="S30" i="2"/>
  <c r="R30" i="2"/>
  <c r="T30" i="2" s="1"/>
  <c r="O30" i="2"/>
  <c r="L30" i="2"/>
  <c r="J30" i="2" s="1"/>
  <c r="I30" i="2"/>
  <c r="Q30" i="2" s="1"/>
  <c r="H30" i="2"/>
  <c r="N30" i="2" s="1"/>
  <c r="G30" i="2"/>
  <c r="P30" i="2" s="1"/>
  <c r="F30" i="2"/>
  <c r="E30" i="2"/>
  <c r="Y29" i="2"/>
  <c r="X29" i="2"/>
  <c r="Z29" i="2" s="1"/>
  <c r="V29" i="2"/>
  <c r="U29" i="2"/>
  <c r="W29" i="2" s="1"/>
  <c r="S29" i="2"/>
  <c r="R29" i="2"/>
  <c r="T29" i="2" s="1"/>
  <c r="O29" i="2"/>
  <c r="L29" i="2"/>
  <c r="J29" i="2" s="1"/>
  <c r="I29" i="2"/>
  <c r="Q29" i="2" s="1"/>
  <c r="H29" i="2"/>
  <c r="N29" i="2" s="1"/>
  <c r="G29" i="2"/>
  <c r="P29" i="2" s="1"/>
  <c r="F29" i="2"/>
  <c r="E29" i="2"/>
  <c r="Y28" i="2"/>
  <c r="X28" i="2"/>
  <c r="Z28" i="2" s="1"/>
  <c r="V28" i="2"/>
  <c r="U28" i="2"/>
  <c r="W28" i="2" s="1"/>
  <c r="S28" i="2"/>
  <c r="R28" i="2"/>
  <c r="T28" i="2" s="1"/>
  <c r="O28" i="2"/>
  <c r="L28" i="2"/>
  <c r="J28" i="2" s="1"/>
  <c r="I28" i="2"/>
  <c r="Q28" i="2" s="1"/>
  <c r="H28" i="2"/>
  <c r="N28" i="2" s="1"/>
  <c r="G28" i="2"/>
  <c r="P28" i="2" s="1"/>
  <c r="F28" i="2"/>
  <c r="E28" i="2"/>
  <c r="Y27" i="2"/>
  <c r="X27" i="2"/>
  <c r="Z27" i="2" s="1"/>
  <c r="V27" i="2"/>
  <c r="U27" i="2"/>
  <c r="W27" i="2" s="1"/>
  <c r="S27" i="2"/>
  <c r="R27" i="2"/>
  <c r="T27" i="2" s="1"/>
  <c r="O27" i="2"/>
  <c r="L27" i="2"/>
  <c r="J27" i="2" s="1"/>
  <c r="I27" i="2"/>
  <c r="Q27" i="2" s="1"/>
  <c r="H27" i="2"/>
  <c r="N27" i="2" s="1"/>
  <c r="G27" i="2"/>
  <c r="P27" i="2" s="1"/>
  <c r="F27" i="2"/>
  <c r="E27" i="2"/>
  <c r="Y26" i="2"/>
  <c r="X26" i="2"/>
  <c r="Z26" i="2" s="1"/>
  <c r="V26" i="2"/>
  <c r="U26" i="2"/>
  <c r="W26" i="2" s="1"/>
  <c r="S26" i="2"/>
  <c r="R26" i="2"/>
  <c r="T26" i="2" s="1"/>
  <c r="O26" i="2"/>
  <c r="L26" i="2"/>
  <c r="J26" i="2" s="1"/>
  <c r="I26" i="2"/>
  <c r="Q26" i="2" s="1"/>
  <c r="H26" i="2"/>
  <c r="N26" i="2" s="1"/>
  <c r="G26" i="2"/>
  <c r="P26" i="2" s="1"/>
  <c r="F26" i="2"/>
  <c r="E26" i="2"/>
  <c r="Y25" i="2"/>
  <c r="X25" i="2"/>
  <c r="Z25" i="2" s="1"/>
  <c r="V25" i="2"/>
  <c r="U25" i="2"/>
  <c r="W25" i="2" s="1"/>
  <c r="S25" i="2"/>
  <c r="R25" i="2"/>
  <c r="T25" i="2" s="1"/>
  <c r="O25" i="2"/>
  <c r="L25" i="2"/>
  <c r="J25" i="2" s="1"/>
  <c r="I25" i="2"/>
  <c r="Q25" i="2" s="1"/>
  <c r="H25" i="2"/>
  <c r="N25" i="2" s="1"/>
  <c r="G25" i="2"/>
  <c r="P25" i="2" s="1"/>
  <c r="F25" i="2"/>
  <c r="E25" i="2"/>
  <c r="Y24" i="2"/>
  <c r="X24" i="2"/>
  <c r="Z24" i="2" s="1"/>
  <c r="V24" i="2"/>
  <c r="U24" i="2"/>
  <c r="W24" i="2" s="1"/>
  <c r="S24" i="2"/>
  <c r="R24" i="2"/>
  <c r="T24" i="2" s="1"/>
  <c r="O24" i="2"/>
  <c r="L24" i="2"/>
  <c r="J24" i="2" s="1"/>
  <c r="I24" i="2"/>
  <c r="Q24" i="2" s="1"/>
  <c r="H24" i="2"/>
  <c r="N24" i="2" s="1"/>
  <c r="G24" i="2"/>
  <c r="P24" i="2" s="1"/>
  <c r="F24" i="2"/>
  <c r="E24" i="2"/>
  <c r="Y23" i="2"/>
  <c r="X23" i="2"/>
  <c r="Z23" i="2" s="1"/>
  <c r="V23" i="2"/>
  <c r="U23" i="2"/>
  <c r="W23" i="2" s="1"/>
  <c r="S23" i="2"/>
  <c r="R23" i="2"/>
  <c r="T23" i="2" s="1"/>
  <c r="O23" i="2"/>
  <c r="L23" i="2"/>
  <c r="J23" i="2" s="1"/>
  <c r="I23" i="2"/>
  <c r="Q23" i="2" s="1"/>
  <c r="H23" i="2"/>
  <c r="N23" i="2" s="1"/>
  <c r="G23" i="2"/>
  <c r="P23" i="2" s="1"/>
  <c r="F23" i="2"/>
  <c r="E23" i="2"/>
  <c r="Y22" i="2"/>
  <c r="X22" i="2"/>
  <c r="Z22" i="2" s="1"/>
  <c r="V22" i="2"/>
  <c r="U22" i="2"/>
  <c r="W22" i="2" s="1"/>
  <c r="S22" i="2"/>
  <c r="R22" i="2"/>
  <c r="T22" i="2" s="1"/>
  <c r="O22" i="2"/>
  <c r="L22" i="2"/>
  <c r="J22" i="2" s="1"/>
  <c r="I22" i="2"/>
  <c r="Q22" i="2" s="1"/>
  <c r="H22" i="2"/>
  <c r="N22" i="2" s="1"/>
  <c r="G22" i="2"/>
  <c r="P22" i="2" s="1"/>
  <c r="F22" i="2"/>
  <c r="D22" i="2" s="1"/>
  <c r="M22" i="2" s="1"/>
  <c r="E22" i="2"/>
  <c r="C22" i="2"/>
  <c r="K22" i="2" s="1"/>
  <c r="Y21" i="2"/>
  <c r="X21" i="2"/>
  <c r="Z21" i="2" s="1"/>
  <c r="V21" i="2"/>
  <c r="U21" i="2"/>
  <c r="W21" i="2" s="1"/>
  <c r="S21" i="2"/>
  <c r="R21" i="2"/>
  <c r="T21" i="2" s="1"/>
  <c r="O21" i="2"/>
  <c r="L21" i="2"/>
  <c r="J21" i="2" s="1"/>
  <c r="I21" i="2"/>
  <c r="Q21" i="2" s="1"/>
  <c r="H21" i="2"/>
  <c r="N21" i="2" s="1"/>
  <c r="G21" i="2"/>
  <c r="P21" i="2" s="1"/>
  <c r="F21" i="2"/>
  <c r="D21" i="2" s="1"/>
  <c r="M21" i="2" s="1"/>
  <c r="E21" i="2"/>
  <c r="Y20" i="2"/>
  <c r="X20" i="2"/>
  <c r="Z20" i="2" s="1"/>
  <c r="V20" i="2"/>
  <c r="U20" i="2"/>
  <c r="W20" i="2" s="1"/>
  <c r="S20" i="2"/>
  <c r="R20" i="2"/>
  <c r="T20" i="2" s="1"/>
  <c r="O20" i="2"/>
  <c r="L20" i="2"/>
  <c r="J20" i="2" s="1"/>
  <c r="I20" i="2"/>
  <c r="Q20" i="2" s="1"/>
  <c r="H20" i="2"/>
  <c r="N20" i="2" s="1"/>
  <c r="G20" i="2"/>
  <c r="P20" i="2" s="1"/>
  <c r="F20" i="2"/>
  <c r="E20" i="2"/>
  <c r="Y19" i="2"/>
  <c r="X19" i="2"/>
  <c r="Z19" i="2" s="1"/>
  <c r="V19" i="2"/>
  <c r="U19" i="2"/>
  <c r="W19" i="2" s="1"/>
  <c r="S19" i="2"/>
  <c r="R19" i="2"/>
  <c r="T19" i="2" s="1"/>
  <c r="O19" i="2"/>
  <c r="L19" i="2"/>
  <c r="J19" i="2" s="1"/>
  <c r="I19" i="2"/>
  <c r="Q19" i="2" s="1"/>
  <c r="H19" i="2"/>
  <c r="N19" i="2" s="1"/>
  <c r="G19" i="2"/>
  <c r="P19" i="2" s="1"/>
  <c r="F19" i="2"/>
  <c r="E19" i="2"/>
  <c r="Y18" i="2"/>
  <c r="X18" i="2"/>
  <c r="Z18" i="2" s="1"/>
  <c r="V18" i="2"/>
  <c r="U18" i="2"/>
  <c r="W18" i="2" s="1"/>
  <c r="S18" i="2"/>
  <c r="R18" i="2"/>
  <c r="T18" i="2" s="1"/>
  <c r="O18" i="2"/>
  <c r="L18" i="2"/>
  <c r="J18" i="2" s="1"/>
  <c r="I18" i="2"/>
  <c r="Q18" i="2" s="1"/>
  <c r="H18" i="2"/>
  <c r="N18" i="2" s="1"/>
  <c r="G18" i="2"/>
  <c r="P18" i="2" s="1"/>
  <c r="F18" i="2"/>
  <c r="E18" i="2"/>
  <c r="Y17" i="2"/>
  <c r="X17" i="2"/>
  <c r="Z17" i="2" s="1"/>
  <c r="V17" i="2"/>
  <c r="U17" i="2"/>
  <c r="W17" i="2" s="1"/>
  <c r="S17" i="2"/>
  <c r="R17" i="2"/>
  <c r="T17" i="2" s="1"/>
  <c r="O17" i="2"/>
  <c r="L17" i="2"/>
  <c r="J17" i="2" s="1"/>
  <c r="I17" i="2"/>
  <c r="Q17" i="2" s="1"/>
  <c r="H17" i="2"/>
  <c r="N17" i="2" s="1"/>
  <c r="G17" i="2"/>
  <c r="P17" i="2" s="1"/>
  <c r="F17" i="2"/>
  <c r="E17" i="2"/>
  <c r="Y16" i="2"/>
  <c r="X16" i="2"/>
  <c r="Z16" i="2" s="1"/>
  <c r="V16" i="2"/>
  <c r="U16" i="2"/>
  <c r="W16" i="2" s="1"/>
  <c r="S16" i="2"/>
  <c r="R16" i="2"/>
  <c r="T16" i="2" s="1"/>
  <c r="O16" i="2"/>
  <c r="L16" i="2"/>
  <c r="J16" i="2" s="1"/>
  <c r="I16" i="2"/>
  <c r="Q16" i="2" s="1"/>
  <c r="H16" i="2"/>
  <c r="N16" i="2" s="1"/>
  <c r="G16" i="2"/>
  <c r="P16" i="2" s="1"/>
  <c r="F16" i="2"/>
  <c r="E16" i="2"/>
  <c r="Y15" i="2"/>
  <c r="X15" i="2"/>
  <c r="Z15" i="2" s="1"/>
  <c r="V15" i="2"/>
  <c r="U15" i="2"/>
  <c r="W15" i="2" s="1"/>
  <c r="S15" i="2"/>
  <c r="R15" i="2"/>
  <c r="T15" i="2" s="1"/>
  <c r="O15" i="2"/>
  <c r="L15" i="2"/>
  <c r="J15" i="2" s="1"/>
  <c r="I15" i="2"/>
  <c r="Q15" i="2" s="1"/>
  <c r="H15" i="2"/>
  <c r="N15" i="2" s="1"/>
  <c r="G15" i="2"/>
  <c r="P15" i="2" s="1"/>
  <c r="F15" i="2"/>
  <c r="F13" i="2" s="1"/>
  <c r="E15" i="2"/>
  <c r="Y14" i="2"/>
  <c r="X14" i="2"/>
  <c r="Z14" i="2" s="1"/>
  <c r="V14" i="2"/>
  <c r="U14" i="2"/>
  <c r="W14" i="2" s="1"/>
  <c r="S14" i="2"/>
  <c r="R14" i="2"/>
  <c r="T14" i="2" s="1"/>
  <c r="O14" i="2"/>
  <c r="L14" i="2"/>
  <c r="J14" i="2" s="1"/>
  <c r="I14" i="2"/>
  <c r="Q14" i="2" s="1"/>
  <c r="H14" i="2"/>
  <c r="N14" i="2" s="1"/>
  <c r="G14" i="2"/>
  <c r="P14" i="2" s="1"/>
  <c r="F14" i="2"/>
  <c r="E14" i="2"/>
  <c r="Y13" i="2"/>
  <c r="X13" i="2"/>
  <c r="Z13" i="2" s="1"/>
  <c r="V13" i="2"/>
  <c r="S13" i="2"/>
  <c r="O13" i="2"/>
  <c r="O8" i="2" s="1"/>
  <c r="L13" i="2"/>
  <c r="J13" i="2" s="1"/>
  <c r="I13" i="2"/>
  <c r="Q13" i="2" s="1"/>
  <c r="H13" i="2"/>
  <c r="G13" i="2"/>
  <c r="P13" i="2" s="1"/>
  <c r="E13" i="2"/>
  <c r="F10" i="2"/>
  <c r="F9" i="2" s="1"/>
  <c r="V8" i="2"/>
  <c r="H8" i="2"/>
  <c r="V7" i="2"/>
  <c r="O106" i="1"/>
  <c r="L106" i="1"/>
  <c r="I106" i="1"/>
  <c r="Q106" i="1" s="1"/>
  <c r="H106" i="1"/>
  <c r="N106" i="1" s="1"/>
  <c r="G106" i="1"/>
  <c r="P106" i="1" s="1"/>
  <c r="F106" i="1"/>
  <c r="E106" i="1"/>
  <c r="D106" i="1" s="1"/>
  <c r="M106" i="1" s="1"/>
  <c r="O105" i="1"/>
  <c r="L105" i="1"/>
  <c r="I105" i="1"/>
  <c r="Q105" i="1" s="1"/>
  <c r="H105" i="1"/>
  <c r="N105" i="1" s="1"/>
  <c r="G105" i="1"/>
  <c r="P105" i="1" s="1"/>
  <c r="F105" i="1"/>
  <c r="E105" i="1"/>
  <c r="D105" i="1" s="1"/>
  <c r="M105" i="1" s="1"/>
  <c r="O104" i="1"/>
  <c r="L104" i="1"/>
  <c r="I104" i="1"/>
  <c r="Q104" i="1" s="1"/>
  <c r="H104" i="1"/>
  <c r="N104" i="1" s="1"/>
  <c r="G104" i="1"/>
  <c r="P104" i="1" s="1"/>
  <c r="F104" i="1"/>
  <c r="E104" i="1"/>
  <c r="D104" i="1" s="1"/>
  <c r="M104" i="1" s="1"/>
  <c r="O103" i="1"/>
  <c r="L103" i="1"/>
  <c r="I103" i="1"/>
  <c r="Q103" i="1" s="1"/>
  <c r="H103" i="1"/>
  <c r="N103" i="1" s="1"/>
  <c r="G103" i="1"/>
  <c r="P103" i="1" s="1"/>
  <c r="F103" i="1"/>
  <c r="E103" i="1"/>
  <c r="D103" i="1" s="1"/>
  <c r="M103" i="1" s="1"/>
  <c r="O102" i="1"/>
  <c r="L102" i="1"/>
  <c r="I102" i="1"/>
  <c r="Q102" i="1" s="1"/>
  <c r="H102" i="1"/>
  <c r="N102" i="1" s="1"/>
  <c r="G102" i="1"/>
  <c r="P102" i="1" s="1"/>
  <c r="F102" i="1"/>
  <c r="E102" i="1"/>
  <c r="D102" i="1" s="1"/>
  <c r="M102" i="1" s="1"/>
  <c r="O101" i="1"/>
  <c r="L101" i="1"/>
  <c r="I101" i="1"/>
  <c r="Q101" i="1" s="1"/>
  <c r="H101" i="1"/>
  <c r="G101" i="1"/>
  <c r="P101" i="1" s="1"/>
  <c r="F101" i="1"/>
  <c r="E101" i="1"/>
  <c r="D101" i="1" s="1"/>
  <c r="M101" i="1" s="1"/>
  <c r="O100" i="1"/>
  <c r="L100" i="1"/>
  <c r="I100" i="1"/>
  <c r="Q100" i="1" s="1"/>
  <c r="H100" i="1"/>
  <c r="N100" i="1" s="1"/>
  <c r="G100" i="1"/>
  <c r="P100" i="1" s="1"/>
  <c r="F100" i="1"/>
  <c r="E100" i="1"/>
  <c r="D100" i="1" s="1"/>
  <c r="M100" i="1" s="1"/>
  <c r="O99" i="1"/>
  <c r="L99" i="1"/>
  <c r="I99" i="1"/>
  <c r="Q99" i="1" s="1"/>
  <c r="H99" i="1"/>
  <c r="N99" i="1" s="1"/>
  <c r="G99" i="1"/>
  <c r="P99" i="1" s="1"/>
  <c r="F99" i="1"/>
  <c r="E99" i="1"/>
  <c r="D99" i="1" s="1"/>
  <c r="M99" i="1" s="1"/>
  <c r="O98" i="1"/>
  <c r="L98" i="1"/>
  <c r="I98" i="1"/>
  <c r="Q98" i="1" s="1"/>
  <c r="H98" i="1"/>
  <c r="N98" i="1" s="1"/>
  <c r="G98" i="1"/>
  <c r="P98" i="1" s="1"/>
  <c r="F98" i="1"/>
  <c r="E98" i="1"/>
  <c r="D98" i="1" s="1"/>
  <c r="M98" i="1" s="1"/>
  <c r="O97" i="1"/>
  <c r="O89" i="1" s="1"/>
  <c r="O10" i="1" s="1"/>
  <c r="O9" i="1" s="1"/>
  <c r="L97" i="1"/>
  <c r="I97" i="1"/>
  <c r="Q97" i="1" s="1"/>
  <c r="H97" i="1"/>
  <c r="N97" i="1" s="1"/>
  <c r="G97" i="1"/>
  <c r="P97" i="1" s="1"/>
  <c r="F97" i="1"/>
  <c r="E97" i="1"/>
  <c r="D97" i="1" s="1"/>
  <c r="M97" i="1" s="1"/>
  <c r="P96" i="1"/>
  <c r="O96" i="1"/>
  <c r="L96" i="1"/>
  <c r="J96" i="1" s="1"/>
  <c r="I96" i="1"/>
  <c r="Q96" i="1" s="1"/>
  <c r="H96" i="1"/>
  <c r="N96" i="1" s="1"/>
  <c r="G96" i="1"/>
  <c r="F96" i="1"/>
  <c r="E96" i="1"/>
  <c r="O95" i="1"/>
  <c r="L95" i="1"/>
  <c r="J95" i="1" s="1"/>
  <c r="I95" i="1"/>
  <c r="Q95" i="1" s="1"/>
  <c r="H95" i="1"/>
  <c r="N95" i="1" s="1"/>
  <c r="G95" i="1"/>
  <c r="P95" i="1" s="1"/>
  <c r="F95" i="1"/>
  <c r="E95" i="1"/>
  <c r="O94" i="1"/>
  <c r="L94" i="1"/>
  <c r="J94" i="1" s="1"/>
  <c r="I94" i="1"/>
  <c r="Q94" i="1" s="1"/>
  <c r="H94" i="1"/>
  <c r="N94" i="1" s="1"/>
  <c r="G94" i="1"/>
  <c r="P94" i="1" s="1"/>
  <c r="F94" i="1"/>
  <c r="E94" i="1"/>
  <c r="O93" i="1"/>
  <c r="L93" i="1"/>
  <c r="J93" i="1" s="1"/>
  <c r="I93" i="1"/>
  <c r="Q93" i="1" s="1"/>
  <c r="H93" i="1"/>
  <c r="N93" i="1" s="1"/>
  <c r="G93" i="1"/>
  <c r="P93" i="1" s="1"/>
  <c r="F93" i="1"/>
  <c r="E93" i="1"/>
  <c r="O92" i="1"/>
  <c r="L92" i="1"/>
  <c r="J92" i="1" s="1"/>
  <c r="I92" i="1"/>
  <c r="Q92" i="1" s="1"/>
  <c r="H92" i="1"/>
  <c r="N92" i="1" s="1"/>
  <c r="G92" i="1"/>
  <c r="P92" i="1" s="1"/>
  <c r="F92" i="1"/>
  <c r="E92" i="1"/>
  <c r="O91" i="1"/>
  <c r="L91" i="1"/>
  <c r="J91" i="1" s="1"/>
  <c r="I91" i="1"/>
  <c r="Q91" i="1" s="1"/>
  <c r="H91" i="1"/>
  <c r="N91" i="1" s="1"/>
  <c r="G91" i="1"/>
  <c r="P91" i="1" s="1"/>
  <c r="F91" i="1"/>
  <c r="E91" i="1"/>
  <c r="O90" i="1"/>
  <c r="L90" i="1"/>
  <c r="J90" i="1" s="1"/>
  <c r="I90" i="1"/>
  <c r="Q90" i="1" s="1"/>
  <c r="H90" i="1"/>
  <c r="N90" i="1" s="1"/>
  <c r="G90" i="1"/>
  <c r="P90" i="1" s="1"/>
  <c r="F90" i="1"/>
  <c r="E90" i="1"/>
  <c r="E89" i="1" s="1"/>
  <c r="L89" i="1"/>
  <c r="H89" i="1"/>
  <c r="G89" i="1"/>
  <c r="F89" i="1"/>
  <c r="AK88" i="1"/>
  <c r="AJ88" i="1"/>
  <c r="AL88" i="1" s="1"/>
  <c r="AI88" i="1"/>
  <c r="AH88" i="1"/>
  <c r="AG88" i="1"/>
  <c r="S88" i="1" s="1"/>
  <c r="W88" i="1" s="1"/>
  <c r="AF88" i="1"/>
  <c r="AE88" i="1"/>
  <c r="AD88" i="1"/>
  <c r="T88" i="1" s="1"/>
  <c r="AC88" i="1"/>
  <c r="AB88" i="1"/>
  <c r="AA88" i="1"/>
  <c r="V88" i="1" s="1"/>
  <c r="Z88" i="1"/>
  <c r="Y88" i="1"/>
  <c r="X88" i="1"/>
  <c r="R88" i="1" s="1"/>
  <c r="U88" i="1" s="1"/>
  <c r="O88" i="1"/>
  <c r="L88" i="1"/>
  <c r="I88" i="1"/>
  <c r="Q88" i="1" s="1"/>
  <c r="H88" i="1"/>
  <c r="N88" i="1" s="1"/>
  <c r="G88" i="1"/>
  <c r="P88" i="1" s="1"/>
  <c r="F88" i="1"/>
  <c r="E88" i="1"/>
  <c r="D88" i="1" s="1"/>
  <c r="M88" i="1" s="1"/>
  <c r="AK87" i="1"/>
  <c r="AJ87" i="1"/>
  <c r="AL87" i="1" s="1"/>
  <c r="AI87" i="1"/>
  <c r="AH87" i="1"/>
  <c r="AG87" i="1"/>
  <c r="S87" i="1" s="1"/>
  <c r="W87" i="1" s="1"/>
  <c r="AF87" i="1"/>
  <c r="AE87" i="1"/>
  <c r="AD87" i="1"/>
  <c r="T87" i="1" s="1"/>
  <c r="AC87" i="1"/>
  <c r="AB87" i="1"/>
  <c r="AA87" i="1"/>
  <c r="V87" i="1" s="1"/>
  <c r="Z87" i="1"/>
  <c r="Y87" i="1"/>
  <c r="X87" i="1"/>
  <c r="R87" i="1" s="1"/>
  <c r="U87" i="1" s="1"/>
  <c r="O87" i="1"/>
  <c r="L87" i="1"/>
  <c r="I87" i="1"/>
  <c r="Q87" i="1" s="1"/>
  <c r="H87" i="1"/>
  <c r="N87" i="1" s="1"/>
  <c r="G87" i="1"/>
  <c r="P87" i="1" s="1"/>
  <c r="F87" i="1"/>
  <c r="E87" i="1"/>
  <c r="D87" i="1" s="1"/>
  <c r="M87" i="1" s="1"/>
  <c r="AK86" i="1"/>
  <c r="AJ86" i="1"/>
  <c r="AL86" i="1" s="1"/>
  <c r="AI86" i="1"/>
  <c r="AH86" i="1"/>
  <c r="AG86" i="1"/>
  <c r="AF86" i="1"/>
  <c r="AE86" i="1"/>
  <c r="AD86" i="1"/>
  <c r="T86" i="1" s="1"/>
  <c r="AC86" i="1"/>
  <c r="AB86" i="1"/>
  <c r="AA86" i="1"/>
  <c r="V86" i="1" s="1"/>
  <c r="Z86" i="1"/>
  <c r="Y86" i="1"/>
  <c r="X86" i="1"/>
  <c r="R86" i="1" s="1"/>
  <c r="U86" i="1" s="1"/>
  <c r="O86" i="1"/>
  <c r="L86" i="1"/>
  <c r="I86" i="1"/>
  <c r="Q86" i="1" s="1"/>
  <c r="H86" i="1"/>
  <c r="N86" i="1" s="1"/>
  <c r="G86" i="1"/>
  <c r="P86" i="1" s="1"/>
  <c r="F86" i="1"/>
  <c r="E86" i="1"/>
  <c r="D86" i="1" s="1"/>
  <c r="M86" i="1" s="1"/>
  <c r="AK85" i="1"/>
  <c r="AJ85" i="1"/>
  <c r="AL85" i="1" s="1"/>
  <c r="AI85" i="1"/>
  <c r="AH85" i="1"/>
  <c r="AG85" i="1"/>
  <c r="S85" i="1" s="1"/>
  <c r="W85" i="1" s="1"/>
  <c r="AF85" i="1"/>
  <c r="AE85" i="1"/>
  <c r="AD85" i="1"/>
  <c r="T85" i="1" s="1"/>
  <c r="AC85" i="1"/>
  <c r="AB85" i="1"/>
  <c r="AA85" i="1"/>
  <c r="V85" i="1" s="1"/>
  <c r="Z85" i="1"/>
  <c r="Y85" i="1"/>
  <c r="X85" i="1"/>
  <c r="R85" i="1" s="1"/>
  <c r="U85" i="1" s="1"/>
  <c r="O85" i="1"/>
  <c r="L85" i="1"/>
  <c r="I85" i="1"/>
  <c r="Q85" i="1" s="1"/>
  <c r="H85" i="1"/>
  <c r="N85" i="1" s="1"/>
  <c r="G85" i="1"/>
  <c r="P85" i="1" s="1"/>
  <c r="F85" i="1"/>
  <c r="E85" i="1"/>
  <c r="D85" i="1" s="1"/>
  <c r="M85" i="1" s="1"/>
  <c r="AK84" i="1"/>
  <c r="AJ84" i="1"/>
  <c r="AL84" i="1" s="1"/>
  <c r="AI84" i="1"/>
  <c r="AH84" i="1"/>
  <c r="AG84" i="1"/>
  <c r="S84" i="1" s="1"/>
  <c r="W84" i="1" s="1"/>
  <c r="AF84" i="1"/>
  <c r="AE84" i="1"/>
  <c r="AD84" i="1"/>
  <c r="T84" i="1" s="1"/>
  <c r="AC84" i="1"/>
  <c r="AB84" i="1"/>
  <c r="AA84" i="1"/>
  <c r="V84" i="1" s="1"/>
  <c r="Z84" i="1"/>
  <c r="Y84" i="1"/>
  <c r="X84" i="1"/>
  <c r="R84" i="1" s="1"/>
  <c r="U84" i="1" s="1"/>
  <c r="O84" i="1"/>
  <c r="L84" i="1"/>
  <c r="I84" i="1"/>
  <c r="Q84" i="1" s="1"/>
  <c r="H84" i="1"/>
  <c r="N84" i="1" s="1"/>
  <c r="G84" i="1"/>
  <c r="P84" i="1" s="1"/>
  <c r="F84" i="1"/>
  <c r="E84" i="1"/>
  <c r="D84" i="1" s="1"/>
  <c r="M84" i="1" s="1"/>
  <c r="AL83" i="1"/>
  <c r="AK83" i="1"/>
  <c r="AJ83" i="1"/>
  <c r="AI83" i="1"/>
  <c r="AH83" i="1"/>
  <c r="AG83" i="1"/>
  <c r="S83" i="1" s="1"/>
  <c r="W83" i="1" s="1"/>
  <c r="AF83" i="1"/>
  <c r="AE83" i="1"/>
  <c r="AD83" i="1"/>
  <c r="AC83" i="1"/>
  <c r="AB83" i="1"/>
  <c r="AA83" i="1"/>
  <c r="V83" i="1" s="1"/>
  <c r="Z83" i="1"/>
  <c r="Y83" i="1"/>
  <c r="X83" i="1"/>
  <c r="R83" i="1" s="1"/>
  <c r="U83" i="1" s="1"/>
  <c r="T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L82" i="1" s="1"/>
  <c r="AI82" i="1"/>
  <c r="AH82" i="1"/>
  <c r="AG82" i="1"/>
  <c r="S82" i="1" s="1"/>
  <c r="AF82" i="1"/>
  <c r="AE82" i="1"/>
  <c r="AD82" i="1"/>
  <c r="AC82" i="1"/>
  <c r="AB82" i="1"/>
  <c r="AA82" i="1"/>
  <c r="V82" i="1" s="1"/>
  <c r="Z82" i="1"/>
  <c r="Y82" i="1"/>
  <c r="X82" i="1"/>
  <c r="T82" i="1"/>
  <c r="R82" i="1"/>
  <c r="U82" i="1" s="1"/>
  <c r="O82" i="1"/>
  <c r="N82" i="1"/>
  <c r="L82" i="1"/>
  <c r="J82" i="1" s="1"/>
  <c r="I82" i="1"/>
  <c r="Q82" i="1" s="1"/>
  <c r="H82" i="1"/>
  <c r="G82" i="1"/>
  <c r="P82" i="1" s="1"/>
  <c r="F82" i="1"/>
  <c r="E82" i="1"/>
  <c r="D82" i="1" s="1"/>
  <c r="M82" i="1" s="1"/>
  <c r="AK81" i="1"/>
  <c r="AJ81" i="1"/>
  <c r="AL81" i="1" s="1"/>
  <c r="AI81" i="1"/>
  <c r="AH81" i="1"/>
  <c r="AG81" i="1"/>
  <c r="S81" i="1" s="1"/>
  <c r="W81" i="1" s="1"/>
  <c r="AF81" i="1"/>
  <c r="AE81" i="1"/>
  <c r="AD81" i="1"/>
  <c r="T81" i="1" s="1"/>
  <c r="AC81" i="1"/>
  <c r="AB81" i="1"/>
  <c r="AA81" i="1"/>
  <c r="V81" i="1" s="1"/>
  <c r="Z81" i="1"/>
  <c r="Y81" i="1"/>
  <c r="X81" i="1"/>
  <c r="R81" i="1" s="1"/>
  <c r="U81" i="1" s="1"/>
  <c r="O81" i="1"/>
  <c r="L81" i="1"/>
  <c r="J81" i="1" s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S80" i="1" s="1"/>
  <c r="W80" i="1" s="1"/>
  <c r="AF80" i="1"/>
  <c r="AE80" i="1"/>
  <c r="AD80" i="1"/>
  <c r="T80" i="1" s="1"/>
  <c r="AC80" i="1"/>
  <c r="AB80" i="1"/>
  <c r="AA80" i="1"/>
  <c r="V80" i="1" s="1"/>
  <c r="Z80" i="1"/>
  <c r="Y80" i="1"/>
  <c r="X80" i="1"/>
  <c r="R80" i="1"/>
  <c r="U80" i="1" s="1"/>
  <c r="O80" i="1"/>
  <c r="N80" i="1"/>
  <c r="L80" i="1"/>
  <c r="J80" i="1" s="1"/>
  <c r="I80" i="1"/>
  <c r="Q80" i="1" s="1"/>
  <c r="H80" i="1"/>
  <c r="G80" i="1"/>
  <c r="P80" i="1" s="1"/>
  <c r="F80" i="1"/>
  <c r="E80" i="1"/>
  <c r="D80" i="1" s="1"/>
  <c r="M80" i="1" s="1"/>
  <c r="AK79" i="1"/>
  <c r="AJ79" i="1"/>
  <c r="AL79" i="1" s="1"/>
  <c r="AI79" i="1"/>
  <c r="AH79" i="1"/>
  <c r="AG79" i="1"/>
  <c r="S79" i="1" s="1"/>
  <c r="W79" i="1" s="1"/>
  <c r="AF79" i="1"/>
  <c r="AE79" i="1"/>
  <c r="AD79" i="1"/>
  <c r="T79" i="1" s="1"/>
  <c r="AC79" i="1"/>
  <c r="AB79" i="1"/>
  <c r="AA79" i="1"/>
  <c r="V79" i="1" s="1"/>
  <c r="Z79" i="1"/>
  <c r="Y79" i="1"/>
  <c r="X79" i="1"/>
  <c r="R79" i="1" s="1"/>
  <c r="U79" i="1" s="1"/>
  <c r="O79" i="1"/>
  <c r="L79" i="1"/>
  <c r="J79" i="1" s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S78" i="1" s="1"/>
  <c r="W78" i="1" s="1"/>
  <c r="AF78" i="1"/>
  <c r="AE78" i="1"/>
  <c r="AD78" i="1"/>
  <c r="T78" i="1" s="1"/>
  <c r="AC78" i="1"/>
  <c r="AB78" i="1"/>
  <c r="AA78" i="1"/>
  <c r="V78" i="1" s="1"/>
  <c r="Z78" i="1"/>
  <c r="Y78" i="1"/>
  <c r="X78" i="1"/>
  <c r="R78" i="1"/>
  <c r="U78" i="1" s="1"/>
  <c r="O78" i="1"/>
  <c r="N78" i="1"/>
  <c r="L78" i="1"/>
  <c r="J78" i="1" s="1"/>
  <c r="I78" i="1"/>
  <c r="Q78" i="1" s="1"/>
  <c r="H78" i="1"/>
  <c r="G78" i="1"/>
  <c r="P78" i="1" s="1"/>
  <c r="F78" i="1"/>
  <c r="E78" i="1"/>
  <c r="D78" i="1" s="1"/>
  <c r="M78" i="1" s="1"/>
  <c r="AK77" i="1"/>
  <c r="AJ77" i="1"/>
  <c r="AL77" i="1" s="1"/>
  <c r="AI77" i="1"/>
  <c r="AH77" i="1"/>
  <c r="AG77" i="1"/>
  <c r="S77" i="1" s="1"/>
  <c r="W77" i="1" s="1"/>
  <c r="AF77" i="1"/>
  <c r="AE77" i="1"/>
  <c r="AD77" i="1"/>
  <c r="T77" i="1" s="1"/>
  <c r="AC77" i="1"/>
  <c r="AB77" i="1"/>
  <c r="AA77" i="1"/>
  <c r="V77" i="1" s="1"/>
  <c r="Z77" i="1"/>
  <c r="Y77" i="1"/>
  <c r="X77" i="1"/>
  <c r="R77" i="1" s="1"/>
  <c r="U77" i="1" s="1"/>
  <c r="O77" i="1"/>
  <c r="L77" i="1"/>
  <c r="J77" i="1" s="1"/>
  <c r="I77" i="1"/>
  <c r="Q77" i="1" s="1"/>
  <c r="H77" i="1"/>
  <c r="N77" i="1" s="1"/>
  <c r="G77" i="1"/>
  <c r="P77" i="1" s="1"/>
  <c r="F77" i="1"/>
  <c r="E77" i="1"/>
  <c r="AK76" i="1"/>
  <c r="AJ76" i="1"/>
  <c r="AL76" i="1" s="1"/>
  <c r="AI76" i="1"/>
  <c r="AH76" i="1"/>
  <c r="AG76" i="1"/>
  <c r="S76" i="1" s="1"/>
  <c r="W76" i="1" s="1"/>
  <c r="AF76" i="1"/>
  <c r="AE76" i="1"/>
  <c r="AD76" i="1"/>
  <c r="T76" i="1" s="1"/>
  <c r="AC76" i="1"/>
  <c r="AB76" i="1"/>
  <c r="AA76" i="1"/>
  <c r="V76" i="1" s="1"/>
  <c r="Z76" i="1"/>
  <c r="Y76" i="1"/>
  <c r="X76" i="1"/>
  <c r="R76" i="1"/>
  <c r="U76" i="1" s="1"/>
  <c r="O76" i="1"/>
  <c r="N76" i="1"/>
  <c r="L76" i="1"/>
  <c r="J76" i="1" s="1"/>
  <c r="I76" i="1"/>
  <c r="Q76" i="1" s="1"/>
  <c r="H76" i="1"/>
  <c r="G76" i="1"/>
  <c r="P76" i="1" s="1"/>
  <c r="F76" i="1"/>
  <c r="F74" i="1" s="1"/>
  <c r="E76" i="1"/>
  <c r="AK75" i="1"/>
  <c r="AJ75" i="1"/>
  <c r="AJ74" i="1" s="1"/>
  <c r="AI75" i="1"/>
  <c r="AH75" i="1"/>
  <c r="AG75" i="1"/>
  <c r="S75" i="1" s="1"/>
  <c r="W75" i="1" s="1"/>
  <c r="AF75" i="1"/>
  <c r="AE75" i="1"/>
  <c r="AD75" i="1"/>
  <c r="T75" i="1" s="1"/>
  <c r="T74" i="1" s="1"/>
  <c r="AC75" i="1"/>
  <c r="AB75" i="1"/>
  <c r="AA75" i="1"/>
  <c r="V75" i="1" s="1"/>
  <c r="Z75" i="1"/>
  <c r="Y75" i="1"/>
  <c r="X75" i="1"/>
  <c r="R75" i="1" s="1"/>
  <c r="U75" i="1" s="1"/>
  <c r="O75" i="1"/>
  <c r="L75" i="1"/>
  <c r="J75" i="1" s="1"/>
  <c r="I75" i="1"/>
  <c r="Q75" i="1" s="1"/>
  <c r="H75" i="1"/>
  <c r="N75" i="1" s="1"/>
  <c r="G75" i="1"/>
  <c r="P75" i="1" s="1"/>
  <c r="F75" i="1"/>
  <c r="E75" i="1"/>
  <c r="AK74" i="1"/>
  <c r="AI74" i="1"/>
  <c r="AH74" i="1"/>
  <c r="AG74" i="1"/>
  <c r="S74" i="1" s="1"/>
  <c r="AF74" i="1"/>
  <c r="AE74" i="1"/>
  <c r="AC74" i="1"/>
  <c r="AB74" i="1"/>
  <c r="AA74" i="1"/>
  <c r="Z74" i="1"/>
  <c r="Y74" i="1"/>
  <c r="O74" i="1"/>
  <c r="G74" i="1"/>
  <c r="P74" i="1" s="1"/>
  <c r="E74" i="1"/>
  <c r="AK73" i="1"/>
  <c r="AJ73" i="1"/>
  <c r="AL73" i="1" s="1"/>
  <c r="AI73" i="1"/>
  <c r="AH73" i="1"/>
  <c r="AG73" i="1"/>
  <c r="S73" i="1" s="1"/>
  <c r="W73" i="1" s="1"/>
  <c r="AF73" i="1"/>
  <c r="AE73" i="1"/>
  <c r="AD73" i="1"/>
  <c r="AC73" i="1"/>
  <c r="AB73" i="1"/>
  <c r="AA73" i="1"/>
  <c r="V73" i="1" s="1"/>
  <c r="Z73" i="1"/>
  <c r="T73" i="1" s="1"/>
  <c r="Y73" i="1"/>
  <c r="X73" i="1"/>
  <c r="R73" i="1" s="1"/>
  <c r="U73" i="1" s="1"/>
  <c r="O73" i="1"/>
  <c r="L73" i="1"/>
  <c r="J73" i="1" s="1"/>
  <c r="I73" i="1"/>
  <c r="Q73" i="1" s="1"/>
  <c r="H73" i="1"/>
  <c r="N73" i="1" s="1"/>
  <c r="G73" i="1"/>
  <c r="P73" i="1" s="1"/>
  <c r="F73" i="1"/>
  <c r="D73" i="1" s="1"/>
  <c r="M73" i="1" s="1"/>
  <c r="E73" i="1"/>
  <c r="C73" i="1"/>
  <c r="K73" i="1" s="1"/>
  <c r="AL72" i="1"/>
  <c r="AK72" i="1"/>
  <c r="AJ72" i="1"/>
  <c r="AI72" i="1"/>
  <c r="AH72" i="1"/>
  <c r="AG72" i="1"/>
  <c r="S72" i="1" s="1"/>
  <c r="W72" i="1" s="1"/>
  <c r="AF72" i="1"/>
  <c r="AF52" i="1" s="1"/>
  <c r="AF8" i="1" s="1"/>
  <c r="AF7" i="1" s="1"/>
  <c r="AE72" i="1"/>
  <c r="AD72" i="1"/>
  <c r="AC72" i="1"/>
  <c r="AB72" i="1"/>
  <c r="AA72" i="1"/>
  <c r="V72" i="1" s="1"/>
  <c r="Z72" i="1"/>
  <c r="Z52" i="1" s="1"/>
  <c r="Z8" i="1" s="1"/>
  <c r="Z7" i="1" s="1"/>
  <c r="Y72" i="1"/>
  <c r="X72" i="1"/>
  <c r="O72" i="1"/>
  <c r="N72" i="1"/>
  <c r="L72" i="1"/>
  <c r="I72" i="1"/>
  <c r="Q72" i="1" s="1"/>
  <c r="H72" i="1"/>
  <c r="G72" i="1"/>
  <c r="P72" i="1" s="1"/>
  <c r="F72" i="1"/>
  <c r="F52" i="1" s="1"/>
  <c r="F8" i="1" s="1"/>
  <c r="F7" i="1" s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V71" i="1" s="1"/>
  <c r="Z71" i="1"/>
  <c r="T71" i="1" s="1"/>
  <c r="Y71" i="1"/>
  <c r="X71" i="1"/>
  <c r="R71" i="1" s="1"/>
  <c r="U71" i="1" s="1"/>
  <c r="S71" i="1"/>
  <c r="W71" i="1" s="1"/>
  <c r="P71" i="1"/>
  <c r="O71" i="1"/>
  <c r="J71" i="1" s="1"/>
  <c r="L71" i="1"/>
  <c r="I71" i="1"/>
  <c r="Q71" i="1" s="1"/>
  <c r="H71" i="1"/>
  <c r="N71" i="1" s="1"/>
  <c r="G71" i="1"/>
  <c r="F71" i="1"/>
  <c r="E71" i="1"/>
  <c r="D71" i="1"/>
  <c r="M71" i="1" s="1"/>
  <c r="C71" i="1"/>
  <c r="K71" i="1" s="1"/>
  <c r="AK70" i="1"/>
  <c r="AJ70" i="1"/>
  <c r="AL70" i="1" s="1"/>
  <c r="AI70" i="1"/>
  <c r="AH70" i="1"/>
  <c r="AG70" i="1"/>
  <c r="S70" i="1" s="1"/>
  <c r="W70" i="1" s="1"/>
  <c r="AF70" i="1"/>
  <c r="AE70" i="1"/>
  <c r="AD70" i="1"/>
  <c r="T70" i="1" s="1"/>
  <c r="AC70" i="1"/>
  <c r="AB70" i="1"/>
  <c r="R70" i="1" s="1"/>
  <c r="U70" i="1" s="1"/>
  <c r="AA70" i="1"/>
  <c r="V70" i="1" s="1"/>
  <c r="Z70" i="1"/>
  <c r="Y70" i="1"/>
  <c r="X70" i="1"/>
  <c r="P70" i="1"/>
  <c r="O70" i="1"/>
  <c r="J70" i="1" s="1"/>
  <c r="L70" i="1"/>
  <c r="I70" i="1"/>
  <c r="Q70" i="1" s="1"/>
  <c r="H70" i="1"/>
  <c r="N70" i="1" s="1"/>
  <c r="G70" i="1"/>
  <c r="F70" i="1"/>
  <c r="E70" i="1"/>
  <c r="D70" i="1"/>
  <c r="M70" i="1" s="1"/>
  <c r="C70" i="1"/>
  <c r="K70" i="1" s="1"/>
  <c r="AK69" i="1"/>
  <c r="AJ69" i="1"/>
  <c r="AL69" i="1" s="1"/>
  <c r="AI69" i="1"/>
  <c r="AH69" i="1"/>
  <c r="AG69" i="1"/>
  <c r="S69" i="1" s="1"/>
  <c r="W69" i="1" s="1"/>
  <c r="AF69" i="1"/>
  <c r="AE69" i="1"/>
  <c r="AD69" i="1"/>
  <c r="T69" i="1" s="1"/>
  <c r="AC69" i="1"/>
  <c r="AB69" i="1"/>
  <c r="R69" i="1" s="1"/>
  <c r="U69" i="1" s="1"/>
  <c r="AA69" i="1"/>
  <c r="V69" i="1" s="1"/>
  <c r="Z69" i="1"/>
  <c r="Y69" i="1"/>
  <c r="X69" i="1"/>
  <c r="P69" i="1"/>
  <c r="O69" i="1"/>
  <c r="J69" i="1" s="1"/>
  <c r="L69" i="1"/>
  <c r="I69" i="1"/>
  <c r="Q69" i="1" s="1"/>
  <c r="H69" i="1"/>
  <c r="N69" i="1" s="1"/>
  <c r="G69" i="1"/>
  <c r="F69" i="1"/>
  <c r="E69" i="1"/>
  <c r="D69" i="1"/>
  <c r="M69" i="1" s="1"/>
  <c r="C69" i="1"/>
  <c r="AK68" i="1"/>
  <c r="AJ68" i="1"/>
  <c r="AL68" i="1" s="1"/>
  <c r="AI68" i="1"/>
  <c r="AH68" i="1"/>
  <c r="AG68" i="1"/>
  <c r="S68" i="1" s="1"/>
  <c r="W68" i="1" s="1"/>
  <c r="AF68" i="1"/>
  <c r="AE68" i="1"/>
  <c r="AD68" i="1"/>
  <c r="T68" i="1" s="1"/>
  <c r="AC68" i="1"/>
  <c r="AB68" i="1"/>
  <c r="R68" i="1" s="1"/>
  <c r="U68" i="1" s="1"/>
  <c r="AA68" i="1"/>
  <c r="V68" i="1" s="1"/>
  <c r="Z68" i="1"/>
  <c r="Y68" i="1"/>
  <c r="X68" i="1"/>
  <c r="P68" i="1"/>
  <c r="O68" i="1"/>
  <c r="J68" i="1" s="1"/>
  <c r="L68" i="1"/>
  <c r="I68" i="1"/>
  <c r="Q68" i="1" s="1"/>
  <c r="H68" i="1"/>
  <c r="N68" i="1" s="1"/>
  <c r="G68" i="1"/>
  <c r="F68" i="1"/>
  <c r="E68" i="1"/>
  <c r="D68" i="1"/>
  <c r="M68" i="1" s="1"/>
  <c r="C68" i="1"/>
  <c r="AK67" i="1"/>
  <c r="AJ67" i="1"/>
  <c r="AL67" i="1" s="1"/>
  <c r="AI67" i="1"/>
  <c r="AH67" i="1"/>
  <c r="AG67" i="1"/>
  <c r="S67" i="1" s="1"/>
  <c r="W67" i="1" s="1"/>
  <c r="AF67" i="1"/>
  <c r="AE67" i="1"/>
  <c r="AD67" i="1"/>
  <c r="T67" i="1" s="1"/>
  <c r="AC67" i="1"/>
  <c r="AB67" i="1"/>
  <c r="R67" i="1" s="1"/>
  <c r="U67" i="1" s="1"/>
  <c r="AA67" i="1"/>
  <c r="V67" i="1" s="1"/>
  <c r="Z67" i="1"/>
  <c r="Y67" i="1"/>
  <c r="X67" i="1"/>
  <c r="P67" i="1"/>
  <c r="O67" i="1"/>
  <c r="J67" i="1" s="1"/>
  <c r="L67" i="1"/>
  <c r="I67" i="1"/>
  <c r="Q67" i="1" s="1"/>
  <c r="H67" i="1"/>
  <c r="N67" i="1" s="1"/>
  <c r="G67" i="1"/>
  <c r="F67" i="1"/>
  <c r="E67" i="1"/>
  <c r="D67" i="1"/>
  <c r="M67" i="1" s="1"/>
  <c r="C67" i="1"/>
  <c r="K67" i="1" s="1"/>
  <c r="AK66" i="1"/>
  <c r="AJ66" i="1"/>
  <c r="AL66" i="1" s="1"/>
  <c r="AI66" i="1"/>
  <c r="AH66" i="1"/>
  <c r="AG66" i="1"/>
  <c r="S66" i="1" s="1"/>
  <c r="W66" i="1" s="1"/>
  <c r="AF66" i="1"/>
  <c r="AE66" i="1"/>
  <c r="AD66" i="1"/>
  <c r="T66" i="1" s="1"/>
  <c r="AC66" i="1"/>
  <c r="AB66" i="1"/>
  <c r="R66" i="1" s="1"/>
  <c r="U66" i="1" s="1"/>
  <c r="AA66" i="1"/>
  <c r="V66" i="1" s="1"/>
  <c r="Z66" i="1"/>
  <c r="Y66" i="1"/>
  <c r="X66" i="1"/>
  <c r="P66" i="1"/>
  <c r="O66" i="1"/>
  <c r="J66" i="1" s="1"/>
  <c r="L66" i="1"/>
  <c r="I66" i="1"/>
  <c r="Q66" i="1" s="1"/>
  <c r="H66" i="1"/>
  <c r="N66" i="1" s="1"/>
  <c r="G66" i="1"/>
  <c r="F66" i="1"/>
  <c r="E66" i="1"/>
  <c r="D66" i="1"/>
  <c r="M66" i="1" s="1"/>
  <c r="C66" i="1"/>
  <c r="K66" i="1" s="1"/>
  <c r="AK65" i="1"/>
  <c r="AJ65" i="1"/>
  <c r="AL65" i="1" s="1"/>
  <c r="AI65" i="1"/>
  <c r="AH65" i="1"/>
  <c r="AG65" i="1"/>
  <c r="S65" i="1" s="1"/>
  <c r="W65" i="1" s="1"/>
  <c r="AF65" i="1"/>
  <c r="AE65" i="1"/>
  <c r="AD65" i="1"/>
  <c r="T65" i="1" s="1"/>
  <c r="AC65" i="1"/>
  <c r="AB65" i="1"/>
  <c r="R65" i="1" s="1"/>
  <c r="U65" i="1" s="1"/>
  <c r="AA65" i="1"/>
  <c r="V65" i="1" s="1"/>
  <c r="Z65" i="1"/>
  <c r="Y65" i="1"/>
  <c r="X65" i="1"/>
  <c r="P65" i="1"/>
  <c r="O65" i="1"/>
  <c r="J65" i="1" s="1"/>
  <c r="L65" i="1"/>
  <c r="I65" i="1"/>
  <c r="Q65" i="1" s="1"/>
  <c r="H65" i="1"/>
  <c r="N65" i="1" s="1"/>
  <c r="G65" i="1"/>
  <c r="F65" i="1"/>
  <c r="E65" i="1"/>
  <c r="D65" i="1"/>
  <c r="M65" i="1" s="1"/>
  <c r="C65" i="1"/>
  <c r="K65" i="1" s="1"/>
  <c r="AK64" i="1"/>
  <c r="AJ64" i="1"/>
  <c r="AL64" i="1" s="1"/>
  <c r="AI64" i="1"/>
  <c r="AH64" i="1"/>
  <c r="AG64" i="1"/>
  <c r="S64" i="1" s="1"/>
  <c r="W64" i="1" s="1"/>
  <c r="AF64" i="1"/>
  <c r="AE64" i="1"/>
  <c r="AD64" i="1"/>
  <c r="T64" i="1" s="1"/>
  <c r="AC64" i="1"/>
  <c r="AB64" i="1"/>
  <c r="R64" i="1" s="1"/>
  <c r="U64" i="1" s="1"/>
  <c r="AA64" i="1"/>
  <c r="V64" i="1" s="1"/>
  <c r="Z64" i="1"/>
  <c r="Y64" i="1"/>
  <c r="X64" i="1"/>
  <c r="P64" i="1"/>
  <c r="O64" i="1"/>
  <c r="J64" i="1" s="1"/>
  <c r="L64" i="1"/>
  <c r="I64" i="1"/>
  <c r="Q64" i="1" s="1"/>
  <c r="H64" i="1"/>
  <c r="N64" i="1" s="1"/>
  <c r="G64" i="1"/>
  <c r="F64" i="1"/>
  <c r="E64" i="1"/>
  <c r="D64" i="1"/>
  <c r="M64" i="1" s="1"/>
  <c r="C64" i="1"/>
  <c r="K64" i="1" s="1"/>
  <c r="AK63" i="1"/>
  <c r="AJ63" i="1"/>
  <c r="AL63" i="1" s="1"/>
  <c r="AI63" i="1"/>
  <c r="AH63" i="1"/>
  <c r="AG63" i="1"/>
  <c r="S63" i="1" s="1"/>
  <c r="W63" i="1" s="1"/>
  <c r="AF63" i="1"/>
  <c r="AE63" i="1"/>
  <c r="AD63" i="1"/>
  <c r="T63" i="1" s="1"/>
  <c r="AC63" i="1"/>
  <c r="AB63" i="1"/>
  <c r="R63" i="1" s="1"/>
  <c r="U63" i="1" s="1"/>
  <c r="AA63" i="1"/>
  <c r="V63" i="1" s="1"/>
  <c r="Z63" i="1"/>
  <c r="Y63" i="1"/>
  <c r="X63" i="1"/>
  <c r="P63" i="1"/>
  <c r="O63" i="1"/>
  <c r="J63" i="1" s="1"/>
  <c r="L63" i="1"/>
  <c r="I63" i="1"/>
  <c r="Q63" i="1" s="1"/>
  <c r="H63" i="1"/>
  <c r="N63" i="1" s="1"/>
  <c r="G63" i="1"/>
  <c r="F63" i="1"/>
  <c r="E63" i="1"/>
  <c r="D63" i="1"/>
  <c r="M63" i="1" s="1"/>
  <c r="C63" i="1"/>
  <c r="K63" i="1" s="1"/>
  <c r="AK62" i="1"/>
  <c r="AJ62" i="1"/>
  <c r="AL62" i="1" s="1"/>
  <c r="AI62" i="1"/>
  <c r="AH62" i="1"/>
  <c r="AG62" i="1"/>
  <c r="S62" i="1" s="1"/>
  <c r="W62" i="1" s="1"/>
  <c r="AF62" i="1"/>
  <c r="AE62" i="1"/>
  <c r="AD62" i="1"/>
  <c r="T62" i="1" s="1"/>
  <c r="AC62" i="1"/>
  <c r="AB62" i="1"/>
  <c r="R62" i="1" s="1"/>
  <c r="U62" i="1" s="1"/>
  <c r="AA62" i="1"/>
  <c r="V62" i="1" s="1"/>
  <c r="Z62" i="1"/>
  <c r="Y62" i="1"/>
  <c r="X62" i="1"/>
  <c r="P62" i="1"/>
  <c r="O62" i="1"/>
  <c r="J62" i="1" s="1"/>
  <c r="L62" i="1"/>
  <c r="I62" i="1"/>
  <c r="Q62" i="1" s="1"/>
  <c r="H62" i="1"/>
  <c r="N62" i="1" s="1"/>
  <c r="G62" i="1"/>
  <c r="F62" i="1"/>
  <c r="E62" i="1"/>
  <c r="D62" i="1"/>
  <c r="M62" i="1" s="1"/>
  <c r="C62" i="1"/>
  <c r="K62" i="1" s="1"/>
  <c r="AK61" i="1"/>
  <c r="AJ61" i="1"/>
  <c r="AL61" i="1" s="1"/>
  <c r="AI61" i="1"/>
  <c r="AH61" i="1"/>
  <c r="AG61" i="1"/>
  <c r="S61" i="1" s="1"/>
  <c r="W61" i="1" s="1"/>
  <c r="AF61" i="1"/>
  <c r="AE61" i="1"/>
  <c r="AD61" i="1"/>
  <c r="T61" i="1" s="1"/>
  <c r="AC61" i="1"/>
  <c r="AB61" i="1"/>
  <c r="R61" i="1" s="1"/>
  <c r="U61" i="1" s="1"/>
  <c r="AA61" i="1"/>
  <c r="V61" i="1" s="1"/>
  <c r="Z61" i="1"/>
  <c r="Y61" i="1"/>
  <c r="X61" i="1"/>
  <c r="P61" i="1"/>
  <c r="O61" i="1"/>
  <c r="J61" i="1" s="1"/>
  <c r="L61" i="1"/>
  <c r="I61" i="1"/>
  <c r="Q61" i="1" s="1"/>
  <c r="H61" i="1"/>
  <c r="N61" i="1" s="1"/>
  <c r="G61" i="1"/>
  <c r="F61" i="1"/>
  <c r="E61" i="1"/>
  <c r="D61" i="1"/>
  <c r="M61" i="1" s="1"/>
  <c r="C61" i="1"/>
  <c r="K61" i="1" s="1"/>
  <c r="AK60" i="1"/>
  <c r="AJ60" i="1"/>
  <c r="AL60" i="1" s="1"/>
  <c r="AI60" i="1"/>
  <c r="AH60" i="1"/>
  <c r="AG60" i="1"/>
  <c r="S60" i="1" s="1"/>
  <c r="W60" i="1" s="1"/>
  <c r="AF60" i="1"/>
  <c r="AE60" i="1"/>
  <c r="AD60" i="1"/>
  <c r="T60" i="1" s="1"/>
  <c r="AC60" i="1"/>
  <c r="AB60" i="1"/>
  <c r="R60" i="1" s="1"/>
  <c r="U60" i="1" s="1"/>
  <c r="AA60" i="1"/>
  <c r="V60" i="1" s="1"/>
  <c r="Z60" i="1"/>
  <c r="Y60" i="1"/>
  <c r="X60" i="1"/>
  <c r="P60" i="1"/>
  <c r="O60" i="1"/>
  <c r="J60" i="1" s="1"/>
  <c r="L60" i="1"/>
  <c r="I60" i="1"/>
  <c r="Q60" i="1" s="1"/>
  <c r="H60" i="1"/>
  <c r="N60" i="1" s="1"/>
  <c r="G60" i="1"/>
  <c r="F60" i="1"/>
  <c r="E60" i="1"/>
  <c r="D60" i="1"/>
  <c r="M60" i="1" s="1"/>
  <c r="C60" i="1"/>
  <c r="K60" i="1" s="1"/>
  <c r="AK59" i="1"/>
  <c r="AJ59" i="1"/>
  <c r="AL59" i="1" s="1"/>
  <c r="AI59" i="1"/>
  <c r="AH59" i="1"/>
  <c r="AG59" i="1"/>
  <c r="S59" i="1" s="1"/>
  <c r="W59" i="1" s="1"/>
  <c r="AF59" i="1"/>
  <c r="AE59" i="1"/>
  <c r="AD59" i="1"/>
  <c r="T59" i="1" s="1"/>
  <c r="AC59" i="1"/>
  <c r="AB59" i="1"/>
  <c r="R59" i="1" s="1"/>
  <c r="U59" i="1" s="1"/>
  <c r="AA59" i="1"/>
  <c r="V59" i="1" s="1"/>
  <c r="Z59" i="1"/>
  <c r="Y59" i="1"/>
  <c r="X59" i="1"/>
  <c r="P59" i="1"/>
  <c r="O59" i="1"/>
  <c r="J59" i="1" s="1"/>
  <c r="L59" i="1"/>
  <c r="I59" i="1"/>
  <c r="Q59" i="1" s="1"/>
  <c r="H59" i="1"/>
  <c r="N59" i="1" s="1"/>
  <c r="G59" i="1"/>
  <c r="F59" i="1"/>
  <c r="E59" i="1"/>
  <c r="D59" i="1"/>
  <c r="M59" i="1" s="1"/>
  <c r="C59" i="1"/>
  <c r="K59" i="1" s="1"/>
  <c r="AK58" i="1"/>
  <c r="AJ58" i="1"/>
  <c r="AL58" i="1" s="1"/>
  <c r="AI58" i="1"/>
  <c r="AH58" i="1"/>
  <c r="AG58" i="1"/>
  <c r="S58" i="1" s="1"/>
  <c r="W58" i="1" s="1"/>
  <c r="AF58" i="1"/>
  <c r="AE58" i="1"/>
  <c r="AD58" i="1"/>
  <c r="T58" i="1" s="1"/>
  <c r="AC58" i="1"/>
  <c r="AB58" i="1"/>
  <c r="R58" i="1" s="1"/>
  <c r="U58" i="1" s="1"/>
  <c r="AA58" i="1"/>
  <c r="V58" i="1" s="1"/>
  <c r="Z58" i="1"/>
  <c r="Y58" i="1"/>
  <c r="X58" i="1"/>
  <c r="P58" i="1"/>
  <c r="O58" i="1"/>
  <c r="J58" i="1" s="1"/>
  <c r="L58" i="1"/>
  <c r="I58" i="1"/>
  <c r="Q58" i="1" s="1"/>
  <c r="H58" i="1"/>
  <c r="N58" i="1" s="1"/>
  <c r="G58" i="1"/>
  <c r="F58" i="1"/>
  <c r="E58" i="1"/>
  <c r="D58" i="1"/>
  <c r="M58" i="1" s="1"/>
  <c r="C58" i="1"/>
  <c r="K58" i="1" s="1"/>
  <c r="AL57" i="1"/>
  <c r="AK57" i="1"/>
  <c r="AJ57" i="1"/>
  <c r="AI57" i="1"/>
  <c r="AH57" i="1"/>
  <c r="T57" i="1" s="1"/>
  <c r="AG57" i="1"/>
  <c r="S57" i="1" s="1"/>
  <c r="W57" i="1" s="1"/>
  <c r="AF57" i="1"/>
  <c r="AE57" i="1"/>
  <c r="AD57" i="1"/>
  <c r="AC57" i="1"/>
  <c r="AB57" i="1"/>
  <c r="R57" i="1" s="1"/>
  <c r="U57" i="1" s="1"/>
  <c r="AA57" i="1"/>
  <c r="V57" i="1" s="1"/>
  <c r="Z57" i="1"/>
  <c r="Y57" i="1"/>
  <c r="X57" i="1"/>
  <c r="P57" i="1"/>
  <c r="O57" i="1"/>
  <c r="J57" i="1" s="1"/>
  <c r="L57" i="1"/>
  <c r="I57" i="1"/>
  <c r="Q57" i="1" s="1"/>
  <c r="H57" i="1"/>
  <c r="N57" i="1" s="1"/>
  <c r="G57" i="1"/>
  <c r="F57" i="1"/>
  <c r="E57" i="1"/>
  <c r="D57" i="1"/>
  <c r="M57" i="1" s="1"/>
  <c r="C57" i="1"/>
  <c r="K57" i="1" s="1"/>
  <c r="AL56" i="1"/>
  <c r="AK56" i="1"/>
  <c r="AJ56" i="1"/>
  <c r="AI56" i="1"/>
  <c r="AH56" i="1"/>
  <c r="T56" i="1" s="1"/>
  <c r="AG56" i="1"/>
  <c r="S56" i="1" s="1"/>
  <c r="W56" i="1" s="1"/>
  <c r="AF56" i="1"/>
  <c r="AE56" i="1"/>
  <c r="AD56" i="1"/>
  <c r="AC56" i="1"/>
  <c r="AB56" i="1"/>
  <c r="R56" i="1" s="1"/>
  <c r="U56" i="1" s="1"/>
  <c r="AA56" i="1"/>
  <c r="V56" i="1" s="1"/>
  <c r="Z56" i="1"/>
  <c r="Y56" i="1"/>
  <c r="X56" i="1"/>
  <c r="P56" i="1"/>
  <c r="O56" i="1"/>
  <c r="J56" i="1" s="1"/>
  <c r="L56" i="1"/>
  <c r="I56" i="1"/>
  <c r="Q56" i="1" s="1"/>
  <c r="H56" i="1"/>
  <c r="N56" i="1" s="1"/>
  <c r="G56" i="1"/>
  <c r="F56" i="1"/>
  <c r="E56" i="1"/>
  <c r="D56" i="1"/>
  <c r="M56" i="1" s="1"/>
  <c r="C56" i="1"/>
  <c r="K56" i="1" s="1"/>
  <c r="AL55" i="1"/>
  <c r="AK55" i="1"/>
  <c r="AJ55" i="1"/>
  <c r="AI55" i="1"/>
  <c r="AH55" i="1"/>
  <c r="T55" i="1" s="1"/>
  <c r="AG55" i="1"/>
  <c r="S55" i="1" s="1"/>
  <c r="W55" i="1" s="1"/>
  <c r="AF55" i="1"/>
  <c r="AE55" i="1"/>
  <c r="AD55" i="1"/>
  <c r="AC55" i="1"/>
  <c r="AB55" i="1"/>
  <c r="R55" i="1" s="1"/>
  <c r="U55" i="1" s="1"/>
  <c r="AA55" i="1"/>
  <c r="V55" i="1" s="1"/>
  <c r="Z55" i="1"/>
  <c r="Y55" i="1"/>
  <c r="X55" i="1"/>
  <c r="P55" i="1"/>
  <c r="O55" i="1"/>
  <c r="J55" i="1" s="1"/>
  <c r="L55" i="1"/>
  <c r="I55" i="1"/>
  <c r="Q55" i="1" s="1"/>
  <c r="H55" i="1"/>
  <c r="N55" i="1" s="1"/>
  <c r="G55" i="1"/>
  <c r="F55" i="1"/>
  <c r="E55" i="1"/>
  <c r="D55" i="1"/>
  <c r="M55" i="1" s="1"/>
  <c r="C55" i="1"/>
  <c r="K55" i="1" s="1"/>
  <c r="AK54" i="1"/>
  <c r="AJ54" i="1"/>
  <c r="AL54" i="1" s="1"/>
  <c r="AI54" i="1"/>
  <c r="AH54" i="1"/>
  <c r="T54" i="1" s="1"/>
  <c r="AG54" i="1"/>
  <c r="S54" i="1" s="1"/>
  <c r="W54" i="1" s="1"/>
  <c r="AF54" i="1"/>
  <c r="AE54" i="1"/>
  <c r="AD54" i="1"/>
  <c r="AC54" i="1"/>
  <c r="AB54" i="1"/>
  <c r="R54" i="1" s="1"/>
  <c r="U54" i="1" s="1"/>
  <c r="AA54" i="1"/>
  <c r="V54" i="1" s="1"/>
  <c r="Z54" i="1"/>
  <c r="Y54" i="1"/>
  <c r="X54" i="1"/>
  <c r="P54" i="1"/>
  <c r="O54" i="1"/>
  <c r="J54" i="1" s="1"/>
  <c r="L54" i="1"/>
  <c r="I54" i="1"/>
  <c r="Q54" i="1" s="1"/>
  <c r="H54" i="1"/>
  <c r="N54" i="1" s="1"/>
  <c r="G54" i="1"/>
  <c r="F54" i="1"/>
  <c r="E54" i="1"/>
  <c r="D54" i="1"/>
  <c r="M54" i="1" s="1"/>
  <c r="C54" i="1"/>
  <c r="K54" i="1" s="1"/>
  <c r="AK53" i="1"/>
  <c r="AJ53" i="1"/>
  <c r="AL53" i="1" s="1"/>
  <c r="AI53" i="1"/>
  <c r="AH53" i="1"/>
  <c r="T53" i="1" s="1"/>
  <c r="AG53" i="1"/>
  <c r="S53" i="1" s="1"/>
  <c r="W53" i="1" s="1"/>
  <c r="AF53" i="1"/>
  <c r="AE53" i="1"/>
  <c r="AD53" i="1"/>
  <c r="AC53" i="1"/>
  <c r="AB53" i="1"/>
  <c r="R53" i="1" s="1"/>
  <c r="U53" i="1" s="1"/>
  <c r="AA53" i="1"/>
  <c r="V53" i="1" s="1"/>
  <c r="Z53" i="1"/>
  <c r="Y53" i="1"/>
  <c r="X53" i="1"/>
  <c r="P53" i="1"/>
  <c r="O53" i="1"/>
  <c r="J53" i="1" s="1"/>
  <c r="L53" i="1"/>
  <c r="I53" i="1"/>
  <c r="Q53" i="1" s="1"/>
  <c r="H53" i="1"/>
  <c r="N53" i="1" s="1"/>
  <c r="G53" i="1"/>
  <c r="F53" i="1"/>
  <c r="E53" i="1"/>
  <c r="D53" i="1"/>
  <c r="M53" i="1" s="1"/>
  <c r="C53" i="1"/>
  <c r="K53" i="1" s="1"/>
  <c r="AK52" i="1"/>
  <c r="AJ52" i="1"/>
  <c r="AL52" i="1" s="1"/>
  <c r="AI52" i="1"/>
  <c r="AH52" i="1"/>
  <c r="AG52" i="1"/>
  <c r="S52" i="1" s="1"/>
  <c r="AE52" i="1"/>
  <c r="AD52" i="1"/>
  <c r="AC52" i="1"/>
  <c r="AB52" i="1"/>
  <c r="R52" i="1" s="1"/>
  <c r="AA52" i="1"/>
  <c r="Y52" i="1"/>
  <c r="X52" i="1"/>
  <c r="P52" i="1"/>
  <c r="L52" i="1"/>
  <c r="I52" i="1"/>
  <c r="Q52" i="1" s="1"/>
  <c r="H52" i="1"/>
  <c r="N52" i="1" s="1"/>
  <c r="G52" i="1"/>
  <c r="E52" i="1"/>
  <c r="AK51" i="1"/>
  <c r="AJ51" i="1"/>
  <c r="AL51" i="1" s="1"/>
  <c r="AI51" i="1"/>
  <c r="AH51" i="1"/>
  <c r="AG51" i="1"/>
  <c r="S51" i="1" s="1"/>
  <c r="W51" i="1" s="1"/>
  <c r="AF51" i="1"/>
  <c r="AE51" i="1"/>
  <c r="AD51" i="1"/>
  <c r="T51" i="1" s="1"/>
  <c r="AC51" i="1"/>
  <c r="AB51" i="1"/>
  <c r="R51" i="1" s="1"/>
  <c r="U51" i="1" s="1"/>
  <c r="AA51" i="1"/>
  <c r="V51" i="1" s="1"/>
  <c r="Z51" i="1"/>
  <c r="Y51" i="1"/>
  <c r="X51" i="1"/>
  <c r="P51" i="1"/>
  <c r="O51" i="1"/>
  <c r="J51" i="1" s="1"/>
  <c r="L51" i="1"/>
  <c r="I51" i="1"/>
  <c r="Q51" i="1" s="1"/>
  <c r="H51" i="1"/>
  <c r="N51" i="1" s="1"/>
  <c r="G51" i="1"/>
  <c r="F51" i="1"/>
  <c r="D51" i="1" s="1"/>
  <c r="E51" i="1"/>
  <c r="AK50" i="1"/>
  <c r="AJ50" i="1"/>
  <c r="AL50" i="1" s="1"/>
  <c r="AI50" i="1"/>
  <c r="AH50" i="1"/>
  <c r="AG50" i="1"/>
  <c r="S50" i="1" s="1"/>
  <c r="AF50" i="1"/>
  <c r="AE50" i="1"/>
  <c r="AD50" i="1"/>
  <c r="T50" i="1" s="1"/>
  <c r="U50" i="1" s="1"/>
  <c r="AC50" i="1"/>
  <c r="AB50" i="1"/>
  <c r="AA50" i="1"/>
  <c r="V50" i="1" s="1"/>
  <c r="Z50" i="1"/>
  <c r="Y50" i="1"/>
  <c r="X50" i="1"/>
  <c r="R50" i="1"/>
  <c r="P50" i="1"/>
  <c r="O50" i="1"/>
  <c r="L50" i="1"/>
  <c r="J50" i="1" s="1"/>
  <c r="I50" i="1"/>
  <c r="Q50" i="1" s="1"/>
  <c r="H50" i="1"/>
  <c r="N50" i="1" s="1"/>
  <c r="G50" i="1"/>
  <c r="F50" i="1"/>
  <c r="D50" i="1" s="1"/>
  <c r="E50" i="1"/>
  <c r="AK49" i="1"/>
  <c r="AJ49" i="1"/>
  <c r="AL49" i="1" s="1"/>
  <c r="AI49" i="1"/>
  <c r="AH49" i="1"/>
  <c r="AG49" i="1"/>
  <c r="S49" i="1" s="1"/>
  <c r="W49" i="1" s="1"/>
  <c r="AF49" i="1"/>
  <c r="AE49" i="1"/>
  <c r="AD49" i="1"/>
  <c r="T49" i="1" s="1"/>
  <c r="AC49" i="1"/>
  <c r="AB49" i="1"/>
  <c r="AA49" i="1"/>
  <c r="V49" i="1" s="1"/>
  <c r="Z49" i="1"/>
  <c r="Y49" i="1"/>
  <c r="X49" i="1"/>
  <c r="U49" i="1"/>
  <c r="R49" i="1"/>
  <c r="P49" i="1"/>
  <c r="O49" i="1"/>
  <c r="L49" i="1"/>
  <c r="J49" i="1" s="1"/>
  <c r="I49" i="1"/>
  <c r="Q49" i="1" s="1"/>
  <c r="H49" i="1"/>
  <c r="N49" i="1" s="1"/>
  <c r="G49" i="1"/>
  <c r="F49" i="1"/>
  <c r="D49" i="1" s="1"/>
  <c r="E49" i="1"/>
  <c r="AK48" i="1"/>
  <c r="AJ48" i="1"/>
  <c r="AL48" i="1" s="1"/>
  <c r="AI48" i="1"/>
  <c r="AH48" i="1"/>
  <c r="AG48" i="1"/>
  <c r="S48" i="1" s="1"/>
  <c r="AF48" i="1"/>
  <c r="AE48" i="1"/>
  <c r="AD48" i="1"/>
  <c r="T48" i="1" s="1"/>
  <c r="U48" i="1" s="1"/>
  <c r="AC48" i="1"/>
  <c r="AB48" i="1"/>
  <c r="AA48" i="1"/>
  <c r="V48" i="1" s="1"/>
  <c r="Z48" i="1"/>
  <c r="Y48" i="1"/>
  <c r="X48" i="1"/>
  <c r="R48" i="1"/>
  <c r="P48" i="1"/>
  <c r="O48" i="1"/>
  <c r="L48" i="1"/>
  <c r="J48" i="1" s="1"/>
  <c r="I48" i="1"/>
  <c r="Q48" i="1" s="1"/>
  <c r="H48" i="1"/>
  <c r="N48" i="1" s="1"/>
  <c r="G48" i="1"/>
  <c r="F48" i="1"/>
  <c r="D48" i="1" s="1"/>
  <c r="E48" i="1"/>
  <c r="AK47" i="1"/>
  <c r="AJ47" i="1"/>
  <c r="AL47" i="1" s="1"/>
  <c r="AI47" i="1"/>
  <c r="AH47" i="1"/>
  <c r="AG47" i="1"/>
  <c r="S47" i="1" s="1"/>
  <c r="W47" i="1" s="1"/>
  <c r="AF47" i="1"/>
  <c r="AE47" i="1"/>
  <c r="AD47" i="1"/>
  <c r="T47" i="1" s="1"/>
  <c r="AC47" i="1"/>
  <c r="AB47" i="1"/>
  <c r="AA47" i="1"/>
  <c r="V47" i="1" s="1"/>
  <c r="Z47" i="1"/>
  <c r="Y47" i="1"/>
  <c r="X47" i="1"/>
  <c r="U47" i="1"/>
  <c r="R47" i="1"/>
  <c r="P47" i="1"/>
  <c r="O47" i="1"/>
  <c r="L47" i="1"/>
  <c r="J47" i="1" s="1"/>
  <c r="I47" i="1"/>
  <c r="Q47" i="1" s="1"/>
  <c r="H47" i="1"/>
  <c r="N47" i="1" s="1"/>
  <c r="G47" i="1"/>
  <c r="F47" i="1"/>
  <c r="D47" i="1" s="1"/>
  <c r="E47" i="1"/>
  <c r="AK46" i="1"/>
  <c r="AJ46" i="1"/>
  <c r="AL46" i="1" s="1"/>
  <c r="AI46" i="1"/>
  <c r="AH46" i="1"/>
  <c r="AG46" i="1"/>
  <c r="S46" i="1" s="1"/>
  <c r="W46" i="1" s="1"/>
  <c r="AF46" i="1"/>
  <c r="AE46" i="1"/>
  <c r="AD46" i="1"/>
  <c r="T46" i="1" s="1"/>
  <c r="AC46" i="1"/>
  <c r="AB46" i="1"/>
  <c r="AA46" i="1"/>
  <c r="V46" i="1" s="1"/>
  <c r="Z46" i="1"/>
  <c r="Y46" i="1"/>
  <c r="X46" i="1"/>
  <c r="U46" i="1"/>
  <c r="R46" i="1"/>
  <c r="P46" i="1"/>
  <c r="O46" i="1"/>
  <c r="L46" i="1"/>
  <c r="J46" i="1" s="1"/>
  <c r="I46" i="1"/>
  <c r="Q46" i="1" s="1"/>
  <c r="H46" i="1"/>
  <c r="N46" i="1" s="1"/>
  <c r="G46" i="1"/>
  <c r="F46" i="1"/>
  <c r="D46" i="1" s="1"/>
  <c r="E46" i="1"/>
  <c r="AK45" i="1"/>
  <c r="AJ45" i="1"/>
  <c r="AL45" i="1" s="1"/>
  <c r="AI45" i="1"/>
  <c r="AH45" i="1"/>
  <c r="AG45" i="1"/>
  <c r="S45" i="1" s="1"/>
  <c r="W45" i="1" s="1"/>
  <c r="AF45" i="1"/>
  <c r="AE45" i="1"/>
  <c r="AD45" i="1"/>
  <c r="T45" i="1" s="1"/>
  <c r="AC45" i="1"/>
  <c r="AB45" i="1"/>
  <c r="AA45" i="1"/>
  <c r="V45" i="1" s="1"/>
  <c r="Z45" i="1"/>
  <c r="Y45" i="1"/>
  <c r="X45" i="1"/>
  <c r="U45" i="1"/>
  <c r="R45" i="1"/>
  <c r="P45" i="1"/>
  <c r="O45" i="1"/>
  <c r="L45" i="1"/>
  <c r="J45" i="1" s="1"/>
  <c r="I45" i="1"/>
  <c r="Q45" i="1" s="1"/>
  <c r="H45" i="1"/>
  <c r="N45" i="1" s="1"/>
  <c r="G45" i="1"/>
  <c r="F45" i="1"/>
  <c r="D45" i="1" s="1"/>
  <c r="E45" i="1"/>
  <c r="AK44" i="1"/>
  <c r="AJ44" i="1"/>
  <c r="AL44" i="1" s="1"/>
  <c r="AI44" i="1"/>
  <c r="AH44" i="1"/>
  <c r="AG44" i="1"/>
  <c r="S44" i="1" s="1"/>
  <c r="W44" i="1" s="1"/>
  <c r="AF44" i="1"/>
  <c r="AE44" i="1"/>
  <c r="AD44" i="1"/>
  <c r="T44" i="1" s="1"/>
  <c r="AC44" i="1"/>
  <c r="AB44" i="1"/>
  <c r="AA44" i="1"/>
  <c r="V44" i="1" s="1"/>
  <c r="Z44" i="1"/>
  <c r="Y44" i="1"/>
  <c r="X44" i="1"/>
  <c r="U44" i="1"/>
  <c r="R44" i="1"/>
  <c r="P44" i="1"/>
  <c r="O44" i="1"/>
  <c r="L44" i="1"/>
  <c r="J44" i="1" s="1"/>
  <c r="I44" i="1"/>
  <c r="Q44" i="1" s="1"/>
  <c r="H44" i="1"/>
  <c r="N44" i="1" s="1"/>
  <c r="G44" i="1"/>
  <c r="F44" i="1"/>
  <c r="D44" i="1" s="1"/>
  <c r="E44" i="1"/>
  <c r="AK43" i="1"/>
  <c r="AJ43" i="1"/>
  <c r="AL43" i="1" s="1"/>
  <c r="AI43" i="1"/>
  <c r="AH43" i="1"/>
  <c r="AG43" i="1"/>
  <c r="S43" i="1" s="1"/>
  <c r="W43" i="1" s="1"/>
  <c r="AF43" i="1"/>
  <c r="AE43" i="1"/>
  <c r="AD43" i="1"/>
  <c r="T43" i="1" s="1"/>
  <c r="AC43" i="1"/>
  <c r="AB43" i="1"/>
  <c r="AA43" i="1"/>
  <c r="V43" i="1" s="1"/>
  <c r="Z43" i="1"/>
  <c r="Y43" i="1"/>
  <c r="X43" i="1"/>
  <c r="U43" i="1"/>
  <c r="R43" i="1"/>
  <c r="P43" i="1"/>
  <c r="O43" i="1"/>
  <c r="L43" i="1"/>
  <c r="J43" i="1" s="1"/>
  <c r="I43" i="1"/>
  <c r="Q43" i="1" s="1"/>
  <c r="H43" i="1"/>
  <c r="N43" i="1" s="1"/>
  <c r="G43" i="1"/>
  <c r="F43" i="1"/>
  <c r="D43" i="1" s="1"/>
  <c r="E43" i="1"/>
  <c r="AK42" i="1"/>
  <c r="AJ42" i="1"/>
  <c r="AL42" i="1" s="1"/>
  <c r="AI42" i="1"/>
  <c r="AH42" i="1"/>
  <c r="AG42" i="1"/>
  <c r="S42" i="1" s="1"/>
  <c r="W42" i="1" s="1"/>
  <c r="AF42" i="1"/>
  <c r="AE42" i="1"/>
  <c r="AD42" i="1"/>
  <c r="T42" i="1" s="1"/>
  <c r="AC42" i="1"/>
  <c r="AB42" i="1"/>
  <c r="AA42" i="1"/>
  <c r="V42" i="1" s="1"/>
  <c r="Z42" i="1"/>
  <c r="Y42" i="1"/>
  <c r="X42" i="1"/>
  <c r="U42" i="1"/>
  <c r="R42" i="1"/>
  <c r="P42" i="1"/>
  <c r="O42" i="1"/>
  <c r="L42" i="1"/>
  <c r="J42" i="1" s="1"/>
  <c r="I42" i="1"/>
  <c r="Q42" i="1" s="1"/>
  <c r="H42" i="1"/>
  <c r="N42" i="1" s="1"/>
  <c r="G42" i="1"/>
  <c r="F42" i="1"/>
  <c r="D42" i="1" s="1"/>
  <c r="E42" i="1"/>
  <c r="AK41" i="1"/>
  <c r="AJ41" i="1"/>
  <c r="AL41" i="1" s="1"/>
  <c r="AI41" i="1"/>
  <c r="AH41" i="1"/>
  <c r="AG41" i="1"/>
  <c r="S41" i="1" s="1"/>
  <c r="AF41" i="1"/>
  <c r="AE41" i="1"/>
  <c r="AD41" i="1"/>
  <c r="T41" i="1" s="1"/>
  <c r="U41" i="1" s="1"/>
  <c r="AC41" i="1"/>
  <c r="AB41" i="1"/>
  <c r="AA41" i="1"/>
  <c r="V41" i="1" s="1"/>
  <c r="Z41" i="1"/>
  <c r="Y41" i="1"/>
  <c r="X41" i="1"/>
  <c r="R41" i="1"/>
  <c r="P41" i="1"/>
  <c r="O41" i="1"/>
  <c r="L41" i="1"/>
  <c r="J41" i="1" s="1"/>
  <c r="I41" i="1"/>
  <c r="Q41" i="1" s="1"/>
  <c r="H41" i="1"/>
  <c r="N41" i="1" s="1"/>
  <c r="G41" i="1"/>
  <c r="F41" i="1"/>
  <c r="D41" i="1" s="1"/>
  <c r="E41" i="1"/>
  <c r="AK40" i="1"/>
  <c r="AJ40" i="1"/>
  <c r="AL40" i="1" s="1"/>
  <c r="AI40" i="1"/>
  <c r="AH40" i="1"/>
  <c r="AG40" i="1"/>
  <c r="S40" i="1" s="1"/>
  <c r="W40" i="1" s="1"/>
  <c r="AF40" i="1"/>
  <c r="AE40" i="1"/>
  <c r="AD40" i="1"/>
  <c r="T40" i="1" s="1"/>
  <c r="AC40" i="1"/>
  <c r="AB40" i="1"/>
  <c r="AA40" i="1"/>
  <c r="V40" i="1" s="1"/>
  <c r="Z40" i="1"/>
  <c r="Y40" i="1"/>
  <c r="X40" i="1"/>
  <c r="U40" i="1"/>
  <c r="R40" i="1"/>
  <c r="P40" i="1"/>
  <c r="O40" i="1"/>
  <c r="L40" i="1"/>
  <c r="J40" i="1" s="1"/>
  <c r="I40" i="1"/>
  <c r="Q40" i="1" s="1"/>
  <c r="H40" i="1"/>
  <c r="N40" i="1" s="1"/>
  <c r="G40" i="1"/>
  <c r="F40" i="1"/>
  <c r="D40" i="1" s="1"/>
  <c r="E40" i="1"/>
  <c r="AK39" i="1"/>
  <c r="AJ39" i="1"/>
  <c r="AL39" i="1" s="1"/>
  <c r="AI39" i="1"/>
  <c r="AH39" i="1"/>
  <c r="AG39" i="1"/>
  <c r="S39" i="1" s="1"/>
  <c r="AF39" i="1"/>
  <c r="AE39" i="1"/>
  <c r="AD39" i="1"/>
  <c r="T39" i="1" s="1"/>
  <c r="U39" i="1" s="1"/>
  <c r="AC39" i="1"/>
  <c r="AB39" i="1"/>
  <c r="AA39" i="1"/>
  <c r="V39" i="1" s="1"/>
  <c r="Z39" i="1"/>
  <c r="Y39" i="1"/>
  <c r="X39" i="1"/>
  <c r="R39" i="1"/>
  <c r="P39" i="1"/>
  <c r="O39" i="1"/>
  <c r="L39" i="1"/>
  <c r="J39" i="1" s="1"/>
  <c r="I39" i="1"/>
  <c r="Q39" i="1" s="1"/>
  <c r="H39" i="1"/>
  <c r="N39" i="1" s="1"/>
  <c r="G39" i="1"/>
  <c r="F39" i="1"/>
  <c r="D39" i="1" s="1"/>
  <c r="E39" i="1"/>
  <c r="AK38" i="1"/>
  <c r="AJ38" i="1"/>
  <c r="AL38" i="1" s="1"/>
  <c r="AI38" i="1"/>
  <c r="AH38" i="1"/>
  <c r="AG38" i="1"/>
  <c r="AF38" i="1"/>
  <c r="AE38" i="1"/>
  <c r="AD38" i="1"/>
  <c r="T38" i="1" s="1"/>
  <c r="U38" i="1" s="1"/>
  <c r="AC38" i="1"/>
  <c r="S38" i="1" s="1"/>
  <c r="W38" i="1" s="1"/>
  <c r="AB38" i="1"/>
  <c r="AA38" i="1"/>
  <c r="V38" i="1" s="1"/>
  <c r="Z38" i="1"/>
  <c r="Y38" i="1"/>
  <c r="X38" i="1"/>
  <c r="R38" i="1"/>
  <c r="P38" i="1"/>
  <c r="O38" i="1"/>
  <c r="L38" i="1"/>
  <c r="J38" i="1" s="1"/>
  <c r="I38" i="1"/>
  <c r="Q38" i="1" s="1"/>
  <c r="H38" i="1"/>
  <c r="N38" i="1" s="1"/>
  <c r="G38" i="1"/>
  <c r="F38" i="1"/>
  <c r="D38" i="1" s="1"/>
  <c r="E38" i="1"/>
  <c r="AK37" i="1"/>
  <c r="AJ37" i="1"/>
  <c r="AL37" i="1" s="1"/>
  <c r="AI37" i="1"/>
  <c r="AH37" i="1"/>
  <c r="AG37" i="1"/>
  <c r="AF37" i="1"/>
  <c r="AE37" i="1"/>
  <c r="AD37" i="1"/>
  <c r="T37" i="1" s="1"/>
  <c r="AC37" i="1"/>
  <c r="S37" i="1" s="1"/>
  <c r="W37" i="1" s="1"/>
  <c r="AB37" i="1"/>
  <c r="AA37" i="1"/>
  <c r="V37" i="1" s="1"/>
  <c r="Z37" i="1"/>
  <c r="Y37" i="1"/>
  <c r="X37" i="1"/>
  <c r="U37" i="1"/>
  <c r="R37" i="1"/>
  <c r="P37" i="1"/>
  <c r="O37" i="1"/>
  <c r="L37" i="1"/>
  <c r="J37" i="1" s="1"/>
  <c r="I37" i="1"/>
  <c r="Q37" i="1" s="1"/>
  <c r="H37" i="1"/>
  <c r="N37" i="1" s="1"/>
  <c r="G37" i="1"/>
  <c r="F37" i="1"/>
  <c r="D37" i="1" s="1"/>
  <c r="E37" i="1"/>
  <c r="AK36" i="1"/>
  <c r="AJ36" i="1"/>
  <c r="AL36" i="1" s="1"/>
  <c r="AI36" i="1"/>
  <c r="AH36" i="1"/>
  <c r="AG36" i="1"/>
  <c r="S36" i="1" s="1"/>
  <c r="W36" i="1" s="1"/>
  <c r="AF36" i="1"/>
  <c r="AE36" i="1"/>
  <c r="AD36" i="1"/>
  <c r="T36" i="1" s="1"/>
  <c r="AC36" i="1"/>
  <c r="AB36" i="1"/>
  <c r="AA36" i="1"/>
  <c r="V36" i="1" s="1"/>
  <c r="Z36" i="1"/>
  <c r="Y36" i="1"/>
  <c r="X36" i="1"/>
  <c r="U36" i="1"/>
  <c r="R36" i="1"/>
  <c r="P36" i="1"/>
  <c r="O36" i="1"/>
  <c r="L36" i="1"/>
  <c r="J36" i="1" s="1"/>
  <c r="I36" i="1"/>
  <c r="Q36" i="1" s="1"/>
  <c r="H36" i="1"/>
  <c r="N36" i="1" s="1"/>
  <c r="G36" i="1"/>
  <c r="F36" i="1"/>
  <c r="D36" i="1" s="1"/>
  <c r="E36" i="1"/>
  <c r="AK35" i="1"/>
  <c r="AJ35" i="1"/>
  <c r="AL35" i="1" s="1"/>
  <c r="AI35" i="1"/>
  <c r="AH35" i="1"/>
  <c r="AG35" i="1"/>
  <c r="S35" i="1" s="1"/>
  <c r="W35" i="1" s="1"/>
  <c r="AF35" i="1"/>
  <c r="AE35" i="1"/>
  <c r="AD35" i="1"/>
  <c r="T35" i="1" s="1"/>
  <c r="AC35" i="1"/>
  <c r="AB35" i="1"/>
  <c r="AA35" i="1"/>
  <c r="V35" i="1" s="1"/>
  <c r="Z35" i="1"/>
  <c r="Y35" i="1"/>
  <c r="X35" i="1"/>
  <c r="U35" i="1"/>
  <c r="R35" i="1"/>
  <c r="P35" i="1"/>
  <c r="O35" i="1"/>
  <c r="L35" i="1"/>
  <c r="J35" i="1" s="1"/>
  <c r="I35" i="1"/>
  <c r="Q35" i="1" s="1"/>
  <c r="H35" i="1"/>
  <c r="N35" i="1" s="1"/>
  <c r="G35" i="1"/>
  <c r="F35" i="1"/>
  <c r="D35" i="1" s="1"/>
  <c r="E35" i="1"/>
  <c r="AK34" i="1"/>
  <c r="AJ34" i="1"/>
  <c r="AL34" i="1" s="1"/>
  <c r="AI34" i="1"/>
  <c r="AH34" i="1"/>
  <c r="AG34" i="1"/>
  <c r="S34" i="1" s="1"/>
  <c r="W34" i="1" s="1"/>
  <c r="AF34" i="1"/>
  <c r="AE34" i="1"/>
  <c r="AD34" i="1"/>
  <c r="T34" i="1" s="1"/>
  <c r="AC34" i="1"/>
  <c r="AB34" i="1"/>
  <c r="AA34" i="1"/>
  <c r="V34" i="1" s="1"/>
  <c r="Z34" i="1"/>
  <c r="Y34" i="1"/>
  <c r="X34" i="1"/>
  <c r="U34" i="1"/>
  <c r="R34" i="1"/>
  <c r="P34" i="1"/>
  <c r="O34" i="1"/>
  <c r="L34" i="1"/>
  <c r="J34" i="1" s="1"/>
  <c r="I34" i="1"/>
  <c r="Q34" i="1" s="1"/>
  <c r="H34" i="1"/>
  <c r="N34" i="1" s="1"/>
  <c r="G34" i="1"/>
  <c r="F34" i="1"/>
  <c r="D34" i="1" s="1"/>
  <c r="E34" i="1"/>
  <c r="AK33" i="1"/>
  <c r="AJ33" i="1"/>
  <c r="AL33" i="1" s="1"/>
  <c r="AI33" i="1"/>
  <c r="AH33" i="1"/>
  <c r="AG33" i="1"/>
  <c r="S33" i="1" s="1"/>
  <c r="AF33" i="1"/>
  <c r="AE33" i="1"/>
  <c r="AD33" i="1"/>
  <c r="T33" i="1" s="1"/>
  <c r="U33" i="1" s="1"/>
  <c r="AC33" i="1"/>
  <c r="AB33" i="1"/>
  <c r="AA33" i="1"/>
  <c r="V33" i="1" s="1"/>
  <c r="Z33" i="1"/>
  <c r="Y33" i="1"/>
  <c r="X33" i="1"/>
  <c r="R33" i="1"/>
  <c r="O33" i="1"/>
  <c r="L33" i="1"/>
  <c r="J33" i="1" s="1"/>
  <c r="I33" i="1"/>
  <c r="Q33" i="1" s="1"/>
  <c r="H33" i="1"/>
  <c r="N33" i="1" s="1"/>
  <c r="G33" i="1"/>
  <c r="P33" i="1" s="1"/>
  <c r="F33" i="1"/>
  <c r="E33" i="1"/>
  <c r="D33" i="1" s="1"/>
  <c r="AK32" i="1"/>
  <c r="AJ32" i="1"/>
  <c r="AL32" i="1" s="1"/>
  <c r="AI32" i="1"/>
  <c r="AH32" i="1"/>
  <c r="AG32" i="1"/>
  <c r="S32" i="1" s="1"/>
  <c r="W32" i="1" s="1"/>
  <c r="AF32" i="1"/>
  <c r="AE32" i="1"/>
  <c r="AD32" i="1"/>
  <c r="T32" i="1" s="1"/>
  <c r="AC32" i="1"/>
  <c r="AB32" i="1"/>
  <c r="AA32" i="1"/>
  <c r="V32" i="1" s="1"/>
  <c r="V31" i="1" s="1"/>
  <c r="Z32" i="1"/>
  <c r="Y32" i="1"/>
  <c r="X32" i="1"/>
  <c r="U32" i="1"/>
  <c r="R32" i="1"/>
  <c r="O32" i="1"/>
  <c r="L32" i="1"/>
  <c r="J32" i="1" s="1"/>
  <c r="I32" i="1"/>
  <c r="Q32" i="1" s="1"/>
  <c r="H32" i="1"/>
  <c r="N32" i="1" s="1"/>
  <c r="G32" i="1"/>
  <c r="P32" i="1" s="1"/>
  <c r="F32" i="1"/>
  <c r="E32" i="1"/>
  <c r="D32" i="1" s="1"/>
  <c r="AK31" i="1"/>
  <c r="AJ31" i="1"/>
  <c r="AL31" i="1" s="1"/>
  <c r="AI31" i="1"/>
  <c r="AH31" i="1"/>
  <c r="AG31" i="1"/>
  <c r="S31" i="1" s="1"/>
  <c r="AF31" i="1"/>
  <c r="AE31" i="1"/>
  <c r="AD31" i="1"/>
  <c r="AC31" i="1"/>
  <c r="AB31" i="1"/>
  <c r="AA31" i="1"/>
  <c r="Z31" i="1"/>
  <c r="Y31" i="1"/>
  <c r="X31" i="1"/>
  <c r="R31" i="1"/>
  <c r="O31" i="1"/>
  <c r="L31" i="1"/>
  <c r="J31" i="1" s="1"/>
  <c r="I31" i="1"/>
  <c r="Q31" i="1" s="1"/>
  <c r="H31" i="1"/>
  <c r="N31" i="1" s="1"/>
  <c r="G31" i="1"/>
  <c r="P31" i="1" s="1"/>
  <c r="F31" i="1"/>
  <c r="E31" i="1"/>
  <c r="AK30" i="1"/>
  <c r="AJ30" i="1"/>
  <c r="AL30" i="1" s="1"/>
  <c r="AI30" i="1"/>
  <c r="AH30" i="1"/>
  <c r="AG30" i="1"/>
  <c r="S30" i="1" s="1"/>
  <c r="AF30" i="1"/>
  <c r="AE30" i="1"/>
  <c r="AD30" i="1"/>
  <c r="T30" i="1" s="1"/>
  <c r="U30" i="1" s="1"/>
  <c r="AC30" i="1"/>
  <c r="AB30" i="1"/>
  <c r="AA30" i="1"/>
  <c r="V30" i="1" s="1"/>
  <c r="Z30" i="1"/>
  <c r="Y30" i="1"/>
  <c r="X30" i="1"/>
  <c r="R30" i="1"/>
  <c r="O30" i="1"/>
  <c r="L30" i="1"/>
  <c r="J30" i="1" s="1"/>
  <c r="I30" i="1"/>
  <c r="Q30" i="1" s="1"/>
  <c r="H30" i="1"/>
  <c r="N30" i="1" s="1"/>
  <c r="G30" i="1"/>
  <c r="P30" i="1" s="1"/>
  <c r="F30" i="1"/>
  <c r="E30" i="1"/>
  <c r="D30" i="1" s="1"/>
  <c r="AK29" i="1"/>
  <c r="AJ29" i="1"/>
  <c r="AL29" i="1" s="1"/>
  <c r="AI29" i="1"/>
  <c r="AH29" i="1"/>
  <c r="AG29" i="1"/>
  <c r="S29" i="1" s="1"/>
  <c r="W29" i="1" s="1"/>
  <c r="AF29" i="1"/>
  <c r="AE29" i="1"/>
  <c r="AD29" i="1"/>
  <c r="T29" i="1" s="1"/>
  <c r="AC29" i="1"/>
  <c r="AB29" i="1"/>
  <c r="AA29" i="1"/>
  <c r="V29" i="1" s="1"/>
  <c r="Z29" i="1"/>
  <c r="Y29" i="1"/>
  <c r="X29" i="1"/>
  <c r="U29" i="1"/>
  <c r="R29" i="1"/>
  <c r="O29" i="1"/>
  <c r="L29" i="1"/>
  <c r="J29" i="1" s="1"/>
  <c r="I29" i="1"/>
  <c r="Q29" i="1" s="1"/>
  <c r="H29" i="1"/>
  <c r="N29" i="1" s="1"/>
  <c r="G29" i="1"/>
  <c r="P29" i="1" s="1"/>
  <c r="F29" i="1"/>
  <c r="E29" i="1"/>
  <c r="D29" i="1" s="1"/>
  <c r="AK28" i="1"/>
  <c r="AJ28" i="1"/>
  <c r="AL28" i="1" s="1"/>
  <c r="AI28" i="1"/>
  <c r="AH28" i="1"/>
  <c r="AG28" i="1"/>
  <c r="S28" i="1" s="1"/>
  <c r="W28" i="1" s="1"/>
  <c r="AF28" i="1"/>
  <c r="AE28" i="1"/>
  <c r="AD28" i="1"/>
  <c r="T28" i="1" s="1"/>
  <c r="AC28" i="1"/>
  <c r="AB28" i="1"/>
  <c r="AA28" i="1"/>
  <c r="V28" i="1" s="1"/>
  <c r="Z28" i="1"/>
  <c r="Y28" i="1"/>
  <c r="X28" i="1"/>
  <c r="U28" i="1"/>
  <c r="R28" i="1"/>
  <c r="O28" i="1"/>
  <c r="L28" i="1"/>
  <c r="J28" i="1" s="1"/>
  <c r="I28" i="1"/>
  <c r="Q28" i="1" s="1"/>
  <c r="H28" i="1"/>
  <c r="N28" i="1" s="1"/>
  <c r="G28" i="1"/>
  <c r="P28" i="1" s="1"/>
  <c r="F28" i="1"/>
  <c r="E28" i="1"/>
  <c r="D28" i="1" s="1"/>
  <c r="AK27" i="1"/>
  <c r="AJ27" i="1"/>
  <c r="AL27" i="1" s="1"/>
  <c r="AI27" i="1"/>
  <c r="AH27" i="1"/>
  <c r="AG27" i="1"/>
  <c r="S27" i="1" s="1"/>
  <c r="AF27" i="1"/>
  <c r="AE27" i="1"/>
  <c r="AD27" i="1"/>
  <c r="T27" i="1" s="1"/>
  <c r="U27" i="1" s="1"/>
  <c r="AC27" i="1"/>
  <c r="AB27" i="1"/>
  <c r="AA27" i="1"/>
  <c r="V27" i="1" s="1"/>
  <c r="Z27" i="1"/>
  <c r="Y27" i="1"/>
  <c r="X27" i="1"/>
  <c r="R27" i="1"/>
  <c r="O27" i="1"/>
  <c r="L27" i="1"/>
  <c r="J27" i="1" s="1"/>
  <c r="I27" i="1"/>
  <c r="Q27" i="1" s="1"/>
  <c r="H27" i="1"/>
  <c r="N27" i="1" s="1"/>
  <c r="G27" i="1"/>
  <c r="P27" i="1" s="1"/>
  <c r="F27" i="1"/>
  <c r="E27" i="1"/>
  <c r="D27" i="1" s="1"/>
  <c r="AK26" i="1"/>
  <c r="AJ26" i="1"/>
  <c r="AL26" i="1" s="1"/>
  <c r="AI26" i="1"/>
  <c r="AH26" i="1"/>
  <c r="AG26" i="1"/>
  <c r="S26" i="1" s="1"/>
  <c r="W26" i="1" s="1"/>
  <c r="AF26" i="1"/>
  <c r="AE26" i="1"/>
  <c r="AD26" i="1"/>
  <c r="T26" i="1" s="1"/>
  <c r="AC26" i="1"/>
  <c r="AB26" i="1"/>
  <c r="AA26" i="1"/>
  <c r="V26" i="1" s="1"/>
  <c r="Z26" i="1"/>
  <c r="Y26" i="1"/>
  <c r="X26" i="1"/>
  <c r="U26" i="1"/>
  <c r="R26" i="1"/>
  <c r="O26" i="1"/>
  <c r="L26" i="1"/>
  <c r="J26" i="1" s="1"/>
  <c r="I26" i="1"/>
  <c r="Q26" i="1" s="1"/>
  <c r="H26" i="1"/>
  <c r="N26" i="1" s="1"/>
  <c r="G26" i="1"/>
  <c r="P26" i="1" s="1"/>
  <c r="F26" i="1"/>
  <c r="E26" i="1"/>
  <c r="D26" i="1" s="1"/>
  <c r="AK25" i="1"/>
  <c r="AJ25" i="1"/>
  <c r="AL25" i="1" s="1"/>
  <c r="AI25" i="1"/>
  <c r="AH25" i="1"/>
  <c r="AG25" i="1"/>
  <c r="S25" i="1" s="1"/>
  <c r="W25" i="1" s="1"/>
  <c r="AF25" i="1"/>
  <c r="AE25" i="1"/>
  <c r="AD25" i="1"/>
  <c r="T25" i="1" s="1"/>
  <c r="AC25" i="1"/>
  <c r="AB25" i="1"/>
  <c r="AA25" i="1"/>
  <c r="V25" i="1" s="1"/>
  <c r="Z25" i="1"/>
  <c r="Y25" i="1"/>
  <c r="X25" i="1"/>
  <c r="U25" i="1"/>
  <c r="R25" i="1"/>
  <c r="O25" i="1"/>
  <c r="L25" i="1"/>
  <c r="J25" i="1" s="1"/>
  <c r="I25" i="1"/>
  <c r="Q25" i="1" s="1"/>
  <c r="H25" i="1"/>
  <c r="N25" i="1" s="1"/>
  <c r="G25" i="1"/>
  <c r="P25" i="1" s="1"/>
  <c r="F25" i="1"/>
  <c r="E25" i="1"/>
  <c r="D25" i="1" s="1"/>
  <c r="AK24" i="1"/>
  <c r="AJ24" i="1"/>
  <c r="AL24" i="1" s="1"/>
  <c r="AI24" i="1"/>
  <c r="AH24" i="1"/>
  <c r="AG24" i="1"/>
  <c r="S24" i="1" s="1"/>
  <c r="W24" i="1" s="1"/>
  <c r="AF24" i="1"/>
  <c r="AE24" i="1"/>
  <c r="AD24" i="1"/>
  <c r="T24" i="1" s="1"/>
  <c r="AC24" i="1"/>
  <c r="AB24" i="1"/>
  <c r="AA24" i="1"/>
  <c r="V24" i="1" s="1"/>
  <c r="Z24" i="1"/>
  <c r="Y24" i="1"/>
  <c r="X24" i="1"/>
  <c r="U24" i="1"/>
  <c r="R24" i="1"/>
  <c r="O24" i="1"/>
  <c r="L24" i="1"/>
  <c r="J24" i="1" s="1"/>
  <c r="I24" i="1"/>
  <c r="Q24" i="1" s="1"/>
  <c r="H24" i="1"/>
  <c r="N24" i="1" s="1"/>
  <c r="G24" i="1"/>
  <c r="P24" i="1" s="1"/>
  <c r="F24" i="1"/>
  <c r="E24" i="1"/>
  <c r="D24" i="1" s="1"/>
  <c r="AK23" i="1"/>
  <c r="AJ23" i="1"/>
  <c r="AL23" i="1" s="1"/>
  <c r="AI23" i="1"/>
  <c r="AH23" i="1"/>
  <c r="AG23" i="1"/>
  <c r="S23" i="1" s="1"/>
  <c r="W23" i="1" s="1"/>
  <c r="AF23" i="1"/>
  <c r="AE23" i="1"/>
  <c r="AD23" i="1"/>
  <c r="T23" i="1" s="1"/>
  <c r="AC23" i="1"/>
  <c r="AB23" i="1"/>
  <c r="AA23" i="1"/>
  <c r="V23" i="1" s="1"/>
  <c r="Z23" i="1"/>
  <c r="Y23" i="1"/>
  <c r="X23" i="1"/>
  <c r="U23" i="1"/>
  <c r="R23" i="1"/>
  <c r="O23" i="1"/>
  <c r="L23" i="1"/>
  <c r="J23" i="1" s="1"/>
  <c r="I23" i="1"/>
  <c r="Q23" i="1" s="1"/>
  <c r="H23" i="1"/>
  <c r="N23" i="1" s="1"/>
  <c r="G23" i="1"/>
  <c r="P23" i="1" s="1"/>
  <c r="F23" i="1"/>
  <c r="E23" i="1"/>
  <c r="D23" i="1" s="1"/>
  <c r="AK22" i="1"/>
  <c r="AJ22" i="1"/>
  <c r="AL22" i="1" s="1"/>
  <c r="AI22" i="1"/>
  <c r="AH22" i="1"/>
  <c r="AG22" i="1"/>
  <c r="S22" i="1" s="1"/>
  <c r="W22" i="1" s="1"/>
  <c r="AF22" i="1"/>
  <c r="AE22" i="1"/>
  <c r="AD22" i="1"/>
  <c r="T22" i="1" s="1"/>
  <c r="AC22" i="1"/>
  <c r="AB22" i="1"/>
  <c r="AA22" i="1"/>
  <c r="V22" i="1" s="1"/>
  <c r="Z22" i="1"/>
  <c r="Y22" i="1"/>
  <c r="X22" i="1"/>
  <c r="U22" i="1"/>
  <c r="R22" i="1"/>
  <c r="O22" i="1"/>
  <c r="L22" i="1"/>
  <c r="J22" i="1" s="1"/>
  <c r="I22" i="1"/>
  <c r="Q22" i="1" s="1"/>
  <c r="H22" i="1"/>
  <c r="N22" i="1" s="1"/>
  <c r="G22" i="1"/>
  <c r="P22" i="1" s="1"/>
  <c r="F22" i="1"/>
  <c r="E22" i="1"/>
  <c r="D22" i="1" s="1"/>
  <c r="AK21" i="1"/>
  <c r="AJ21" i="1"/>
  <c r="AL21" i="1" s="1"/>
  <c r="AI21" i="1"/>
  <c r="AH21" i="1"/>
  <c r="AG21" i="1"/>
  <c r="S21" i="1" s="1"/>
  <c r="W21" i="1" s="1"/>
  <c r="AF21" i="1"/>
  <c r="AE21" i="1"/>
  <c r="AD21" i="1"/>
  <c r="T21" i="1" s="1"/>
  <c r="AC21" i="1"/>
  <c r="AB21" i="1"/>
  <c r="AA21" i="1"/>
  <c r="V21" i="1" s="1"/>
  <c r="Z21" i="1"/>
  <c r="Y21" i="1"/>
  <c r="X21" i="1"/>
  <c r="U21" i="1"/>
  <c r="R21" i="1"/>
  <c r="O21" i="1"/>
  <c r="L21" i="1"/>
  <c r="J21" i="1" s="1"/>
  <c r="I21" i="1"/>
  <c r="Q21" i="1" s="1"/>
  <c r="H21" i="1"/>
  <c r="N21" i="1" s="1"/>
  <c r="G21" i="1"/>
  <c r="P21" i="1" s="1"/>
  <c r="F21" i="1"/>
  <c r="E21" i="1"/>
  <c r="D21" i="1" s="1"/>
  <c r="AK20" i="1"/>
  <c r="AJ20" i="1"/>
  <c r="AL20" i="1" s="1"/>
  <c r="AI20" i="1"/>
  <c r="AH20" i="1"/>
  <c r="AG20" i="1"/>
  <c r="S20" i="1" s="1"/>
  <c r="AF20" i="1"/>
  <c r="AE20" i="1"/>
  <c r="AD20" i="1"/>
  <c r="T20" i="1" s="1"/>
  <c r="AC20" i="1"/>
  <c r="AB20" i="1"/>
  <c r="AA20" i="1"/>
  <c r="V20" i="1" s="1"/>
  <c r="Z20" i="1"/>
  <c r="Y20" i="1"/>
  <c r="X20" i="1"/>
  <c r="R20" i="1"/>
  <c r="O20" i="1"/>
  <c r="L20" i="1"/>
  <c r="J20" i="1" s="1"/>
  <c r="I20" i="1"/>
  <c r="Q20" i="1" s="1"/>
  <c r="H20" i="1"/>
  <c r="N20" i="1" s="1"/>
  <c r="G20" i="1"/>
  <c r="P20" i="1" s="1"/>
  <c r="F20" i="1"/>
  <c r="E20" i="1"/>
  <c r="D20" i="1" s="1"/>
  <c r="AL19" i="1"/>
  <c r="AK19" i="1"/>
  <c r="AJ19" i="1"/>
  <c r="AI19" i="1"/>
  <c r="AH19" i="1"/>
  <c r="AG19" i="1"/>
  <c r="S19" i="1" s="1"/>
  <c r="W19" i="1" s="1"/>
  <c r="AF19" i="1"/>
  <c r="R19" i="1" s="1"/>
  <c r="U19" i="1" s="1"/>
  <c r="AE19" i="1"/>
  <c r="AD19" i="1"/>
  <c r="AC19" i="1"/>
  <c r="AB19" i="1"/>
  <c r="AA19" i="1"/>
  <c r="V19" i="1" s="1"/>
  <c r="Z19" i="1"/>
  <c r="Y19" i="1"/>
  <c r="X19" i="1"/>
  <c r="T19" i="1"/>
  <c r="O19" i="1"/>
  <c r="L19" i="1"/>
  <c r="J19" i="1" s="1"/>
  <c r="I19" i="1"/>
  <c r="Q19" i="1" s="1"/>
  <c r="H19" i="1"/>
  <c r="N19" i="1" s="1"/>
  <c r="G19" i="1"/>
  <c r="P19" i="1" s="1"/>
  <c r="F19" i="1"/>
  <c r="E19" i="1"/>
  <c r="D19" i="1" s="1"/>
  <c r="AL18" i="1"/>
  <c r="AK18" i="1"/>
  <c r="AJ18" i="1"/>
  <c r="AI18" i="1"/>
  <c r="AH18" i="1"/>
  <c r="AG18" i="1"/>
  <c r="S18" i="1" s="1"/>
  <c r="W18" i="1" s="1"/>
  <c r="AF18" i="1"/>
  <c r="R18" i="1" s="1"/>
  <c r="U18" i="1" s="1"/>
  <c r="AE18" i="1"/>
  <c r="AD18" i="1"/>
  <c r="AC18" i="1"/>
  <c r="AB18" i="1"/>
  <c r="AA18" i="1"/>
  <c r="V18" i="1" s="1"/>
  <c r="Z18" i="1"/>
  <c r="Y18" i="1"/>
  <c r="X18" i="1"/>
  <c r="T18" i="1"/>
  <c r="O18" i="1"/>
  <c r="L18" i="1"/>
  <c r="J18" i="1" s="1"/>
  <c r="I18" i="1"/>
  <c r="Q18" i="1" s="1"/>
  <c r="H18" i="1"/>
  <c r="N18" i="1" s="1"/>
  <c r="G18" i="1"/>
  <c r="P18" i="1" s="1"/>
  <c r="F18" i="1"/>
  <c r="E18" i="1"/>
  <c r="D18" i="1" s="1"/>
  <c r="AL17" i="1"/>
  <c r="AK17" i="1"/>
  <c r="AJ17" i="1"/>
  <c r="AI17" i="1"/>
  <c r="AH17" i="1"/>
  <c r="AG17" i="1"/>
  <c r="S17" i="1" s="1"/>
  <c r="W17" i="1" s="1"/>
  <c r="AF17" i="1"/>
  <c r="R17" i="1" s="1"/>
  <c r="U17" i="1" s="1"/>
  <c r="AE17" i="1"/>
  <c r="AD17" i="1"/>
  <c r="AC17" i="1"/>
  <c r="AB17" i="1"/>
  <c r="AA17" i="1"/>
  <c r="V17" i="1" s="1"/>
  <c r="Z17" i="1"/>
  <c r="Y17" i="1"/>
  <c r="X17" i="1"/>
  <c r="T17" i="1"/>
  <c r="O17" i="1"/>
  <c r="L17" i="1"/>
  <c r="J17" i="1" s="1"/>
  <c r="I17" i="1"/>
  <c r="Q17" i="1" s="1"/>
  <c r="H17" i="1"/>
  <c r="N17" i="1" s="1"/>
  <c r="G17" i="1"/>
  <c r="P17" i="1" s="1"/>
  <c r="F17" i="1"/>
  <c r="E17" i="1"/>
  <c r="D17" i="1" s="1"/>
  <c r="AL16" i="1"/>
  <c r="AK16" i="1"/>
  <c r="AJ16" i="1"/>
  <c r="AI16" i="1"/>
  <c r="AH16" i="1"/>
  <c r="AG16" i="1"/>
  <c r="S16" i="1" s="1"/>
  <c r="W16" i="1" s="1"/>
  <c r="AF16" i="1"/>
  <c r="R16" i="1" s="1"/>
  <c r="U16" i="1" s="1"/>
  <c r="AE16" i="1"/>
  <c r="AD16" i="1"/>
  <c r="AC16" i="1"/>
  <c r="AB16" i="1"/>
  <c r="AA16" i="1"/>
  <c r="V16" i="1" s="1"/>
  <c r="Z16" i="1"/>
  <c r="Y16" i="1"/>
  <c r="X16" i="1"/>
  <c r="T16" i="1"/>
  <c r="O16" i="1"/>
  <c r="L16" i="1"/>
  <c r="J16" i="1" s="1"/>
  <c r="I16" i="1"/>
  <c r="Q16" i="1" s="1"/>
  <c r="H16" i="1"/>
  <c r="N16" i="1" s="1"/>
  <c r="G16" i="1"/>
  <c r="P16" i="1" s="1"/>
  <c r="F16" i="1"/>
  <c r="E16" i="1"/>
  <c r="D16" i="1" s="1"/>
  <c r="AL15" i="1"/>
  <c r="AK15" i="1"/>
  <c r="AJ15" i="1"/>
  <c r="AI15" i="1"/>
  <c r="AH15" i="1"/>
  <c r="AG15" i="1"/>
  <c r="S15" i="1" s="1"/>
  <c r="AF15" i="1"/>
  <c r="R15" i="1" s="1"/>
  <c r="U15" i="1" s="1"/>
  <c r="AE15" i="1"/>
  <c r="AD15" i="1"/>
  <c r="AC15" i="1"/>
  <c r="AB15" i="1"/>
  <c r="AA15" i="1"/>
  <c r="V15" i="1" s="1"/>
  <c r="Z15" i="1"/>
  <c r="Y15" i="1"/>
  <c r="X15" i="1"/>
  <c r="T15" i="1"/>
  <c r="O15" i="1"/>
  <c r="L15" i="1"/>
  <c r="J15" i="1" s="1"/>
  <c r="I15" i="1"/>
  <c r="Q15" i="1" s="1"/>
  <c r="H15" i="1"/>
  <c r="N15" i="1" s="1"/>
  <c r="G15" i="1"/>
  <c r="P15" i="1" s="1"/>
  <c r="F15" i="1"/>
  <c r="E15" i="1"/>
  <c r="D15" i="1" s="1"/>
  <c r="AL14" i="1"/>
  <c r="AK14" i="1"/>
  <c r="AJ14" i="1"/>
  <c r="AI14" i="1"/>
  <c r="AH14" i="1"/>
  <c r="AG14" i="1"/>
  <c r="S14" i="1" s="1"/>
  <c r="W14" i="1" s="1"/>
  <c r="AF14" i="1"/>
  <c r="R14" i="1" s="1"/>
  <c r="U14" i="1" s="1"/>
  <c r="AE14" i="1"/>
  <c r="AD14" i="1"/>
  <c r="AC14" i="1"/>
  <c r="AB14" i="1"/>
  <c r="AA14" i="1"/>
  <c r="AA13" i="1" s="1"/>
  <c r="AA8" i="1" s="1"/>
  <c r="AA7" i="1" s="1"/>
  <c r="Z14" i="1"/>
  <c r="Y14" i="1"/>
  <c r="X14" i="1"/>
  <c r="T14" i="1"/>
  <c r="O14" i="1"/>
  <c r="L14" i="1"/>
  <c r="J14" i="1" s="1"/>
  <c r="I14" i="1"/>
  <c r="Q14" i="1" s="1"/>
  <c r="H14" i="1"/>
  <c r="N14" i="1" s="1"/>
  <c r="G14" i="1"/>
  <c r="P14" i="1" s="1"/>
  <c r="F14" i="1"/>
  <c r="E14" i="1"/>
  <c r="D14" i="1" s="1"/>
  <c r="AL13" i="1"/>
  <c r="AK13" i="1"/>
  <c r="AJ13" i="1"/>
  <c r="AI13" i="1"/>
  <c r="AH13" i="1"/>
  <c r="AG13" i="1"/>
  <c r="S13" i="1" s="1"/>
  <c r="AF13" i="1"/>
  <c r="R13" i="1" s="1"/>
  <c r="AE13" i="1"/>
  <c r="AD13" i="1"/>
  <c r="AC13" i="1"/>
  <c r="AB13" i="1"/>
  <c r="Z13" i="1"/>
  <c r="Y13" i="1"/>
  <c r="X13" i="1"/>
  <c r="O13" i="1"/>
  <c r="L13" i="1"/>
  <c r="J13" i="1" s="1"/>
  <c r="I13" i="1"/>
  <c r="Q13" i="1" s="1"/>
  <c r="H13" i="1"/>
  <c r="N13" i="1" s="1"/>
  <c r="G13" i="1"/>
  <c r="P13" i="1" s="1"/>
  <c r="F13" i="1"/>
  <c r="E13" i="1"/>
  <c r="P10" i="1"/>
  <c r="L10" i="1"/>
  <c r="J10" i="1" s="1"/>
  <c r="H10" i="1"/>
  <c r="N10" i="1" s="1"/>
  <c r="G10" i="1"/>
  <c r="F10" i="1"/>
  <c r="F9" i="1" s="1"/>
  <c r="E10" i="1"/>
  <c r="E9" i="1" s="1"/>
  <c r="E7" i="1" s="1"/>
  <c r="H9" i="1"/>
  <c r="G9" i="1"/>
  <c r="P9" i="1" s="1"/>
  <c r="AK8" i="1"/>
  <c r="AI8" i="1"/>
  <c r="AH8" i="1"/>
  <c r="AG8" i="1"/>
  <c r="S8" i="1" s="1"/>
  <c r="AE8" i="1"/>
  <c r="AC8" i="1"/>
  <c r="AB8" i="1"/>
  <c r="Y8" i="1"/>
  <c r="G8" i="1"/>
  <c r="P8" i="1" s="1"/>
  <c r="E8" i="1"/>
  <c r="AK7" i="1"/>
  <c r="AI7" i="1"/>
  <c r="AH7" i="1"/>
  <c r="AE7" i="1"/>
  <c r="AC7" i="1"/>
  <c r="AB7" i="1"/>
  <c r="Y7" i="1"/>
  <c r="G7" i="1"/>
  <c r="P7" i="1" s="1"/>
  <c r="T13" i="1" l="1"/>
  <c r="U20" i="1"/>
  <c r="M28" i="1"/>
  <c r="C28" i="1"/>
  <c r="K28" i="1" s="1"/>
  <c r="M19" i="1"/>
  <c r="C19" i="1"/>
  <c r="K19" i="1" s="1"/>
  <c r="M24" i="1"/>
  <c r="C24" i="1"/>
  <c r="K24" i="1" s="1"/>
  <c r="M29" i="1"/>
  <c r="C29" i="1"/>
  <c r="K29" i="1" s="1"/>
  <c r="M33" i="1"/>
  <c r="C33" i="1"/>
  <c r="K33" i="1" s="1"/>
  <c r="W50" i="1"/>
  <c r="M51" i="1"/>
  <c r="C51" i="1"/>
  <c r="K51" i="1" s="1"/>
  <c r="K68" i="1"/>
  <c r="K69" i="1"/>
  <c r="M42" i="1"/>
  <c r="C42" i="1"/>
  <c r="K42" i="1" s="1"/>
  <c r="M43" i="1"/>
  <c r="C43" i="1"/>
  <c r="K43" i="1" s="1"/>
  <c r="M44" i="1"/>
  <c r="C44" i="1"/>
  <c r="K44" i="1" s="1"/>
  <c r="C45" i="1"/>
  <c r="K45" i="1" s="1"/>
  <c r="M45" i="1"/>
  <c r="M46" i="1"/>
  <c r="C46" i="1"/>
  <c r="K46" i="1" s="1"/>
  <c r="N9" i="1"/>
  <c r="M18" i="1"/>
  <c r="C18" i="1"/>
  <c r="K18" i="1" s="1"/>
  <c r="M23" i="1"/>
  <c r="C23" i="1"/>
  <c r="K23" i="1" s="1"/>
  <c r="M32" i="1"/>
  <c r="D31" i="1"/>
  <c r="C32" i="1"/>
  <c r="K32" i="1" s="1"/>
  <c r="M49" i="1"/>
  <c r="C49" i="1"/>
  <c r="K49" i="1" s="1"/>
  <c r="M22" i="1"/>
  <c r="C22" i="1"/>
  <c r="K22" i="1" s="1"/>
  <c r="W27" i="1"/>
  <c r="W15" i="1"/>
  <c r="M16" i="1"/>
  <c r="C16" i="1"/>
  <c r="K16" i="1" s="1"/>
  <c r="C21" i="1"/>
  <c r="K21" i="1" s="1"/>
  <c r="M21" i="1"/>
  <c r="M27" i="1"/>
  <c r="C27" i="1"/>
  <c r="K27" i="1" s="1"/>
  <c r="W39" i="1"/>
  <c r="M40" i="1"/>
  <c r="C40" i="1"/>
  <c r="K40" i="1" s="1"/>
  <c r="M41" i="1"/>
  <c r="C41" i="1"/>
  <c r="K41" i="1" s="1"/>
  <c r="W48" i="1"/>
  <c r="M50" i="1"/>
  <c r="C50" i="1"/>
  <c r="K50" i="1" s="1"/>
  <c r="M17" i="1"/>
  <c r="C17" i="1"/>
  <c r="K17" i="1" s="1"/>
  <c r="W41" i="1"/>
  <c r="C47" i="1"/>
  <c r="K47" i="1" s="1"/>
  <c r="M47" i="1"/>
  <c r="C48" i="1"/>
  <c r="K48" i="1" s="1"/>
  <c r="M48" i="1"/>
  <c r="W8" i="3"/>
  <c r="W7" i="3" s="1"/>
  <c r="U13" i="1"/>
  <c r="M15" i="1"/>
  <c r="C15" i="1"/>
  <c r="K15" i="1" s="1"/>
  <c r="W20" i="1"/>
  <c r="C26" i="1"/>
  <c r="K26" i="1" s="1"/>
  <c r="M26" i="1"/>
  <c r="W30" i="1"/>
  <c r="T31" i="1"/>
  <c r="U31" i="1" s="1"/>
  <c r="M39" i="1"/>
  <c r="C39" i="1"/>
  <c r="K39" i="1" s="1"/>
  <c r="W52" i="1"/>
  <c r="V52" i="1"/>
  <c r="AJ8" i="1"/>
  <c r="AL74" i="1"/>
  <c r="W31" i="1"/>
  <c r="W13" i="1"/>
  <c r="M14" i="1"/>
  <c r="C14" i="1"/>
  <c r="K14" i="1" s="1"/>
  <c r="D13" i="1"/>
  <c r="M20" i="1"/>
  <c r="C20" i="1"/>
  <c r="K20" i="1" s="1"/>
  <c r="M25" i="1"/>
  <c r="C25" i="1"/>
  <c r="K25" i="1" s="1"/>
  <c r="M30" i="1"/>
  <c r="C30" i="1"/>
  <c r="K30" i="1" s="1"/>
  <c r="W33" i="1"/>
  <c r="C34" i="1"/>
  <c r="K34" i="1" s="1"/>
  <c r="M34" i="1"/>
  <c r="C35" i="1"/>
  <c r="K35" i="1" s="1"/>
  <c r="M35" i="1"/>
  <c r="C36" i="1"/>
  <c r="K36" i="1" s="1"/>
  <c r="M36" i="1"/>
  <c r="M37" i="1"/>
  <c r="C37" i="1"/>
  <c r="K37" i="1" s="1"/>
  <c r="M38" i="1"/>
  <c r="C38" i="1"/>
  <c r="K38" i="1" s="1"/>
  <c r="D93" i="1"/>
  <c r="D96" i="1"/>
  <c r="C99" i="1"/>
  <c r="K99" i="1" s="1"/>
  <c r="J99" i="1"/>
  <c r="C102" i="1"/>
  <c r="K102" i="1" s="1"/>
  <c r="J102" i="1"/>
  <c r="C105" i="1"/>
  <c r="K105" i="1" s="1"/>
  <c r="J105" i="1"/>
  <c r="D14" i="2"/>
  <c r="D17" i="2"/>
  <c r="D20" i="2"/>
  <c r="D23" i="2"/>
  <c r="D26" i="2"/>
  <c r="D29" i="2"/>
  <c r="D32" i="2"/>
  <c r="D35" i="2"/>
  <c r="I52" i="2"/>
  <c r="X52" i="2"/>
  <c r="Z52" i="2" s="1"/>
  <c r="D75" i="2"/>
  <c r="E74" i="2"/>
  <c r="J93" i="2"/>
  <c r="J89" i="2" s="1"/>
  <c r="L89" i="2"/>
  <c r="L10" i="2" s="1"/>
  <c r="C99" i="2"/>
  <c r="K99" i="2" s="1"/>
  <c r="M99" i="2"/>
  <c r="S8" i="3"/>
  <c r="V13" i="3"/>
  <c r="Z13" i="3"/>
  <c r="AD14" i="3"/>
  <c r="AB53" i="3"/>
  <c r="Y52" i="3"/>
  <c r="AB52" i="3" s="1"/>
  <c r="C65" i="3"/>
  <c r="K65" i="3" s="1"/>
  <c r="M65" i="3"/>
  <c r="AE74" i="3"/>
  <c r="AG74" i="3" s="1"/>
  <c r="AG76" i="3"/>
  <c r="M96" i="3"/>
  <c r="C96" i="3"/>
  <c r="K96" i="3" s="1"/>
  <c r="AG7" i="1"/>
  <c r="S7" i="1" s="1"/>
  <c r="W7" i="1" s="1"/>
  <c r="O52" i="1"/>
  <c r="V14" i="1"/>
  <c r="V13" i="1" s="1"/>
  <c r="V8" i="1" s="1"/>
  <c r="V7" i="1" s="1"/>
  <c r="R72" i="1"/>
  <c r="U72" i="1" s="1"/>
  <c r="W82" i="1"/>
  <c r="J83" i="1"/>
  <c r="S86" i="1"/>
  <c r="W86" i="1" s="1"/>
  <c r="N13" i="2"/>
  <c r="U13" i="2"/>
  <c r="C21" i="2"/>
  <c r="K21" i="2" s="1"/>
  <c r="N31" i="2"/>
  <c r="U31" i="2"/>
  <c r="W31" i="2" s="1"/>
  <c r="C36" i="2"/>
  <c r="K36" i="2" s="1"/>
  <c r="N37" i="2"/>
  <c r="M38" i="2"/>
  <c r="C39" i="2"/>
  <c r="K39" i="2" s="1"/>
  <c r="N40" i="2"/>
  <c r="C42" i="2"/>
  <c r="K42" i="2" s="1"/>
  <c r="C45" i="2"/>
  <c r="K45" i="2" s="1"/>
  <c r="C48" i="2"/>
  <c r="K48" i="2" s="1"/>
  <c r="N49" i="2"/>
  <c r="C51" i="2"/>
  <c r="K51" i="2" s="1"/>
  <c r="C56" i="2"/>
  <c r="K56" i="2" s="1"/>
  <c r="J62" i="2"/>
  <c r="C72" i="2"/>
  <c r="K72" i="2" s="1"/>
  <c r="M72" i="2"/>
  <c r="Z75" i="2"/>
  <c r="X74" i="2"/>
  <c r="Z74" i="2" s="1"/>
  <c r="D93" i="2"/>
  <c r="E89" i="2"/>
  <c r="E10" i="2" s="1"/>
  <c r="E9" i="2" s="1"/>
  <c r="M14" i="3"/>
  <c r="C14" i="3"/>
  <c r="K14" i="3" s="1"/>
  <c r="X33" i="3"/>
  <c r="T31" i="3"/>
  <c r="X31" i="3" s="1"/>
  <c r="C37" i="3"/>
  <c r="K37" i="3" s="1"/>
  <c r="M37" i="3"/>
  <c r="C48" i="3"/>
  <c r="K48" i="3" s="1"/>
  <c r="M48" i="3"/>
  <c r="V52" i="3"/>
  <c r="N74" i="3"/>
  <c r="M80" i="3"/>
  <c r="C80" i="3"/>
  <c r="K80" i="3" s="1"/>
  <c r="Q81" i="3"/>
  <c r="I74" i="3"/>
  <c r="Q74" i="3" s="1"/>
  <c r="C35" i="4"/>
  <c r="K35" i="4" s="1"/>
  <c r="M35" i="4"/>
  <c r="C36" i="4"/>
  <c r="K36" i="4" s="1"/>
  <c r="M36" i="4"/>
  <c r="T72" i="1"/>
  <c r="T52" i="1" s="1"/>
  <c r="U52" i="1" s="1"/>
  <c r="H74" i="1"/>
  <c r="D75" i="1"/>
  <c r="D77" i="1"/>
  <c r="D79" i="1"/>
  <c r="D81" i="1"/>
  <c r="D83" i="1"/>
  <c r="I89" i="1"/>
  <c r="I10" i="1" s="1"/>
  <c r="P89" i="1"/>
  <c r="D91" i="1"/>
  <c r="D94" i="1"/>
  <c r="C97" i="1"/>
  <c r="K97" i="1" s="1"/>
  <c r="J97" i="1"/>
  <c r="J89" i="1" s="1"/>
  <c r="C100" i="1"/>
  <c r="K100" i="1" s="1"/>
  <c r="J100" i="1"/>
  <c r="N101" i="1"/>
  <c r="N89" i="1" s="1"/>
  <c r="C103" i="1"/>
  <c r="K103" i="1" s="1"/>
  <c r="J103" i="1"/>
  <c r="C106" i="1"/>
  <c r="K106" i="1" s="1"/>
  <c r="J106" i="1"/>
  <c r="D15" i="2"/>
  <c r="D18" i="2"/>
  <c r="D24" i="2"/>
  <c r="D27" i="2"/>
  <c r="D30" i="2"/>
  <c r="D33" i="2"/>
  <c r="P66" i="2"/>
  <c r="G52" i="2"/>
  <c r="C69" i="2"/>
  <c r="K69" i="2" s="1"/>
  <c r="M69" i="2"/>
  <c r="C87" i="2"/>
  <c r="K87" i="2" s="1"/>
  <c r="M87" i="2"/>
  <c r="O89" i="2"/>
  <c r="O10" i="2" s="1"/>
  <c r="O9" i="2" s="1"/>
  <c r="O7" i="2" s="1"/>
  <c r="C41" i="3"/>
  <c r="K41" i="3" s="1"/>
  <c r="M41" i="3"/>
  <c r="C49" i="3"/>
  <c r="K49" i="3" s="1"/>
  <c r="M49" i="3"/>
  <c r="C59" i="3"/>
  <c r="K59" i="3" s="1"/>
  <c r="M59" i="3"/>
  <c r="C66" i="3"/>
  <c r="K66" i="3" s="1"/>
  <c r="M66" i="3"/>
  <c r="P89" i="3"/>
  <c r="C16" i="4"/>
  <c r="K16" i="4" s="1"/>
  <c r="M16" i="4"/>
  <c r="T54" i="4"/>
  <c r="R52" i="4"/>
  <c r="T53" i="5"/>
  <c r="R52" i="5"/>
  <c r="T52" i="5" s="1"/>
  <c r="I74" i="1"/>
  <c r="AL75" i="1"/>
  <c r="M53" i="2"/>
  <c r="C60" i="2"/>
  <c r="K60" i="2" s="1"/>
  <c r="C63" i="2"/>
  <c r="K63" i="2" s="1"/>
  <c r="C84" i="2"/>
  <c r="K84" i="2" s="1"/>
  <c r="M84" i="2"/>
  <c r="P10" i="2"/>
  <c r="G9" i="2"/>
  <c r="P9" i="2" s="1"/>
  <c r="M102" i="2"/>
  <c r="C102" i="2"/>
  <c r="K102" i="2" s="1"/>
  <c r="M20" i="3"/>
  <c r="C20" i="3"/>
  <c r="K20" i="3" s="1"/>
  <c r="C25" i="3"/>
  <c r="K25" i="3" s="1"/>
  <c r="M25" i="3"/>
  <c r="I31" i="3"/>
  <c r="Q31" i="3" s="1"/>
  <c r="Q32" i="3"/>
  <c r="AC31" i="3"/>
  <c r="AC8" i="3" s="1"/>
  <c r="AC7" i="3" s="1"/>
  <c r="AD36" i="3"/>
  <c r="C55" i="3"/>
  <c r="K55" i="3" s="1"/>
  <c r="M55" i="3"/>
  <c r="C67" i="3"/>
  <c r="K67" i="3" s="1"/>
  <c r="M67" i="3"/>
  <c r="M93" i="3"/>
  <c r="L9" i="1"/>
  <c r="J9" i="1" s="1"/>
  <c r="J72" i="1"/>
  <c r="L74" i="1"/>
  <c r="X74" i="1"/>
  <c r="AD74" i="1"/>
  <c r="AD8" i="1" s="1"/>
  <c r="AD7" i="1" s="1"/>
  <c r="V74" i="1"/>
  <c r="W74" i="1" s="1"/>
  <c r="C78" i="1"/>
  <c r="K78" i="1" s="1"/>
  <c r="C80" i="1"/>
  <c r="K80" i="1" s="1"/>
  <c r="C82" i="1"/>
  <c r="K82" i="1" s="1"/>
  <c r="C84" i="1"/>
  <c r="K84" i="1" s="1"/>
  <c r="J84" i="1"/>
  <c r="C85" i="1"/>
  <c r="K85" i="1" s="1"/>
  <c r="J85" i="1"/>
  <c r="C86" i="1"/>
  <c r="K86" i="1" s="1"/>
  <c r="J86" i="1"/>
  <c r="C87" i="1"/>
  <c r="K87" i="1" s="1"/>
  <c r="J87" i="1"/>
  <c r="C88" i="1"/>
  <c r="K88" i="1" s="1"/>
  <c r="J88" i="1"/>
  <c r="Q89" i="1"/>
  <c r="D92" i="1"/>
  <c r="D95" i="1"/>
  <c r="C98" i="1"/>
  <c r="K98" i="1" s="1"/>
  <c r="J98" i="1"/>
  <c r="C101" i="1"/>
  <c r="J101" i="1"/>
  <c r="C104" i="1"/>
  <c r="J104" i="1"/>
  <c r="X8" i="2"/>
  <c r="D16" i="2"/>
  <c r="D19" i="2"/>
  <c r="D25" i="2"/>
  <c r="D28" i="2"/>
  <c r="D34" i="2"/>
  <c r="F52" i="2"/>
  <c r="F8" i="2" s="1"/>
  <c r="F7" i="2" s="1"/>
  <c r="U52" i="2"/>
  <c r="W52" i="2" s="1"/>
  <c r="C81" i="2"/>
  <c r="K81" i="2" s="1"/>
  <c r="M81" i="2"/>
  <c r="N93" i="2"/>
  <c r="M96" i="2"/>
  <c r="C96" i="2"/>
  <c r="K96" i="2" s="1"/>
  <c r="P13" i="3"/>
  <c r="C18" i="3"/>
  <c r="K18" i="3" s="1"/>
  <c r="M18" i="3"/>
  <c r="C19" i="3"/>
  <c r="K19" i="3" s="1"/>
  <c r="M19" i="3"/>
  <c r="X19" i="3"/>
  <c r="M22" i="3"/>
  <c r="M33" i="3"/>
  <c r="C33" i="3"/>
  <c r="C42" i="3"/>
  <c r="K42" i="3" s="1"/>
  <c r="M42" i="3"/>
  <c r="C60" i="3"/>
  <c r="K60" i="3" s="1"/>
  <c r="M60" i="3"/>
  <c r="M69" i="3"/>
  <c r="C69" i="3"/>
  <c r="K69" i="3" s="1"/>
  <c r="N75" i="3"/>
  <c r="C85" i="3"/>
  <c r="K85" i="3" s="1"/>
  <c r="M85" i="3"/>
  <c r="L89" i="3"/>
  <c r="L10" i="3" s="1"/>
  <c r="M99" i="3"/>
  <c r="D72" i="1"/>
  <c r="D76" i="1"/>
  <c r="L8" i="2"/>
  <c r="R13" i="2"/>
  <c r="R31" i="2"/>
  <c r="T31" i="2" s="1"/>
  <c r="N33" i="2"/>
  <c r="M37" i="2"/>
  <c r="M40" i="2"/>
  <c r="M49" i="2"/>
  <c r="C50" i="2"/>
  <c r="K50" i="2" s="1"/>
  <c r="N52" i="2"/>
  <c r="C55" i="2"/>
  <c r="K55" i="2" s="1"/>
  <c r="C58" i="2"/>
  <c r="K58" i="2" s="1"/>
  <c r="C61" i="2"/>
  <c r="K61" i="2" s="1"/>
  <c r="C64" i="2"/>
  <c r="K64" i="2" s="1"/>
  <c r="S52" i="2"/>
  <c r="S8" i="2" s="1"/>
  <c r="S7" i="2" s="1"/>
  <c r="J75" i="2"/>
  <c r="L74" i="2"/>
  <c r="J74" i="2" s="1"/>
  <c r="C78" i="2"/>
  <c r="K78" i="2" s="1"/>
  <c r="M78" i="2"/>
  <c r="M90" i="2"/>
  <c r="C90" i="2"/>
  <c r="C105" i="2"/>
  <c r="K105" i="2" s="1"/>
  <c r="M105" i="2"/>
  <c r="J29" i="3"/>
  <c r="M29" i="3"/>
  <c r="O31" i="3"/>
  <c r="O8" i="3" s="1"/>
  <c r="O7" i="3" s="1"/>
  <c r="J32" i="3"/>
  <c r="C43" i="3"/>
  <c r="K43" i="3" s="1"/>
  <c r="M43" i="3"/>
  <c r="AD43" i="3"/>
  <c r="C47" i="3"/>
  <c r="K47" i="3" s="1"/>
  <c r="M47" i="3"/>
  <c r="AG58" i="3"/>
  <c r="AE52" i="3"/>
  <c r="AG52" i="3" s="1"/>
  <c r="C61" i="3"/>
  <c r="K61" i="3" s="1"/>
  <c r="M61" i="3"/>
  <c r="C78" i="3"/>
  <c r="K78" i="3" s="1"/>
  <c r="M78" i="3"/>
  <c r="M86" i="3"/>
  <c r="C86" i="3"/>
  <c r="K86" i="3" s="1"/>
  <c r="M90" i="3"/>
  <c r="D89" i="3"/>
  <c r="D10" i="3" s="1"/>
  <c r="C90" i="3"/>
  <c r="J89" i="3"/>
  <c r="P91" i="3"/>
  <c r="G89" i="3"/>
  <c r="G10" i="3" s="1"/>
  <c r="C25" i="4"/>
  <c r="K25" i="4" s="1"/>
  <c r="M25" i="4"/>
  <c r="C44" i="4"/>
  <c r="K44" i="4" s="1"/>
  <c r="M44" i="4"/>
  <c r="C45" i="4"/>
  <c r="K45" i="4" s="1"/>
  <c r="M45" i="4"/>
  <c r="C20" i="4"/>
  <c r="K20" i="4" s="1"/>
  <c r="M20" i="4"/>
  <c r="C21" i="4"/>
  <c r="K21" i="4" s="1"/>
  <c r="M21" i="4"/>
  <c r="C29" i="4"/>
  <c r="K29" i="4" s="1"/>
  <c r="M29" i="4"/>
  <c r="C30" i="4"/>
  <c r="K30" i="4" s="1"/>
  <c r="M30" i="4"/>
  <c r="C40" i="4"/>
  <c r="K40" i="4" s="1"/>
  <c r="M40" i="4"/>
  <c r="C49" i="4"/>
  <c r="K49" i="4" s="1"/>
  <c r="M49" i="4"/>
  <c r="M37" i="5"/>
  <c r="C37" i="5"/>
  <c r="K37" i="5" s="1"/>
  <c r="M46" i="5"/>
  <c r="C46" i="5"/>
  <c r="I8" i="7"/>
  <c r="Q13" i="7"/>
  <c r="D90" i="1"/>
  <c r="D66" i="2"/>
  <c r="J66" i="2"/>
  <c r="D67" i="2"/>
  <c r="J67" i="2"/>
  <c r="D68" i="2"/>
  <c r="D52" i="2" s="1"/>
  <c r="D80" i="2"/>
  <c r="D86" i="2"/>
  <c r="C94" i="2"/>
  <c r="K94" i="2" s="1"/>
  <c r="D95" i="2"/>
  <c r="C100" i="2"/>
  <c r="K100" i="2" s="1"/>
  <c r="D101" i="2"/>
  <c r="C106" i="2"/>
  <c r="K106" i="2" s="1"/>
  <c r="I13" i="3"/>
  <c r="H13" i="3"/>
  <c r="AE13" i="3"/>
  <c r="AB15" i="3"/>
  <c r="D17" i="3"/>
  <c r="D24" i="3"/>
  <c r="C28" i="3"/>
  <c r="K28" i="3" s="1"/>
  <c r="M28" i="3"/>
  <c r="N29" i="3"/>
  <c r="AA31" i="3"/>
  <c r="AA8" i="3" s="1"/>
  <c r="AA7" i="3" s="1"/>
  <c r="J33" i="3"/>
  <c r="C38" i="3"/>
  <c r="K38" i="3" s="1"/>
  <c r="AB45" i="3"/>
  <c r="C50" i="3"/>
  <c r="K50" i="3" s="1"/>
  <c r="D54" i="3"/>
  <c r="E52" i="3"/>
  <c r="C62" i="3"/>
  <c r="K62" i="3" s="1"/>
  <c r="C70" i="3"/>
  <c r="K70" i="3" s="1"/>
  <c r="M70" i="3"/>
  <c r="F74" i="3"/>
  <c r="S74" i="3"/>
  <c r="V74" i="3" s="1"/>
  <c r="V76" i="3"/>
  <c r="C92" i="3"/>
  <c r="K92" i="3" s="1"/>
  <c r="C98" i="3"/>
  <c r="K98" i="3" s="1"/>
  <c r="M101" i="3"/>
  <c r="C101" i="3"/>
  <c r="K101" i="3" s="1"/>
  <c r="M103" i="3"/>
  <c r="C103" i="3"/>
  <c r="K103" i="3" s="1"/>
  <c r="O7" i="4"/>
  <c r="J9" i="4"/>
  <c r="C22" i="4"/>
  <c r="K22" i="4" s="1"/>
  <c r="M22" i="4"/>
  <c r="C32" i="4"/>
  <c r="K32" i="4" s="1"/>
  <c r="M32" i="4"/>
  <c r="D33" i="4"/>
  <c r="E31" i="4"/>
  <c r="C41" i="4"/>
  <c r="K41" i="4" s="1"/>
  <c r="M41" i="4"/>
  <c r="C42" i="4"/>
  <c r="K42" i="4" s="1"/>
  <c r="M42" i="4"/>
  <c r="C50" i="4"/>
  <c r="K50" i="4" s="1"/>
  <c r="M50" i="4"/>
  <c r="C51" i="4"/>
  <c r="K51" i="4" s="1"/>
  <c r="M51" i="4"/>
  <c r="D15" i="5"/>
  <c r="D24" i="5"/>
  <c r="C85" i="5"/>
  <c r="K85" i="5" s="1"/>
  <c r="J85" i="5"/>
  <c r="C88" i="5"/>
  <c r="K88" i="5" s="1"/>
  <c r="J88" i="5"/>
  <c r="Q10" i="5"/>
  <c r="I9" i="5"/>
  <c r="Q9" i="5" s="1"/>
  <c r="M103" i="5"/>
  <c r="C103" i="5"/>
  <c r="K103" i="5" s="1"/>
  <c r="C21" i="6"/>
  <c r="K21" i="6" s="1"/>
  <c r="M21" i="6"/>
  <c r="D73" i="2"/>
  <c r="D79" i="2"/>
  <c r="D85" i="2"/>
  <c r="N89" i="2"/>
  <c r="Y13" i="3"/>
  <c r="AF13" i="3"/>
  <c r="R13" i="3"/>
  <c r="D16" i="3"/>
  <c r="D30" i="3"/>
  <c r="U31" i="3"/>
  <c r="V31" i="3" s="1"/>
  <c r="AF31" i="3"/>
  <c r="C35" i="3"/>
  <c r="K35" i="3" s="1"/>
  <c r="M46" i="3"/>
  <c r="L52" i="3"/>
  <c r="J52" i="3" s="1"/>
  <c r="J53" i="3"/>
  <c r="O52" i="3"/>
  <c r="U52" i="3"/>
  <c r="AA52" i="3"/>
  <c r="M58" i="3"/>
  <c r="D72" i="3"/>
  <c r="R74" i="3"/>
  <c r="Z74" i="3"/>
  <c r="AD75" i="3"/>
  <c r="M76" i="3"/>
  <c r="AC74" i="3"/>
  <c r="M82" i="3"/>
  <c r="AG82" i="3"/>
  <c r="D84" i="3"/>
  <c r="O89" i="3"/>
  <c r="O10" i="3" s="1"/>
  <c r="O9" i="3" s="1"/>
  <c r="D95" i="3"/>
  <c r="C14" i="4"/>
  <c r="K14" i="4" s="1"/>
  <c r="M14" i="4"/>
  <c r="D15" i="4"/>
  <c r="E13" i="4"/>
  <c r="E8" i="4" s="1"/>
  <c r="E7" i="4" s="1"/>
  <c r="C23" i="4"/>
  <c r="K23" i="4" s="1"/>
  <c r="M23" i="4"/>
  <c r="C24" i="4"/>
  <c r="K24" i="4" s="1"/>
  <c r="M24" i="4"/>
  <c r="C34" i="4"/>
  <c r="K34" i="4" s="1"/>
  <c r="M34" i="4"/>
  <c r="C43" i="4"/>
  <c r="K43" i="4" s="1"/>
  <c r="M43" i="4"/>
  <c r="Q14" i="5"/>
  <c r="I13" i="5"/>
  <c r="F8" i="5"/>
  <c r="D53" i="5"/>
  <c r="K55" i="5"/>
  <c r="J55" i="5"/>
  <c r="L52" i="5"/>
  <c r="J52" i="5" s="1"/>
  <c r="D62" i="5"/>
  <c r="C71" i="2"/>
  <c r="K71" i="2" s="1"/>
  <c r="C77" i="2"/>
  <c r="K77" i="2" s="1"/>
  <c r="C83" i="2"/>
  <c r="K83" i="2" s="1"/>
  <c r="H89" i="2"/>
  <c r="H10" i="2" s="1"/>
  <c r="P89" i="2"/>
  <c r="T13" i="3"/>
  <c r="X14" i="3"/>
  <c r="K23" i="3"/>
  <c r="J27" i="3"/>
  <c r="G31" i="3"/>
  <c r="P31" i="3" s="1"/>
  <c r="AE31" i="3"/>
  <c r="AG31" i="3" s="1"/>
  <c r="R31" i="3"/>
  <c r="AD33" i="3"/>
  <c r="Z31" i="3"/>
  <c r="AD31" i="3" s="1"/>
  <c r="C34" i="3"/>
  <c r="K34" i="3" s="1"/>
  <c r="M34" i="3"/>
  <c r="N35" i="3"/>
  <c r="AB39" i="3"/>
  <c r="AB51" i="3"/>
  <c r="T52" i="3"/>
  <c r="F52" i="3"/>
  <c r="D53" i="3"/>
  <c r="W52" i="3"/>
  <c r="AC52" i="3"/>
  <c r="AD52" i="3" s="1"/>
  <c r="K56" i="3"/>
  <c r="AB63" i="3"/>
  <c r="J69" i="3"/>
  <c r="C73" i="3"/>
  <c r="K73" i="3" s="1"/>
  <c r="M73" i="3"/>
  <c r="T74" i="3"/>
  <c r="X74" i="3" s="1"/>
  <c r="X75" i="3"/>
  <c r="G74" i="3"/>
  <c r="P74" i="3" s="1"/>
  <c r="P76" i="3"/>
  <c r="W74" i="3"/>
  <c r="C79" i="3"/>
  <c r="K79" i="3" s="1"/>
  <c r="M79" i="3"/>
  <c r="C83" i="3"/>
  <c r="K83" i="3" s="1"/>
  <c r="M83" i="3"/>
  <c r="N89" i="3"/>
  <c r="C91" i="3"/>
  <c r="K91" i="3" s="1"/>
  <c r="M91" i="3"/>
  <c r="C97" i="3"/>
  <c r="K97" i="3" s="1"/>
  <c r="M97" i="3"/>
  <c r="D100" i="3"/>
  <c r="E89" i="3"/>
  <c r="E10" i="3" s="1"/>
  <c r="E9" i="3" s="1"/>
  <c r="M106" i="3"/>
  <c r="H9" i="4"/>
  <c r="N10" i="4"/>
  <c r="C17" i="4"/>
  <c r="K17" i="4" s="1"/>
  <c r="M17" i="4"/>
  <c r="C18" i="4"/>
  <c r="K18" i="4" s="1"/>
  <c r="M18" i="4"/>
  <c r="C26" i="4"/>
  <c r="K26" i="4" s="1"/>
  <c r="M26" i="4"/>
  <c r="C27" i="4"/>
  <c r="K27" i="4" s="1"/>
  <c r="M27" i="4"/>
  <c r="C37" i="4"/>
  <c r="K37" i="4" s="1"/>
  <c r="M37" i="4"/>
  <c r="C46" i="4"/>
  <c r="K46" i="4" s="1"/>
  <c r="M46" i="4"/>
  <c r="Q54" i="4"/>
  <c r="I52" i="4"/>
  <c r="C60" i="4"/>
  <c r="K60" i="4" s="1"/>
  <c r="M60" i="4"/>
  <c r="C66" i="4"/>
  <c r="K66" i="4" s="1"/>
  <c r="M66" i="4"/>
  <c r="C72" i="4"/>
  <c r="K72" i="4" s="1"/>
  <c r="M72" i="4"/>
  <c r="C105" i="4"/>
  <c r="K105" i="4" s="1"/>
  <c r="M105" i="4"/>
  <c r="D89" i="4"/>
  <c r="D10" i="4" s="1"/>
  <c r="E52" i="2"/>
  <c r="E8" i="2" s="1"/>
  <c r="E7" i="2" s="1"/>
  <c r="D70" i="2"/>
  <c r="M71" i="2"/>
  <c r="R74" i="2"/>
  <c r="T74" i="2" s="1"/>
  <c r="D76" i="2"/>
  <c r="M77" i="2"/>
  <c r="D82" i="2"/>
  <c r="M83" i="2"/>
  <c r="D88" i="2"/>
  <c r="I89" i="2"/>
  <c r="I10" i="2" s="1"/>
  <c r="Q90" i="2"/>
  <c r="Q89" i="2" s="1"/>
  <c r="D91" i="2"/>
  <c r="D97" i="2"/>
  <c r="D103" i="2"/>
  <c r="N14" i="3"/>
  <c r="AG16" i="3"/>
  <c r="C29" i="3"/>
  <c r="N30" i="3"/>
  <c r="Y31" i="3"/>
  <c r="AB31" i="3" s="1"/>
  <c r="H31" i="3"/>
  <c r="D36" i="3"/>
  <c r="C40" i="3"/>
  <c r="K40" i="3" s="1"/>
  <c r="M40" i="3"/>
  <c r="N41" i="3"/>
  <c r="C45" i="3"/>
  <c r="K45" i="3" s="1"/>
  <c r="J45" i="3"/>
  <c r="G52" i="3"/>
  <c r="P52" i="3" s="1"/>
  <c r="I52" i="3"/>
  <c r="Q52" i="3" s="1"/>
  <c r="X55" i="3"/>
  <c r="C57" i="3"/>
  <c r="K57" i="3" s="1"/>
  <c r="J57" i="3"/>
  <c r="C64" i="3"/>
  <c r="K64" i="3" s="1"/>
  <c r="M64" i="3"/>
  <c r="N65" i="3"/>
  <c r="C71" i="3"/>
  <c r="K71" i="3" s="1"/>
  <c r="L74" i="3"/>
  <c r="J74" i="3" s="1"/>
  <c r="Y74" i="3"/>
  <c r="AB74" i="3" s="1"/>
  <c r="AB76" i="3"/>
  <c r="D77" i="3"/>
  <c r="C88" i="3"/>
  <c r="K88" i="3" s="1"/>
  <c r="M88" i="3"/>
  <c r="I89" i="3"/>
  <c r="I10" i="3" s="1"/>
  <c r="Q90" i="3"/>
  <c r="Q89" i="3" s="1"/>
  <c r="C19" i="4"/>
  <c r="K19" i="4" s="1"/>
  <c r="M19" i="4"/>
  <c r="C28" i="4"/>
  <c r="K28" i="4" s="1"/>
  <c r="M28" i="4"/>
  <c r="C38" i="4"/>
  <c r="K38" i="4" s="1"/>
  <c r="M38" i="4"/>
  <c r="C39" i="4"/>
  <c r="K39" i="4" s="1"/>
  <c r="M39" i="4"/>
  <c r="C47" i="4"/>
  <c r="K47" i="4" s="1"/>
  <c r="M47" i="4"/>
  <c r="C48" i="4"/>
  <c r="K48" i="4" s="1"/>
  <c r="M48" i="4"/>
  <c r="M49" i="5"/>
  <c r="C49" i="5"/>
  <c r="K49" i="5" s="1"/>
  <c r="L13" i="3"/>
  <c r="F31" i="3"/>
  <c r="L31" i="3"/>
  <c r="J31" i="3" s="1"/>
  <c r="E74" i="3"/>
  <c r="E8" i="3" s="1"/>
  <c r="E7" i="3" s="1"/>
  <c r="D75" i="3"/>
  <c r="J75" i="3"/>
  <c r="H89" i="3"/>
  <c r="H10" i="3" s="1"/>
  <c r="J53" i="4"/>
  <c r="L52" i="4"/>
  <c r="C59" i="4"/>
  <c r="K59" i="4" s="1"/>
  <c r="M59" i="4"/>
  <c r="C65" i="4"/>
  <c r="K65" i="4" s="1"/>
  <c r="M65" i="4"/>
  <c r="C71" i="4"/>
  <c r="K71" i="4" s="1"/>
  <c r="M71" i="4"/>
  <c r="G89" i="4"/>
  <c r="G10" i="4" s="1"/>
  <c r="P97" i="4"/>
  <c r="K14" i="5"/>
  <c r="J14" i="5"/>
  <c r="L13" i="5"/>
  <c r="M21" i="5"/>
  <c r="C21" i="5"/>
  <c r="M59" i="5"/>
  <c r="C59" i="5"/>
  <c r="K59" i="5" s="1"/>
  <c r="M97" i="5"/>
  <c r="C97" i="5"/>
  <c r="K97" i="5" s="1"/>
  <c r="C98" i="5"/>
  <c r="K98" i="5" s="1"/>
  <c r="M98" i="5"/>
  <c r="G13" i="6"/>
  <c r="P14" i="6"/>
  <c r="AF18" i="6"/>
  <c r="AD13" i="6"/>
  <c r="D104" i="3"/>
  <c r="G74" i="4"/>
  <c r="P74" i="4" s="1"/>
  <c r="C104" i="4"/>
  <c r="K104" i="4" s="1"/>
  <c r="M104" i="4"/>
  <c r="O13" i="5"/>
  <c r="M34" i="5"/>
  <c r="C34" i="5"/>
  <c r="O31" i="5"/>
  <c r="M43" i="5"/>
  <c r="C43" i="5"/>
  <c r="C69" i="5"/>
  <c r="K69" i="5" s="1"/>
  <c r="M69" i="5"/>
  <c r="C72" i="5"/>
  <c r="K72" i="5" s="1"/>
  <c r="M72" i="5"/>
  <c r="C76" i="5"/>
  <c r="K76" i="5" s="1"/>
  <c r="M91" i="5"/>
  <c r="C91" i="5"/>
  <c r="K91" i="5" s="1"/>
  <c r="O89" i="5"/>
  <c r="O10" i="5" s="1"/>
  <c r="O9" i="5" s="1"/>
  <c r="R8" i="6"/>
  <c r="T13" i="6"/>
  <c r="D53" i="4"/>
  <c r="F52" i="4"/>
  <c r="F8" i="4" s="1"/>
  <c r="F7" i="4" s="1"/>
  <c r="C78" i="4"/>
  <c r="K78" i="4" s="1"/>
  <c r="M78" i="4"/>
  <c r="C84" i="4"/>
  <c r="K84" i="4" s="1"/>
  <c r="M84" i="4"/>
  <c r="P89" i="4"/>
  <c r="C103" i="4"/>
  <c r="K103" i="4" s="1"/>
  <c r="M103" i="4"/>
  <c r="D18" i="5"/>
  <c r="D27" i="5"/>
  <c r="D56" i="5"/>
  <c r="D65" i="5"/>
  <c r="I74" i="5"/>
  <c r="Q74" i="5" s="1"/>
  <c r="Q75" i="5"/>
  <c r="C92" i="5"/>
  <c r="K92" i="5" s="1"/>
  <c r="M92" i="5"/>
  <c r="D102" i="3"/>
  <c r="G8" i="4"/>
  <c r="T72" i="4"/>
  <c r="C77" i="4"/>
  <c r="K77" i="4" s="1"/>
  <c r="M77" i="4"/>
  <c r="C83" i="4"/>
  <c r="K83" i="4" s="1"/>
  <c r="M83" i="4"/>
  <c r="C106" i="4"/>
  <c r="K106" i="4" s="1"/>
  <c r="M106" i="4"/>
  <c r="R31" i="5"/>
  <c r="T31" i="5" s="1"/>
  <c r="K33" i="5"/>
  <c r="J33" i="5"/>
  <c r="L31" i="5"/>
  <c r="J31" i="5" s="1"/>
  <c r="D40" i="5"/>
  <c r="Q55" i="5"/>
  <c r="I52" i="5"/>
  <c r="Q52" i="5" s="1"/>
  <c r="Q89" i="5"/>
  <c r="C55" i="4"/>
  <c r="K55" i="4" s="1"/>
  <c r="C61" i="4"/>
  <c r="K61" i="4" s="1"/>
  <c r="T62" i="4"/>
  <c r="C67" i="4"/>
  <c r="K67" i="4" s="1"/>
  <c r="T68" i="4"/>
  <c r="C73" i="4"/>
  <c r="K73" i="4" s="1"/>
  <c r="T74" i="4"/>
  <c r="C79" i="4"/>
  <c r="K79" i="4" s="1"/>
  <c r="C85" i="4"/>
  <c r="K85" i="4" s="1"/>
  <c r="C101" i="4"/>
  <c r="K101" i="4" s="1"/>
  <c r="C102" i="4"/>
  <c r="K102" i="4" s="1"/>
  <c r="H7" i="5"/>
  <c r="M14" i="5"/>
  <c r="M17" i="5"/>
  <c r="M20" i="5"/>
  <c r="M23" i="5"/>
  <c r="M26" i="5"/>
  <c r="M30" i="5"/>
  <c r="N31" i="5"/>
  <c r="M33" i="5"/>
  <c r="M36" i="5"/>
  <c r="M39" i="5"/>
  <c r="M42" i="5"/>
  <c r="M45" i="5"/>
  <c r="M48" i="5"/>
  <c r="M55" i="5"/>
  <c r="M58" i="5"/>
  <c r="M61" i="5"/>
  <c r="M64" i="5"/>
  <c r="M67" i="5"/>
  <c r="M68" i="5"/>
  <c r="C71" i="5"/>
  <c r="K71" i="5" s="1"/>
  <c r="M71" i="5"/>
  <c r="J90" i="5"/>
  <c r="L89" i="5"/>
  <c r="L10" i="5" s="1"/>
  <c r="C104" i="5"/>
  <c r="K104" i="5" s="1"/>
  <c r="M104" i="5"/>
  <c r="M64" i="6"/>
  <c r="C64" i="6"/>
  <c r="K64" i="6" s="1"/>
  <c r="BX64" i="6"/>
  <c r="BV52" i="6"/>
  <c r="J10" i="4"/>
  <c r="C56" i="4"/>
  <c r="K56" i="4" s="1"/>
  <c r="C62" i="4"/>
  <c r="K62" i="4" s="1"/>
  <c r="C68" i="4"/>
  <c r="K68" i="4" s="1"/>
  <c r="D74" i="4"/>
  <c r="C80" i="4"/>
  <c r="K80" i="4" s="1"/>
  <c r="C86" i="4"/>
  <c r="K86" i="4" s="1"/>
  <c r="N89" i="4"/>
  <c r="C99" i="4"/>
  <c r="K99" i="4" s="1"/>
  <c r="C100" i="4"/>
  <c r="K100" i="4" s="1"/>
  <c r="N15" i="5"/>
  <c r="N18" i="5"/>
  <c r="N21" i="5"/>
  <c r="N24" i="5"/>
  <c r="N27" i="5"/>
  <c r="J28" i="5"/>
  <c r="M29" i="5"/>
  <c r="I31" i="5"/>
  <c r="Q31" i="5" s="1"/>
  <c r="J32" i="5"/>
  <c r="N34" i="5"/>
  <c r="J35" i="5"/>
  <c r="N37" i="5"/>
  <c r="J38" i="5"/>
  <c r="N40" i="5"/>
  <c r="J41" i="5"/>
  <c r="N43" i="5"/>
  <c r="J44" i="5"/>
  <c r="N46" i="5"/>
  <c r="J47" i="5"/>
  <c r="N49" i="5"/>
  <c r="C50" i="5"/>
  <c r="J50" i="5"/>
  <c r="N53" i="5"/>
  <c r="J54" i="5"/>
  <c r="J57" i="5"/>
  <c r="J60" i="5"/>
  <c r="N62" i="5"/>
  <c r="J63" i="5"/>
  <c r="N65" i="5"/>
  <c r="J66" i="5"/>
  <c r="N74" i="5"/>
  <c r="M75" i="5"/>
  <c r="D74" i="5"/>
  <c r="O74" i="5"/>
  <c r="J74" i="5" s="1"/>
  <c r="D90" i="5"/>
  <c r="C93" i="5"/>
  <c r="K93" i="5" s="1"/>
  <c r="J93" i="5"/>
  <c r="D96" i="5"/>
  <c r="C99" i="5"/>
  <c r="K99" i="5" s="1"/>
  <c r="J99" i="5"/>
  <c r="G89" i="5"/>
  <c r="G10" i="5" s="1"/>
  <c r="P106" i="5"/>
  <c r="P89" i="5" s="1"/>
  <c r="AR8" i="6"/>
  <c r="AW16" i="6"/>
  <c r="AU13" i="6"/>
  <c r="BF16" i="6"/>
  <c r="BD13" i="6"/>
  <c r="BO16" i="6"/>
  <c r="BM13" i="6"/>
  <c r="BX16" i="6"/>
  <c r="BV13" i="6"/>
  <c r="CG16" i="6"/>
  <c r="CE13" i="6"/>
  <c r="BC28" i="6"/>
  <c r="BA13" i="6"/>
  <c r="Q10" i="4"/>
  <c r="T53" i="4"/>
  <c r="M55" i="4"/>
  <c r="C57" i="4"/>
  <c r="K57" i="4" s="1"/>
  <c r="M61" i="4"/>
  <c r="C63" i="4"/>
  <c r="K63" i="4" s="1"/>
  <c r="T64" i="4"/>
  <c r="M67" i="4"/>
  <c r="C69" i="4"/>
  <c r="K69" i="4" s="1"/>
  <c r="T70" i="4"/>
  <c r="M73" i="4"/>
  <c r="C75" i="4"/>
  <c r="K75" i="4" s="1"/>
  <c r="T76" i="4"/>
  <c r="M79" i="4"/>
  <c r="C81" i="4"/>
  <c r="K81" i="4" s="1"/>
  <c r="M85" i="4"/>
  <c r="C87" i="4"/>
  <c r="K87" i="4" s="1"/>
  <c r="Q89" i="4"/>
  <c r="C97" i="4"/>
  <c r="K97" i="4" s="1"/>
  <c r="C98" i="4"/>
  <c r="K98" i="4" s="1"/>
  <c r="M101" i="4"/>
  <c r="M89" i="4" s="1"/>
  <c r="M102" i="4"/>
  <c r="R13" i="5"/>
  <c r="D16" i="5"/>
  <c r="D19" i="5"/>
  <c r="D22" i="5"/>
  <c r="D25" i="5"/>
  <c r="D28" i="5"/>
  <c r="N30" i="5"/>
  <c r="D32" i="5"/>
  <c r="D35" i="5"/>
  <c r="D38" i="5"/>
  <c r="D41" i="5"/>
  <c r="D44" i="5"/>
  <c r="D47" i="5"/>
  <c r="M51" i="5"/>
  <c r="D54" i="5"/>
  <c r="D57" i="5"/>
  <c r="D60" i="5"/>
  <c r="D63" i="5"/>
  <c r="D66" i="5"/>
  <c r="N68" i="5"/>
  <c r="C70" i="5"/>
  <c r="K70" i="5" s="1"/>
  <c r="M70" i="5"/>
  <c r="N71" i="5"/>
  <c r="C73" i="5"/>
  <c r="K73" i="5" s="1"/>
  <c r="M73" i="5"/>
  <c r="C77" i="5"/>
  <c r="K77" i="5" s="1"/>
  <c r="J77" i="5"/>
  <c r="C80" i="5"/>
  <c r="J80" i="5"/>
  <c r="C83" i="5"/>
  <c r="K83" i="5" s="1"/>
  <c r="F89" i="5"/>
  <c r="F10" i="5" s="1"/>
  <c r="F9" i="5" s="1"/>
  <c r="N98" i="5"/>
  <c r="C102" i="5"/>
  <c r="K102" i="5" s="1"/>
  <c r="M102" i="5"/>
  <c r="N104" i="5"/>
  <c r="N89" i="5" s="1"/>
  <c r="Q15" i="6"/>
  <c r="I13" i="6"/>
  <c r="W15" i="6"/>
  <c r="U13" i="6"/>
  <c r="AS13" i="6"/>
  <c r="AS8" i="6" s="1"/>
  <c r="AS7" i="6" s="1"/>
  <c r="BH13" i="6"/>
  <c r="BH8" i="6" s="1"/>
  <c r="BH7" i="6" s="1"/>
  <c r="BQ13" i="6"/>
  <c r="AT37" i="6"/>
  <c r="AR31" i="6"/>
  <c r="AT31" i="6" s="1"/>
  <c r="CD37" i="6"/>
  <c r="CB31" i="6"/>
  <c r="CD31" i="6" s="1"/>
  <c r="T65" i="4"/>
  <c r="K90" i="4"/>
  <c r="W13" i="5"/>
  <c r="U8" i="5"/>
  <c r="N14" i="5"/>
  <c r="J15" i="5"/>
  <c r="N17" i="5"/>
  <c r="J18" i="5"/>
  <c r="N20" i="5"/>
  <c r="J21" i="5"/>
  <c r="N23" i="5"/>
  <c r="J24" i="5"/>
  <c r="N26" i="5"/>
  <c r="J27" i="5"/>
  <c r="N29" i="5"/>
  <c r="N33" i="5"/>
  <c r="J34" i="5"/>
  <c r="N36" i="5"/>
  <c r="J37" i="5"/>
  <c r="N39" i="5"/>
  <c r="J40" i="5"/>
  <c r="N42" i="5"/>
  <c r="J43" i="5"/>
  <c r="N45" i="5"/>
  <c r="J46" i="5"/>
  <c r="N48" i="5"/>
  <c r="J49" i="5"/>
  <c r="J53" i="5"/>
  <c r="N55" i="5"/>
  <c r="J56" i="5"/>
  <c r="N58" i="5"/>
  <c r="J59" i="5"/>
  <c r="N61" i="5"/>
  <c r="J62" i="5"/>
  <c r="N64" i="5"/>
  <c r="J65" i="5"/>
  <c r="N67" i="5"/>
  <c r="J91" i="5"/>
  <c r="D94" i="5"/>
  <c r="J97" i="5"/>
  <c r="D100" i="5"/>
  <c r="J103" i="5"/>
  <c r="N13" i="6"/>
  <c r="H8" i="6"/>
  <c r="W14" i="6"/>
  <c r="V13" i="6"/>
  <c r="AQ22" i="6"/>
  <c r="AO13" i="6"/>
  <c r="BI22" i="6"/>
  <c r="BG13" i="6"/>
  <c r="C23" i="6"/>
  <c r="K23" i="6" s="1"/>
  <c r="M23" i="6"/>
  <c r="AU31" i="6"/>
  <c r="AW31" i="6" s="1"/>
  <c r="AW34" i="6"/>
  <c r="CE31" i="6"/>
  <c r="CG31" i="6" s="1"/>
  <c r="CG34" i="6"/>
  <c r="W36" i="6"/>
  <c r="U31" i="6"/>
  <c r="G31" i="5"/>
  <c r="P31" i="5" s="1"/>
  <c r="G74" i="5"/>
  <c r="P74" i="5" s="1"/>
  <c r="AE13" i="6"/>
  <c r="AE8" i="6" s="1"/>
  <c r="AE7" i="6" s="1"/>
  <c r="C15" i="6"/>
  <c r="K15" i="6" s="1"/>
  <c r="AM13" i="6"/>
  <c r="AM8" i="6" s="1"/>
  <c r="AM7" i="6" s="1"/>
  <c r="CF13" i="6"/>
  <c r="C18" i="6"/>
  <c r="K18" i="6" s="1"/>
  <c r="M25" i="6"/>
  <c r="C25" i="6"/>
  <c r="K25" i="6" s="1"/>
  <c r="C26" i="6"/>
  <c r="K26" i="6" s="1"/>
  <c r="M26" i="6"/>
  <c r="C30" i="6"/>
  <c r="K30" i="6" s="1"/>
  <c r="S31" i="6"/>
  <c r="T31" i="6" s="1"/>
  <c r="AJ31" i="6"/>
  <c r="N33" i="6"/>
  <c r="AO31" i="6"/>
  <c r="AQ31" i="6" s="1"/>
  <c r="AQ34" i="6"/>
  <c r="BY31" i="6"/>
  <c r="CA31" i="6" s="1"/>
  <c r="CA34" i="6"/>
  <c r="M37" i="6"/>
  <c r="C37" i="6"/>
  <c r="K37" i="6" s="1"/>
  <c r="N10" i="5"/>
  <c r="E13" i="5"/>
  <c r="E8" i="5" s="1"/>
  <c r="E7" i="5" s="1"/>
  <c r="O13" i="6"/>
  <c r="O8" i="6" s="1"/>
  <c r="O7" i="6" s="1"/>
  <c r="BB13" i="6"/>
  <c r="BB8" i="6" s="1"/>
  <c r="BB7" i="6" s="1"/>
  <c r="BL15" i="6"/>
  <c r="BK13" i="6"/>
  <c r="BL13" i="6" s="1"/>
  <c r="BZ13" i="6"/>
  <c r="AI17" i="6"/>
  <c r="T20" i="6"/>
  <c r="C22" i="6"/>
  <c r="K22" i="6" s="1"/>
  <c r="M22" i="6"/>
  <c r="AL26" i="6"/>
  <c r="AI29" i="6"/>
  <c r="L31" i="6"/>
  <c r="AK31" i="6"/>
  <c r="BO33" i="6"/>
  <c r="BS31" i="6"/>
  <c r="BU31" i="6" s="1"/>
  <c r="BU34" i="6"/>
  <c r="C38" i="6"/>
  <c r="K38" i="6" s="1"/>
  <c r="AU52" i="6"/>
  <c r="AW55" i="6"/>
  <c r="BM52" i="6"/>
  <c r="BO55" i="6"/>
  <c r="CE52" i="6"/>
  <c r="CG52" i="6" s="1"/>
  <c r="CG55" i="6"/>
  <c r="N58" i="6"/>
  <c r="H52" i="6"/>
  <c r="AX74" i="6"/>
  <c r="C106" i="5"/>
  <c r="K106" i="5" s="1"/>
  <c r="BU13" i="6"/>
  <c r="C14" i="6"/>
  <c r="K14" i="6" s="1"/>
  <c r="AI14" i="6"/>
  <c r="AH13" i="6"/>
  <c r="AI15" i="6"/>
  <c r="AG13" i="6"/>
  <c r="CI13" i="6"/>
  <c r="CI8" i="6" s="1"/>
  <c r="CI7" i="6" s="1"/>
  <c r="C20" i="6"/>
  <c r="K20" i="6" s="1"/>
  <c r="D34" i="6"/>
  <c r="E31" i="6"/>
  <c r="E8" i="6" s="1"/>
  <c r="E7" i="6" s="1"/>
  <c r="BM31" i="6"/>
  <c r="BO31" i="6" s="1"/>
  <c r="BO34" i="6"/>
  <c r="C47" i="6"/>
  <c r="K47" i="6" s="1"/>
  <c r="M47" i="6"/>
  <c r="AD52" i="6"/>
  <c r="AF52" i="6" s="1"/>
  <c r="AA74" i="6"/>
  <c r="AC74" i="6" s="1"/>
  <c r="AC76" i="6"/>
  <c r="BO76" i="6"/>
  <c r="BM74" i="6"/>
  <c r="BO74" i="6" s="1"/>
  <c r="G13" i="5"/>
  <c r="G52" i="5"/>
  <c r="P52" i="5" s="1"/>
  <c r="F13" i="6"/>
  <c r="AP13" i="6"/>
  <c r="BF15" i="6"/>
  <c r="BE13" i="6"/>
  <c r="C16" i="6"/>
  <c r="K16" i="6" s="1"/>
  <c r="M16" i="6"/>
  <c r="C17" i="6"/>
  <c r="K17" i="6" s="1"/>
  <c r="AC17" i="6"/>
  <c r="M19" i="6"/>
  <c r="C19" i="6"/>
  <c r="K19" i="6" s="1"/>
  <c r="BF24" i="6"/>
  <c r="T26" i="6"/>
  <c r="BO27" i="6"/>
  <c r="C28" i="6"/>
  <c r="K28" i="6" s="1"/>
  <c r="M28" i="6"/>
  <c r="AC29" i="6"/>
  <c r="BL30" i="6"/>
  <c r="BJ31" i="6"/>
  <c r="BL31" i="6" s="1"/>
  <c r="F31" i="6"/>
  <c r="X31" i="6"/>
  <c r="X8" i="6" s="1"/>
  <c r="X7" i="6" s="1"/>
  <c r="AN31" i="6"/>
  <c r="AN8" i="6" s="1"/>
  <c r="AN7" i="6" s="1"/>
  <c r="D33" i="6"/>
  <c r="BI33" i="6"/>
  <c r="BG31" i="6"/>
  <c r="BI31" i="6" s="1"/>
  <c r="BI34" i="6"/>
  <c r="C35" i="6"/>
  <c r="K35" i="6" s="1"/>
  <c r="M35" i="6"/>
  <c r="W35" i="6"/>
  <c r="AI36" i="6"/>
  <c r="AG31" i="6"/>
  <c r="AI31" i="6" s="1"/>
  <c r="BL36" i="6"/>
  <c r="T38" i="6"/>
  <c r="BY13" i="6"/>
  <c r="M14" i="6"/>
  <c r="AC14" i="6"/>
  <c r="AB13" i="6"/>
  <c r="AK13" i="6"/>
  <c r="AK8" i="6" s="1"/>
  <c r="AK7" i="6" s="1"/>
  <c r="AC15" i="6"/>
  <c r="AA13" i="6"/>
  <c r="AJ13" i="6"/>
  <c r="AL15" i="6"/>
  <c r="AY13" i="6"/>
  <c r="AY8" i="6" s="1"/>
  <c r="AY7" i="6" s="1"/>
  <c r="BI15" i="6"/>
  <c r="W17" i="6"/>
  <c r="AF20" i="6"/>
  <c r="AI23" i="6"/>
  <c r="J24" i="6"/>
  <c r="K24" i="6" s="1"/>
  <c r="D27" i="6"/>
  <c r="D13" i="6" s="1"/>
  <c r="C29" i="6"/>
  <c r="K29" i="6" s="1"/>
  <c r="M29" i="6"/>
  <c r="W29" i="6"/>
  <c r="G31" i="6"/>
  <c r="P31" i="6" s="1"/>
  <c r="P32" i="6"/>
  <c r="Y31" i="6"/>
  <c r="Y8" i="6" s="1"/>
  <c r="Y7" i="6" s="1"/>
  <c r="BA31" i="6"/>
  <c r="BC31" i="6" s="1"/>
  <c r="BC34" i="6"/>
  <c r="Q36" i="6"/>
  <c r="I31" i="6"/>
  <c r="Q31" i="6" s="1"/>
  <c r="AC36" i="6"/>
  <c r="AA31" i="6"/>
  <c r="AC31" i="6" s="1"/>
  <c r="AL38" i="6"/>
  <c r="C41" i="6"/>
  <c r="K41" i="6" s="1"/>
  <c r="M41" i="6"/>
  <c r="M51" i="6"/>
  <c r="C51" i="6"/>
  <c r="K51" i="6" s="1"/>
  <c r="M70" i="6"/>
  <c r="C70" i="6"/>
  <c r="K70" i="6" s="1"/>
  <c r="M73" i="6"/>
  <c r="C73" i="6"/>
  <c r="T32" i="6"/>
  <c r="AF32" i="6"/>
  <c r="AL32" i="6"/>
  <c r="M44" i="6"/>
  <c r="M46" i="6"/>
  <c r="C46" i="6"/>
  <c r="K46" i="6" s="1"/>
  <c r="G52" i="6"/>
  <c r="P52" i="6" s="1"/>
  <c r="P53" i="6"/>
  <c r="X52" i="6"/>
  <c r="AN52" i="6"/>
  <c r="C54" i="6"/>
  <c r="K54" i="6" s="1"/>
  <c r="M54" i="6"/>
  <c r="N60" i="6"/>
  <c r="C66" i="6"/>
  <c r="K66" i="6" s="1"/>
  <c r="M66" i="6"/>
  <c r="C67" i="6"/>
  <c r="K67" i="6" s="1"/>
  <c r="M67" i="6"/>
  <c r="C68" i="6"/>
  <c r="K68" i="6" s="1"/>
  <c r="M68" i="6"/>
  <c r="W74" i="6"/>
  <c r="AT75" i="6"/>
  <c r="AR74" i="6"/>
  <c r="AT74" i="6" s="1"/>
  <c r="CD75" i="6"/>
  <c r="CB74" i="6"/>
  <c r="CD74" i="6" s="1"/>
  <c r="M77" i="6"/>
  <c r="C77" i="6"/>
  <c r="K77" i="6" s="1"/>
  <c r="C78" i="6"/>
  <c r="K78" i="6" s="1"/>
  <c r="M78" i="6"/>
  <c r="AI79" i="6"/>
  <c r="AG74" i="6"/>
  <c r="D80" i="6"/>
  <c r="E74" i="6"/>
  <c r="V31" i="6"/>
  <c r="AB31" i="6"/>
  <c r="AH31" i="6"/>
  <c r="AF41" i="6"/>
  <c r="C45" i="6"/>
  <c r="J45" i="6"/>
  <c r="AF47" i="6"/>
  <c r="C49" i="6"/>
  <c r="K49" i="6" s="1"/>
  <c r="M49" i="6"/>
  <c r="C50" i="6"/>
  <c r="K50" i="6" s="1"/>
  <c r="M50" i="6"/>
  <c r="W50" i="6"/>
  <c r="AT51" i="6"/>
  <c r="BL51" i="6"/>
  <c r="CD51" i="6"/>
  <c r="AR52" i="6"/>
  <c r="CB52" i="6"/>
  <c r="Y52" i="6"/>
  <c r="BQ52" i="6"/>
  <c r="CA54" i="6"/>
  <c r="AO52" i="6"/>
  <c r="AQ52" i="6" s="1"/>
  <c r="AQ55" i="6"/>
  <c r="BG52" i="6"/>
  <c r="BI52" i="6" s="1"/>
  <c r="BI55" i="6"/>
  <c r="BY52" i="6"/>
  <c r="CA52" i="6" s="1"/>
  <c r="CA55" i="6"/>
  <c r="BF57" i="6"/>
  <c r="CA60" i="6"/>
  <c r="BF63" i="6"/>
  <c r="BX63" i="6"/>
  <c r="BO66" i="6"/>
  <c r="BF69" i="6"/>
  <c r="BX69" i="6"/>
  <c r="BF72" i="6"/>
  <c r="C75" i="6"/>
  <c r="K75" i="6" s="1"/>
  <c r="D74" i="6"/>
  <c r="M75" i="6"/>
  <c r="BC74" i="6"/>
  <c r="BX75" i="6"/>
  <c r="BV74" i="6"/>
  <c r="BX74" i="6" s="1"/>
  <c r="M76" i="6"/>
  <c r="AF80" i="6"/>
  <c r="J87" i="6"/>
  <c r="N87" i="6"/>
  <c r="M95" i="6"/>
  <c r="C95" i="6"/>
  <c r="K95" i="6" s="1"/>
  <c r="M22" i="7"/>
  <c r="C22" i="7"/>
  <c r="K22" i="7" s="1"/>
  <c r="T55" i="7"/>
  <c r="R52" i="7"/>
  <c r="T52" i="7" s="1"/>
  <c r="D32" i="6"/>
  <c r="J32" i="6"/>
  <c r="C39" i="6"/>
  <c r="J39" i="6"/>
  <c r="C48" i="6"/>
  <c r="K48" i="6" s="1"/>
  <c r="M48" i="6"/>
  <c r="AZ52" i="6"/>
  <c r="R52" i="6"/>
  <c r="T52" i="6" s="1"/>
  <c r="AP52" i="6"/>
  <c r="AV52" i="6"/>
  <c r="AV8" i="6" s="1"/>
  <c r="AV7" i="6" s="1"/>
  <c r="BN52" i="6"/>
  <c r="BN8" i="6" s="1"/>
  <c r="BN7" i="6" s="1"/>
  <c r="BZ52" i="6"/>
  <c r="M58" i="6"/>
  <c r="C58" i="6"/>
  <c r="K58" i="6" s="1"/>
  <c r="AL74" i="6"/>
  <c r="BP74" i="6"/>
  <c r="BR75" i="6"/>
  <c r="AU74" i="6"/>
  <c r="AW74" i="6" s="1"/>
  <c r="AW76" i="6"/>
  <c r="CE74" i="6"/>
  <c r="CG74" i="6" s="1"/>
  <c r="CG76" i="6"/>
  <c r="M83" i="6"/>
  <c r="C83" i="6"/>
  <c r="K83" i="6" s="1"/>
  <c r="C87" i="6"/>
  <c r="M87" i="6"/>
  <c r="C40" i="6"/>
  <c r="K40" i="6" s="1"/>
  <c r="N41" i="6"/>
  <c r="D42" i="6"/>
  <c r="J42" i="6"/>
  <c r="C43" i="6"/>
  <c r="K43" i="6" s="1"/>
  <c r="M43" i="6"/>
  <c r="AI47" i="6"/>
  <c r="J51" i="6"/>
  <c r="BF51" i="6"/>
  <c r="BX51" i="6"/>
  <c r="BD52" i="6"/>
  <c r="C53" i="6"/>
  <c r="K53" i="6" s="1"/>
  <c r="AJ52" i="6"/>
  <c r="AL52" i="6" s="1"/>
  <c r="N54" i="6"/>
  <c r="BU54" i="6"/>
  <c r="D55" i="6"/>
  <c r="D52" i="6" s="1"/>
  <c r="E52" i="6"/>
  <c r="BA52" i="6"/>
  <c r="BC52" i="6" s="1"/>
  <c r="BC55" i="6"/>
  <c r="BS52" i="6"/>
  <c r="BU52" i="6" s="1"/>
  <c r="BU55" i="6"/>
  <c r="C56" i="6"/>
  <c r="K56" i="6" s="1"/>
  <c r="M56" i="6"/>
  <c r="W56" i="6"/>
  <c r="D60" i="6"/>
  <c r="C61" i="6"/>
  <c r="K61" i="6" s="1"/>
  <c r="M61" i="6"/>
  <c r="C62" i="6"/>
  <c r="K62" i="6" s="1"/>
  <c r="M62" i="6"/>
  <c r="C65" i="6"/>
  <c r="K65" i="6" s="1"/>
  <c r="N66" i="6"/>
  <c r="BI66" i="6"/>
  <c r="C71" i="6"/>
  <c r="K71" i="6" s="1"/>
  <c r="J73" i="6"/>
  <c r="BJ74" i="6"/>
  <c r="BL74" i="6" s="1"/>
  <c r="BL75" i="6"/>
  <c r="AO74" i="6"/>
  <c r="AQ74" i="6" s="1"/>
  <c r="AQ76" i="6"/>
  <c r="BY74" i="6"/>
  <c r="CA74" i="6" s="1"/>
  <c r="CA76" i="6"/>
  <c r="CF74" i="6"/>
  <c r="K79" i="6"/>
  <c r="J79" i="6"/>
  <c r="L74" i="6"/>
  <c r="J74" i="6" s="1"/>
  <c r="N80" i="6"/>
  <c r="C82" i="6"/>
  <c r="K82" i="6" s="1"/>
  <c r="M82" i="6"/>
  <c r="P90" i="6"/>
  <c r="P89" i="6" s="1"/>
  <c r="G89" i="6"/>
  <c r="G10" i="6" s="1"/>
  <c r="W14" i="7"/>
  <c r="U13" i="7"/>
  <c r="M16" i="7"/>
  <c r="C16" i="7"/>
  <c r="K16" i="7" s="1"/>
  <c r="T41" i="6"/>
  <c r="BI42" i="6"/>
  <c r="AC44" i="6"/>
  <c r="T47" i="6"/>
  <c r="BC48" i="6"/>
  <c r="AI50" i="6"/>
  <c r="L52" i="6"/>
  <c r="J52" i="6" s="1"/>
  <c r="AK52" i="6"/>
  <c r="AW54" i="6"/>
  <c r="BO54" i="6"/>
  <c r="BO60" i="6"/>
  <c r="CA66" i="6"/>
  <c r="H74" i="6"/>
  <c r="N74" i="6" s="1"/>
  <c r="AF74" i="6"/>
  <c r="BD74" i="6"/>
  <c r="BF74" i="6" s="1"/>
  <c r="BF75" i="6"/>
  <c r="BS74" i="6"/>
  <c r="BU74" i="6" s="1"/>
  <c r="BU76" i="6"/>
  <c r="C81" i="6"/>
  <c r="K81" i="6" s="1"/>
  <c r="M81" i="6"/>
  <c r="I52" i="6"/>
  <c r="Q52" i="6" s="1"/>
  <c r="U52" i="6"/>
  <c r="W52" i="6" s="1"/>
  <c r="AA52" i="6"/>
  <c r="AG52" i="6"/>
  <c r="AS52" i="6"/>
  <c r="AY52" i="6"/>
  <c r="BE52" i="6"/>
  <c r="BK52" i="6"/>
  <c r="BL52" i="6" s="1"/>
  <c r="BW52" i="6"/>
  <c r="BW8" i="6" s="1"/>
  <c r="BW7" i="6" s="1"/>
  <c r="CC52" i="6"/>
  <c r="CC8" i="6" s="1"/>
  <c r="CC7" i="6" s="1"/>
  <c r="T53" i="6"/>
  <c r="AF53" i="6"/>
  <c r="AL53" i="6"/>
  <c r="N76" i="6"/>
  <c r="M79" i="6"/>
  <c r="K85" i="6"/>
  <c r="K88" i="6"/>
  <c r="E89" i="6"/>
  <c r="E10" i="6" s="1"/>
  <c r="E9" i="6" s="1"/>
  <c r="M91" i="6"/>
  <c r="C91" i="6"/>
  <c r="K91" i="6" s="1"/>
  <c r="M97" i="6"/>
  <c r="C97" i="6"/>
  <c r="K97" i="6" s="1"/>
  <c r="M100" i="6"/>
  <c r="V13" i="7"/>
  <c r="V8" i="7" s="1"/>
  <c r="V7" i="7" s="1"/>
  <c r="I89" i="7"/>
  <c r="I10" i="7" s="1"/>
  <c r="Q92" i="7"/>
  <c r="Q89" i="7" s="1"/>
  <c r="M65" i="8"/>
  <c r="C65" i="8"/>
  <c r="K65" i="8" s="1"/>
  <c r="V52" i="6"/>
  <c r="AB52" i="6"/>
  <c r="AH52" i="6"/>
  <c r="V74" i="6"/>
  <c r="AB74" i="6"/>
  <c r="AH74" i="6"/>
  <c r="AN74" i="6"/>
  <c r="AL76" i="6"/>
  <c r="BO77" i="6"/>
  <c r="W79" i="6"/>
  <c r="AF81" i="6"/>
  <c r="N82" i="6"/>
  <c r="BO82" i="6"/>
  <c r="AF85" i="6"/>
  <c r="AT86" i="6"/>
  <c r="AF87" i="6"/>
  <c r="L89" i="6"/>
  <c r="L10" i="6" s="1"/>
  <c r="G13" i="7"/>
  <c r="P14" i="7"/>
  <c r="C14" i="7"/>
  <c r="O13" i="7"/>
  <c r="O8" i="7" s="1"/>
  <c r="O7" i="7" s="1"/>
  <c r="F31" i="7"/>
  <c r="F89" i="7"/>
  <c r="F10" i="7" s="1"/>
  <c r="F9" i="7" s="1"/>
  <c r="U16" i="8"/>
  <c r="X16" i="8"/>
  <c r="S13" i="8"/>
  <c r="C22" i="8"/>
  <c r="K22" i="8" s="1"/>
  <c r="M22" i="8"/>
  <c r="X46" i="8"/>
  <c r="U46" i="8"/>
  <c r="S31" i="8"/>
  <c r="K84" i="6"/>
  <c r="M103" i="6"/>
  <c r="C103" i="6"/>
  <c r="K103" i="6" s="1"/>
  <c r="AB13" i="7"/>
  <c r="AB15" i="7"/>
  <c r="Z15" i="7"/>
  <c r="P17" i="7"/>
  <c r="C17" i="7"/>
  <c r="K17" i="7" s="1"/>
  <c r="M19" i="7"/>
  <c r="C19" i="7"/>
  <c r="K19" i="7" s="1"/>
  <c r="M25" i="7"/>
  <c r="C25" i="7"/>
  <c r="AB25" i="7"/>
  <c r="Z25" i="7"/>
  <c r="R74" i="7"/>
  <c r="T74" i="7" s="1"/>
  <c r="T76" i="6"/>
  <c r="N89" i="6"/>
  <c r="I89" i="6"/>
  <c r="I10" i="6" s="1"/>
  <c r="M99" i="6"/>
  <c r="C99" i="6"/>
  <c r="K99" i="6" s="1"/>
  <c r="M101" i="6"/>
  <c r="C101" i="6"/>
  <c r="K101" i="6" s="1"/>
  <c r="T15" i="7"/>
  <c r="R13" i="7"/>
  <c r="H74" i="7"/>
  <c r="N75" i="7"/>
  <c r="G31" i="8"/>
  <c r="P31" i="8" s="1"/>
  <c r="P37" i="8"/>
  <c r="W73" i="6"/>
  <c r="W84" i="6"/>
  <c r="BO88" i="6"/>
  <c r="J91" i="6"/>
  <c r="F13" i="7"/>
  <c r="F8" i="7" s="1"/>
  <c r="F7" i="7" s="1"/>
  <c r="AB18" i="7"/>
  <c r="Z18" i="7"/>
  <c r="Q34" i="7"/>
  <c r="I31" i="7"/>
  <c r="Q31" i="7" s="1"/>
  <c r="W34" i="7"/>
  <c r="U31" i="7"/>
  <c r="W31" i="7" s="1"/>
  <c r="M86" i="8"/>
  <c r="C86" i="8"/>
  <c r="K86" i="8" s="1"/>
  <c r="H89" i="6"/>
  <c r="H10" i="6" s="1"/>
  <c r="Q91" i="6"/>
  <c r="Q89" i="6" s="1"/>
  <c r="H13" i="7"/>
  <c r="M18" i="7"/>
  <c r="C18" i="7"/>
  <c r="K18" i="7" s="1"/>
  <c r="M28" i="7"/>
  <c r="AB28" i="7"/>
  <c r="Z28" i="7"/>
  <c r="C53" i="7"/>
  <c r="K53" i="7" s="1"/>
  <c r="M53" i="7"/>
  <c r="C56" i="7"/>
  <c r="K56" i="7" s="1"/>
  <c r="M56" i="7"/>
  <c r="C59" i="7"/>
  <c r="K59" i="7" s="1"/>
  <c r="M59" i="7"/>
  <c r="C62" i="7"/>
  <c r="K62" i="7" s="1"/>
  <c r="M62" i="7"/>
  <c r="C65" i="7"/>
  <c r="K65" i="7" s="1"/>
  <c r="M65" i="7"/>
  <c r="C68" i="7"/>
  <c r="K68" i="7" s="1"/>
  <c r="M68" i="7"/>
  <c r="C71" i="7"/>
  <c r="K71" i="7" s="1"/>
  <c r="M71" i="7"/>
  <c r="C74" i="7"/>
  <c r="C77" i="7"/>
  <c r="K77" i="7" s="1"/>
  <c r="M77" i="7"/>
  <c r="C80" i="7"/>
  <c r="K80" i="7" s="1"/>
  <c r="M80" i="7"/>
  <c r="C83" i="7"/>
  <c r="K83" i="7" s="1"/>
  <c r="M83" i="7"/>
  <c r="C86" i="7"/>
  <c r="K86" i="7" s="1"/>
  <c r="M86" i="7"/>
  <c r="P90" i="7"/>
  <c r="G89" i="7"/>
  <c r="G10" i="7" s="1"/>
  <c r="AD13" i="8"/>
  <c r="C34" i="8"/>
  <c r="K34" i="8" s="1"/>
  <c r="M34" i="8"/>
  <c r="C36" i="8"/>
  <c r="K36" i="8" s="1"/>
  <c r="M36" i="8"/>
  <c r="X52" i="8"/>
  <c r="U52" i="8"/>
  <c r="M62" i="8"/>
  <c r="C62" i="8"/>
  <c r="K62" i="8" s="1"/>
  <c r="AC32" i="11"/>
  <c r="Z31" i="11"/>
  <c r="AC31" i="11" s="1"/>
  <c r="G31" i="11"/>
  <c r="P31" i="11" s="1"/>
  <c r="P33" i="11"/>
  <c r="P53" i="11"/>
  <c r="G52" i="11"/>
  <c r="P52" i="11" s="1"/>
  <c r="Y56" i="11"/>
  <c r="V52" i="11"/>
  <c r="Y52" i="11" s="1"/>
  <c r="C57" i="11"/>
  <c r="K57" i="11" s="1"/>
  <c r="M57" i="11"/>
  <c r="M91" i="11"/>
  <c r="C91" i="11"/>
  <c r="K91" i="11" s="1"/>
  <c r="J86" i="6"/>
  <c r="J92" i="6"/>
  <c r="J104" i="6"/>
  <c r="M15" i="7"/>
  <c r="M21" i="7"/>
  <c r="C21" i="7"/>
  <c r="K21" i="7" s="1"/>
  <c r="N22" i="7"/>
  <c r="AB31" i="7"/>
  <c r="P32" i="7"/>
  <c r="Z32" i="7"/>
  <c r="Y31" i="7"/>
  <c r="Z31" i="7" s="1"/>
  <c r="D34" i="7"/>
  <c r="AB34" i="7"/>
  <c r="Z34" i="7"/>
  <c r="M36" i="7"/>
  <c r="C36" i="7"/>
  <c r="K36" i="7" s="1"/>
  <c r="C38" i="7"/>
  <c r="K38" i="7" s="1"/>
  <c r="M38" i="7"/>
  <c r="C41" i="7"/>
  <c r="K41" i="7" s="1"/>
  <c r="M41" i="7"/>
  <c r="C44" i="7"/>
  <c r="K44" i="7" s="1"/>
  <c r="M44" i="7"/>
  <c r="N46" i="7"/>
  <c r="C47" i="7"/>
  <c r="K47" i="7" s="1"/>
  <c r="M47" i="7"/>
  <c r="C50" i="7"/>
  <c r="K50" i="7" s="1"/>
  <c r="M50" i="7"/>
  <c r="N89" i="7"/>
  <c r="P103" i="7"/>
  <c r="C103" i="7"/>
  <c r="K103" i="7" s="1"/>
  <c r="M104" i="7"/>
  <c r="C104" i="7"/>
  <c r="K104" i="7" s="1"/>
  <c r="W13" i="8"/>
  <c r="X15" i="8"/>
  <c r="AD31" i="8"/>
  <c r="C42" i="8"/>
  <c r="K42" i="8" s="1"/>
  <c r="M42" i="8"/>
  <c r="C76" i="9"/>
  <c r="K76" i="9" s="1"/>
  <c r="M76" i="9"/>
  <c r="D74" i="9"/>
  <c r="C79" i="9"/>
  <c r="K79" i="9" s="1"/>
  <c r="M79" i="9"/>
  <c r="C82" i="9"/>
  <c r="K82" i="9" s="1"/>
  <c r="M82" i="9"/>
  <c r="C85" i="9"/>
  <c r="K85" i="9" s="1"/>
  <c r="M85" i="9"/>
  <c r="C88" i="9"/>
  <c r="K88" i="9" s="1"/>
  <c r="M88" i="9"/>
  <c r="AC85" i="6"/>
  <c r="D86" i="6"/>
  <c r="BF86" i="6"/>
  <c r="T88" i="6"/>
  <c r="J90" i="6"/>
  <c r="D92" i="6"/>
  <c r="J102" i="6"/>
  <c r="D104" i="6"/>
  <c r="D13" i="7"/>
  <c r="L13" i="7"/>
  <c r="J14" i="7"/>
  <c r="Y13" i="7"/>
  <c r="Y8" i="7" s="1"/>
  <c r="Y7" i="7" s="1"/>
  <c r="N16" i="7"/>
  <c r="J19" i="7"/>
  <c r="M20" i="7"/>
  <c r="W23" i="7"/>
  <c r="M24" i="7"/>
  <c r="C24" i="7"/>
  <c r="K24" i="7" s="1"/>
  <c r="C26" i="7"/>
  <c r="K26" i="7" s="1"/>
  <c r="M57" i="7"/>
  <c r="C57" i="7"/>
  <c r="K57" i="7" s="1"/>
  <c r="M60" i="7"/>
  <c r="C60" i="7"/>
  <c r="K60" i="7" s="1"/>
  <c r="M63" i="7"/>
  <c r="C63" i="7"/>
  <c r="K63" i="7" s="1"/>
  <c r="M66" i="7"/>
  <c r="C66" i="7"/>
  <c r="K66" i="7" s="1"/>
  <c r="M69" i="7"/>
  <c r="C69" i="7"/>
  <c r="K69" i="7" s="1"/>
  <c r="M72" i="7"/>
  <c r="C72" i="7"/>
  <c r="K72" i="7" s="1"/>
  <c r="M75" i="7"/>
  <c r="C75" i="7"/>
  <c r="K75" i="7" s="1"/>
  <c r="M78" i="7"/>
  <c r="C78" i="7"/>
  <c r="K78" i="7" s="1"/>
  <c r="M81" i="7"/>
  <c r="C81" i="7"/>
  <c r="K81" i="7" s="1"/>
  <c r="M84" i="7"/>
  <c r="C84" i="7"/>
  <c r="K84" i="7" s="1"/>
  <c r="M87" i="7"/>
  <c r="C87" i="7"/>
  <c r="K87" i="7" s="1"/>
  <c r="C91" i="7"/>
  <c r="K91" i="7" s="1"/>
  <c r="M91" i="7"/>
  <c r="M99" i="7"/>
  <c r="C25" i="8"/>
  <c r="K25" i="8" s="1"/>
  <c r="M25" i="8"/>
  <c r="P58" i="8"/>
  <c r="G52" i="8"/>
  <c r="P52" i="8" s="1"/>
  <c r="J8" i="9"/>
  <c r="W85" i="6"/>
  <c r="AZ86" i="6"/>
  <c r="D90" i="6"/>
  <c r="J100" i="6"/>
  <c r="D102" i="6"/>
  <c r="E13" i="7"/>
  <c r="S13" i="7"/>
  <c r="AB19" i="7"/>
  <c r="Z19" i="7"/>
  <c r="M27" i="7"/>
  <c r="C27" i="7"/>
  <c r="K27" i="7" s="1"/>
  <c r="N28" i="7"/>
  <c r="C29" i="7"/>
  <c r="K29" i="7" s="1"/>
  <c r="L31" i="7"/>
  <c r="J31" i="7" s="1"/>
  <c r="C32" i="7"/>
  <c r="K32" i="7" s="1"/>
  <c r="T32" i="7"/>
  <c r="S31" i="7"/>
  <c r="T31" i="7" s="1"/>
  <c r="M39" i="7"/>
  <c r="C39" i="7"/>
  <c r="K39" i="7" s="1"/>
  <c r="M42" i="7"/>
  <c r="C42" i="7"/>
  <c r="K42" i="7" s="1"/>
  <c r="M45" i="7"/>
  <c r="C45" i="7"/>
  <c r="K45" i="7" s="1"/>
  <c r="M48" i="7"/>
  <c r="C48" i="7"/>
  <c r="K48" i="7" s="1"/>
  <c r="M51" i="7"/>
  <c r="C51" i="7"/>
  <c r="K51" i="7" s="1"/>
  <c r="C55" i="7"/>
  <c r="K55" i="7" s="1"/>
  <c r="M55" i="7"/>
  <c r="AB55" i="7"/>
  <c r="Z55" i="7"/>
  <c r="C58" i="7"/>
  <c r="K58" i="7" s="1"/>
  <c r="M58" i="7"/>
  <c r="AB58" i="7"/>
  <c r="Z58" i="7"/>
  <c r="C61" i="7"/>
  <c r="K61" i="7" s="1"/>
  <c r="M61" i="7"/>
  <c r="AB61" i="7"/>
  <c r="Z61" i="7"/>
  <c r="C64" i="7"/>
  <c r="K64" i="7" s="1"/>
  <c r="M64" i="7"/>
  <c r="AB64" i="7"/>
  <c r="Z64" i="7"/>
  <c r="C67" i="7"/>
  <c r="K67" i="7" s="1"/>
  <c r="M67" i="7"/>
  <c r="AB67" i="7"/>
  <c r="Z67" i="7"/>
  <c r="C70" i="7"/>
  <c r="K70" i="7" s="1"/>
  <c r="M70" i="7"/>
  <c r="AB70" i="7"/>
  <c r="Z70" i="7"/>
  <c r="C73" i="7"/>
  <c r="K73" i="7" s="1"/>
  <c r="M73" i="7"/>
  <c r="AB73" i="7"/>
  <c r="Z73" i="7"/>
  <c r="C76" i="7"/>
  <c r="K76" i="7" s="1"/>
  <c r="M76" i="7"/>
  <c r="AB76" i="7"/>
  <c r="Z76" i="7"/>
  <c r="C79" i="7"/>
  <c r="K79" i="7" s="1"/>
  <c r="M79" i="7"/>
  <c r="AB79" i="7"/>
  <c r="Z79" i="7"/>
  <c r="C82" i="7"/>
  <c r="K82" i="7" s="1"/>
  <c r="M82" i="7"/>
  <c r="AB82" i="7"/>
  <c r="Z82" i="7"/>
  <c r="C85" i="7"/>
  <c r="K85" i="7" s="1"/>
  <c r="M85" i="7"/>
  <c r="AB85" i="7"/>
  <c r="Z85" i="7"/>
  <c r="C88" i="7"/>
  <c r="K88" i="7" s="1"/>
  <c r="M88" i="7"/>
  <c r="AB88" i="7"/>
  <c r="Z88" i="7"/>
  <c r="C90" i="7"/>
  <c r="D13" i="8"/>
  <c r="M17" i="8"/>
  <c r="C17" i="8"/>
  <c r="C18" i="8"/>
  <c r="K18" i="8" s="1"/>
  <c r="M18" i="8"/>
  <c r="C28" i="8"/>
  <c r="K28" i="8" s="1"/>
  <c r="M28" i="8"/>
  <c r="AA33" i="8"/>
  <c r="V31" i="8"/>
  <c r="C40" i="8"/>
  <c r="K40" i="8" s="1"/>
  <c r="M40" i="8"/>
  <c r="M71" i="8"/>
  <c r="C71" i="8"/>
  <c r="K71" i="8" s="1"/>
  <c r="M105" i="8"/>
  <c r="C105" i="8"/>
  <c r="K105" i="8" s="1"/>
  <c r="AB22" i="7"/>
  <c r="Z22" i="7"/>
  <c r="J25" i="7"/>
  <c r="M26" i="7"/>
  <c r="W29" i="7"/>
  <c r="M30" i="7"/>
  <c r="C30" i="7"/>
  <c r="K30" i="7" s="1"/>
  <c r="W32" i="7"/>
  <c r="E31" i="7"/>
  <c r="D33" i="7"/>
  <c r="N34" i="7"/>
  <c r="C35" i="7"/>
  <c r="K35" i="7" s="1"/>
  <c r="D37" i="7"/>
  <c r="AB37" i="7"/>
  <c r="Z37" i="7"/>
  <c r="D40" i="7"/>
  <c r="AB40" i="7"/>
  <c r="Z40" i="7"/>
  <c r="D43" i="7"/>
  <c r="AB43" i="7"/>
  <c r="Z43" i="7"/>
  <c r="D46" i="7"/>
  <c r="AB46" i="7"/>
  <c r="Z46" i="7"/>
  <c r="D49" i="7"/>
  <c r="AB49" i="7"/>
  <c r="Z49" i="7"/>
  <c r="X52" i="7"/>
  <c r="X8" i="7" s="1"/>
  <c r="L89" i="7"/>
  <c r="L10" i="7" s="1"/>
  <c r="C94" i="7"/>
  <c r="K94" i="7" s="1"/>
  <c r="M96" i="7"/>
  <c r="C96" i="7"/>
  <c r="K96" i="7" s="1"/>
  <c r="M98" i="7"/>
  <c r="C98" i="7"/>
  <c r="K98" i="7" s="1"/>
  <c r="D100" i="7"/>
  <c r="AB13" i="8"/>
  <c r="C19" i="8"/>
  <c r="K19" i="8" s="1"/>
  <c r="M19" i="8"/>
  <c r="C27" i="8"/>
  <c r="K27" i="8" s="1"/>
  <c r="M27" i="8"/>
  <c r="C39" i="8"/>
  <c r="K39" i="8" s="1"/>
  <c r="M39" i="8"/>
  <c r="C48" i="8"/>
  <c r="K48" i="8" s="1"/>
  <c r="M48" i="8"/>
  <c r="E74" i="7"/>
  <c r="J91" i="7"/>
  <c r="J95" i="7"/>
  <c r="H13" i="8"/>
  <c r="C15" i="8"/>
  <c r="K15" i="8" s="1"/>
  <c r="M15" i="8"/>
  <c r="M16" i="8"/>
  <c r="M20" i="8"/>
  <c r="C24" i="8"/>
  <c r="K24" i="8" s="1"/>
  <c r="M24" i="8"/>
  <c r="X25" i="8"/>
  <c r="C26" i="8"/>
  <c r="K26" i="8" s="1"/>
  <c r="J26" i="8"/>
  <c r="M29" i="8"/>
  <c r="AA30" i="8"/>
  <c r="D31" i="8"/>
  <c r="H31" i="8"/>
  <c r="N31" i="8" s="1"/>
  <c r="C33" i="8"/>
  <c r="K33" i="8" s="1"/>
  <c r="M33" i="8"/>
  <c r="W31" i="8"/>
  <c r="X34" i="8"/>
  <c r="C35" i="8"/>
  <c r="J35" i="8"/>
  <c r="X40" i="8"/>
  <c r="U40" i="8"/>
  <c r="C44" i="8"/>
  <c r="K44" i="8" s="1"/>
  <c r="C50" i="8"/>
  <c r="K50" i="8" s="1"/>
  <c r="AA52" i="8"/>
  <c r="R52" i="8"/>
  <c r="R8" i="8" s="1"/>
  <c r="R7" i="8" s="1"/>
  <c r="C55" i="8"/>
  <c r="K55" i="8" s="1"/>
  <c r="X55" i="8"/>
  <c r="U55" i="8"/>
  <c r="C57" i="8"/>
  <c r="K57" i="8" s="1"/>
  <c r="M57" i="8"/>
  <c r="C67" i="8"/>
  <c r="K67" i="8" s="1"/>
  <c r="M67" i="8"/>
  <c r="C73" i="8"/>
  <c r="K73" i="8" s="1"/>
  <c r="M73" i="8"/>
  <c r="AA88" i="8"/>
  <c r="F89" i="8"/>
  <c r="F10" i="8" s="1"/>
  <c r="F9" i="8" s="1"/>
  <c r="M94" i="8"/>
  <c r="C94" i="8"/>
  <c r="K94" i="8" s="1"/>
  <c r="M102" i="8"/>
  <c r="C102" i="8"/>
  <c r="K102" i="8" s="1"/>
  <c r="M55" i="9"/>
  <c r="C55" i="9"/>
  <c r="K55" i="9" s="1"/>
  <c r="C35" i="10"/>
  <c r="K35" i="10" s="1"/>
  <c r="M35" i="10"/>
  <c r="N31" i="10"/>
  <c r="M39" i="10"/>
  <c r="C39" i="10"/>
  <c r="K39" i="10" s="1"/>
  <c r="C44" i="10"/>
  <c r="K44" i="10" s="1"/>
  <c r="M44" i="10"/>
  <c r="M48" i="10"/>
  <c r="C48" i="10"/>
  <c r="K48" i="10" s="1"/>
  <c r="H31" i="7"/>
  <c r="N31" i="7" s="1"/>
  <c r="H52" i="7"/>
  <c r="N52" i="7" s="1"/>
  <c r="D54" i="7"/>
  <c r="D52" i="7" s="1"/>
  <c r="L74" i="7"/>
  <c r="J74" i="7" s="1"/>
  <c r="X74" i="7"/>
  <c r="C93" i="7"/>
  <c r="K93" i="7" s="1"/>
  <c r="J93" i="7"/>
  <c r="D95" i="7"/>
  <c r="C102" i="7"/>
  <c r="K102" i="7" s="1"/>
  <c r="J105" i="7"/>
  <c r="J106" i="7"/>
  <c r="F13" i="8"/>
  <c r="Q14" i="8"/>
  <c r="I13" i="8"/>
  <c r="T13" i="8"/>
  <c r="T8" i="8" s="1"/>
  <c r="T7" i="8" s="1"/>
  <c r="Z13" i="8"/>
  <c r="E13" i="8"/>
  <c r="F31" i="8"/>
  <c r="Q32" i="8"/>
  <c r="I31" i="8"/>
  <c r="Q31" i="8" s="1"/>
  <c r="T31" i="8"/>
  <c r="Z31" i="8"/>
  <c r="E31" i="8"/>
  <c r="X37" i="8"/>
  <c r="C38" i="8"/>
  <c r="J38" i="8"/>
  <c r="C47" i="8"/>
  <c r="K47" i="8" s="1"/>
  <c r="J47" i="8"/>
  <c r="Y52" i="8"/>
  <c r="D54" i="8"/>
  <c r="E52" i="8"/>
  <c r="C61" i="8"/>
  <c r="K61" i="8" s="1"/>
  <c r="X61" i="8"/>
  <c r="U61" i="8"/>
  <c r="C63" i="8"/>
  <c r="K63" i="8" s="1"/>
  <c r="M63" i="8"/>
  <c r="M80" i="8"/>
  <c r="C80" i="8"/>
  <c r="K80" i="8" s="1"/>
  <c r="K90" i="8"/>
  <c r="J90" i="8"/>
  <c r="L89" i="8"/>
  <c r="L10" i="8" s="1"/>
  <c r="C33" i="9"/>
  <c r="K33" i="9" s="1"/>
  <c r="M33" i="9"/>
  <c r="C36" i="9"/>
  <c r="K36" i="9" s="1"/>
  <c r="M36" i="9"/>
  <c r="C39" i="9"/>
  <c r="K39" i="9" s="1"/>
  <c r="M39" i="9"/>
  <c r="C42" i="9"/>
  <c r="K42" i="9" s="1"/>
  <c r="M42" i="9"/>
  <c r="C45" i="9"/>
  <c r="K45" i="9" s="1"/>
  <c r="M45" i="9"/>
  <c r="C48" i="9"/>
  <c r="K48" i="9" s="1"/>
  <c r="M48" i="9"/>
  <c r="C51" i="9"/>
  <c r="K51" i="9" s="1"/>
  <c r="M51" i="9"/>
  <c r="E8" i="9"/>
  <c r="E7" i="9" s="1"/>
  <c r="J103" i="7"/>
  <c r="N16" i="8"/>
  <c r="C21" i="8"/>
  <c r="K21" i="8" s="1"/>
  <c r="M21" i="8"/>
  <c r="C30" i="8"/>
  <c r="K30" i="8" s="1"/>
  <c r="M30" i="8"/>
  <c r="AA36" i="8"/>
  <c r="C37" i="8"/>
  <c r="K37" i="8" s="1"/>
  <c r="Q53" i="8"/>
  <c r="I52" i="8"/>
  <c r="Q52" i="8" s="1"/>
  <c r="C58" i="8"/>
  <c r="K58" i="8" s="1"/>
  <c r="X58" i="8"/>
  <c r="U58" i="8"/>
  <c r="C60" i="8"/>
  <c r="K60" i="8" s="1"/>
  <c r="M60" i="8"/>
  <c r="M68" i="8"/>
  <c r="C68" i="8"/>
  <c r="K68" i="8" s="1"/>
  <c r="AB74" i="8"/>
  <c r="D93" i="8"/>
  <c r="E89" i="8"/>
  <c r="E10" i="8" s="1"/>
  <c r="E9" i="8" s="1"/>
  <c r="M100" i="8"/>
  <c r="C100" i="8"/>
  <c r="K100" i="8" s="1"/>
  <c r="T13" i="9"/>
  <c r="R8" i="9"/>
  <c r="C15" i="9"/>
  <c r="K15" i="9" s="1"/>
  <c r="M15" i="9"/>
  <c r="C18" i="9"/>
  <c r="K18" i="9" s="1"/>
  <c r="M18" i="9"/>
  <c r="C21" i="9"/>
  <c r="K21" i="9" s="1"/>
  <c r="M21" i="9"/>
  <c r="C24" i="9"/>
  <c r="K24" i="9" s="1"/>
  <c r="M24" i="9"/>
  <c r="C27" i="9"/>
  <c r="K27" i="9" s="1"/>
  <c r="M27" i="9"/>
  <c r="C30" i="9"/>
  <c r="K30" i="9" s="1"/>
  <c r="M30" i="9"/>
  <c r="H89" i="7"/>
  <c r="H10" i="7" s="1"/>
  <c r="V13" i="8"/>
  <c r="N14" i="8"/>
  <c r="AC13" i="8"/>
  <c r="AD15" i="8"/>
  <c r="J17" i="8"/>
  <c r="N23" i="8"/>
  <c r="C45" i="8"/>
  <c r="K45" i="8" s="1"/>
  <c r="M45" i="8"/>
  <c r="J62" i="8"/>
  <c r="X64" i="8"/>
  <c r="U64" i="8"/>
  <c r="C70" i="8"/>
  <c r="K70" i="8" s="1"/>
  <c r="M70" i="8"/>
  <c r="L74" i="8"/>
  <c r="Q76" i="8"/>
  <c r="I74" i="8"/>
  <c r="Q74" i="8" s="1"/>
  <c r="AC74" i="8"/>
  <c r="I74" i="7"/>
  <c r="Q74" i="7" s="1"/>
  <c r="U74" i="7"/>
  <c r="W74" i="7" s="1"/>
  <c r="D101" i="7"/>
  <c r="L13" i="8"/>
  <c r="M14" i="8"/>
  <c r="O13" i="8"/>
  <c r="K16" i="8"/>
  <c r="M23" i="8"/>
  <c r="L31" i="8"/>
  <c r="O31" i="8"/>
  <c r="M37" i="8"/>
  <c r="X43" i="8"/>
  <c r="U43" i="8"/>
  <c r="X49" i="8"/>
  <c r="U49" i="8"/>
  <c r="C51" i="8"/>
  <c r="K51" i="8" s="1"/>
  <c r="M51" i="8"/>
  <c r="O52" i="8"/>
  <c r="J52" i="8" s="1"/>
  <c r="AC52" i="8"/>
  <c r="J59" i="8"/>
  <c r="K59" i="8" s="1"/>
  <c r="Y74" i="8"/>
  <c r="AD74" i="8" s="1"/>
  <c r="AD75" i="8"/>
  <c r="X88" i="8"/>
  <c r="U88" i="8"/>
  <c r="O89" i="8"/>
  <c r="O10" i="8" s="1"/>
  <c r="O9" i="8" s="1"/>
  <c r="M99" i="8"/>
  <c r="C99" i="8"/>
  <c r="K99" i="8" s="1"/>
  <c r="H52" i="8"/>
  <c r="N52" i="8" s="1"/>
  <c r="D53" i="8"/>
  <c r="J53" i="8"/>
  <c r="C66" i="8"/>
  <c r="K66" i="8" s="1"/>
  <c r="C69" i="8"/>
  <c r="K69" i="8" s="1"/>
  <c r="C72" i="8"/>
  <c r="K72" i="8" s="1"/>
  <c r="E74" i="8"/>
  <c r="O74" i="8"/>
  <c r="C75" i="8"/>
  <c r="K75" i="8" s="1"/>
  <c r="U75" i="8"/>
  <c r="S74" i="8"/>
  <c r="Z74" i="8"/>
  <c r="AA74" i="8" s="1"/>
  <c r="D77" i="8"/>
  <c r="C79" i="8"/>
  <c r="K79" i="8" s="1"/>
  <c r="X81" i="8"/>
  <c r="U85" i="8"/>
  <c r="M88" i="8"/>
  <c r="I89" i="8"/>
  <c r="I10" i="8" s="1"/>
  <c r="N104" i="8"/>
  <c r="N89" i="8" s="1"/>
  <c r="N13" i="9"/>
  <c r="N31" i="9"/>
  <c r="H52" i="9"/>
  <c r="C57" i="9"/>
  <c r="K57" i="9" s="1"/>
  <c r="M57" i="9"/>
  <c r="C60" i="9"/>
  <c r="K60" i="9" s="1"/>
  <c r="M60" i="9"/>
  <c r="C63" i="9"/>
  <c r="K63" i="9" s="1"/>
  <c r="M63" i="9"/>
  <c r="C66" i="9"/>
  <c r="K66" i="9" s="1"/>
  <c r="M66" i="9"/>
  <c r="C69" i="9"/>
  <c r="K69" i="9" s="1"/>
  <c r="M69" i="9"/>
  <c r="C72" i="9"/>
  <c r="K72" i="9" s="1"/>
  <c r="M72" i="9"/>
  <c r="C77" i="9"/>
  <c r="K77" i="9" s="1"/>
  <c r="M77" i="9"/>
  <c r="C80" i="9"/>
  <c r="K80" i="9" s="1"/>
  <c r="M80" i="9"/>
  <c r="C83" i="9"/>
  <c r="K83" i="9" s="1"/>
  <c r="M83" i="9"/>
  <c r="C86" i="9"/>
  <c r="K86" i="9" s="1"/>
  <c r="M86" i="9"/>
  <c r="M10" i="9"/>
  <c r="D9" i="9"/>
  <c r="M66" i="8"/>
  <c r="M69" i="8"/>
  <c r="M72" i="8"/>
  <c r="M75" i="8"/>
  <c r="T74" i="8"/>
  <c r="D78" i="8"/>
  <c r="C82" i="8"/>
  <c r="K82" i="8" s="1"/>
  <c r="C83" i="8"/>
  <c r="K83" i="8" s="1"/>
  <c r="X84" i="8"/>
  <c r="M90" i="8"/>
  <c r="C92" i="8"/>
  <c r="K92" i="8" s="1"/>
  <c r="J92" i="8"/>
  <c r="D95" i="8"/>
  <c r="J95" i="8"/>
  <c r="C98" i="8"/>
  <c r="K98" i="8" s="1"/>
  <c r="J98" i="8"/>
  <c r="D101" i="8"/>
  <c r="C106" i="8"/>
  <c r="K106" i="8" s="1"/>
  <c r="J106" i="8"/>
  <c r="I9" i="9"/>
  <c r="Q9" i="9" s="1"/>
  <c r="Q10" i="9"/>
  <c r="D14" i="9"/>
  <c r="D17" i="9"/>
  <c r="D20" i="9"/>
  <c r="D23" i="9"/>
  <c r="D26" i="9"/>
  <c r="D29" i="9"/>
  <c r="D32" i="9"/>
  <c r="D35" i="9"/>
  <c r="D38" i="9"/>
  <c r="D41" i="9"/>
  <c r="D44" i="9"/>
  <c r="D47" i="9"/>
  <c r="D50" i="9"/>
  <c r="P90" i="9"/>
  <c r="P89" i="9" s="1"/>
  <c r="G89" i="9"/>
  <c r="G10" i="9" s="1"/>
  <c r="Y8" i="10"/>
  <c r="Y7" i="10" s="1"/>
  <c r="D93" i="10"/>
  <c r="D89" i="10" s="1"/>
  <c r="D10" i="10" s="1"/>
  <c r="E89" i="10"/>
  <c r="E10" i="10" s="1"/>
  <c r="E9" i="10" s="1"/>
  <c r="M105" i="10"/>
  <c r="C105" i="10"/>
  <c r="K105" i="10" s="1"/>
  <c r="P75" i="8"/>
  <c r="G74" i="8"/>
  <c r="P74" i="8" s="1"/>
  <c r="P89" i="8"/>
  <c r="I52" i="9"/>
  <c r="Q55" i="9"/>
  <c r="C58" i="9"/>
  <c r="K58" i="9" s="1"/>
  <c r="M58" i="9"/>
  <c r="C61" i="9"/>
  <c r="K61" i="9" s="1"/>
  <c r="M61" i="9"/>
  <c r="C64" i="9"/>
  <c r="K64" i="9" s="1"/>
  <c r="M64" i="9"/>
  <c r="C67" i="9"/>
  <c r="K67" i="9" s="1"/>
  <c r="M67" i="9"/>
  <c r="C70" i="9"/>
  <c r="K70" i="9" s="1"/>
  <c r="M70" i="9"/>
  <c r="C73" i="9"/>
  <c r="K73" i="9" s="1"/>
  <c r="M73" i="9"/>
  <c r="N76" i="9"/>
  <c r="H74" i="9"/>
  <c r="N74" i="9" s="1"/>
  <c r="N10" i="9"/>
  <c r="H9" i="9"/>
  <c r="H74" i="8"/>
  <c r="N74" i="8" s="1"/>
  <c r="M81" i="8"/>
  <c r="D84" i="8"/>
  <c r="H89" i="8"/>
  <c r="H10" i="8" s="1"/>
  <c r="D91" i="8"/>
  <c r="J91" i="8"/>
  <c r="J94" i="8"/>
  <c r="D97" i="8"/>
  <c r="J97" i="8"/>
  <c r="J100" i="8"/>
  <c r="J102" i="8"/>
  <c r="D16" i="9"/>
  <c r="D19" i="9"/>
  <c r="D22" i="9"/>
  <c r="D25" i="9"/>
  <c r="D28" i="9"/>
  <c r="D34" i="9"/>
  <c r="D37" i="9"/>
  <c r="D40" i="9"/>
  <c r="D43" i="9"/>
  <c r="D46" i="9"/>
  <c r="D49" i="9"/>
  <c r="M56" i="9"/>
  <c r="C56" i="9"/>
  <c r="K56" i="9" s="1"/>
  <c r="C59" i="9"/>
  <c r="K59" i="9" s="1"/>
  <c r="M59" i="9"/>
  <c r="C62" i="9"/>
  <c r="K62" i="9" s="1"/>
  <c r="M62" i="9"/>
  <c r="C65" i="9"/>
  <c r="K65" i="9" s="1"/>
  <c r="M65" i="9"/>
  <c r="C68" i="9"/>
  <c r="K68" i="9" s="1"/>
  <c r="M68" i="9"/>
  <c r="C71" i="9"/>
  <c r="K71" i="9" s="1"/>
  <c r="M71" i="9"/>
  <c r="C75" i="9"/>
  <c r="K75" i="9" s="1"/>
  <c r="M75" i="9"/>
  <c r="C78" i="9"/>
  <c r="K78" i="9" s="1"/>
  <c r="M78" i="9"/>
  <c r="C81" i="9"/>
  <c r="K81" i="9" s="1"/>
  <c r="M81" i="9"/>
  <c r="C84" i="9"/>
  <c r="K84" i="9" s="1"/>
  <c r="M84" i="9"/>
  <c r="C87" i="9"/>
  <c r="K87" i="9" s="1"/>
  <c r="M87" i="9"/>
  <c r="M21" i="10"/>
  <c r="C21" i="10"/>
  <c r="K21" i="10" s="1"/>
  <c r="U79" i="8"/>
  <c r="D87" i="8"/>
  <c r="M104" i="8"/>
  <c r="J105" i="8"/>
  <c r="J54" i="9"/>
  <c r="J13" i="10"/>
  <c r="L8" i="10"/>
  <c r="G89" i="8"/>
  <c r="G10" i="8" s="1"/>
  <c r="E74" i="9"/>
  <c r="E89" i="9"/>
  <c r="E10" i="9" s="1"/>
  <c r="E9" i="9" s="1"/>
  <c r="C17" i="10"/>
  <c r="K17" i="10" s="1"/>
  <c r="M17" i="10"/>
  <c r="Y31" i="10"/>
  <c r="K37" i="10"/>
  <c r="J37" i="10"/>
  <c r="M37" i="10"/>
  <c r="C38" i="10"/>
  <c r="K38" i="10" s="1"/>
  <c r="M38" i="10"/>
  <c r="J46" i="10"/>
  <c r="K46" i="10" s="1"/>
  <c r="M46" i="10"/>
  <c r="C47" i="10"/>
  <c r="K47" i="10" s="1"/>
  <c r="M47" i="10"/>
  <c r="M85" i="10"/>
  <c r="C85" i="10"/>
  <c r="C53" i="9"/>
  <c r="K53" i="9" s="1"/>
  <c r="D54" i="9"/>
  <c r="G13" i="10"/>
  <c r="D14" i="10"/>
  <c r="E13" i="10"/>
  <c r="M20" i="10"/>
  <c r="C20" i="10"/>
  <c r="K20" i="10" s="1"/>
  <c r="C23" i="10"/>
  <c r="K23" i="10" s="1"/>
  <c r="M23" i="10"/>
  <c r="K24" i="10"/>
  <c r="M34" i="10"/>
  <c r="C34" i="10"/>
  <c r="M36" i="10"/>
  <c r="C36" i="10"/>
  <c r="K36" i="10" s="1"/>
  <c r="O31" i="10"/>
  <c r="M45" i="10"/>
  <c r="C45" i="10"/>
  <c r="K45" i="10" s="1"/>
  <c r="M61" i="10"/>
  <c r="C61" i="10"/>
  <c r="C91" i="9"/>
  <c r="K91" i="9" s="1"/>
  <c r="M91" i="9"/>
  <c r="M89" i="9" s="1"/>
  <c r="C93" i="9"/>
  <c r="K93" i="9" s="1"/>
  <c r="M93" i="9"/>
  <c r="C95" i="9"/>
  <c r="K95" i="9" s="1"/>
  <c r="M95" i="9"/>
  <c r="C97" i="9"/>
  <c r="K97" i="9" s="1"/>
  <c r="M97" i="9"/>
  <c r="C99" i="9"/>
  <c r="K99" i="9" s="1"/>
  <c r="M99" i="9"/>
  <c r="C101" i="9"/>
  <c r="K101" i="9" s="1"/>
  <c r="M101" i="9"/>
  <c r="C103" i="9"/>
  <c r="K103" i="9" s="1"/>
  <c r="M103" i="9"/>
  <c r="C105" i="9"/>
  <c r="K105" i="9" s="1"/>
  <c r="M105" i="9"/>
  <c r="Z13" i="10"/>
  <c r="Z8" i="10" s="1"/>
  <c r="Z7" i="10" s="1"/>
  <c r="C29" i="10"/>
  <c r="K29" i="10" s="1"/>
  <c r="M29" i="10"/>
  <c r="J32" i="10"/>
  <c r="L31" i="10"/>
  <c r="C53" i="10"/>
  <c r="K53" i="10" s="1"/>
  <c r="D52" i="10"/>
  <c r="M53" i="10"/>
  <c r="D52" i="9"/>
  <c r="C90" i="9"/>
  <c r="C92" i="9"/>
  <c r="K92" i="9" s="1"/>
  <c r="C94" i="9"/>
  <c r="K94" i="9" s="1"/>
  <c r="C96" i="9"/>
  <c r="K96" i="9" s="1"/>
  <c r="C98" i="9"/>
  <c r="K98" i="9" s="1"/>
  <c r="C100" i="9"/>
  <c r="K100" i="9" s="1"/>
  <c r="C102" i="9"/>
  <c r="K102" i="9" s="1"/>
  <c r="C104" i="9"/>
  <c r="K104" i="9" s="1"/>
  <c r="M106" i="9"/>
  <c r="C106" i="9"/>
  <c r="K106" i="9" s="1"/>
  <c r="O13" i="10"/>
  <c r="U13" i="10"/>
  <c r="AA13" i="10"/>
  <c r="AA8" i="10" s="1"/>
  <c r="AA7" i="10" s="1"/>
  <c r="T16" i="10"/>
  <c r="D41" i="10"/>
  <c r="Q49" i="10"/>
  <c r="I31" i="10"/>
  <c r="W55" i="10"/>
  <c r="U52" i="10"/>
  <c r="W52" i="10" s="1"/>
  <c r="M70" i="10"/>
  <c r="C70" i="10"/>
  <c r="K70" i="10" s="1"/>
  <c r="R52" i="9"/>
  <c r="T52" i="9" s="1"/>
  <c r="J18" i="10"/>
  <c r="K18" i="10" s="1"/>
  <c r="W20" i="10"/>
  <c r="M30" i="10"/>
  <c r="C30" i="10"/>
  <c r="K30" i="10" s="1"/>
  <c r="M33" i="10"/>
  <c r="C33" i="10"/>
  <c r="K33" i="10" s="1"/>
  <c r="U31" i="10"/>
  <c r="W39" i="10"/>
  <c r="M42" i="10"/>
  <c r="C42" i="10"/>
  <c r="K42" i="10" s="1"/>
  <c r="P77" i="10"/>
  <c r="G74" i="10"/>
  <c r="P74" i="10" s="1"/>
  <c r="L89" i="9"/>
  <c r="L10" i="9" s="1"/>
  <c r="H9" i="10"/>
  <c r="H13" i="10"/>
  <c r="D15" i="10"/>
  <c r="J15" i="10"/>
  <c r="N26" i="10"/>
  <c r="G31" i="10"/>
  <c r="P31" i="10" s="1"/>
  <c r="C49" i="10"/>
  <c r="K49" i="10" s="1"/>
  <c r="J49" i="10"/>
  <c r="G52" i="10"/>
  <c r="P52" i="10" s="1"/>
  <c r="E52" i="10"/>
  <c r="N52" i="10"/>
  <c r="C60" i="10"/>
  <c r="K60" i="10" s="1"/>
  <c r="M60" i="10"/>
  <c r="C69" i="10"/>
  <c r="K69" i="10" s="1"/>
  <c r="M69" i="10"/>
  <c r="D75" i="10"/>
  <c r="E74" i="10"/>
  <c r="C84" i="10"/>
  <c r="K84" i="10" s="1"/>
  <c r="M84" i="10"/>
  <c r="K87" i="10"/>
  <c r="I89" i="10"/>
  <c r="I10" i="10" s="1"/>
  <c r="T8" i="11"/>
  <c r="T7" i="11" s="1"/>
  <c r="H31" i="11"/>
  <c r="N31" i="11" s="1"/>
  <c r="N32" i="11"/>
  <c r="C19" i="10"/>
  <c r="K19" i="10" s="1"/>
  <c r="T23" i="10"/>
  <c r="D25" i="10"/>
  <c r="C27" i="10"/>
  <c r="K27" i="10" s="1"/>
  <c r="N32" i="10"/>
  <c r="V31" i="10"/>
  <c r="V8" i="10" s="1"/>
  <c r="V7" i="10" s="1"/>
  <c r="AB31" i="10"/>
  <c r="AB8" i="10" s="1"/>
  <c r="AB7" i="10" s="1"/>
  <c r="C40" i="10"/>
  <c r="K40" i="10" s="1"/>
  <c r="J40" i="10"/>
  <c r="N41" i="10"/>
  <c r="T50" i="10"/>
  <c r="I52" i="10"/>
  <c r="Q52" i="10" s="1"/>
  <c r="C55" i="10"/>
  <c r="K55" i="10" s="1"/>
  <c r="J55" i="10"/>
  <c r="T62" i="10"/>
  <c r="C64" i="10"/>
  <c r="J64" i="10"/>
  <c r="T71" i="10"/>
  <c r="C73" i="10"/>
  <c r="K73" i="10" s="1"/>
  <c r="J73" i="10"/>
  <c r="U74" i="10"/>
  <c r="W74" i="10" s="1"/>
  <c r="AA74" i="10"/>
  <c r="T77" i="10"/>
  <c r="C79" i="10"/>
  <c r="J79" i="10"/>
  <c r="AB13" i="11"/>
  <c r="AB8" i="11" s="1"/>
  <c r="AB7" i="11" s="1"/>
  <c r="Y37" i="11"/>
  <c r="W31" i="11"/>
  <c r="C38" i="11"/>
  <c r="K38" i="11" s="1"/>
  <c r="M38" i="11"/>
  <c r="J19" i="10"/>
  <c r="C26" i="10"/>
  <c r="K26" i="10" s="1"/>
  <c r="J28" i="10"/>
  <c r="C57" i="10"/>
  <c r="K57" i="10" s="1"/>
  <c r="M57" i="10"/>
  <c r="C62" i="10"/>
  <c r="K62" i="10" s="1"/>
  <c r="C66" i="10"/>
  <c r="K66" i="10" s="1"/>
  <c r="M66" i="10"/>
  <c r="C71" i="10"/>
  <c r="K71" i="10" s="1"/>
  <c r="C77" i="10"/>
  <c r="K77" i="10" s="1"/>
  <c r="C81" i="10"/>
  <c r="K81" i="10" s="1"/>
  <c r="M81" i="10"/>
  <c r="C86" i="10"/>
  <c r="K86" i="10" s="1"/>
  <c r="Q89" i="10"/>
  <c r="M99" i="10"/>
  <c r="C99" i="10"/>
  <c r="K99" i="10" s="1"/>
  <c r="Z13" i="11"/>
  <c r="AC17" i="11"/>
  <c r="D22" i="10"/>
  <c r="T26" i="10"/>
  <c r="D28" i="10"/>
  <c r="D32" i="10"/>
  <c r="J34" i="10"/>
  <c r="J43" i="10"/>
  <c r="T49" i="10"/>
  <c r="M50" i="10"/>
  <c r="W53" i="10"/>
  <c r="V52" i="10"/>
  <c r="C54" i="10"/>
  <c r="K54" i="10" s="1"/>
  <c r="M54" i="10"/>
  <c r="T59" i="10"/>
  <c r="J61" i="10"/>
  <c r="T68" i="10"/>
  <c r="J70" i="10"/>
  <c r="J74" i="10"/>
  <c r="T83" i="10"/>
  <c r="J85" i="10"/>
  <c r="N89" i="10"/>
  <c r="D13" i="11"/>
  <c r="C14" i="11"/>
  <c r="K14" i="11" s="1"/>
  <c r="M14" i="11"/>
  <c r="C20" i="11"/>
  <c r="K20" i="11" s="1"/>
  <c r="M20" i="11"/>
  <c r="C27" i="11"/>
  <c r="K27" i="11" s="1"/>
  <c r="M27" i="11"/>
  <c r="R13" i="10"/>
  <c r="N23" i="10"/>
  <c r="N28" i="10"/>
  <c r="T32" i="10"/>
  <c r="T41" i="10"/>
  <c r="D43" i="10"/>
  <c r="C63" i="10"/>
  <c r="K63" i="10" s="1"/>
  <c r="M63" i="10"/>
  <c r="C72" i="10"/>
  <c r="K72" i="10" s="1"/>
  <c r="M72" i="10"/>
  <c r="I74" i="10"/>
  <c r="Q74" i="10" s="1"/>
  <c r="C78" i="10"/>
  <c r="K78" i="10" s="1"/>
  <c r="M78" i="10"/>
  <c r="J17" i="11"/>
  <c r="K17" i="11" s="1"/>
  <c r="L13" i="11"/>
  <c r="H74" i="10"/>
  <c r="N74" i="10" s="1"/>
  <c r="D76" i="10"/>
  <c r="J76" i="10"/>
  <c r="N86" i="10"/>
  <c r="M90" i="10"/>
  <c r="C92" i="10"/>
  <c r="K92" i="10" s="1"/>
  <c r="J92" i="10"/>
  <c r="M96" i="10"/>
  <c r="C98" i="10"/>
  <c r="K98" i="10" s="1"/>
  <c r="J98" i="10"/>
  <c r="C104" i="10"/>
  <c r="K104" i="10" s="1"/>
  <c r="J104" i="10"/>
  <c r="M17" i="11"/>
  <c r="U19" i="11"/>
  <c r="C22" i="11"/>
  <c r="K22" i="11" s="1"/>
  <c r="M25" i="11"/>
  <c r="C29" i="11"/>
  <c r="K29" i="11" s="1"/>
  <c r="M30" i="11"/>
  <c r="S31" i="11"/>
  <c r="S8" i="11" s="1"/>
  <c r="S7" i="11" s="1"/>
  <c r="C34" i="11"/>
  <c r="K34" i="11" s="1"/>
  <c r="M34" i="11"/>
  <c r="C42" i="11"/>
  <c r="K42" i="11" s="1"/>
  <c r="M42" i="11"/>
  <c r="O74" i="10"/>
  <c r="L89" i="10"/>
  <c r="L10" i="10" s="1"/>
  <c r="N10" i="10" s="1"/>
  <c r="P89" i="10"/>
  <c r="D95" i="10"/>
  <c r="J95" i="10"/>
  <c r="D101" i="10"/>
  <c r="J101" i="10"/>
  <c r="V13" i="11"/>
  <c r="W13" i="11"/>
  <c r="Y15" i="11"/>
  <c r="K16" i="11"/>
  <c r="AC16" i="11"/>
  <c r="Y18" i="11"/>
  <c r="C24" i="11"/>
  <c r="K24" i="11" s="1"/>
  <c r="AC24" i="11"/>
  <c r="E31" i="11"/>
  <c r="E8" i="11" s="1"/>
  <c r="E7" i="11" s="1"/>
  <c r="H74" i="11"/>
  <c r="N74" i="11" s="1"/>
  <c r="N75" i="11"/>
  <c r="G13" i="11"/>
  <c r="C15" i="11"/>
  <c r="K15" i="11" s="1"/>
  <c r="M15" i="11"/>
  <c r="N17" i="11"/>
  <c r="C26" i="11"/>
  <c r="K26" i="11" s="1"/>
  <c r="Y32" i="11"/>
  <c r="V31" i="11"/>
  <c r="Y31" i="11" s="1"/>
  <c r="C33" i="11"/>
  <c r="K33" i="11" s="1"/>
  <c r="D31" i="11"/>
  <c r="C40" i="11"/>
  <c r="K40" i="11" s="1"/>
  <c r="M40" i="11"/>
  <c r="N89" i="11"/>
  <c r="C88" i="10"/>
  <c r="K88" i="10" s="1"/>
  <c r="F89" i="10"/>
  <c r="F10" i="10" s="1"/>
  <c r="F9" i="10" s="1"/>
  <c r="F7" i="10" s="1"/>
  <c r="G9" i="11"/>
  <c r="P9" i="11" s="1"/>
  <c r="P10" i="11"/>
  <c r="H13" i="11"/>
  <c r="P14" i="11"/>
  <c r="C18" i="11"/>
  <c r="K18" i="11" s="1"/>
  <c r="M18" i="11"/>
  <c r="C19" i="11"/>
  <c r="K19" i="11" s="1"/>
  <c r="M19" i="11"/>
  <c r="C23" i="11"/>
  <c r="K23" i="11" s="1"/>
  <c r="C35" i="11"/>
  <c r="K35" i="11" s="1"/>
  <c r="M35" i="11"/>
  <c r="M51" i="11"/>
  <c r="M62" i="11"/>
  <c r="C62" i="11"/>
  <c r="K62" i="11" s="1"/>
  <c r="R74" i="10"/>
  <c r="T74" i="10" s="1"/>
  <c r="M88" i="10"/>
  <c r="J89" i="10"/>
  <c r="M21" i="11"/>
  <c r="M26" i="11"/>
  <c r="AC30" i="11"/>
  <c r="M33" i="11"/>
  <c r="C48" i="11"/>
  <c r="K48" i="11" s="1"/>
  <c r="M48" i="11"/>
  <c r="N14" i="11"/>
  <c r="U15" i="11"/>
  <c r="C43" i="11"/>
  <c r="K43" i="11" s="1"/>
  <c r="C49" i="11"/>
  <c r="K49" i="11" s="1"/>
  <c r="C54" i="11"/>
  <c r="K54" i="11" s="1"/>
  <c r="M54" i="11"/>
  <c r="C60" i="11"/>
  <c r="K60" i="11" s="1"/>
  <c r="M60" i="11"/>
  <c r="H52" i="11"/>
  <c r="N69" i="11"/>
  <c r="J10" i="11"/>
  <c r="I13" i="11"/>
  <c r="O13" i="11"/>
  <c r="AA13" i="11"/>
  <c r="C32" i="11"/>
  <c r="K32" i="11" s="1"/>
  <c r="M43" i="11"/>
  <c r="C46" i="11"/>
  <c r="K46" i="11" s="1"/>
  <c r="M46" i="11"/>
  <c r="M49" i="11"/>
  <c r="O52" i="11"/>
  <c r="C96" i="11"/>
  <c r="K96" i="11" s="1"/>
  <c r="M96" i="11"/>
  <c r="C47" i="11"/>
  <c r="K47" i="11" s="1"/>
  <c r="S52" i="11"/>
  <c r="C58" i="11"/>
  <c r="K58" i="11" s="1"/>
  <c r="M58" i="11"/>
  <c r="C61" i="11"/>
  <c r="K61" i="11" s="1"/>
  <c r="N65" i="11"/>
  <c r="C68" i="11"/>
  <c r="K68" i="11" s="1"/>
  <c r="M68" i="11"/>
  <c r="N95" i="11"/>
  <c r="H89" i="11"/>
  <c r="H10" i="11" s="1"/>
  <c r="R13" i="11"/>
  <c r="Q14" i="11"/>
  <c r="M32" i="11"/>
  <c r="U32" i="11"/>
  <c r="T31" i="11"/>
  <c r="U31" i="11" s="1"/>
  <c r="C36" i="11"/>
  <c r="K36" i="11" s="1"/>
  <c r="M37" i="11"/>
  <c r="M39" i="11"/>
  <c r="M41" i="11"/>
  <c r="C44" i="11"/>
  <c r="K44" i="11" s="1"/>
  <c r="M44" i="11"/>
  <c r="M47" i="11"/>
  <c r="C50" i="11"/>
  <c r="K50" i="11" s="1"/>
  <c r="M50" i="11"/>
  <c r="C53" i="11"/>
  <c r="K53" i="11" s="1"/>
  <c r="L52" i="11"/>
  <c r="C59" i="11"/>
  <c r="K59" i="11" s="1"/>
  <c r="M61" i="11"/>
  <c r="M71" i="11"/>
  <c r="C71" i="11"/>
  <c r="K71" i="11" s="1"/>
  <c r="C102" i="11"/>
  <c r="K102" i="11" s="1"/>
  <c r="M102" i="11"/>
  <c r="C56" i="11"/>
  <c r="K56" i="11" s="1"/>
  <c r="M56" i="11"/>
  <c r="AC75" i="11"/>
  <c r="Z74" i="11"/>
  <c r="AC74" i="11" s="1"/>
  <c r="Q32" i="11"/>
  <c r="E52" i="11"/>
  <c r="M63" i="11"/>
  <c r="M65" i="11"/>
  <c r="N70" i="11"/>
  <c r="C72" i="11"/>
  <c r="K72" i="11" s="1"/>
  <c r="M72" i="11"/>
  <c r="J74" i="11"/>
  <c r="T74" i="11"/>
  <c r="U75" i="11"/>
  <c r="M79" i="11"/>
  <c r="C79" i="11"/>
  <c r="K79" i="11" s="1"/>
  <c r="C80" i="11"/>
  <c r="K80" i="11" s="1"/>
  <c r="M80" i="11"/>
  <c r="M85" i="11"/>
  <c r="C85" i="11"/>
  <c r="K85" i="11" s="1"/>
  <c r="C86" i="11"/>
  <c r="K86" i="11" s="1"/>
  <c r="M86" i="11"/>
  <c r="K95" i="11"/>
  <c r="R52" i="11"/>
  <c r="U52" i="11" s="1"/>
  <c r="D66" i="11"/>
  <c r="C69" i="11"/>
  <c r="J69" i="11"/>
  <c r="Y72" i="11"/>
  <c r="Y80" i="11"/>
  <c r="D90" i="11"/>
  <c r="E89" i="11"/>
  <c r="E10" i="11" s="1"/>
  <c r="E9" i="11" s="1"/>
  <c r="J89" i="11"/>
  <c r="C92" i="11"/>
  <c r="K92" i="11" s="1"/>
  <c r="M92" i="11"/>
  <c r="C98" i="11"/>
  <c r="K98" i="11" s="1"/>
  <c r="M98" i="11"/>
  <c r="C104" i="11"/>
  <c r="K104" i="11" s="1"/>
  <c r="M104" i="11"/>
  <c r="D64" i="11"/>
  <c r="D52" i="11" s="1"/>
  <c r="J64" i="11"/>
  <c r="Y66" i="11"/>
  <c r="AC67" i="11"/>
  <c r="N68" i="11"/>
  <c r="U74" i="11"/>
  <c r="C76" i="11"/>
  <c r="K76" i="11" s="1"/>
  <c r="M76" i="11"/>
  <c r="M81" i="11"/>
  <c r="C81" i="11"/>
  <c r="K81" i="11" s="1"/>
  <c r="C82" i="11"/>
  <c r="K82" i="11" s="1"/>
  <c r="M82" i="11"/>
  <c r="Y86" i="11"/>
  <c r="J67" i="11"/>
  <c r="K67" i="11" s="1"/>
  <c r="C70" i="11"/>
  <c r="K70" i="11" s="1"/>
  <c r="M70" i="11"/>
  <c r="M73" i="11"/>
  <c r="C73" i="11"/>
  <c r="K73" i="11" s="1"/>
  <c r="Y74" i="11"/>
  <c r="M75" i="11"/>
  <c r="D74" i="11"/>
  <c r="C75" i="11"/>
  <c r="K75" i="11" s="1"/>
  <c r="M87" i="11"/>
  <c r="C87" i="11"/>
  <c r="K87" i="11" s="1"/>
  <c r="C88" i="11"/>
  <c r="K88" i="11" s="1"/>
  <c r="M88" i="11"/>
  <c r="P89" i="11"/>
  <c r="Q89" i="11"/>
  <c r="C94" i="11"/>
  <c r="K94" i="11" s="1"/>
  <c r="M94" i="11"/>
  <c r="C100" i="11"/>
  <c r="K100" i="11" s="1"/>
  <c r="M100" i="11"/>
  <c r="C106" i="11"/>
  <c r="K106" i="11" s="1"/>
  <c r="M106" i="11"/>
  <c r="AA52" i="11"/>
  <c r="AC52" i="11" s="1"/>
  <c r="Y62" i="11"/>
  <c r="AC63" i="11"/>
  <c r="AC65" i="11"/>
  <c r="Y70" i="11"/>
  <c r="M77" i="11"/>
  <c r="C77" i="11"/>
  <c r="K77" i="11" s="1"/>
  <c r="C78" i="11"/>
  <c r="K78" i="11" s="1"/>
  <c r="M78" i="11"/>
  <c r="M83" i="11"/>
  <c r="C83" i="11"/>
  <c r="K83" i="11" s="1"/>
  <c r="C84" i="11"/>
  <c r="K84" i="11" s="1"/>
  <c r="M84" i="11"/>
  <c r="C97" i="11"/>
  <c r="K97" i="11" s="1"/>
  <c r="C99" i="11"/>
  <c r="K99" i="11" s="1"/>
  <c r="C101" i="11"/>
  <c r="K101" i="11" s="1"/>
  <c r="C103" i="11"/>
  <c r="K103" i="11" s="1"/>
  <c r="C105" i="11"/>
  <c r="K105" i="11" s="1"/>
  <c r="G74" i="11"/>
  <c r="P74" i="11" s="1"/>
  <c r="Q75" i="11"/>
  <c r="C52" i="7" l="1"/>
  <c r="K52" i="7" s="1"/>
  <c r="M52" i="7"/>
  <c r="AB8" i="7"/>
  <c r="Z8" i="7"/>
  <c r="X7" i="7"/>
  <c r="M52" i="6"/>
  <c r="C52" i="6"/>
  <c r="K52" i="6" s="1"/>
  <c r="C13" i="6"/>
  <c r="M13" i="6"/>
  <c r="M52" i="2"/>
  <c r="C52" i="2"/>
  <c r="K52" i="2" s="1"/>
  <c r="C10" i="10"/>
  <c r="M10" i="10"/>
  <c r="D9" i="10"/>
  <c r="C52" i="11"/>
  <c r="K52" i="11" s="1"/>
  <c r="M52" i="11"/>
  <c r="U13" i="11"/>
  <c r="R8" i="11"/>
  <c r="Y13" i="11"/>
  <c r="V8" i="11"/>
  <c r="C14" i="10"/>
  <c r="K14" i="10" s="1"/>
  <c r="M14" i="10"/>
  <c r="D13" i="10"/>
  <c r="C44" i="9"/>
  <c r="K44" i="9" s="1"/>
  <c r="M44" i="9"/>
  <c r="I9" i="8"/>
  <c r="Q9" i="8" s="1"/>
  <c r="Q10" i="8"/>
  <c r="M37" i="7"/>
  <c r="C37" i="7"/>
  <c r="K37" i="7" s="1"/>
  <c r="M92" i="6"/>
  <c r="C92" i="6"/>
  <c r="K92" i="6" s="1"/>
  <c r="G9" i="7"/>
  <c r="P9" i="7" s="1"/>
  <c r="P10" i="7"/>
  <c r="U13" i="8"/>
  <c r="S8" i="8"/>
  <c r="X13" i="8"/>
  <c r="J10" i="3"/>
  <c r="L9" i="3"/>
  <c r="J9" i="3" s="1"/>
  <c r="M18" i="2"/>
  <c r="C18" i="2"/>
  <c r="K18" i="2" s="1"/>
  <c r="D31" i="2"/>
  <c r="M32" i="2"/>
  <c r="C32" i="2"/>
  <c r="K32" i="2" s="1"/>
  <c r="M31" i="1"/>
  <c r="C31" i="1"/>
  <c r="K31" i="1" s="1"/>
  <c r="P13" i="11"/>
  <c r="G8" i="11"/>
  <c r="M76" i="10"/>
  <c r="C76" i="10"/>
  <c r="K76" i="10" s="1"/>
  <c r="M52" i="9"/>
  <c r="C52" i="9"/>
  <c r="K52" i="9" s="1"/>
  <c r="C34" i="9"/>
  <c r="K34" i="9" s="1"/>
  <c r="M34" i="9"/>
  <c r="M95" i="8"/>
  <c r="C95" i="8"/>
  <c r="K95" i="8" s="1"/>
  <c r="H8" i="9"/>
  <c r="N52" i="9"/>
  <c r="C31" i="8"/>
  <c r="M31" i="8"/>
  <c r="K17" i="8"/>
  <c r="J89" i="6"/>
  <c r="P89" i="7"/>
  <c r="W13" i="7"/>
  <c r="U8" i="7"/>
  <c r="BR74" i="6"/>
  <c r="BP8" i="6"/>
  <c r="C34" i="6"/>
  <c r="K34" i="6" s="1"/>
  <c r="M34" i="6"/>
  <c r="C100" i="5"/>
  <c r="K100" i="5" s="1"/>
  <c r="M100" i="5"/>
  <c r="M60" i="5"/>
  <c r="C60" i="5"/>
  <c r="K60" i="5" s="1"/>
  <c r="M44" i="5"/>
  <c r="C44" i="5"/>
  <c r="K44" i="5" s="1"/>
  <c r="AT8" i="6"/>
  <c r="AR7" i="6"/>
  <c r="AT7" i="6" s="1"/>
  <c r="M65" i="5"/>
  <c r="C65" i="5"/>
  <c r="K65" i="5" s="1"/>
  <c r="L8" i="5"/>
  <c r="J13" i="5"/>
  <c r="C91" i="2"/>
  <c r="K91" i="2" s="1"/>
  <c r="M91" i="2"/>
  <c r="R8" i="3"/>
  <c r="R7" i="3" s="1"/>
  <c r="C73" i="2"/>
  <c r="K73" i="2" s="1"/>
  <c r="M73" i="2"/>
  <c r="M24" i="5"/>
  <c r="C24" i="5"/>
  <c r="K24" i="5" s="1"/>
  <c r="Q8" i="7"/>
  <c r="M19" i="2"/>
  <c r="C19" i="2"/>
  <c r="K19" i="2" s="1"/>
  <c r="M15" i="2"/>
  <c r="C15" i="2"/>
  <c r="K15" i="2" s="1"/>
  <c r="C93" i="2"/>
  <c r="K93" i="2" s="1"/>
  <c r="M93" i="2"/>
  <c r="M89" i="2" s="1"/>
  <c r="V8" i="3"/>
  <c r="S7" i="3"/>
  <c r="V7" i="3" s="1"/>
  <c r="M29" i="2"/>
  <c r="C29" i="2"/>
  <c r="K29" i="2" s="1"/>
  <c r="M96" i="1"/>
  <c r="C96" i="1"/>
  <c r="K96" i="1" s="1"/>
  <c r="C66" i="11"/>
  <c r="K66" i="11" s="1"/>
  <c r="M66" i="11"/>
  <c r="N52" i="11"/>
  <c r="N13" i="11"/>
  <c r="H8" i="11"/>
  <c r="M101" i="10"/>
  <c r="C101" i="10"/>
  <c r="K101" i="10" s="1"/>
  <c r="M22" i="10"/>
  <c r="C22" i="10"/>
  <c r="K22" i="10" s="1"/>
  <c r="M25" i="10"/>
  <c r="C25" i="10"/>
  <c r="K25" i="10" s="1"/>
  <c r="I9" i="10"/>
  <c r="Q9" i="10" s="1"/>
  <c r="Q10" i="10"/>
  <c r="M15" i="10"/>
  <c r="C15" i="10"/>
  <c r="K15" i="10" s="1"/>
  <c r="Q31" i="10"/>
  <c r="I8" i="10"/>
  <c r="O8" i="10"/>
  <c r="O7" i="10" s="1"/>
  <c r="C49" i="9"/>
  <c r="K49" i="9" s="1"/>
  <c r="M49" i="9"/>
  <c r="C28" i="9"/>
  <c r="K28" i="9" s="1"/>
  <c r="M28" i="9"/>
  <c r="N10" i="8"/>
  <c r="H9" i="8"/>
  <c r="P10" i="9"/>
  <c r="G9" i="9"/>
  <c r="C9" i="9" s="1"/>
  <c r="C10" i="9"/>
  <c r="C38" i="9"/>
  <c r="K38" i="9" s="1"/>
  <c r="M38" i="9"/>
  <c r="C20" i="9"/>
  <c r="K20" i="9" s="1"/>
  <c r="M20" i="9"/>
  <c r="J31" i="8"/>
  <c r="M101" i="7"/>
  <c r="C101" i="7"/>
  <c r="K101" i="7" s="1"/>
  <c r="J74" i="8"/>
  <c r="AC8" i="8"/>
  <c r="AC7" i="8" s="1"/>
  <c r="Q13" i="8"/>
  <c r="I8" i="8"/>
  <c r="M95" i="7"/>
  <c r="C95" i="7"/>
  <c r="K95" i="7" s="1"/>
  <c r="D89" i="7"/>
  <c r="D10" i="7" s="1"/>
  <c r="M100" i="7"/>
  <c r="M89" i="7" s="1"/>
  <c r="C100" i="7"/>
  <c r="K100" i="7" s="1"/>
  <c r="L9" i="7"/>
  <c r="J9" i="7" s="1"/>
  <c r="J10" i="7"/>
  <c r="L8" i="7"/>
  <c r="J13" i="7"/>
  <c r="C74" i="9"/>
  <c r="K74" i="9" s="1"/>
  <c r="M74" i="9"/>
  <c r="N13" i="7"/>
  <c r="H8" i="7"/>
  <c r="K39" i="6"/>
  <c r="CD52" i="6"/>
  <c r="K45" i="6"/>
  <c r="C80" i="6"/>
  <c r="K80" i="6" s="1"/>
  <c r="M80" i="6"/>
  <c r="P13" i="5"/>
  <c r="G8" i="5"/>
  <c r="AZ74" i="6"/>
  <c r="AX8" i="6"/>
  <c r="BO52" i="6"/>
  <c r="BI13" i="6"/>
  <c r="BG8" i="6"/>
  <c r="BJ8" i="6"/>
  <c r="U7" i="5"/>
  <c r="W7" i="5" s="1"/>
  <c r="W8" i="5"/>
  <c r="W13" i="6"/>
  <c r="U8" i="6"/>
  <c r="M57" i="5"/>
  <c r="C57" i="5"/>
  <c r="K57" i="5" s="1"/>
  <c r="M41" i="5"/>
  <c r="C41" i="5"/>
  <c r="K41" i="5" s="1"/>
  <c r="M25" i="5"/>
  <c r="C25" i="5"/>
  <c r="K25" i="5" s="1"/>
  <c r="S8" i="6"/>
  <c r="S7" i="6" s="1"/>
  <c r="AT13" i="6"/>
  <c r="C96" i="5"/>
  <c r="K96" i="5" s="1"/>
  <c r="M96" i="5"/>
  <c r="BX52" i="6"/>
  <c r="M56" i="5"/>
  <c r="C56" i="5"/>
  <c r="K56" i="5" s="1"/>
  <c r="C53" i="4"/>
  <c r="K53" i="4" s="1"/>
  <c r="M53" i="4"/>
  <c r="D52" i="4"/>
  <c r="F8" i="3"/>
  <c r="F7" i="3" s="1"/>
  <c r="K29" i="3"/>
  <c r="C76" i="2"/>
  <c r="K76" i="2" s="1"/>
  <c r="M76" i="2"/>
  <c r="C53" i="3"/>
  <c r="K53" i="3" s="1"/>
  <c r="D52" i="3"/>
  <c r="M53" i="3"/>
  <c r="N10" i="2"/>
  <c r="H9" i="2"/>
  <c r="C95" i="3"/>
  <c r="K95" i="3" s="1"/>
  <c r="M95" i="3"/>
  <c r="M89" i="3" s="1"/>
  <c r="AF8" i="3"/>
  <c r="AF7" i="3" s="1"/>
  <c r="M15" i="5"/>
  <c r="C15" i="5"/>
  <c r="K15" i="5" s="1"/>
  <c r="C54" i="3"/>
  <c r="K54" i="3" s="1"/>
  <c r="M54" i="3"/>
  <c r="AE8" i="3"/>
  <c r="AG13" i="3"/>
  <c r="C95" i="2"/>
  <c r="K95" i="2" s="1"/>
  <c r="M95" i="2"/>
  <c r="M67" i="2"/>
  <c r="C67" i="2"/>
  <c r="K67" i="2" s="1"/>
  <c r="P10" i="3"/>
  <c r="G9" i="3"/>
  <c r="P9" i="3" s="1"/>
  <c r="G8" i="3"/>
  <c r="M16" i="2"/>
  <c r="C16" i="2"/>
  <c r="K16" i="2" s="1"/>
  <c r="T52" i="2"/>
  <c r="M33" i="2"/>
  <c r="C33" i="2"/>
  <c r="K33" i="2" s="1"/>
  <c r="Q10" i="1"/>
  <c r="I9" i="1"/>
  <c r="Q9" i="1" s="1"/>
  <c r="N74" i="1"/>
  <c r="H8" i="1"/>
  <c r="U8" i="3"/>
  <c r="U7" i="3" s="1"/>
  <c r="D74" i="2"/>
  <c r="C75" i="2"/>
  <c r="K75" i="2" s="1"/>
  <c r="M75" i="2"/>
  <c r="M26" i="2"/>
  <c r="C26" i="2"/>
  <c r="K26" i="2" s="1"/>
  <c r="M93" i="1"/>
  <c r="C93" i="1"/>
  <c r="K93" i="1" s="1"/>
  <c r="W8" i="1"/>
  <c r="L9" i="10"/>
  <c r="J9" i="10" s="1"/>
  <c r="J10" i="10"/>
  <c r="M43" i="10"/>
  <c r="C43" i="10"/>
  <c r="K43" i="10" s="1"/>
  <c r="M28" i="10"/>
  <c r="C28" i="10"/>
  <c r="K28" i="10" s="1"/>
  <c r="C16" i="9"/>
  <c r="K16" i="9" s="1"/>
  <c r="M16" i="9"/>
  <c r="C26" i="9"/>
  <c r="K26" i="9" s="1"/>
  <c r="M26" i="9"/>
  <c r="C43" i="7"/>
  <c r="K43" i="7" s="1"/>
  <c r="M43" i="7"/>
  <c r="AH8" i="6"/>
  <c r="AH7" i="6" s="1"/>
  <c r="W31" i="6"/>
  <c r="M63" i="5"/>
  <c r="C63" i="5"/>
  <c r="K63" i="5" s="1"/>
  <c r="T13" i="5"/>
  <c r="R8" i="5"/>
  <c r="BC13" i="6"/>
  <c r="BA8" i="6"/>
  <c r="M40" i="5"/>
  <c r="C40" i="5"/>
  <c r="K40" i="5" s="1"/>
  <c r="O8" i="5"/>
  <c r="O7" i="5" s="1"/>
  <c r="C97" i="2"/>
  <c r="K97" i="2" s="1"/>
  <c r="M97" i="2"/>
  <c r="C82" i="2"/>
  <c r="K82" i="2" s="1"/>
  <c r="M82" i="2"/>
  <c r="T8" i="3"/>
  <c r="X13" i="3"/>
  <c r="M62" i="5"/>
  <c r="C62" i="5"/>
  <c r="K62" i="5" s="1"/>
  <c r="C72" i="3"/>
  <c r="K72" i="3" s="1"/>
  <c r="M72" i="3"/>
  <c r="C16" i="3"/>
  <c r="K16" i="3" s="1"/>
  <c r="M16" i="3"/>
  <c r="C17" i="3"/>
  <c r="K17" i="3" s="1"/>
  <c r="M17" i="3"/>
  <c r="C10" i="3"/>
  <c r="M10" i="3"/>
  <c r="D9" i="3"/>
  <c r="D89" i="2"/>
  <c r="D10" i="2" s="1"/>
  <c r="D13" i="2"/>
  <c r="M14" i="2"/>
  <c r="C14" i="2"/>
  <c r="K14" i="2" s="1"/>
  <c r="K69" i="11"/>
  <c r="K64" i="10"/>
  <c r="C75" i="10"/>
  <c r="K75" i="10" s="1"/>
  <c r="D74" i="10"/>
  <c r="M75" i="10"/>
  <c r="G8" i="10"/>
  <c r="P13" i="10"/>
  <c r="M91" i="8"/>
  <c r="M89" i="8" s="1"/>
  <c r="C91" i="8"/>
  <c r="C23" i="9"/>
  <c r="K23" i="9" s="1"/>
  <c r="M23" i="9"/>
  <c r="M54" i="7"/>
  <c r="C54" i="7"/>
  <c r="K54" i="7" s="1"/>
  <c r="N13" i="8"/>
  <c r="H8" i="8"/>
  <c r="AA31" i="8"/>
  <c r="M90" i="6"/>
  <c r="M89" i="6" s="1"/>
  <c r="C90" i="6"/>
  <c r="D89" i="6"/>
  <c r="D10" i="6" s="1"/>
  <c r="M34" i="7"/>
  <c r="C34" i="7"/>
  <c r="K34" i="7" s="1"/>
  <c r="U31" i="8"/>
  <c r="X31" i="8"/>
  <c r="K14" i="7"/>
  <c r="Q10" i="7"/>
  <c r="I9" i="7"/>
  <c r="Q9" i="7" s="1"/>
  <c r="M42" i="6"/>
  <c r="C42" i="6"/>
  <c r="K42" i="6" s="1"/>
  <c r="M74" i="6"/>
  <c r="C74" i="6"/>
  <c r="K74" i="6" s="1"/>
  <c r="AB8" i="6"/>
  <c r="AB7" i="6" s="1"/>
  <c r="K80" i="5"/>
  <c r="M28" i="5"/>
  <c r="C28" i="5"/>
  <c r="K28" i="5" s="1"/>
  <c r="BO13" i="6"/>
  <c r="BM8" i="6"/>
  <c r="K50" i="5"/>
  <c r="C102" i="3"/>
  <c r="K102" i="3" s="1"/>
  <c r="M102" i="3"/>
  <c r="L8" i="4"/>
  <c r="J52" i="4"/>
  <c r="Q10" i="3"/>
  <c r="I9" i="3"/>
  <c r="Q9" i="3" s="1"/>
  <c r="C10" i="4"/>
  <c r="K10" i="4" s="1"/>
  <c r="M10" i="4"/>
  <c r="D9" i="4"/>
  <c r="N9" i="4"/>
  <c r="H7" i="4"/>
  <c r="J8" i="2"/>
  <c r="K101" i="1"/>
  <c r="D74" i="1"/>
  <c r="M75" i="1"/>
  <c r="C75" i="1"/>
  <c r="K75" i="1" s="1"/>
  <c r="C74" i="11"/>
  <c r="K74" i="11" s="1"/>
  <c r="M74" i="11"/>
  <c r="C90" i="11"/>
  <c r="M90" i="11"/>
  <c r="M89" i="11" s="1"/>
  <c r="D89" i="11"/>
  <c r="D10" i="11" s="1"/>
  <c r="J52" i="11"/>
  <c r="AA8" i="11"/>
  <c r="AA7" i="11" s="1"/>
  <c r="L8" i="11"/>
  <c r="J13" i="11"/>
  <c r="H8" i="10"/>
  <c r="N13" i="10"/>
  <c r="C52" i="10"/>
  <c r="K52" i="10" s="1"/>
  <c r="M52" i="10"/>
  <c r="K61" i="10"/>
  <c r="M54" i="9"/>
  <c r="C54" i="9"/>
  <c r="K54" i="9" s="1"/>
  <c r="C46" i="9"/>
  <c r="K46" i="9" s="1"/>
  <c r="M46" i="9"/>
  <c r="C25" i="9"/>
  <c r="K25" i="9" s="1"/>
  <c r="M25" i="9"/>
  <c r="C84" i="8"/>
  <c r="K84" i="8" s="1"/>
  <c r="M84" i="8"/>
  <c r="C35" i="9"/>
  <c r="K35" i="9" s="1"/>
  <c r="M35" i="9"/>
  <c r="C17" i="9"/>
  <c r="K17" i="9" s="1"/>
  <c r="M17" i="9"/>
  <c r="M101" i="8"/>
  <c r="C101" i="8"/>
  <c r="K101" i="8" s="1"/>
  <c r="C78" i="8"/>
  <c r="K78" i="8" s="1"/>
  <c r="M78" i="8"/>
  <c r="K38" i="8"/>
  <c r="J89" i="7"/>
  <c r="AB52" i="7"/>
  <c r="Z52" i="7"/>
  <c r="C46" i="7"/>
  <c r="K46" i="7" s="1"/>
  <c r="M46" i="7"/>
  <c r="C40" i="7"/>
  <c r="K40" i="7" s="1"/>
  <c r="M40" i="7"/>
  <c r="M33" i="7"/>
  <c r="C33" i="7"/>
  <c r="K33" i="7" s="1"/>
  <c r="S8" i="7"/>
  <c r="S7" i="7" s="1"/>
  <c r="M13" i="7"/>
  <c r="C13" i="7"/>
  <c r="K13" i="7" s="1"/>
  <c r="D8" i="7"/>
  <c r="W8" i="8"/>
  <c r="W7" i="8" s="1"/>
  <c r="N74" i="7"/>
  <c r="Z13" i="7"/>
  <c r="G8" i="7"/>
  <c r="P13" i="7"/>
  <c r="G9" i="6"/>
  <c r="P9" i="6" s="1"/>
  <c r="P10" i="6"/>
  <c r="C60" i="6"/>
  <c r="K60" i="6" s="1"/>
  <c r="M60" i="6"/>
  <c r="AT52" i="6"/>
  <c r="AI74" i="6"/>
  <c r="K73" i="6"/>
  <c r="AL13" i="6"/>
  <c r="AJ8" i="6"/>
  <c r="C33" i="6"/>
  <c r="K33" i="6" s="1"/>
  <c r="M33" i="6"/>
  <c r="BE8" i="6"/>
  <c r="BE7" i="6" s="1"/>
  <c r="N52" i="6"/>
  <c r="AL31" i="6"/>
  <c r="C94" i="5"/>
  <c r="K94" i="5" s="1"/>
  <c r="M94" i="5"/>
  <c r="M54" i="5"/>
  <c r="C54" i="5"/>
  <c r="K54" i="5" s="1"/>
  <c r="M38" i="5"/>
  <c r="C38" i="5"/>
  <c r="K38" i="5" s="1"/>
  <c r="M22" i="5"/>
  <c r="C22" i="5"/>
  <c r="K22" i="5" s="1"/>
  <c r="CG13" i="6"/>
  <c r="CE8" i="6"/>
  <c r="BF13" i="6"/>
  <c r="BD8" i="6"/>
  <c r="CB8" i="6"/>
  <c r="C74" i="4"/>
  <c r="K74" i="4" s="1"/>
  <c r="M74" i="4"/>
  <c r="J10" i="5"/>
  <c r="L9" i="5"/>
  <c r="M27" i="5"/>
  <c r="C27" i="5"/>
  <c r="K27" i="5" s="1"/>
  <c r="H9" i="3"/>
  <c r="N10" i="3"/>
  <c r="J13" i="3"/>
  <c r="L8" i="3"/>
  <c r="Q10" i="2"/>
  <c r="I9" i="2"/>
  <c r="Q9" i="2" s="1"/>
  <c r="Y8" i="3"/>
  <c r="AB13" i="3"/>
  <c r="N13" i="3"/>
  <c r="H8" i="3"/>
  <c r="M76" i="1"/>
  <c r="C76" i="1"/>
  <c r="K76" i="1" s="1"/>
  <c r="Z8" i="2"/>
  <c r="X7" i="2"/>
  <c r="Z7" i="2" s="1"/>
  <c r="N8" i="2"/>
  <c r="T52" i="4"/>
  <c r="R8" i="4"/>
  <c r="M30" i="2"/>
  <c r="C30" i="2"/>
  <c r="K30" i="2" s="1"/>
  <c r="M83" i="1"/>
  <c r="C83" i="1"/>
  <c r="K83" i="1" s="1"/>
  <c r="W13" i="2"/>
  <c r="U8" i="2"/>
  <c r="N52" i="3"/>
  <c r="M23" i="2"/>
  <c r="C23" i="2"/>
  <c r="K23" i="2" s="1"/>
  <c r="C13" i="1"/>
  <c r="K13" i="1" s="1"/>
  <c r="M13" i="1"/>
  <c r="M53" i="8"/>
  <c r="D52" i="8"/>
  <c r="C53" i="8"/>
  <c r="K53" i="8" s="1"/>
  <c r="AA13" i="8"/>
  <c r="V8" i="8"/>
  <c r="J10" i="8"/>
  <c r="L9" i="8"/>
  <c r="J9" i="8" s="1"/>
  <c r="C54" i="8"/>
  <c r="K54" i="8" s="1"/>
  <c r="M54" i="8"/>
  <c r="F8" i="8"/>
  <c r="F7" i="8" s="1"/>
  <c r="C13" i="8"/>
  <c r="M13" i="8"/>
  <c r="E8" i="7"/>
  <c r="E7" i="7" s="1"/>
  <c r="M104" i="6"/>
  <c r="C104" i="6"/>
  <c r="K104" i="6" s="1"/>
  <c r="M86" i="6"/>
  <c r="C86" i="6"/>
  <c r="K86" i="6" s="1"/>
  <c r="M74" i="7"/>
  <c r="N10" i="6"/>
  <c r="H9" i="6"/>
  <c r="L9" i="6"/>
  <c r="J9" i="6" s="1"/>
  <c r="J10" i="6"/>
  <c r="AI52" i="6"/>
  <c r="C32" i="6"/>
  <c r="K32" i="6" s="1"/>
  <c r="D31" i="6"/>
  <c r="M32" i="6"/>
  <c r="AC13" i="6"/>
  <c r="AA8" i="6"/>
  <c r="CA13" i="6"/>
  <c r="BY8" i="6"/>
  <c r="AG8" i="6"/>
  <c r="AI13" i="6"/>
  <c r="BS8" i="6"/>
  <c r="AW52" i="6"/>
  <c r="J31" i="6"/>
  <c r="L8" i="6"/>
  <c r="AZ13" i="6"/>
  <c r="AQ13" i="6"/>
  <c r="AO8" i="6"/>
  <c r="K89" i="4"/>
  <c r="Q13" i="6"/>
  <c r="I8" i="6"/>
  <c r="N52" i="5"/>
  <c r="M35" i="5"/>
  <c r="C35" i="5"/>
  <c r="K35" i="5" s="1"/>
  <c r="M19" i="5"/>
  <c r="C19" i="5"/>
  <c r="K19" i="5" s="1"/>
  <c r="J89" i="5"/>
  <c r="M18" i="5"/>
  <c r="C18" i="5"/>
  <c r="K18" i="5" s="1"/>
  <c r="R7" i="6"/>
  <c r="T7" i="6" s="1"/>
  <c r="T8" i="6"/>
  <c r="K34" i="5"/>
  <c r="P13" i="6"/>
  <c r="G8" i="6"/>
  <c r="C77" i="3"/>
  <c r="K77" i="3" s="1"/>
  <c r="M77" i="3"/>
  <c r="C36" i="3"/>
  <c r="K36" i="3" s="1"/>
  <c r="M36" i="3"/>
  <c r="C88" i="2"/>
  <c r="K88" i="2" s="1"/>
  <c r="M88" i="2"/>
  <c r="I8" i="4"/>
  <c r="Q52" i="4"/>
  <c r="M100" i="3"/>
  <c r="C100" i="3"/>
  <c r="K100" i="3" s="1"/>
  <c r="X52" i="3"/>
  <c r="M53" i="5"/>
  <c r="D52" i="5"/>
  <c r="C53" i="5"/>
  <c r="K53" i="5" s="1"/>
  <c r="C84" i="3"/>
  <c r="K84" i="3" s="1"/>
  <c r="M84" i="3"/>
  <c r="AD74" i="3"/>
  <c r="I8" i="3"/>
  <c r="Q13" i="3"/>
  <c r="C86" i="2"/>
  <c r="K86" i="2" s="1"/>
  <c r="M86" i="2"/>
  <c r="M66" i="2"/>
  <c r="C66" i="2"/>
  <c r="K66" i="2" s="1"/>
  <c r="K46" i="5"/>
  <c r="M72" i="1"/>
  <c r="C72" i="1"/>
  <c r="K72" i="1" s="1"/>
  <c r="D52" i="1"/>
  <c r="K33" i="3"/>
  <c r="M34" i="2"/>
  <c r="C34" i="2"/>
  <c r="K34" i="2" s="1"/>
  <c r="M95" i="1"/>
  <c r="C95" i="1"/>
  <c r="K95" i="1" s="1"/>
  <c r="X8" i="1"/>
  <c r="X7" i="1" s="1"/>
  <c r="R74" i="1"/>
  <c r="M27" i="2"/>
  <c r="C27" i="2"/>
  <c r="K27" i="2" s="1"/>
  <c r="M81" i="1"/>
  <c r="C81" i="1"/>
  <c r="K81" i="1" s="1"/>
  <c r="D13" i="3"/>
  <c r="Q52" i="2"/>
  <c r="I8" i="2"/>
  <c r="M20" i="2"/>
  <c r="C20" i="2"/>
  <c r="K20" i="2" s="1"/>
  <c r="AL8" i="1"/>
  <c r="AJ7" i="1"/>
  <c r="AL7" i="1" s="1"/>
  <c r="M64" i="11"/>
  <c r="C64" i="11"/>
  <c r="K64" i="11" s="1"/>
  <c r="C13" i="11"/>
  <c r="K13" i="11" s="1"/>
  <c r="M13" i="11"/>
  <c r="D8" i="11"/>
  <c r="C89" i="9"/>
  <c r="K90" i="9"/>
  <c r="K89" i="9" s="1"/>
  <c r="J8" i="10"/>
  <c r="L7" i="10"/>
  <c r="J7" i="10" s="1"/>
  <c r="C37" i="9"/>
  <c r="K37" i="9" s="1"/>
  <c r="M37" i="9"/>
  <c r="M93" i="10"/>
  <c r="C93" i="10"/>
  <c r="T8" i="9"/>
  <c r="R7" i="9"/>
  <c r="T7" i="9" s="1"/>
  <c r="Z8" i="8"/>
  <c r="Z7" i="8" s="1"/>
  <c r="C49" i="7"/>
  <c r="K49" i="7" s="1"/>
  <c r="M49" i="7"/>
  <c r="D31" i="7"/>
  <c r="C55" i="6"/>
  <c r="K55" i="6" s="1"/>
  <c r="M55" i="6"/>
  <c r="C27" i="6"/>
  <c r="K27" i="6" s="1"/>
  <c r="M27" i="6"/>
  <c r="F8" i="6"/>
  <c r="F7" i="6" s="1"/>
  <c r="BK8" i="6"/>
  <c r="BK7" i="6" s="1"/>
  <c r="V8" i="6"/>
  <c r="V7" i="6" s="1"/>
  <c r="M47" i="5"/>
  <c r="C47" i="5"/>
  <c r="K47" i="5" s="1"/>
  <c r="P8" i="4"/>
  <c r="AF13" i="6"/>
  <c r="AD8" i="6"/>
  <c r="P10" i="4"/>
  <c r="G9" i="4"/>
  <c r="P9" i="4" s="1"/>
  <c r="Q13" i="5"/>
  <c r="I8" i="5"/>
  <c r="C79" i="2"/>
  <c r="K79" i="2" s="1"/>
  <c r="M79" i="2"/>
  <c r="C33" i="4"/>
  <c r="K33" i="4" s="1"/>
  <c r="M33" i="4"/>
  <c r="D31" i="4"/>
  <c r="C101" i="2"/>
  <c r="K101" i="2" s="1"/>
  <c r="M101" i="2"/>
  <c r="M68" i="2"/>
  <c r="C68" i="2"/>
  <c r="K68" i="2" s="1"/>
  <c r="T13" i="2"/>
  <c r="R8" i="2"/>
  <c r="M25" i="2"/>
  <c r="C25" i="2"/>
  <c r="K25" i="2" s="1"/>
  <c r="Q74" i="1"/>
  <c r="I8" i="1"/>
  <c r="P52" i="2"/>
  <c r="G8" i="2"/>
  <c r="M91" i="1"/>
  <c r="C91" i="1"/>
  <c r="K91" i="1" s="1"/>
  <c r="M77" i="1"/>
  <c r="C77" i="1"/>
  <c r="K77" i="1" s="1"/>
  <c r="N10" i="11"/>
  <c r="H9" i="11"/>
  <c r="N9" i="11" s="1"/>
  <c r="W13" i="10"/>
  <c r="U8" i="10"/>
  <c r="C41" i="9"/>
  <c r="K41" i="9" s="1"/>
  <c r="M41" i="9"/>
  <c r="U74" i="8"/>
  <c r="X74" i="8"/>
  <c r="L8" i="8"/>
  <c r="J13" i="8"/>
  <c r="K35" i="8"/>
  <c r="AB8" i="8"/>
  <c r="AB7" i="8" s="1"/>
  <c r="C74" i="5"/>
  <c r="K74" i="5" s="1"/>
  <c r="M74" i="5"/>
  <c r="D13" i="5"/>
  <c r="K43" i="5"/>
  <c r="O8" i="11"/>
  <c r="O7" i="11" s="1"/>
  <c r="C31" i="11"/>
  <c r="K31" i="11" s="1"/>
  <c r="M31" i="11"/>
  <c r="M95" i="10"/>
  <c r="C95" i="10"/>
  <c r="K95" i="10" s="1"/>
  <c r="M89" i="10"/>
  <c r="AC13" i="11"/>
  <c r="Z8" i="11"/>
  <c r="C41" i="10"/>
  <c r="K41" i="10" s="1"/>
  <c r="M41" i="10"/>
  <c r="K34" i="10"/>
  <c r="P10" i="8"/>
  <c r="G9" i="8"/>
  <c r="P9" i="8" s="1"/>
  <c r="C43" i="9"/>
  <c r="K43" i="9" s="1"/>
  <c r="M43" i="9"/>
  <c r="C22" i="9"/>
  <c r="K22" i="9" s="1"/>
  <c r="M22" i="9"/>
  <c r="M97" i="8"/>
  <c r="C97" i="8"/>
  <c r="K97" i="8" s="1"/>
  <c r="C50" i="9"/>
  <c r="K50" i="9" s="1"/>
  <c r="M50" i="9"/>
  <c r="D31" i="9"/>
  <c r="C32" i="9"/>
  <c r="K32" i="9" s="1"/>
  <c r="M32" i="9"/>
  <c r="D13" i="9"/>
  <c r="C14" i="9"/>
  <c r="K14" i="9" s="1"/>
  <c r="M14" i="9"/>
  <c r="D89" i="8"/>
  <c r="D10" i="8" s="1"/>
  <c r="I8" i="11"/>
  <c r="Q13" i="11"/>
  <c r="W8" i="11"/>
  <c r="W7" i="11" s="1"/>
  <c r="T13" i="10"/>
  <c r="R8" i="10"/>
  <c r="C32" i="10"/>
  <c r="K32" i="10" s="1"/>
  <c r="D31" i="10"/>
  <c r="M32" i="10"/>
  <c r="K79" i="10"/>
  <c r="J10" i="9"/>
  <c r="L9" i="9"/>
  <c r="N9" i="9" s="1"/>
  <c r="W31" i="10"/>
  <c r="J31" i="10"/>
  <c r="E8" i="10"/>
  <c r="E7" i="10" s="1"/>
  <c r="K85" i="10"/>
  <c r="C87" i="8"/>
  <c r="K87" i="8" s="1"/>
  <c r="M87" i="8"/>
  <c r="C40" i="9"/>
  <c r="K40" i="9" s="1"/>
  <c r="M40" i="9"/>
  <c r="C19" i="9"/>
  <c r="K19" i="9" s="1"/>
  <c r="M19" i="9"/>
  <c r="Q52" i="9"/>
  <c r="I8" i="9"/>
  <c r="C47" i="9"/>
  <c r="K47" i="9" s="1"/>
  <c r="M47" i="9"/>
  <c r="C29" i="9"/>
  <c r="K29" i="9" s="1"/>
  <c r="M29" i="9"/>
  <c r="M77" i="8"/>
  <c r="D74" i="8"/>
  <c r="C77" i="8"/>
  <c r="K77" i="8" s="1"/>
  <c r="O8" i="8"/>
  <c r="O7" i="8" s="1"/>
  <c r="N10" i="7"/>
  <c r="H9" i="7"/>
  <c r="M93" i="8"/>
  <c r="C93" i="8"/>
  <c r="K93" i="8" s="1"/>
  <c r="G8" i="8"/>
  <c r="J89" i="8"/>
  <c r="AD52" i="8"/>
  <c r="E8" i="8"/>
  <c r="E7" i="8" s="1"/>
  <c r="Z74" i="7"/>
  <c r="AB74" i="7"/>
  <c r="C89" i="7"/>
  <c r="K90" i="7"/>
  <c r="K89" i="7" s="1"/>
  <c r="M102" i="6"/>
  <c r="C102" i="6"/>
  <c r="K102" i="6" s="1"/>
  <c r="Y8" i="8"/>
  <c r="K74" i="7"/>
  <c r="T13" i="7"/>
  <c r="R8" i="7"/>
  <c r="I9" i="6"/>
  <c r="Q9" i="6" s="1"/>
  <c r="Q10" i="6"/>
  <c r="K25" i="7"/>
  <c r="AC52" i="6"/>
  <c r="BF52" i="6"/>
  <c r="K87" i="6"/>
  <c r="AP8" i="6"/>
  <c r="AP7" i="6" s="1"/>
  <c r="BZ8" i="6"/>
  <c r="BZ7" i="6" s="1"/>
  <c r="J13" i="6"/>
  <c r="CF8" i="6"/>
  <c r="CF7" i="6" s="1"/>
  <c r="C89" i="4"/>
  <c r="BQ8" i="6"/>
  <c r="BQ7" i="6" s="1"/>
  <c r="M66" i="5"/>
  <c r="C66" i="5"/>
  <c r="K66" i="5" s="1"/>
  <c r="M32" i="5"/>
  <c r="D31" i="5"/>
  <c r="C32" i="5"/>
  <c r="K32" i="5" s="1"/>
  <c r="M16" i="5"/>
  <c r="C16" i="5"/>
  <c r="K16" i="5" s="1"/>
  <c r="N31" i="6"/>
  <c r="BX13" i="6"/>
  <c r="BV8" i="6"/>
  <c r="AW13" i="6"/>
  <c r="AU8" i="6"/>
  <c r="P10" i="5"/>
  <c r="G9" i="5"/>
  <c r="P9" i="5" s="1"/>
  <c r="C90" i="5"/>
  <c r="M90" i="5"/>
  <c r="M89" i="5" s="1"/>
  <c r="D89" i="5"/>
  <c r="D10" i="5" s="1"/>
  <c r="N13" i="5"/>
  <c r="C104" i="3"/>
  <c r="K104" i="3" s="1"/>
  <c r="M104" i="3"/>
  <c r="K21" i="5"/>
  <c r="M75" i="3"/>
  <c r="C75" i="3"/>
  <c r="K75" i="3" s="1"/>
  <c r="D74" i="3"/>
  <c r="N31" i="3"/>
  <c r="C103" i="2"/>
  <c r="K103" i="2" s="1"/>
  <c r="M103" i="2"/>
  <c r="C70" i="2"/>
  <c r="K70" i="2" s="1"/>
  <c r="M70" i="2"/>
  <c r="F7" i="5"/>
  <c r="C15" i="4"/>
  <c r="K15" i="4" s="1"/>
  <c r="M15" i="4"/>
  <c r="D13" i="4"/>
  <c r="C30" i="3"/>
  <c r="K30" i="3" s="1"/>
  <c r="M30" i="3"/>
  <c r="C85" i="2"/>
  <c r="K85" i="2" s="1"/>
  <c r="M85" i="2"/>
  <c r="C24" i="3"/>
  <c r="K24" i="3" s="1"/>
  <c r="M24" i="3"/>
  <c r="C80" i="2"/>
  <c r="K80" i="2" s="1"/>
  <c r="M80" i="2"/>
  <c r="M90" i="1"/>
  <c r="M89" i="1" s="1"/>
  <c r="D89" i="1"/>
  <c r="D10" i="1" s="1"/>
  <c r="C90" i="1"/>
  <c r="C89" i="3"/>
  <c r="K90" i="3"/>
  <c r="K89" i="3" s="1"/>
  <c r="C89" i="2"/>
  <c r="K90" i="2"/>
  <c r="K89" i="2" s="1"/>
  <c r="D31" i="3"/>
  <c r="M28" i="2"/>
  <c r="C28" i="2"/>
  <c r="K28" i="2" s="1"/>
  <c r="K104" i="1"/>
  <c r="M92" i="1"/>
  <c r="C92" i="1"/>
  <c r="K92" i="1" s="1"/>
  <c r="J74" i="1"/>
  <c r="L8" i="1"/>
  <c r="M24" i="2"/>
  <c r="C24" i="2"/>
  <c r="K24" i="2" s="1"/>
  <c r="M94" i="1"/>
  <c r="C94" i="1"/>
  <c r="K94" i="1" s="1"/>
  <c r="M79" i="1"/>
  <c r="C79" i="1"/>
  <c r="K79" i="1" s="1"/>
  <c r="O8" i="1"/>
  <c r="O7" i="1" s="1"/>
  <c r="J52" i="1"/>
  <c r="Z8" i="3"/>
  <c r="AD13" i="3"/>
  <c r="J10" i="2"/>
  <c r="L9" i="2"/>
  <c r="J9" i="2" s="1"/>
  <c r="M35" i="2"/>
  <c r="C35" i="2"/>
  <c r="K35" i="2" s="1"/>
  <c r="M17" i="2"/>
  <c r="C17" i="2"/>
  <c r="K17" i="2" s="1"/>
  <c r="T8" i="1"/>
  <c r="T7" i="1" s="1"/>
  <c r="Y8" i="11" l="1"/>
  <c r="V7" i="11"/>
  <c r="Y7" i="11" s="1"/>
  <c r="T8" i="7"/>
  <c r="R7" i="7"/>
  <c r="T7" i="7" s="1"/>
  <c r="BS7" i="6"/>
  <c r="BU7" i="6" s="1"/>
  <c r="BU8" i="6"/>
  <c r="J9" i="5"/>
  <c r="N9" i="5"/>
  <c r="M74" i="1"/>
  <c r="C74" i="1"/>
  <c r="K74" i="1" s="1"/>
  <c r="G7" i="8"/>
  <c r="P7" i="8" s="1"/>
  <c r="P8" i="8"/>
  <c r="AD7" i="6"/>
  <c r="AF7" i="6" s="1"/>
  <c r="AF8" i="6"/>
  <c r="Q8" i="6"/>
  <c r="I7" i="6"/>
  <c r="Q7" i="6" s="1"/>
  <c r="CG8" i="6"/>
  <c r="CE7" i="6"/>
  <c r="CG7" i="6" s="1"/>
  <c r="C89" i="11"/>
  <c r="K90" i="11"/>
  <c r="K89" i="11" s="1"/>
  <c r="C74" i="10"/>
  <c r="K74" i="10" s="1"/>
  <c r="M74" i="10"/>
  <c r="M74" i="8"/>
  <c r="C74" i="8"/>
  <c r="K74" i="8" s="1"/>
  <c r="C10" i="8"/>
  <c r="K10" i="8" s="1"/>
  <c r="M10" i="8"/>
  <c r="D9" i="8"/>
  <c r="C31" i="9"/>
  <c r="K31" i="9" s="1"/>
  <c r="M31" i="9"/>
  <c r="M13" i="5"/>
  <c r="C13" i="5"/>
  <c r="K13" i="5" s="1"/>
  <c r="D8" i="5"/>
  <c r="U7" i="10"/>
  <c r="W7" i="10" s="1"/>
  <c r="W8" i="10"/>
  <c r="M31" i="7"/>
  <c r="C31" i="7"/>
  <c r="K31" i="7" s="1"/>
  <c r="K93" i="10"/>
  <c r="K89" i="10" s="1"/>
  <c r="C89" i="10"/>
  <c r="U74" i="1"/>
  <c r="R8" i="1"/>
  <c r="AI8" i="6"/>
  <c r="AG7" i="6"/>
  <c r="AI7" i="6" s="1"/>
  <c r="M31" i="6"/>
  <c r="C31" i="6"/>
  <c r="K31" i="6" s="1"/>
  <c r="C52" i="8"/>
  <c r="K52" i="8" s="1"/>
  <c r="M52" i="8"/>
  <c r="AB8" i="3"/>
  <c r="Y7" i="3"/>
  <c r="AB7" i="3" s="1"/>
  <c r="N9" i="3"/>
  <c r="G7" i="7"/>
  <c r="P7" i="7" s="1"/>
  <c r="P8" i="7"/>
  <c r="M9" i="9"/>
  <c r="J8" i="11"/>
  <c r="L7" i="11"/>
  <c r="J7" i="11" s="1"/>
  <c r="L7" i="2"/>
  <c r="J7" i="2" s="1"/>
  <c r="H7" i="8"/>
  <c r="N8" i="8"/>
  <c r="K91" i="8"/>
  <c r="K89" i="8" s="1"/>
  <c r="C89" i="8"/>
  <c r="M10" i="2"/>
  <c r="D9" i="2"/>
  <c r="C10" i="2"/>
  <c r="K10" i="2" s="1"/>
  <c r="C74" i="2"/>
  <c r="K74" i="2" s="1"/>
  <c r="M74" i="2"/>
  <c r="C52" i="3"/>
  <c r="K52" i="3" s="1"/>
  <c r="M52" i="3"/>
  <c r="C52" i="4"/>
  <c r="K52" i="4" s="1"/>
  <c r="M52" i="4"/>
  <c r="AZ8" i="6"/>
  <c r="AX7" i="6"/>
  <c r="AZ7" i="6" s="1"/>
  <c r="N9" i="8"/>
  <c r="BR8" i="6"/>
  <c r="BP7" i="6"/>
  <c r="BR7" i="6" s="1"/>
  <c r="C9" i="10"/>
  <c r="K9" i="10" s="1"/>
  <c r="M9" i="10"/>
  <c r="D8" i="6"/>
  <c r="M74" i="3"/>
  <c r="C74" i="3"/>
  <c r="K74" i="3" s="1"/>
  <c r="P8" i="6"/>
  <c r="G7" i="6"/>
  <c r="P7" i="6" s="1"/>
  <c r="M8" i="7"/>
  <c r="C8" i="7"/>
  <c r="K8" i="7" s="1"/>
  <c r="N8" i="9"/>
  <c r="H7" i="9"/>
  <c r="N7" i="9" s="1"/>
  <c r="Z7" i="3"/>
  <c r="AD7" i="3" s="1"/>
  <c r="AD8" i="3"/>
  <c r="M10" i="5"/>
  <c r="C10" i="5"/>
  <c r="K10" i="5" s="1"/>
  <c r="D9" i="5"/>
  <c r="M31" i="10"/>
  <c r="C31" i="10"/>
  <c r="K31" i="10" s="1"/>
  <c r="R7" i="5"/>
  <c r="T7" i="5" s="1"/>
  <c r="T8" i="5"/>
  <c r="L7" i="5"/>
  <c r="J8" i="5"/>
  <c r="N8" i="5"/>
  <c r="K90" i="5"/>
  <c r="K89" i="5" s="1"/>
  <c r="C89" i="5"/>
  <c r="T8" i="10"/>
  <c r="R7" i="10"/>
  <c r="T7" i="10" s="1"/>
  <c r="M13" i="3"/>
  <c r="C13" i="3"/>
  <c r="K13" i="3" s="1"/>
  <c r="D8" i="3"/>
  <c r="CA8" i="6"/>
  <c r="BY7" i="6"/>
  <c r="CA7" i="6" s="1"/>
  <c r="M9" i="3"/>
  <c r="C9" i="3"/>
  <c r="K9" i="3" s="1"/>
  <c r="T7" i="3"/>
  <c r="X7" i="3" s="1"/>
  <c r="X8" i="3"/>
  <c r="AG8" i="3"/>
  <c r="AE7" i="3"/>
  <c r="AG7" i="3" s="1"/>
  <c r="D9" i="7"/>
  <c r="D7" i="7" s="1"/>
  <c r="M10" i="7"/>
  <c r="C10" i="7"/>
  <c r="K10" i="7" s="1"/>
  <c r="I7" i="10"/>
  <c r="Q7" i="10" s="1"/>
  <c r="Q8" i="10"/>
  <c r="H7" i="11"/>
  <c r="N8" i="11"/>
  <c r="I7" i="7"/>
  <c r="Q7" i="7" s="1"/>
  <c r="P8" i="11"/>
  <c r="G7" i="11"/>
  <c r="P7" i="11" s="1"/>
  <c r="M31" i="2"/>
  <c r="C31" i="2"/>
  <c r="K31" i="2" s="1"/>
  <c r="U8" i="8"/>
  <c r="S7" i="8"/>
  <c r="X8" i="8"/>
  <c r="R7" i="11"/>
  <c r="U7" i="11" s="1"/>
  <c r="U8" i="11"/>
  <c r="K13" i="6"/>
  <c r="AW8" i="6"/>
  <c r="AU7" i="6"/>
  <c r="AW7" i="6" s="1"/>
  <c r="I7" i="3"/>
  <c r="Q7" i="3" s="1"/>
  <c r="Q8" i="3"/>
  <c r="AQ8" i="6"/>
  <c r="AO7" i="6"/>
  <c r="AQ7" i="6" s="1"/>
  <c r="N8" i="10"/>
  <c r="H7" i="10"/>
  <c r="N7" i="10" s="1"/>
  <c r="W8" i="6"/>
  <c r="U7" i="6"/>
  <c r="W7" i="6" s="1"/>
  <c r="Q8" i="8"/>
  <c r="I7" i="8"/>
  <c r="Q7" i="8" s="1"/>
  <c r="P9" i="9"/>
  <c r="G7" i="9"/>
  <c r="P7" i="9" s="1"/>
  <c r="I7" i="11"/>
  <c r="Q7" i="11" s="1"/>
  <c r="Q8" i="11"/>
  <c r="Q8" i="2"/>
  <c r="I7" i="2"/>
  <c r="Q7" i="2" s="1"/>
  <c r="L7" i="4"/>
  <c r="J7" i="4" s="1"/>
  <c r="J8" i="4"/>
  <c r="D8" i="2"/>
  <c r="M13" i="2"/>
  <c r="C13" i="2"/>
  <c r="K13" i="2" s="1"/>
  <c r="M31" i="5"/>
  <c r="C31" i="5"/>
  <c r="K31" i="5" s="1"/>
  <c r="C13" i="4"/>
  <c r="K13" i="4" s="1"/>
  <c r="M13" i="4"/>
  <c r="D8" i="4"/>
  <c r="Y7" i="8"/>
  <c r="AD7" i="8" s="1"/>
  <c r="AD8" i="8"/>
  <c r="J9" i="9"/>
  <c r="K9" i="9" s="1"/>
  <c r="L7" i="9"/>
  <c r="J7" i="9" s="1"/>
  <c r="J8" i="8"/>
  <c r="L7" i="8"/>
  <c r="J7" i="8" s="1"/>
  <c r="I7" i="5"/>
  <c r="Q7" i="5" s="1"/>
  <c r="Q8" i="5"/>
  <c r="M52" i="1"/>
  <c r="C52" i="1"/>
  <c r="K52" i="1" s="1"/>
  <c r="L7" i="6"/>
  <c r="J7" i="6" s="1"/>
  <c r="J8" i="6"/>
  <c r="L7" i="1"/>
  <c r="J7" i="1" s="1"/>
  <c r="J8" i="1"/>
  <c r="K90" i="1"/>
  <c r="K89" i="1" s="1"/>
  <c r="C89" i="1"/>
  <c r="N9" i="7"/>
  <c r="N9" i="10"/>
  <c r="P8" i="2"/>
  <c r="G7" i="2"/>
  <c r="P7" i="2" s="1"/>
  <c r="T8" i="2"/>
  <c r="R7" i="2"/>
  <c r="T7" i="2" s="1"/>
  <c r="C31" i="4"/>
  <c r="K31" i="4" s="1"/>
  <c r="M31" i="4"/>
  <c r="G7" i="4"/>
  <c r="P7" i="4" s="1"/>
  <c r="M8" i="11"/>
  <c r="D7" i="11"/>
  <c r="C8" i="11"/>
  <c r="K8" i="11" s="1"/>
  <c r="N8" i="6"/>
  <c r="D8" i="8"/>
  <c r="D8" i="1"/>
  <c r="W8" i="2"/>
  <c r="U7" i="2"/>
  <c r="W7" i="2" s="1"/>
  <c r="T8" i="4"/>
  <c r="R7" i="4"/>
  <c r="T7" i="4" s="1"/>
  <c r="CD8" i="6"/>
  <c r="CB7" i="6"/>
  <c r="CD7" i="6" s="1"/>
  <c r="AJ7" i="6"/>
  <c r="AL7" i="6" s="1"/>
  <c r="AL8" i="6"/>
  <c r="M10" i="6"/>
  <c r="D9" i="6"/>
  <c r="C10" i="6"/>
  <c r="K10" i="6" s="1"/>
  <c r="N8" i="1"/>
  <c r="H7" i="1"/>
  <c r="N7" i="1" s="1"/>
  <c r="BL8" i="6"/>
  <c r="BJ7" i="6"/>
  <c r="BL7" i="6" s="1"/>
  <c r="P8" i="5"/>
  <c r="G7" i="5"/>
  <c r="P7" i="5" s="1"/>
  <c r="J8" i="7"/>
  <c r="L7" i="7"/>
  <c r="J7" i="7" s="1"/>
  <c r="W8" i="7"/>
  <c r="U7" i="7"/>
  <c r="W7" i="7" s="1"/>
  <c r="K31" i="8"/>
  <c r="C13" i="10"/>
  <c r="K13" i="10" s="1"/>
  <c r="D8" i="10"/>
  <c r="M13" i="10"/>
  <c r="K10" i="10"/>
  <c r="Q8" i="1"/>
  <c r="I7" i="1"/>
  <c r="Q7" i="1" s="1"/>
  <c r="Z7" i="7"/>
  <c r="AB7" i="7"/>
  <c r="N9" i="6"/>
  <c r="C9" i="4"/>
  <c r="K9" i="4" s="1"/>
  <c r="M9" i="4"/>
  <c r="P8" i="3"/>
  <c r="G7" i="3"/>
  <c r="P7" i="3" s="1"/>
  <c r="BX8" i="6"/>
  <c r="BV7" i="6"/>
  <c r="BX7" i="6" s="1"/>
  <c r="Q8" i="9"/>
  <c r="I7" i="9"/>
  <c r="Q7" i="9" s="1"/>
  <c r="C31" i="3"/>
  <c r="K31" i="3" s="1"/>
  <c r="M31" i="3"/>
  <c r="C10" i="1"/>
  <c r="K10" i="1" s="1"/>
  <c r="M10" i="1"/>
  <c r="D9" i="1"/>
  <c r="D8" i="9"/>
  <c r="C13" i="9"/>
  <c r="K13" i="9" s="1"/>
  <c r="M13" i="9"/>
  <c r="Z7" i="11"/>
  <c r="AC7" i="11" s="1"/>
  <c r="AC8" i="11"/>
  <c r="M52" i="5"/>
  <c r="C52" i="5"/>
  <c r="K52" i="5" s="1"/>
  <c r="Q8" i="4"/>
  <c r="I7" i="4"/>
  <c r="Q7" i="4" s="1"/>
  <c r="H7" i="6"/>
  <c r="AC8" i="6"/>
  <c r="AA7" i="6"/>
  <c r="AC7" i="6" s="1"/>
  <c r="K13" i="8"/>
  <c r="AA8" i="8"/>
  <c r="V7" i="8"/>
  <c r="AA7" i="8" s="1"/>
  <c r="N8" i="3"/>
  <c r="H7" i="3"/>
  <c r="L7" i="3"/>
  <c r="J7" i="3" s="1"/>
  <c r="J8" i="3"/>
  <c r="BF8" i="6"/>
  <c r="BD7" i="6"/>
  <c r="BF7" i="6" s="1"/>
  <c r="C10" i="11"/>
  <c r="K10" i="11" s="1"/>
  <c r="D9" i="11"/>
  <c r="M10" i="11"/>
  <c r="N7" i="4"/>
  <c r="BO8" i="6"/>
  <c r="BM7" i="6"/>
  <c r="BO7" i="6" s="1"/>
  <c r="K90" i="6"/>
  <c r="K89" i="6" s="1"/>
  <c r="C89" i="6"/>
  <c r="G7" i="10"/>
  <c r="P7" i="10" s="1"/>
  <c r="P8" i="10"/>
  <c r="K10" i="3"/>
  <c r="BC8" i="6"/>
  <c r="BA7" i="6"/>
  <c r="BC7" i="6" s="1"/>
  <c r="N9" i="2"/>
  <c r="H7" i="2"/>
  <c r="BI8" i="6"/>
  <c r="BG7" i="6"/>
  <c r="BI7" i="6" s="1"/>
  <c r="H7" i="7"/>
  <c r="N8" i="7"/>
  <c r="K10" i="9"/>
  <c r="M7" i="7" l="1"/>
  <c r="C7" i="7"/>
  <c r="K7" i="7" s="1"/>
  <c r="C9" i="6"/>
  <c r="K9" i="6" s="1"/>
  <c r="M9" i="6"/>
  <c r="D7" i="2"/>
  <c r="M8" i="2"/>
  <c r="C8" i="2"/>
  <c r="K8" i="2" s="1"/>
  <c r="N7" i="2"/>
  <c r="C7" i="11"/>
  <c r="K7" i="11" s="1"/>
  <c r="M7" i="11"/>
  <c r="N7" i="3"/>
  <c r="N7" i="11"/>
  <c r="C8" i="6"/>
  <c r="K8" i="6" s="1"/>
  <c r="D7" i="6"/>
  <c r="M8" i="6"/>
  <c r="R7" i="1"/>
  <c r="U7" i="1" s="1"/>
  <c r="U8" i="1"/>
  <c r="N7" i="6"/>
  <c r="D7" i="10"/>
  <c r="M8" i="10"/>
  <c r="C8" i="10"/>
  <c r="K8" i="10" s="1"/>
  <c r="M8" i="1"/>
  <c r="C8" i="1"/>
  <c r="K8" i="1" s="1"/>
  <c r="D7" i="1"/>
  <c r="C9" i="8"/>
  <c r="K9" i="8" s="1"/>
  <c r="M9" i="8"/>
  <c r="M9" i="2"/>
  <c r="C9" i="2"/>
  <c r="K9" i="2" s="1"/>
  <c r="D7" i="9"/>
  <c r="C8" i="9"/>
  <c r="K8" i="9" s="1"/>
  <c r="M8" i="9"/>
  <c r="M9" i="1"/>
  <c r="C9" i="1"/>
  <c r="K9" i="1" s="1"/>
  <c r="C9" i="7"/>
  <c r="K9" i="7" s="1"/>
  <c r="M9" i="7"/>
  <c r="J7" i="5"/>
  <c r="N7" i="5"/>
  <c r="C9" i="11"/>
  <c r="K9" i="11" s="1"/>
  <c r="M9" i="11"/>
  <c r="N7" i="7"/>
  <c r="C8" i="8"/>
  <c r="K8" i="8" s="1"/>
  <c r="M8" i="8"/>
  <c r="D7" i="8"/>
  <c r="C8" i="4"/>
  <c r="K8" i="4" s="1"/>
  <c r="M8" i="4"/>
  <c r="D7" i="4"/>
  <c r="C8" i="3"/>
  <c r="K8" i="3" s="1"/>
  <c r="D7" i="3"/>
  <c r="M8" i="3"/>
  <c r="N7" i="8"/>
  <c r="C8" i="5"/>
  <c r="K8" i="5" s="1"/>
  <c r="D7" i="5"/>
  <c r="M8" i="5"/>
  <c r="X7" i="8"/>
  <c r="U7" i="8"/>
  <c r="C9" i="5"/>
  <c r="K9" i="5" s="1"/>
  <c r="M9" i="5"/>
  <c r="C7" i="5" l="1"/>
  <c r="K7" i="5" s="1"/>
  <c r="M7" i="5"/>
  <c r="C7" i="6"/>
  <c r="K7" i="6" s="1"/>
  <c r="M7" i="6"/>
  <c r="C7" i="3"/>
  <c r="K7" i="3" s="1"/>
  <c r="M7" i="3"/>
  <c r="M7" i="1"/>
  <c r="C7" i="1"/>
  <c r="K7" i="1" s="1"/>
  <c r="M7" i="9"/>
  <c r="C7" i="9"/>
  <c r="K7" i="9" s="1"/>
  <c r="M7" i="2"/>
  <c r="C7" i="2"/>
  <c r="K7" i="2" s="1"/>
  <c r="M7" i="4"/>
  <c r="C7" i="4"/>
  <c r="K7" i="4" s="1"/>
  <c r="M7" i="8"/>
  <c r="C7" i="8"/>
  <c r="K7" i="8" s="1"/>
  <c r="C7" i="10"/>
  <c r="K7" i="10" s="1"/>
  <c r="M7" i="10"/>
</calcChain>
</file>

<file path=xl/sharedStrings.xml><?xml version="1.0" encoding="utf-8"?>
<sst xmlns="http://schemas.openxmlformats.org/spreadsheetml/2006/main" count="1699" uniqueCount="207">
  <si>
    <t>งบประมาณ - ผลการใช้จ่าย และ แผนงาน - ผลการดำเนินงาน ประจำปีงบประมาณ 2567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</si>
  <si>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</si>
  <si>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</si>
  <si>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</si>
  <si>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</si>
  <si>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</si>
  <si>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</si>
  <si>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</si>
  <si>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</si>
  <si>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</si>
  <si>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 ปี 2567</t>
  </si>
  <si>
    <t>แปลงใหญ่ ปี 2566</t>
  </si>
  <si>
    <t>แปลงใหญ่ ปี 2565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</si>
  <si>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</si>
  <si>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</si>
  <si>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</si>
  <si>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</si>
  <si>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</si>
  <si>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</si>
  <si>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</si>
  <si>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</si>
  <si>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</si>
  <si>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</si>
  <si>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</si>
  <si>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</si>
  <si>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</si>
  <si>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</si>
  <si>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</si>
  <si>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</si>
  <si>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</si>
  <si>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</si>
  <si>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รวมทั้งสิ้น (1 + 2 + 3)</t>
  </si>
  <si>
    <t>1. รวม ส.ป.ก.จังหวัด</t>
  </si>
  <si>
    <t>2. รวมส่วนกลาง (2.1+2.2)</t>
  </si>
  <si>
    <t xml:space="preserve">   2.1 สำนัก/กอง/ศูนย์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</si>
  <si>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</si>
  <si>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</si>
  <si>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</si>
  <si>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</si>
  <si>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</si>
  <si>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</si>
  <si>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</si>
  <si>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</si>
  <si>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</si>
  <si>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</si>
  <si>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</si>
  <si>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</si>
  <si>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</si>
  <si>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</si>
  <si>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</si>
  <si>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</si>
  <si>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</si>
  <si>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</si>
  <si>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</si>
  <si>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</si>
  <si>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</si>
  <si>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</si>
  <si>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</si>
  <si>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</si>
  <si>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</si>
  <si>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</si>
  <si>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</si>
  <si>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</si>
  <si>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</si>
  <si>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</si>
  <si>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</si>
  <si>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</si>
  <si>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</si>
  <si>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</si>
  <si>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</si>
  <si>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</si>
  <si>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</si>
  <si>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</si>
  <si>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</si>
  <si>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</si>
  <si>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</si>
  <si>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</si>
  <si>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</si>
  <si>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</si>
  <si>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</si>
  <si>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</si>
  <si>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</si>
  <si>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</si>
  <si>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</si>
  <si>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</si>
  <si>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</si>
  <si>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</si>
  <si>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</si>
  <si>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</si>
  <si>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</si>
  <si>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</si>
  <si>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</si>
  <si>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</si>
  <si>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</si>
  <si>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</si>
  <si>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</si>
  <si>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</si>
  <si>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</si>
  <si>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</si>
  <si>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</si>
  <si>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</si>
  <si>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</si>
  <si>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</si>
  <si>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</si>
  <si>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</si>
  <si>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</si>
  <si>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</si>
  <si>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</si>
  <si>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</si>
  <si>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</si>
  <si>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</si>
  <si>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</si>
  <si>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กตน.</t>
  </si>
  <si>
    <t>กพร.</t>
  </si>
  <si>
    <t>กกจ.</t>
  </si>
  <si>
    <t>สบก.</t>
  </si>
  <si>
    <t>สกม.</t>
  </si>
  <si>
    <t>สวผ.</t>
  </si>
  <si>
    <t>สจก.</t>
  </si>
  <si>
    <t>สบท.</t>
  </si>
  <si>
    <t>สพป.</t>
  </si>
  <si>
    <t>ศทส.</t>
  </si>
  <si>
    <t>สผส.</t>
  </si>
  <si>
    <t>สพท.</t>
  </si>
  <si>
    <t>ศพส.</t>
  </si>
  <si>
    <t>กปร.</t>
  </si>
  <si>
    <t>สำรองนโยบาย</t>
  </si>
  <si>
    <t>รายการบุคลากรภาครัฐ</t>
  </si>
  <si>
    <t>งบบุคลากร (เงินเดือน)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</si>
  <si>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</si>
  <si>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</si>
  <si>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เกษตรกรได้รับการส่งเสริมองค์ความรู้เกี่ยวกับเกษตรทฤษฎีใหม่</t>
  </si>
  <si>
    <t>ไร่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</si>
  <si>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</si>
  <si>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การ
เตรียมการ</t>
  </si>
  <si>
    <t>หลักสูตรที่ 1 การดูแลรักษาโรงอบ ฯ</t>
  </si>
  <si>
    <t>หลักสูตรที่ 2 การแปรรูปสมุนไพรด้วยโรงอบ ฯ</t>
  </si>
  <si>
    <t>จัดทำโรงอบ
(งบลงทุน)</t>
  </si>
  <si>
    <t>กลุ่ม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</si>
  <si>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</si>
  <si>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</si>
  <si>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</si>
  <si>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</si>
  <si>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</si>
  <si>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</si>
  <si>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</si>
  <si>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</si>
  <si>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</si>
  <si>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</si>
  <si>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</si>
  <si>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</si>
  <si>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</si>
  <si>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</si>
  <si>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</si>
  <si>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</si>
  <si>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</si>
  <si>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</si>
  <si>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อบรม</t>
  </si>
  <si>
    <t>สนับสนุนวัสดุการเกษตร</t>
  </si>
  <si>
    <t>ฝึกอบรมเด็กและเยาวชน</t>
  </si>
  <si>
    <t>งบประมาณ
ค่าใช้จ่ายในการบริหารงาน</t>
  </si>
  <si>
    <t>งบประมาณ
ค่าใช้จ่ายในการปฏิบัติงาน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</si>
  <si>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</si>
  <si>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</si>
  <si>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</si>
  <si>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บริหารโครงการ</t>
  </si>
  <si>
    <t>งบประมาณ
ค่าเบี้ยเลี้ยง/ที่พัก/พาหนะ</t>
  </si>
  <si>
    <t>งบประมาณ
ค่าวัสดุการเกษตร</t>
  </si>
  <si>
    <t>การฝึกอบรม</t>
  </si>
  <si>
    <t>ได้รับ</t>
  </si>
  <si>
    <t>เบิกจ่าย</t>
  </si>
  <si>
    <t>รวม</t>
  </si>
  <si>
    <t>เบ็ดเสร็จ</t>
  </si>
  <si>
    <t>ต่อเนื่อง</t>
  </si>
  <si>
    <t>ครั้ง</t>
  </si>
  <si>
    <t>โรงเรียน</t>
  </si>
  <si>
    <t>โรงเรียน/ราย</t>
  </si>
  <si>
    <t>กล้า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</si>
  <si>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</si>
  <si>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</si>
  <si>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หลักสูตร แนวทางการเฝ้าระวังการเผาไหม้ฯ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</si>
  <si>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</si>
  <si>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</si>
  <si>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</si>
  <si>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</si>
  <si>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t>ผู้ประกอบการต้นแบบ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</si>
  <si>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</si>
  <si>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</si>
  <si>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</si>
  <si>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</si>
  <si>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</si>
  <si>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ให้บริการเกษตรกรด้านอื่น ๆ</t>
  </si>
  <si>
    <t>ให้บริการรับคำร้องแสดงความประสงค์ขอออกโฉนดเพื่อการเกษตร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</si>
  <si>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</si>
  <si>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</si>
  <si>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จากระบบออนไลน์</t>
  </si>
  <si>
    <t>จากการออกรับบริการร่วมกับหน่วยงานภายนอกอื่น ๆ</t>
  </si>
  <si>
    <t xml:space="preserve"> เจ้าหน้าที่ยังไม่ได้รับเรื่อง</t>
  </si>
  <si>
    <t>อยู่ระหว่างตรวจสอบตามขั้นตอนออกโฉนด (ขั้นตอน 1-10)</t>
  </si>
  <si>
    <t>ผู้มารับบริการ</t>
  </si>
  <si>
    <t>ตำบล</t>
  </si>
  <si>
    <t>กิจกรรมจัดที่ดิน</t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</si>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</sst>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19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b/>
      <sz val="14"/>
      <color theme="1"/>
      <name val="Tahoma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000000"/>
      <name val="Arial"/>
    </font>
    <font>
      <b/>
      <sz val="15"/>
      <color rgb="FFFF0000"/>
      <name val="Arial"/>
    </font>
  </fonts>
  <fills count="29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rgb="FFB7B7B7"/>
        <bgColor rgb="FFB7B7B7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DEEAF6"/>
        <bgColor rgb="FFDEEAF6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4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3" borderId="32" xfId="0" applyNumberFormat="1" applyFont="1" applyFill="1" applyBorder="1" applyAlignment="1">
      <alignment horizontal="center" vertical="center" shrinkToFit="1"/>
    </xf>
    <xf numFmtId="188" fontId="1" fillId="13" borderId="32" xfId="0" applyNumberFormat="1" applyFont="1" applyFill="1" applyBorder="1" applyAlignment="1">
      <alignment horizontal="center" vertical="center" shrinkToFit="1"/>
    </xf>
    <xf numFmtId="188" fontId="4" fillId="13" borderId="32" xfId="0" applyNumberFormat="1" applyFont="1" applyFill="1" applyBorder="1" applyAlignment="1">
      <alignment horizontal="center" vertical="center" shrinkToFit="1"/>
    </xf>
    <xf numFmtId="188" fontId="4" fillId="13" borderId="31" xfId="0" applyNumberFormat="1" applyFont="1" applyFill="1" applyBorder="1" applyAlignment="1">
      <alignment horizontal="center" vertical="center" shrinkToFit="1"/>
    </xf>
    <xf numFmtId="189" fontId="1" fillId="13" borderId="31" xfId="0" applyNumberFormat="1" applyFont="1" applyFill="1" applyBorder="1" applyAlignment="1">
      <alignment horizontal="center" vertical="center" shrinkToFi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10" xfId="0" applyNumberFormat="1" applyFont="1" applyFill="1" applyBorder="1" applyAlignment="1">
      <alignment vertical="center" shrinkToFit="1"/>
    </xf>
    <xf numFmtId="190" fontId="1" fillId="18" borderId="43" xfId="0" applyNumberFormat="1" applyFont="1" applyFill="1" applyBorder="1" applyAlignment="1">
      <alignment vertical="center" shrinkToFit="1"/>
    </xf>
    <xf numFmtId="188" fontId="1" fillId="18" borderId="43" xfId="0" applyNumberFormat="1" applyFont="1" applyFill="1" applyBorder="1" applyAlignment="1">
      <alignment horizontal="right" vertical="center" shrinkToFit="1"/>
    </xf>
    <xf numFmtId="189" fontId="1" fillId="18" borderId="43" xfId="0" applyNumberFormat="1" applyFont="1" applyFill="1" applyBorder="1" applyAlignment="1">
      <alignment horizontal="right" vertical="center" shrinkToFit="1"/>
    </xf>
    <xf numFmtId="187" fontId="1" fillId="18" borderId="44" xfId="0" applyNumberFormat="1" applyFont="1" applyFill="1" applyBorder="1" applyAlignment="1">
      <alignment vertical="center" shrinkToFit="1"/>
    </xf>
    <xf numFmtId="188" fontId="1" fillId="18" borderId="44" xfId="0" applyNumberFormat="1" applyFont="1" applyFill="1" applyBorder="1" applyAlignment="1">
      <alignment horizontal="right" vertical="center" shrinkToFit="1"/>
    </xf>
    <xf numFmtId="0" fontId="1" fillId="18" borderId="42" xfId="0" applyFont="1" applyFill="1" applyBorder="1" applyAlignment="1">
      <alignment horizontal="left" vertical="center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5" fillId="0" borderId="51" xfId="0" applyFont="1" applyBorder="1" applyAlignment="1"/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54" xfId="0" applyFont="1" applyBorder="1" applyAlignment="1"/>
    <xf numFmtId="0" fontId="5" fillId="19" borderId="54" xfId="0" applyFont="1" applyFill="1" applyBorder="1" applyAlignment="1"/>
    <xf numFmtId="0" fontId="1" fillId="0" borderId="55" xfId="0" applyFont="1" applyBorder="1" applyAlignment="1">
      <alignment horizontal="center" vertical="center"/>
    </xf>
    <xf numFmtId="0" fontId="5" fillId="19" borderId="57" xfId="0" applyFont="1" applyFill="1" applyBorder="1" applyAlignment="1"/>
    <xf numFmtId="0" fontId="1" fillId="19" borderId="0" xfId="0" applyFont="1" applyFill="1" applyAlignment="1"/>
    <xf numFmtId="0" fontId="1" fillId="19" borderId="0" xfId="0" applyFont="1" applyFill="1"/>
    <xf numFmtId="0" fontId="6" fillId="0" borderId="0" xfId="0" applyFont="1"/>
    <xf numFmtId="188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7" fillId="0" borderId="19" xfId="0" applyFont="1" applyBorder="1" applyAlignment="1"/>
    <xf numFmtId="187" fontId="7" fillId="0" borderId="19" xfId="0" applyNumberFormat="1" applyFont="1" applyBorder="1" applyAlignment="1"/>
    <xf numFmtId="188" fontId="7" fillId="0" borderId="19" xfId="0" applyNumberFormat="1" applyFont="1" applyBorder="1"/>
    <xf numFmtId="189" fontId="7" fillId="0" borderId="19" xfId="0" applyNumberFormat="1" applyFont="1" applyBorder="1"/>
    <xf numFmtId="187" fontId="8" fillId="20" borderId="24" xfId="0" applyNumberFormat="1" applyFont="1" applyFill="1" applyBorder="1" applyAlignment="1">
      <alignment horizontal="center"/>
    </xf>
    <xf numFmtId="187" fontId="8" fillId="14" borderId="20" xfId="0" applyNumberFormat="1" applyFont="1" applyFill="1" applyBorder="1" applyAlignment="1">
      <alignment horizontal="center" wrapText="1"/>
    </xf>
    <xf numFmtId="187" fontId="7" fillId="20" borderId="62" xfId="0" applyNumberFormat="1" applyFont="1" applyFill="1" applyBorder="1" applyAlignment="1">
      <alignment vertical="top"/>
    </xf>
    <xf numFmtId="187" fontId="8" fillId="19" borderId="62" xfId="0" applyNumberFormat="1" applyFont="1" applyFill="1" applyBorder="1" applyAlignment="1">
      <alignment horizontal="center" vertical="top"/>
    </xf>
    <xf numFmtId="188" fontId="8" fillId="19" borderId="62" xfId="0" applyNumberFormat="1" applyFont="1" applyFill="1" applyBorder="1" applyAlignment="1">
      <alignment horizontal="center" vertical="top"/>
    </xf>
    <xf numFmtId="188" fontId="10" fillId="19" borderId="62" xfId="0" applyNumberFormat="1" applyFont="1" applyFill="1" applyBorder="1" applyAlignment="1">
      <alignment horizontal="center" vertical="top"/>
    </xf>
    <xf numFmtId="189" fontId="8" fillId="19" borderId="62" xfId="0" applyNumberFormat="1" applyFont="1" applyFill="1" applyBorder="1" applyAlignment="1">
      <alignment horizontal="center" vertical="top"/>
    </xf>
    <xf numFmtId="187" fontId="8" fillId="14" borderId="62" xfId="0" applyNumberFormat="1" applyFont="1" applyFill="1" applyBorder="1" applyAlignment="1">
      <alignment horizontal="center" vertical="top"/>
    </xf>
    <xf numFmtId="187" fontId="8" fillId="2" borderId="62" xfId="0" applyNumberFormat="1" applyFont="1" applyFill="1" applyBorder="1" applyAlignment="1">
      <alignment horizontal="center" vertical="top"/>
    </xf>
    <xf numFmtId="187" fontId="8" fillId="14" borderId="62" xfId="0" applyNumberFormat="1" applyFont="1" applyFill="1" applyBorder="1" applyAlignment="1">
      <alignment horizontal="center" vertical="top"/>
    </xf>
    <xf numFmtId="187" fontId="8" fillId="2" borderId="62" xfId="0" applyNumberFormat="1" applyFont="1" applyFill="1" applyBorder="1" applyAlignment="1">
      <alignment horizontal="center" vertical="top"/>
    </xf>
    <xf numFmtId="187" fontId="8" fillId="9" borderId="62" xfId="0" applyNumberFormat="1" applyFont="1" applyFill="1" applyBorder="1" applyAlignment="1">
      <alignment horizontal="center"/>
    </xf>
    <xf numFmtId="187" fontId="8" fillId="6" borderId="62" xfId="0" applyNumberFormat="1" applyFont="1" applyFill="1" applyBorder="1" applyAlignment="1">
      <alignment horizontal="center"/>
    </xf>
    <xf numFmtId="187" fontId="8" fillId="10" borderId="62" xfId="0" applyNumberFormat="1" applyFont="1" applyFill="1" applyBorder="1" applyAlignment="1">
      <alignment horizontal="center"/>
    </xf>
    <xf numFmtId="187" fontId="8" fillId="11" borderId="62" xfId="0" applyNumberFormat="1" applyFont="1" applyFill="1" applyBorder="1" applyAlignment="1">
      <alignment horizontal="center"/>
    </xf>
    <xf numFmtId="187" fontId="8" fillId="15" borderId="62" xfId="0" applyNumberFormat="1" applyFont="1" applyFill="1" applyBorder="1" applyAlignment="1">
      <alignment horizontal="center"/>
    </xf>
    <xf numFmtId="187" fontId="8" fillId="20" borderId="62" xfId="0" applyNumberFormat="1" applyFont="1" applyFill="1" applyBorder="1" applyAlignment="1">
      <alignment horizontal="center"/>
    </xf>
    <xf numFmtId="187" fontId="8" fillId="16" borderId="62" xfId="0" applyNumberFormat="1" applyFont="1" applyFill="1" applyBorder="1" applyAlignment="1">
      <alignment horizontal="center"/>
    </xf>
    <xf numFmtId="190" fontId="8" fillId="16" borderId="62" xfId="0" applyNumberFormat="1" applyFont="1" applyFill="1" applyBorder="1" applyAlignment="1">
      <alignment horizontal="center"/>
    </xf>
    <xf numFmtId="188" fontId="8" fillId="16" borderId="62" xfId="0" applyNumberFormat="1" applyFont="1" applyFill="1" applyBorder="1" applyAlignment="1">
      <alignment horizontal="right"/>
    </xf>
    <xf numFmtId="189" fontId="8" fillId="16" borderId="62" xfId="0" applyNumberFormat="1" applyFont="1" applyFill="1" applyBorder="1" applyAlignment="1">
      <alignment horizontal="right"/>
    </xf>
    <xf numFmtId="187" fontId="8" fillId="2" borderId="62" xfId="0" applyNumberFormat="1" applyFont="1" applyFill="1" applyBorder="1" applyAlignment="1">
      <alignment horizontal="center"/>
    </xf>
    <xf numFmtId="0" fontId="8" fillId="8" borderId="65" xfId="0" applyFont="1" applyFill="1" applyBorder="1" applyAlignment="1"/>
    <xf numFmtId="0" fontId="7" fillId="8" borderId="19" xfId="0" applyFont="1" applyFill="1" applyBorder="1"/>
    <xf numFmtId="187" fontId="8" fillId="8" borderId="20" xfId="0" applyNumberFormat="1" applyFont="1" applyFill="1" applyBorder="1" applyAlignment="1">
      <alignment horizontal="right"/>
    </xf>
    <xf numFmtId="190" fontId="8" fillId="8" borderId="20" xfId="0" applyNumberFormat="1" applyFont="1" applyFill="1" applyBorder="1" applyAlignment="1">
      <alignment horizontal="right"/>
    </xf>
    <xf numFmtId="188" fontId="8" fillId="8" borderId="20" xfId="0" applyNumberFormat="1" applyFont="1" applyFill="1" applyBorder="1" applyAlignment="1">
      <alignment horizontal="right"/>
    </xf>
    <xf numFmtId="189" fontId="8" fillId="8" borderId="20" xfId="0" applyNumberFormat="1" applyFont="1" applyFill="1" applyBorder="1" applyAlignment="1">
      <alignment horizontal="right"/>
    </xf>
    <xf numFmtId="0" fontId="8" fillId="17" borderId="65" xfId="0" applyFont="1" applyFill="1" applyBorder="1" applyAlignment="1"/>
    <xf numFmtId="0" fontId="7" fillId="17" borderId="19" xfId="0" applyFont="1" applyFill="1" applyBorder="1"/>
    <xf numFmtId="187" fontId="8" fillId="17" borderId="20" xfId="0" applyNumberFormat="1" applyFont="1" applyFill="1" applyBorder="1" applyAlignment="1">
      <alignment horizontal="right"/>
    </xf>
    <xf numFmtId="190" fontId="8" fillId="17" borderId="20" xfId="0" applyNumberFormat="1" applyFont="1" applyFill="1" applyBorder="1" applyAlignment="1">
      <alignment horizontal="right"/>
    </xf>
    <xf numFmtId="188" fontId="8" fillId="17" borderId="20" xfId="0" applyNumberFormat="1" applyFont="1" applyFill="1" applyBorder="1" applyAlignment="1">
      <alignment horizontal="right"/>
    </xf>
    <xf numFmtId="189" fontId="8" fillId="17" borderId="20" xfId="0" applyNumberFormat="1" applyFont="1" applyFill="1" applyBorder="1" applyAlignment="1">
      <alignment horizontal="right"/>
    </xf>
    <xf numFmtId="0" fontId="8" fillId="18" borderId="65" xfId="0" applyFont="1" applyFill="1" applyBorder="1" applyAlignment="1"/>
    <xf numFmtId="0" fontId="7" fillId="18" borderId="19" xfId="0" applyFont="1" applyFill="1" applyBorder="1"/>
    <xf numFmtId="187" fontId="8" fillId="18" borderId="20" xfId="0" applyNumberFormat="1" applyFont="1" applyFill="1" applyBorder="1" applyAlignment="1">
      <alignment horizontal="right"/>
    </xf>
    <xf numFmtId="190" fontId="8" fillId="18" borderId="20" xfId="0" applyNumberFormat="1" applyFont="1" applyFill="1" applyBorder="1" applyAlignment="1">
      <alignment horizontal="right"/>
    </xf>
    <xf numFmtId="188" fontId="8" fillId="18" borderId="20" xfId="0" applyNumberFormat="1" applyFont="1" applyFill="1" applyBorder="1" applyAlignment="1">
      <alignment horizontal="right"/>
    </xf>
    <xf numFmtId="189" fontId="8" fillId="18" borderId="20" xfId="0" applyNumberFormat="1" applyFont="1" applyFill="1" applyBorder="1" applyAlignment="1">
      <alignment horizontal="right"/>
    </xf>
    <xf numFmtId="0" fontId="8" fillId="18" borderId="65" xfId="0" applyFont="1" applyFill="1" applyBorder="1" applyAlignment="1"/>
    <xf numFmtId="0" fontId="7" fillId="18" borderId="20" xfId="0" applyFont="1" applyFill="1" applyBorder="1"/>
    <xf numFmtId="0" fontId="8" fillId="0" borderId="67" xfId="0" applyFont="1" applyBorder="1" applyAlignment="1">
      <alignment horizontal="center"/>
    </xf>
    <xf numFmtId="0" fontId="8" fillId="0" borderId="68" xfId="0" applyFont="1" applyBorder="1"/>
    <xf numFmtId="187" fontId="8" fillId="9" borderId="68" xfId="0" applyNumberFormat="1" applyFont="1" applyFill="1" applyBorder="1" applyAlignment="1">
      <alignment horizontal="right"/>
    </xf>
    <xf numFmtId="187" fontId="8" fillId="6" borderId="68" xfId="0" applyNumberFormat="1" applyFont="1" applyFill="1" applyBorder="1" applyAlignment="1">
      <alignment horizontal="right"/>
    </xf>
    <xf numFmtId="187" fontId="8" fillId="0" borderId="68" xfId="0" applyNumberFormat="1" applyFont="1" applyBorder="1" applyAlignment="1">
      <alignment horizontal="right"/>
    </xf>
    <xf numFmtId="187" fontId="8" fillId="19" borderId="68" xfId="0" applyNumberFormat="1" applyFont="1" applyFill="1" applyBorder="1" applyAlignment="1">
      <alignment horizontal="right"/>
    </xf>
    <xf numFmtId="190" fontId="8" fillId="19" borderId="68" xfId="0" applyNumberFormat="1" applyFont="1" applyFill="1" applyBorder="1" applyAlignment="1">
      <alignment horizontal="right"/>
    </xf>
    <xf numFmtId="188" fontId="8" fillId="0" borderId="68" xfId="0" applyNumberFormat="1" applyFont="1" applyBorder="1" applyAlignment="1">
      <alignment horizontal="right"/>
    </xf>
    <xf numFmtId="189" fontId="8" fillId="0" borderId="68" xfId="0" applyNumberFormat="1" applyFont="1" applyBorder="1" applyAlignment="1">
      <alignment horizontal="right"/>
    </xf>
    <xf numFmtId="190" fontId="8" fillId="0" borderId="68" xfId="0" applyNumberFormat="1" applyFont="1" applyBorder="1" applyAlignment="1">
      <alignment horizontal="right"/>
    </xf>
    <xf numFmtId="0" fontId="8" fillId="0" borderId="69" xfId="0" applyFont="1" applyBorder="1" applyAlignment="1">
      <alignment horizontal="center"/>
    </xf>
    <xf numFmtId="0" fontId="8" fillId="0" borderId="20" xfId="0" applyFont="1" applyBorder="1"/>
    <xf numFmtId="187" fontId="8" fillId="9" borderId="20" xfId="0" applyNumberFormat="1" applyFont="1" applyFill="1" applyBorder="1" applyAlignment="1">
      <alignment horizontal="right"/>
    </xf>
    <xf numFmtId="187" fontId="8" fillId="6" borderId="20" xfId="0" applyNumberFormat="1" applyFont="1" applyFill="1" applyBorder="1" applyAlignment="1">
      <alignment horizontal="right"/>
    </xf>
    <xf numFmtId="187" fontId="8" fillId="0" borderId="20" xfId="0" applyNumberFormat="1" applyFont="1" applyBorder="1" applyAlignment="1">
      <alignment horizontal="right"/>
    </xf>
    <xf numFmtId="190" fontId="8" fillId="0" borderId="20" xfId="0" applyNumberFormat="1" applyFont="1" applyBorder="1" applyAlignment="1">
      <alignment horizontal="right"/>
    </xf>
    <xf numFmtId="188" fontId="8" fillId="0" borderId="20" xfId="0" applyNumberFormat="1" applyFont="1" applyBorder="1" applyAlignment="1">
      <alignment horizontal="right"/>
    </xf>
    <xf numFmtId="189" fontId="8" fillId="0" borderId="20" xfId="0" applyNumberFormat="1" applyFont="1" applyBorder="1" applyAlignment="1">
      <alignment horizontal="right"/>
    </xf>
    <xf numFmtId="187" fontId="8" fillId="19" borderId="20" xfId="0" applyNumberFormat="1" applyFont="1" applyFill="1" applyBorder="1" applyAlignment="1">
      <alignment horizontal="right"/>
    </xf>
    <xf numFmtId="187" fontId="7" fillId="17" borderId="20" xfId="0" applyNumberFormat="1" applyFont="1" applyFill="1" applyBorder="1"/>
    <xf numFmtId="0" fontId="1" fillId="0" borderId="51" xfId="0" applyFont="1" applyBorder="1" applyAlignment="1">
      <alignment horizontal="center" vertical="center"/>
    </xf>
    <xf numFmtId="187" fontId="8" fillId="9" borderId="70" xfId="0" applyNumberFormat="1" applyFont="1" applyFill="1" applyBorder="1" applyAlignment="1">
      <alignment horizontal="right"/>
    </xf>
    <xf numFmtId="187" fontId="8" fillId="6" borderId="70" xfId="0" applyNumberFormat="1" applyFont="1" applyFill="1" applyBorder="1" applyAlignment="1">
      <alignment horizontal="right"/>
    </xf>
    <xf numFmtId="187" fontId="7" fillId="0" borderId="70" xfId="0" applyNumberFormat="1" applyFont="1" applyBorder="1"/>
    <xf numFmtId="0" fontId="1" fillId="0" borderId="54" xfId="0" applyFont="1" applyBorder="1" applyAlignment="1">
      <alignment horizontal="center" vertical="center"/>
    </xf>
    <xf numFmtId="187" fontId="8" fillId="9" borderId="71" xfId="0" applyNumberFormat="1" applyFont="1" applyFill="1" applyBorder="1" applyAlignment="1">
      <alignment horizontal="right"/>
    </xf>
    <xf numFmtId="187" fontId="8" fillId="6" borderId="71" xfId="0" applyNumberFormat="1" applyFont="1" applyFill="1" applyBorder="1" applyAlignment="1">
      <alignment horizontal="right"/>
    </xf>
    <xf numFmtId="187" fontId="7" fillId="0" borderId="71" xfId="0" applyNumberFormat="1" applyFont="1" applyBorder="1"/>
    <xf numFmtId="0" fontId="1" fillId="0" borderId="57" xfId="0" applyFont="1" applyBorder="1" applyAlignment="1">
      <alignment horizontal="center" vertical="center"/>
    </xf>
    <xf numFmtId="187" fontId="8" fillId="9" borderId="72" xfId="0" applyNumberFormat="1" applyFont="1" applyFill="1" applyBorder="1" applyAlignment="1">
      <alignment horizontal="right"/>
    </xf>
    <xf numFmtId="187" fontId="8" fillId="6" borderId="72" xfId="0" applyNumberFormat="1" applyFont="1" applyFill="1" applyBorder="1" applyAlignment="1">
      <alignment horizontal="right"/>
    </xf>
    <xf numFmtId="0" fontId="7" fillId="0" borderId="0" xfId="0" applyFont="1" applyAlignment="1"/>
    <xf numFmtId="188" fontId="7" fillId="0" borderId="0" xfId="0" applyNumberFormat="1" applyFont="1"/>
    <xf numFmtId="189" fontId="7" fillId="0" borderId="0" xfId="0" applyNumberFormat="1" applyFont="1"/>
    <xf numFmtId="0" fontId="7" fillId="0" borderId="0" xfId="0" applyFont="1" applyAlignment="1"/>
    <xf numFmtId="187" fontId="1" fillId="14" borderId="43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 wrapText="1"/>
    </xf>
    <xf numFmtId="188" fontId="3" fillId="2" borderId="31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8" fillId="20" borderId="43" xfId="0" applyNumberFormat="1" applyFont="1" applyFill="1" applyBorder="1" applyAlignment="1">
      <alignment horizontal="center"/>
    </xf>
    <xf numFmtId="0" fontId="1" fillId="21" borderId="42" xfId="0" applyFont="1" applyFill="1" applyBorder="1" applyAlignment="1">
      <alignment horizontal="left" vertical="center"/>
    </xf>
    <xf numFmtId="0" fontId="1" fillId="21" borderId="26" xfId="0" applyFont="1" applyFill="1" applyBorder="1" applyAlignment="1">
      <alignment horizontal="left" vertical="center"/>
    </xf>
    <xf numFmtId="187" fontId="8" fillId="21" borderId="20" xfId="0" applyNumberFormat="1" applyFont="1" applyFill="1" applyBorder="1" applyAlignment="1">
      <alignment horizontal="right"/>
    </xf>
    <xf numFmtId="190" fontId="8" fillId="21" borderId="20" xfId="0" applyNumberFormat="1" applyFont="1" applyFill="1" applyBorder="1" applyAlignment="1">
      <alignment horizontal="right"/>
    </xf>
    <xf numFmtId="188" fontId="8" fillId="21" borderId="20" xfId="0" applyNumberFormat="1" applyFont="1" applyFill="1" applyBorder="1" applyAlignment="1">
      <alignment horizontal="right"/>
    </xf>
    <xf numFmtId="189" fontId="8" fillId="21" borderId="20" xfId="0" applyNumberFormat="1" applyFont="1" applyFill="1" applyBorder="1" applyAlignment="1">
      <alignment horizontal="right"/>
    </xf>
    <xf numFmtId="187" fontId="1" fillId="21" borderId="43" xfId="0" applyNumberFormat="1" applyFont="1" applyFill="1" applyBorder="1" applyAlignment="1">
      <alignment vertical="center" shrinkToFit="1"/>
    </xf>
    <xf numFmtId="188" fontId="1" fillId="21" borderId="43" xfId="0" applyNumberFormat="1" applyFont="1" applyFill="1" applyBorder="1" applyAlignment="1">
      <alignment horizontal="right" vertical="center" shrinkToFit="1"/>
    </xf>
    <xf numFmtId="0" fontId="1" fillId="21" borderId="42" xfId="0" applyFont="1" applyFill="1" applyBorder="1" applyAlignment="1">
      <alignment horizontal="left" vertical="center"/>
    </xf>
    <xf numFmtId="187" fontId="1" fillId="21" borderId="46" xfId="0" applyNumberFormat="1" applyFont="1" applyFill="1" applyBorder="1" applyAlignment="1">
      <alignment vertical="center" shrinkToFit="1"/>
    </xf>
    <xf numFmtId="188" fontId="1" fillId="21" borderId="46" xfId="0" applyNumberFormat="1" applyFont="1" applyFill="1" applyBorder="1" applyAlignment="1">
      <alignment horizontal="right" vertical="center" shrinkToFit="1"/>
    </xf>
    <xf numFmtId="187" fontId="8" fillId="9" borderId="24" xfId="0" applyNumberFormat="1" applyFont="1" applyFill="1" applyBorder="1" applyAlignment="1">
      <alignment horizontal="right"/>
    </xf>
    <xf numFmtId="187" fontId="8" fillId="6" borderId="24" xfId="0" applyNumberFormat="1" applyFont="1" applyFill="1" applyBorder="1" applyAlignment="1">
      <alignment horizontal="right"/>
    </xf>
    <xf numFmtId="187" fontId="8" fillId="0" borderId="24" xfId="0" applyNumberFormat="1" applyFont="1" applyBorder="1" applyAlignment="1">
      <alignment horizontal="right"/>
    </xf>
    <xf numFmtId="190" fontId="8" fillId="0" borderId="24" xfId="0" applyNumberFormat="1" applyFont="1" applyBorder="1" applyAlignment="1">
      <alignment horizontal="right"/>
    </xf>
    <xf numFmtId="188" fontId="8" fillId="0" borderId="24" xfId="0" applyNumberFormat="1" applyFont="1" applyBorder="1" applyAlignment="1">
      <alignment horizontal="right"/>
    </xf>
    <xf numFmtId="189" fontId="8" fillId="0" borderId="24" xfId="0" applyNumberFormat="1" applyFont="1" applyBorder="1" applyAlignment="1">
      <alignment horizontal="right"/>
    </xf>
    <xf numFmtId="187" fontId="8" fillId="8" borderId="43" xfId="0" applyNumberFormat="1" applyFont="1" applyFill="1" applyBorder="1" applyAlignment="1">
      <alignment horizontal="right"/>
    </xf>
    <xf numFmtId="190" fontId="8" fillId="8" borderId="43" xfId="0" applyNumberFormat="1" applyFont="1" applyFill="1" applyBorder="1" applyAlignment="1">
      <alignment horizontal="right"/>
    </xf>
    <xf numFmtId="188" fontId="8" fillId="8" borderId="43" xfId="0" applyNumberFormat="1" applyFont="1" applyFill="1" applyBorder="1" applyAlignment="1">
      <alignment horizontal="right"/>
    </xf>
    <xf numFmtId="189" fontId="8" fillId="8" borderId="43" xfId="0" applyNumberFormat="1" applyFont="1" applyFill="1" applyBorder="1" applyAlignment="1">
      <alignment horizontal="right"/>
    </xf>
    <xf numFmtId="187" fontId="1" fillId="0" borderId="73" xfId="0" applyNumberFormat="1" applyFont="1" applyBorder="1" applyAlignment="1">
      <alignment vertical="center" shrinkToFit="1"/>
    </xf>
    <xf numFmtId="188" fontId="1" fillId="0" borderId="73" xfId="0" applyNumberFormat="1" applyFont="1" applyBorder="1" applyAlignment="1">
      <alignment horizontal="right" vertical="center" shrinkToFit="1"/>
    </xf>
    <xf numFmtId="188" fontId="7" fillId="0" borderId="19" xfId="0" applyNumberFormat="1" applyFont="1" applyBorder="1" applyAlignment="1"/>
    <xf numFmtId="189" fontId="7" fillId="0" borderId="19" xfId="0" applyNumberFormat="1" applyFont="1" applyBorder="1" applyAlignment="1"/>
    <xf numFmtId="187" fontId="8" fillId="20" borderId="24" xfId="0" applyNumberFormat="1" applyFont="1" applyFill="1" applyBorder="1" applyAlignment="1">
      <alignment horizontal="center"/>
    </xf>
    <xf numFmtId="187" fontId="8" fillId="14" borderId="20" xfId="0" applyNumberFormat="1" applyFont="1" applyFill="1" applyBorder="1" applyAlignment="1">
      <alignment horizontal="center" wrapText="1"/>
    </xf>
    <xf numFmtId="187" fontId="7" fillId="20" borderId="62" xfId="0" applyNumberFormat="1" applyFont="1" applyFill="1" applyBorder="1" applyAlignment="1"/>
    <xf numFmtId="187" fontId="8" fillId="19" borderId="62" xfId="0" applyNumberFormat="1" applyFont="1" applyFill="1" applyBorder="1" applyAlignment="1">
      <alignment horizontal="center"/>
    </xf>
    <xf numFmtId="188" fontId="8" fillId="19" borderId="62" xfId="0" applyNumberFormat="1" applyFont="1" applyFill="1" applyBorder="1" applyAlignment="1">
      <alignment horizontal="center"/>
    </xf>
    <xf numFmtId="188" fontId="10" fillId="19" borderId="62" xfId="0" applyNumberFormat="1" applyFont="1" applyFill="1" applyBorder="1" applyAlignment="1">
      <alignment horizontal="center"/>
    </xf>
    <xf numFmtId="189" fontId="8" fillId="19" borderId="62" xfId="0" applyNumberFormat="1" applyFont="1" applyFill="1" applyBorder="1" applyAlignment="1">
      <alignment horizontal="center"/>
    </xf>
    <xf numFmtId="187" fontId="8" fillId="14" borderId="62" xfId="0" applyNumberFormat="1" applyFont="1" applyFill="1" applyBorder="1" applyAlignment="1">
      <alignment horizontal="center" wrapText="1"/>
    </xf>
    <xf numFmtId="187" fontId="8" fillId="2" borderId="62" xfId="0" applyNumberFormat="1" applyFont="1" applyFill="1" applyBorder="1" applyAlignment="1">
      <alignment horizontal="center" wrapText="1"/>
    </xf>
    <xf numFmtId="188" fontId="9" fillId="2" borderId="62" xfId="0" applyNumberFormat="1" applyFont="1" applyFill="1" applyBorder="1" applyAlignment="1">
      <alignment horizontal="center" wrapText="1"/>
    </xf>
    <xf numFmtId="187" fontId="8" fillId="14" borderId="62" xfId="0" applyNumberFormat="1" applyFont="1" applyFill="1" applyBorder="1" applyAlignment="1">
      <alignment horizontal="center"/>
    </xf>
    <xf numFmtId="187" fontId="8" fillId="2" borderId="62" xfId="0" applyNumberFormat="1" applyFont="1" applyFill="1" applyBorder="1" applyAlignment="1">
      <alignment horizontal="center"/>
    </xf>
    <xf numFmtId="188" fontId="8" fillId="2" borderId="62" xfId="0" applyNumberFormat="1" applyFont="1" applyFill="1" applyBorder="1" applyAlignment="1">
      <alignment horizontal="right"/>
    </xf>
    <xf numFmtId="187" fontId="8" fillId="8" borderId="20" xfId="0" applyNumberFormat="1" applyFont="1" applyFill="1" applyBorder="1" applyAlignment="1">
      <alignment horizontal="right"/>
    </xf>
    <xf numFmtId="188" fontId="8" fillId="8" borderId="20" xfId="0" applyNumberFormat="1" applyFont="1" applyFill="1" applyBorder="1" applyAlignment="1">
      <alignment horizontal="right"/>
    </xf>
    <xf numFmtId="187" fontId="8" fillId="17" borderId="20" xfId="0" applyNumberFormat="1" applyFont="1" applyFill="1" applyBorder="1" applyAlignment="1">
      <alignment horizontal="right"/>
    </xf>
    <xf numFmtId="188" fontId="8" fillId="17" borderId="20" xfId="0" applyNumberFormat="1" applyFont="1" applyFill="1" applyBorder="1" applyAlignment="1">
      <alignment horizontal="right"/>
    </xf>
    <xf numFmtId="187" fontId="7" fillId="17" borderId="20" xfId="0" applyNumberFormat="1" applyFont="1" applyFill="1" applyBorder="1" applyAlignment="1"/>
    <xf numFmtId="187" fontId="7" fillId="21" borderId="20" xfId="0" applyNumberFormat="1" applyFont="1" applyFill="1" applyBorder="1" applyAlignment="1"/>
    <xf numFmtId="188" fontId="8" fillId="21" borderId="20" xfId="0" applyNumberFormat="1" applyFont="1" applyFill="1" applyBorder="1" applyAlignment="1">
      <alignment horizontal="right"/>
    </xf>
    <xf numFmtId="187" fontId="8" fillId="21" borderId="20" xfId="0" applyNumberFormat="1" applyFont="1" applyFill="1" applyBorder="1" applyAlignment="1">
      <alignment horizontal="right"/>
    </xf>
    <xf numFmtId="187" fontId="7" fillId="19" borderId="68" xfId="0" applyNumberFormat="1" applyFont="1" applyFill="1" applyBorder="1" applyAlignment="1"/>
    <xf numFmtId="188" fontId="8" fillId="19" borderId="68" xfId="0" applyNumberFormat="1" applyFont="1" applyFill="1" applyBorder="1" applyAlignment="1">
      <alignment horizontal="right"/>
    </xf>
    <xf numFmtId="187" fontId="7" fillId="19" borderId="20" xfId="0" applyNumberFormat="1" applyFont="1" applyFill="1" applyBorder="1" applyAlignment="1"/>
    <xf numFmtId="188" fontId="8" fillId="19" borderId="20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/>
    <xf numFmtId="188" fontId="8" fillId="0" borderId="68" xfId="0" applyNumberFormat="1" applyFont="1" applyBorder="1" applyAlignment="1">
      <alignment horizontal="right"/>
    </xf>
    <xf numFmtId="187" fontId="7" fillId="0" borderId="24" xfId="0" applyNumberFormat="1" applyFont="1" applyBorder="1" applyAlignment="1"/>
    <xf numFmtId="188" fontId="8" fillId="0" borderId="24" xfId="0" applyNumberFormat="1" applyFont="1" applyBorder="1" applyAlignment="1">
      <alignment horizontal="right"/>
    </xf>
    <xf numFmtId="187" fontId="7" fillId="0" borderId="71" xfId="0" applyNumberFormat="1" applyFont="1" applyBorder="1" applyAlignment="1"/>
    <xf numFmtId="188" fontId="8" fillId="0" borderId="71" xfId="0" applyNumberFormat="1" applyFont="1" applyBorder="1" applyAlignment="1">
      <alignment horizontal="right"/>
    </xf>
    <xf numFmtId="187" fontId="7" fillId="0" borderId="20" xfId="0" applyNumberFormat="1" applyFont="1" applyBorder="1" applyAlignment="1"/>
    <xf numFmtId="188" fontId="7" fillId="0" borderId="0" xfId="0" applyNumberFormat="1" applyFont="1" applyAlignment="1"/>
    <xf numFmtId="189" fontId="7" fillId="0" borderId="0" xfId="0" applyNumberFormat="1" applyFont="1" applyAlignment="1"/>
    <xf numFmtId="187" fontId="1" fillId="22" borderId="43" xfId="0" applyNumberFormat="1" applyFont="1" applyFill="1" applyBorder="1" applyAlignment="1">
      <alignment horizontal="center" vertical="center" wrapText="1"/>
    </xf>
    <xf numFmtId="0" fontId="1" fillId="23" borderId="44" xfId="0" applyFont="1" applyFill="1" applyBorder="1" applyAlignment="1">
      <alignment horizontal="center"/>
    </xf>
    <xf numFmtId="0" fontId="1" fillId="23" borderId="43" xfId="0" applyFont="1" applyFill="1" applyBorder="1" applyAlignment="1">
      <alignment horizontal="center"/>
    </xf>
    <xf numFmtId="187" fontId="1" fillId="22" borderId="33" xfId="0" applyNumberFormat="1" applyFont="1" applyFill="1" applyBorder="1" applyAlignment="1">
      <alignment horizontal="center" vertical="center" wrapText="1"/>
    </xf>
    <xf numFmtId="187" fontId="1" fillId="23" borderId="32" xfId="0" applyNumberFormat="1" applyFont="1" applyFill="1" applyBorder="1" applyAlignment="1">
      <alignment horizontal="center" vertical="center" wrapText="1"/>
    </xf>
    <xf numFmtId="188" fontId="3" fillId="23" borderId="32" xfId="0" applyNumberFormat="1" applyFont="1" applyFill="1" applyBorder="1" applyAlignment="1">
      <alignment horizontal="center" vertical="center" wrapText="1"/>
    </xf>
    <xf numFmtId="187" fontId="1" fillId="22" borderId="31" xfId="0" applyNumberFormat="1" applyFont="1" applyFill="1" applyBorder="1" applyAlignment="1">
      <alignment horizontal="center" vertical="center" wrapText="1"/>
    </xf>
    <xf numFmtId="187" fontId="1" fillId="23" borderId="32" xfId="0" applyNumberFormat="1" applyFont="1" applyFill="1" applyBorder="1" applyAlignment="1">
      <alignment horizontal="center" vertical="center"/>
    </xf>
    <xf numFmtId="188" fontId="3" fillId="23" borderId="32" xfId="0" applyNumberFormat="1" applyFont="1" applyFill="1" applyBorder="1" applyAlignment="1">
      <alignment horizontal="center" vertical="center"/>
    </xf>
    <xf numFmtId="187" fontId="1" fillId="22" borderId="31" xfId="0" applyNumberFormat="1" applyFont="1" applyFill="1" applyBorder="1" applyAlignment="1">
      <alignment horizontal="center" vertical="center"/>
    </xf>
    <xf numFmtId="187" fontId="1" fillId="22" borderId="36" xfId="0" applyNumberFormat="1" applyFont="1" applyFill="1" applyBorder="1" applyAlignment="1">
      <alignment horizontal="center" vertical="center" shrinkToFit="1"/>
    </xf>
    <xf numFmtId="187" fontId="1" fillId="23" borderId="36" xfId="0" applyNumberFormat="1" applyFont="1" applyFill="1" applyBorder="1" applyAlignment="1">
      <alignment horizontal="center" vertical="center" shrinkToFit="1"/>
    </xf>
    <xf numFmtId="188" fontId="1" fillId="23" borderId="36" xfId="0" applyNumberFormat="1" applyFont="1" applyFill="1" applyBorder="1" applyAlignment="1">
      <alignment horizontal="right" vertical="center" shrinkToFit="1"/>
    </xf>
    <xf numFmtId="187" fontId="7" fillId="17" borderId="39" xfId="0" applyNumberFormat="1" applyFont="1" applyFill="1" applyBorder="1"/>
    <xf numFmtId="187" fontId="7" fillId="0" borderId="60" xfId="0" applyNumberFormat="1" applyFont="1" applyBorder="1"/>
    <xf numFmtId="187" fontId="7" fillId="0" borderId="22" xfId="0" applyNumberFormat="1" applyFont="1" applyBorder="1"/>
    <xf numFmtId="187" fontId="7" fillId="0" borderId="54" xfId="0" applyNumberFormat="1" applyFont="1" applyBorder="1"/>
    <xf numFmtId="187" fontId="7" fillId="0" borderId="39" xfId="0" applyNumberFormat="1" applyFont="1" applyBorder="1"/>
    <xf numFmtId="0" fontId="11" fillId="0" borderId="0" xfId="0" applyFont="1"/>
    <xf numFmtId="0" fontId="12" fillId="0" borderId="0" xfId="0" applyFont="1"/>
    <xf numFmtId="187" fontId="11" fillId="14" borderId="43" xfId="0" applyNumberFormat="1" applyFont="1" applyFill="1" applyBorder="1" applyAlignment="1">
      <alignment horizontal="center" vertical="center" wrapText="1"/>
    </xf>
    <xf numFmtId="187" fontId="11" fillId="14" borderId="33" xfId="0" applyNumberFormat="1" applyFont="1" applyFill="1" applyBorder="1" applyAlignment="1">
      <alignment horizontal="center" vertical="center" wrapText="1"/>
    </xf>
    <xf numFmtId="187" fontId="11" fillId="2" borderId="32" xfId="0" applyNumberFormat="1" applyFont="1" applyFill="1" applyBorder="1" applyAlignment="1">
      <alignment horizontal="center" vertical="center" wrapText="1"/>
    </xf>
    <xf numFmtId="187" fontId="11" fillId="2" borderId="31" xfId="0" applyNumberFormat="1" applyFont="1" applyFill="1" applyBorder="1" applyAlignment="1">
      <alignment horizontal="center" vertical="center" wrapText="1"/>
    </xf>
    <xf numFmtId="187" fontId="11" fillId="14" borderId="33" xfId="0" applyNumberFormat="1" applyFont="1" applyFill="1" applyBorder="1" applyAlignment="1">
      <alignment horizontal="center" vertical="center" wrapText="1"/>
    </xf>
    <xf numFmtId="187" fontId="11" fillId="2" borderId="32" xfId="0" applyNumberFormat="1" applyFont="1" applyFill="1" applyBorder="1" applyAlignment="1">
      <alignment horizontal="center" vertical="center" wrapText="1"/>
    </xf>
    <xf numFmtId="188" fontId="13" fillId="2" borderId="32" xfId="0" applyNumberFormat="1" applyFont="1" applyFill="1" applyBorder="1" applyAlignment="1">
      <alignment horizontal="center" vertical="center" wrapText="1"/>
    </xf>
    <xf numFmtId="187" fontId="11" fillId="2" borderId="36" xfId="0" applyNumberFormat="1" applyFont="1" applyFill="1" applyBorder="1" applyAlignment="1">
      <alignment horizontal="center" vertical="center" shrinkToFit="1"/>
    </xf>
    <xf numFmtId="188" fontId="11" fillId="2" borderId="36" xfId="0" applyNumberFormat="1" applyFont="1" applyFill="1" applyBorder="1" applyAlignment="1">
      <alignment horizontal="right" vertical="center" shrinkToFit="1"/>
    </xf>
    <xf numFmtId="187" fontId="11" fillId="8" borderId="40" xfId="0" applyNumberFormat="1" applyFont="1" applyFill="1" applyBorder="1" applyAlignment="1">
      <alignment vertical="center" shrinkToFit="1"/>
    </xf>
    <xf numFmtId="188" fontId="11" fillId="8" borderId="40" xfId="0" applyNumberFormat="1" applyFont="1" applyFill="1" applyBorder="1" applyAlignment="1">
      <alignment horizontal="right" vertical="center" shrinkToFit="1"/>
    </xf>
    <xf numFmtId="187" fontId="11" fillId="17" borderId="43" xfId="0" applyNumberFormat="1" applyFont="1" applyFill="1" applyBorder="1" applyAlignment="1">
      <alignment vertical="center" shrinkToFit="1"/>
    </xf>
    <xf numFmtId="188" fontId="11" fillId="17" borderId="43" xfId="0" applyNumberFormat="1" applyFont="1" applyFill="1" applyBorder="1" applyAlignment="1">
      <alignment horizontal="right" vertical="center" shrinkToFit="1"/>
    </xf>
    <xf numFmtId="187" fontId="11" fillId="21" borderId="43" xfId="0" applyNumberFormat="1" applyFont="1" applyFill="1" applyBorder="1" applyAlignment="1">
      <alignment vertical="center" shrinkToFit="1"/>
    </xf>
    <xf numFmtId="187" fontId="11" fillId="21" borderId="46" xfId="0" applyNumberFormat="1" applyFont="1" applyFill="1" applyBorder="1" applyAlignment="1">
      <alignment vertical="center" shrinkToFit="1"/>
    </xf>
    <xf numFmtId="188" fontId="11" fillId="24" borderId="46" xfId="0" applyNumberFormat="1" applyFont="1" applyFill="1" applyBorder="1" applyAlignment="1">
      <alignment horizontal="right" vertical="center" shrinkToFit="1"/>
    </xf>
    <xf numFmtId="187" fontId="11" fillId="8" borderId="27" xfId="0" applyNumberFormat="1" applyFont="1" applyFill="1" applyBorder="1" applyAlignment="1">
      <alignment vertical="center" shrinkToFit="1"/>
    </xf>
    <xf numFmtId="188" fontId="11" fillId="8" borderId="27" xfId="0" applyNumberFormat="1" applyFont="1" applyFill="1" applyBorder="1" applyAlignment="1">
      <alignment horizontal="right" vertical="center" shrinkToFit="1"/>
    </xf>
    <xf numFmtId="187" fontId="11" fillId="13" borderId="51" xfId="0" applyNumberFormat="1" applyFont="1" applyFill="1" applyBorder="1" applyAlignment="1">
      <alignment vertical="center" shrinkToFit="1"/>
    </xf>
    <xf numFmtId="188" fontId="11" fillId="13" borderId="51" xfId="0" applyNumberFormat="1" applyFont="1" applyFill="1" applyBorder="1" applyAlignment="1">
      <alignment horizontal="right" vertical="center" shrinkToFit="1"/>
    </xf>
    <xf numFmtId="187" fontId="11" fillId="13" borderId="54" xfId="0" applyNumberFormat="1" applyFont="1" applyFill="1" applyBorder="1" applyAlignment="1">
      <alignment vertical="center" shrinkToFit="1"/>
    </xf>
    <xf numFmtId="188" fontId="11" fillId="13" borderId="54" xfId="0" applyNumberFormat="1" applyFont="1" applyFill="1" applyBorder="1" applyAlignment="1">
      <alignment horizontal="right" vertical="center" shrinkToFit="1"/>
    </xf>
    <xf numFmtId="187" fontId="11" fillId="13" borderId="57" xfId="0" applyNumberFormat="1" applyFont="1" applyFill="1" applyBorder="1" applyAlignment="1">
      <alignment vertical="center" shrinkToFit="1"/>
    </xf>
    <xf numFmtId="188" fontId="11" fillId="13" borderId="57" xfId="0" applyNumberFormat="1" applyFont="1" applyFill="1" applyBorder="1" applyAlignment="1">
      <alignment horizontal="right" vertical="center" shrinkToFit="1"/>
    </xf>
    <xf numFmtId="187" fontId="11" fillId="8" borderId="43" xfId="0" applyNumberFormat="1" applyFont="1" applyFill="1" applyBorder="1" applyAlignment="1">
      <alignment vertical="center" shrinkToFit="1"/>
    </xf>
    <xf numFmtId="188" fontId="11" fillId="8" borderId="43" xfId="0" applyNumberFormat="1" applyFont="1" applyFill="1" applyBorder="1" applyAlignment="1">
      <alignment horizontal="right" vertical="center" shrinkToFit="1"/>
    </xf>
    <xf numFmtId="187" fontId="11" fillId="0" borderId="51" xfId="0" applyNumberFormat="1" applyFont="1" applyBorder="1" applyAlignment="1">
      <alignment vertical="center" shrinkToFit="1"/>
    </xf>
    <xf numFmtId="188" fontId="11" fillId="0" borderId="51" xfId="0" applyNumberFormat="1" applyFont="1" applyBorder="1" applyAlignment="1">
      <alignment horizontal="right" vertical="center" shrinkToFit="1"/>
    </xf>
    <xf numFmtId="187" fontId="11" fillId="0" borderId="54" xfId="0" applyNumberFormat="1" applyFont="1" applyBorder="1" applyAlignment="1">
      <alignment vertical="center" shrinkToFit="1"/>
    </xf>
    <xf numFmtId="188" fontId="11" fillId="0" borderId="54" xfId="0" applyNumberFormat="1" applyFont="1" applyBorder="1" applyAlignment="1">
      <alignment horizontal="right" vertical="center" shrinkToFit="1"/>
    </xf>
    <xf numFmtId="187" fontId="11" fillId="0" borderId="73" xfId="0" applyNumberFormat="1" applyFont="1" applyBorder="1" applyAlignment="1">
      <alignment vertical="center" shrinkToFit="1"/>
    </xf>
    <xf numFmtId="188" fontId="11" fillId="0" borderId="73" xfId="0" applyNumberFormat="1" applyFont="1" applyBorder="1" applyAlignment="1">
      <alignment horizontal="right" vertical="center" shrinkToFit="1"/>
    </xf>
    <xf numFmtId="187" fontId="11" fillId="0" borderId="60" xfId="0" applyNumberFormat="1" applyFont="1" applyBorder="1" applyAlignment="1">
      <alignment vertical="center" shrinkToFit="1"/>
    </xf>
    <xf numFmtId="187" fontId="11" fillId="0" borderId="57" xfId="0" applyNumberFormat="1" applyFont="1" applyBorder="1" applyAlignment="1">
      <alignment vertical="center" shrinkToFit="1"/>
    </xf>
    <xf numFmtId="0" fontId="14" fillId="0" borderId="0" xfId="0" applyFont="1"/>
    <xf numFmtId="0" fontId="7" fillId="0" borderId="19" xfId="0" applyFont="1" applyBorder="1" applyAlignment="1"/>
    <xf numFmtId="0" fontId="1" fillId="2" borderId="44" xfId="0" applyFont="1" applyFill="1" applyBorder="1" applyAlignment="1">
      <alignment horizontal="center"/>
    </xf>
    <xf numFmtId="187" fontId="8" fillId="14" borderId="3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187" fontId="8" fillId="14" borderId="31" xfId="0" applyNumberFormat="1" applyFont="1" applyFill="1" applyBorder="1" applyAlignment="1">
      <alignment horizontal="center" wrapText="1"/>
    </xf>
    <xf numFmtId="187" fontId="8" fillId="2" borderId="62" xfId="0" applyNumberFormat="1" applyFont="1" applyFill="1" applyBorder="1" applyAlignment="1">
      <alignment horizontal="center" wrapText="1"/>
    </xf>
    <xf numFmtId="188" fontId="9" fillId="2" borderId="62" xfId="0" applyNumberFormat="1" applyFont="1" applyFill="1" applyBorder="1" applyAlignment="1">
      <alignment horizontal="center" wrapText="1"/>
    </xf>
    <xf numFmtId="187" fontId="8" fillId="2" borderId="36" xfId="0" applyNumberFormat="1" applyFont="1" applyFill="1" applyBorder="1" applyAlignment="1">
      <alignment horizontal="center"/>
    </xf>
    <xf numFmtId="187" fontId="8" fillId="14" borderId="3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8" fontId="8" fillId="2" borderId="35" xfId="0" applyNumberFormat="1" applyFont="1" applyFill="1" applyBorder="1" applyAlignment="1">
      <alignment horizontal="right"/>
    </xf>
    <xf numFmtId="188" fontId="8" fillId="2" borderId="62" xfId="0" applyNumberFormat="1" applyFont="1" applyFill="1" applyBorder="1" applyAlignment="1">
      <alignment horizontal="right"/>
    </xf>
    <xf numFmtId="187" fontId="8" fillId="8" borderId="39" xfId="0" applyNumberFormat="1" applyFont="1" applyFill="1" applyBorder="1" applyAlignment="1">
      <alignment horizontal="right"/>
    </xf>
    <xf numFmtId="187" fontId="8" fillId="8" borderId="39" xfId="0" applyNumberFormat="1" applyFont="1" applyFill="1" applyBorder="1" applyAlignment="1">
      <alignment horizontal="center"/>
    </xf>
    <xf numFmtId="188" fontId="7" fillId="17" borderId="20" xfId="0" applyNumberFormat="1" applyFont="1" applyFill="1" applyBorder="1"/>
    <xf numFmtId="187" fontId="7" fillId="21" borderId="39" xfId="0" applyNumberFormat="1" applyFont="1" applyFill="1" applyBorder="1"/>
    <xf numFmtId="187" fontId="7" fillId="21" borderId="20" xfId="0" applyNumberFormat="1" applyFont="1" applyFill="1" applyBorder="1"/>
    <xf numFmtId="188" fontId="7" fillId="21" borderId="20" xfId="0" applyNumberFormat="1" applyFont="1" applyFill="1" applyBorder="1"/>
    <xf numFmtId="187" fontId="8" fillId="19" borderId="60" xfId="0" applyNumberFormat="1" applyFont="1" applyFill="1" applyBorder="1" applyAlignment="1">
      <alignment horizontal="right"/>
    </xf>
    <xf numFmtId="188" fontId="8" fillId="19" borderId="68" xfId="0" applyNumberFormat="1" applyFont="1" applyFill="1" applyBorder="1" applyAlignment="1">
      <alignment horizontal="right"/>
    </xf>
    <xf numFmtId="187" fontId="8" fillId="19" borderId="60" xfId="0" applyNumberFormat="1" applyFont="1" applyFill="1" applyBorder="1" applyAlignment="1">
      <alignment horizontal="center"/>
    </xf>
    <xf numFmtId="187" fontId="8" fillId="19" borderId="39" xfId="0" applyNumberFormat="1" applyFont="1" applyFill="1" applyBorder="1" applyAlignment="1">
      <alignment horizontal="right"/>
    </xf>
    <xf numFmtId="188" fontId="8" fillId="19" borderId="20" xfId="0" applyNumberFormat="1" applyFont="1" applyFill="1" applyBorder="1" applyAlignment="1">
      <alignment horizontal="right"/>
    </xf>
    <xf numFmtId="187" fontId="7" fillId="0" borderId="68" xfId="0" applyNumberFormat="1" applyFont="1" applyBorder="1"/>
    <xf numFmtId="188" fontId="7" fillId="0" borderId="68" xfId="0" applyNumberFormat="1" applyFont="1" applyBorder="1"/>
    <xf numFmtId="187" fontId="7" fillId="0" borderId="24" xfId="0" applyNumberFormat="1" applyFont="1" applyBorder="1"/>
    <xf numFmtId="188" fontId="7" fillId="0" borderId="24" xfId="0" applyNumberFormat="1" applyFont="1" applyBorder="1"/>
    <xf numFmtId="187" fontId="1" fillId="19" borderId="54" xfId="0" applyNumberFormat="1" applyFont="1" applyFill="1" applyBorder="1" applyAlignment="1">
      <alignment vertical="center" shrinkToFit="1"/>
    </xf>
    <xf numFmtId="187" fontId="7" fillId="19" borderId="54" xfId="0" applyNumberFormat="1" applyFont="1" applyFill="1" applyBorder="1"/>
    <xf numFmtId="187" fontId="7" fillId="19" borderId="71" xfId="0" applyNumberFormat="1" applyFont="1" applyFill="1" applyBorder="1"/>
    <xf numFmtId="187" fontId="7" fillId="0" borderId="20" xfId="0" applyNumberFormat="1" applyFont="1" applyBorder="1"/>
    <xf numFmtId="0" fontId="3" fillId="2" borderId="44" xfId="0" applyFont="1" applyFill="1" applyBorder="1" applyAlignment="1">
      <alignment horizontal="center"/>
    </xf>
    <xf numFmtId="0" fontId="1" fillId="19" borderId="54" xfId="0" applyFont="1" applyFill="1" applyBorder="1" applyAlignment="1">
      <alignment horizontal="center" vertical="center"/>
    </xf>
    <xf numFmtId="0" fontId="5" fillId="19" borderId="54" xfId="0" applyFont="1" applyFill="1" applyBorder="1" applyAlignment="1"/>
    <xf numFmtId="190" fontId="1" fillId="19" borderId="54" xfId="0" applyNumberFormat="1" applyFont="1" applyFill="1" applyBorder="1" applyAlignment="1">
      <alignment vertical="center" shrinkToFit="1"/>
    </xf>
    <xf numFmtId="188" fontId="1" fillId="19" borderId="54" xfId="0" applyNumberFormat="1" applyFont="1" applyFill="1" applyBorder="1" applyAlignment="1">
      <alignment horizontal="right" vertical="center" shrinkToFit="1"/>
    </xf>
    <xf numFmtId="189" fontId="1" fillId="19" borderId="54" xfId="0" applyNumberFormat="1" applyFont="1" applyFill="1" applyBorder="1" applyAlignment="1">
      <alignment horizontal="right" vertical="center" shrinkToFit="1"/>
    </xf>
    <xf numFmtId="188" fontId="16" fillId="2" borderId="62" xfId="0" applyNumberFormat="1" applyFont="1" applyFill="1" applyBorder="1" applyAlignment="1">
      <alignment horizontal="center" wrapText="1"/>
    </xf>
    <xf numFmtId="187" fontId="8" fillId="19" borderId="71" xfId="0" applyNumberFormat="1" applyFont="1" applyFill="1" applyBorder="1" applyAlignment="1">
      <alignment horizontal="right"/>
    </xf>
    <xf numFmtId="187" fontId="7" fillId="19" borderId="71" xfId="0" applyNumberFormat="1" applyFont="1" applyFill="1" applyBorder="1" applyAlignment="1"/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0" fontId="2" fillId="0" borderId="7" xfId="0" applyFont="1" applyBorder="1"/>
    <xf numFmtId="0" fontId="2" fillId="0" borderId="8" xfId="0" applyFont="1" applyBorder="1"/>
    <xf numFmtId="189" fontId="1" fillId="5" borderId="9" xfId="0" applyNumberFormat="1" applyFont="1" applyFill="1" applyBorder="1" applyAlignment="1">
      <alignment horizontal="center" vertical="top" wrapText="1"/>
    </xf>
    <xf numFmtId="0" fontId="2" fillId="0" borderId="10" xfId="0" applyFont="1" applyBorder="1"/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189" fontId="1" fillId="13" borderId="25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left" vertical="center"/>
    </xf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187" fontId="1" fillId="17" borderId="47" xfId="0" applyNumberFormat="1" applyFont="1" applyFill="1" applyBorder="1" applyAlignment="1">
      <alignment horizontal="left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187" fontId="1" fillId="9" borderId="0" xfId="0" applyNumberFormat="1" applyFont="1" applyFill="1" applyAlignment="1">
      <alignment horizontal="center" vertical="top" shrinkToFit="1"/>
    </xf>
    <xf numFmtId="0" fontId="2" fillId="0" borderId="30" xfId="0" applyFont="1" applyBorder="1"/>
    <xf numFmtId="187" fontId="1" fillId="6" borderId="21" xfId="0" applyNumberFormat="1" applyFont="1" applyFill="1" applyBorder="1" applyAlignment="1">
      <alignment horizontal="center" vertical="top" shrinkToFit="1"/>
    </xf>
    <xf numFmtId="0" fontId="2" fillId="0" borderId="31" xfId="0" applyFont="1" applyBorder="1"/>
    <xf numFmtId="187" fontId="3" fillId="10" borderId="21" xfId="0" applyNumberFormat="1" applyFont="1" applyFill="1" applyBorder="1" applyAlignment="1">
      <alignment horizontal="center" vertical="top" shrinkToFit="1"/>
    </xf>
    <xf numFmtId="187" fontId="1" fillId="11" borderId="21" xfId="0" applyNumberFormat="1" applyFont="1" applyFill="1" applyBorder="1" applyAlignment="1">
      <alignment horizontal="center" vertical="top" shrinkToFit="1"/>
    </xf>
    <xf numFmtId="187" fontId="1" fillId="12" borderId="21" xfId="0" applyNumberFormat="1" applyFont="1" applyFill="1" applyBorder="1" applyAlignment="1">
      <alignment horizontal="center" vertical="top" shrinkToFit="1"/>
    </xf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8" fillId="20" borderId="19" xfId="0" applyNumberFormat="1" applyFont="1" applyFill="1" applyBorder="1" applyAlignment="1">
      <alignment horizontal="center"/>
    </xf>
    <xf numFmtId="187" fontId="8" fillId="8" borderId="19" xfId="0" applyNumberFormat="1" applyFont="1" applyFill="1" applyBorder="1" applyAlignment="1">
      <alignment horizontal="center"/>
    </xf>
    <xf numFmtId="187" fontId="8" fillId="9" borderId="24" xfId="0" applyNumberFormat="1" applyFont="1" applyFill="1" applyBorder="1" applyAlignment="1">
      <alignment horizontal="center" vertical="top"/>
    </xf>
    <xf numFmtId="0" fontId="2" fillId="0" borderId="62" xfId="0" applyFont="1" applyBorder="1"/>
    <xf numFmtId="187" fontId="8" fillId="6" borderId="24" xfId="0" applyNumberFormat="1" applyFont="1" applyFill="1" applyBorder="1" applyAlignment="1">
      <alignment horizontal="center" vertical="top"/>
    </xf>
    <xf numFmtId="0" fontId="8" fillId="6" borderId="63" xfId="0" applyFont="1" applyFill="1" applyBorder="1" applyAlignment="1">
      <alignment horizontal="center"/>
    </xf>
    <xf numFmtId="0" fontId="2" fillId="0" borderId="64" xfId="0" applyFont="1" applyBorder="1"/>
    <xf numFmtId="0" fontId="8" fillId="8" borderId="65" xfId="0" applyFont="1" applyFill="1" applyBorder="1"/>
    <xf numFmtId="0" fontId="2" fillId="0" borderId="66" xfId="0" applyFont="1" applyBorder="1"/>
    <xf numFmtId="49" fontId="8" fillId="8" borderId="65" xfId="0" applyNumberFormat="1" applyFont="1" applyFill="1" applyBorder="1"/>
    <xf numFmtId="187" fontId="8" fillId="17" borderId="65" xfId="0" applyNumberFormat="1" applyFont="1" applyFill="1" applyBorder="1"/>
    <xf numFmtId="187" fontId="9" fillId="10" borderId="24" xfId="0" applyNumberFormat="1" applyFont="1" applyFill="1" applyBorder="1" applyAlignment="1">
      <alignment horizontal="center" vertical="top"/>
    </xf>
    <xf numFmtId="187" fontId="8" fillId="11" borderId="24" xfId="0" applyNumberFormat="1" applyFont="1" applyFill="1" applyBorder="1" applyAlignment="1">
      <alignment horizontal="center" vertical="top"/>
    </xf>
    <xf numFmtId="187" fontId="8" fillId="12" borderId="24" xfId="0" applyNumberFormat="1" applyFont="1" applyFill="1" applyBorder="1" applyAlignment="1">
      <alignment horizontal="center" vertical="top"/>
    </xf>
    <xf numFmtId="187" fontId="8" fillId="19" borderId="19" xfId="0" applyNumberFormat="1" applyFont="1" applyFill="1" applyBorder="1" applyAlignment="1">
      <alignment horizontal="center"/>
    </xf>
    <xf numFmtId="189" fontId="8" fillId="19" borderId="19" xfId="0" applyNumberFormat="1" applyFont="1" applyFill="1" applyBorder="1" applyAlignment="1">
      <alignment horizontal="center"/>
    </xf>
    <xf numFmtId="187" fontId="8" fillId="2" borderId="19" xfId="0" applyNumberFormat="1" applyFont="1" applyFill="1" applyBorder="1" applyAlignment="1">
      <alignment horizontal="center" wrapText="1"/>
    </xf>
    <xf numFmtId="187" fontId="8" fillId="2" borderId="61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189" fontId="8" fillId="3" borderId="19" xfId="0" applyNumberFormat="1" applyFont="1" applyFill="1" applyBorder="1" applyAlignment="1">
      <alignment horizontal="center" vertical="top"/>
    </xf>
    <xf numFmtId="189" fontId="8" fillId="4" borderId="19" xfId="0" applyNumberFormat="1" applyFont="1" applyFill="1" applyBorder="1" applyAlignment="1">
      <alignment horizontal="center" vertical="top"/>
    </xf>
    <xf numFmtId="189" fontId="8" fillId="5" borderId="61" xfId="0" applyNumberFormat="1" applyFont="1" applyFill="1" applyBorder="1" applyAlignment="1">
      <alignment horizontal="center" vertical="top" wrapText="1"/>
    </xf>
    <xf numFmtId="187" fontId="8" fillId="6" borderId="19" xfId="0" applyNumberFormat="1" applyFont="1" applyFill="1" applyBorder="1" applyAlignment="1">
      <alignment horizontal="center"/>
    </xf>
    <xf numFmtId="187" fontId="1" fillId="2" borderId="61" xfId="0" applyNumberFormat="1" applyFont="1" applyFill="1" applyBorder="1" applyAlignment="1">
      <alignment horizontal="center" vertical="center" shrinkToFit="1"/>
    </xf>
    <xf numFmtId="189" fontId="1" fillId="2" borderId="9" xfId="0" applyNumberFormat="1" applyFont="1" applyFill="1" applyBorder="1" applyAlignment="1">
      <alignment horizontal="center" vertical="top" wrapText="1"/>
    </xf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0" fontId="1" fillId="6" borderId="63" xfId="0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left" vertical="center"/>
    </xf>
    <xf numFmtId="189" fontId="1" fillId="5" borderId="61" xfId="0" applyNumberFormat="1" applyFont="1" applyFill="1" applyBorder="1" applyAlignment="1">
      <alignment horizontal="center" vertical="top" wrapText="1"/>
    </xf>
    <xf numFmtId="189" fontId="8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8" fillId="2" borderId="19" xfId="0" applyFont="1" applyFill="1" applyBorder="1" applyAlignment="1">
      <alignment horizontal="center"/>
    </xf>
    <xf numFmtId="187" fontId="8" fillId="2" borderId="5" xfId="0" applyNumberFormat="1" applyFont="1" applyFill="1" applyBorder="1" applyAlignment="1">
      <alignment horizontal="center"/>
    </xf>
    <xf numFmtId="189" fontId="1" fillId="22" borderId="9" xfId="0" applyNumberFormat="1" applyFont="1" applyFill="1" applyBorder="1" applyAlignment="1">
      <alignment horizontal="center" vertical="top" wrapText="1"/>
    </xf>
    <xf numFmtId="0" fontId="1" fillId="23" borderId="9" xfId="0" applyFont="1" applyFill="1" applyBorder="1" applyAlignment="1">
      <alignment horizontal="center"/>
    </xf>
    <xf numFmtId="189" fontId="1" fillId="22" borderId="0" xfId="0" applyNumberFormat="1" applyFont="1" applyFill="1" applyAlignment="1">
      <alignment horizontal="center" vertical="top" wrapText="1"/>
    </xf>
    <xf numFmtId="0" fontId="1" fillId="23" borderId="26" xfId="0" applyFont="1" applyFill="1" applyBorder="1" applyAlignment="1">
      <alignment horizontal="center"/>
    </xf>
    <xf numFmtId="0" fontId="1" fillId="23" borderId="7" xfId="0" applyFont="1" applyFill="1" applyBorder="1" applyAlignment="1">
      <alignment horizontal="center"/>
    </xf>
    <xf numFmtId="189" fontId="11" fillId="2" borderId="9" xfId="0" applyNumberFormat="1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/>
    </xf>
    <xf numFmtId="0" fontId="11" fillId="2" borderId="2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189" fontId="11" fillId="5" borderId="61" xfId="0" applyNumberFormat="1" applyFont="1" applyFill="1" applyBorder="1" applyAlignment="1">
      <alignment horizontal="center" vertical="top" wrapText="1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0" fontId="8" fillId="5" borderId="61" xfId="0" applyFont="1" applyFill="1" applyBorder="1" applyAlignment="1">
      <alignment horizontal="center" vertical="top"/>
    </xf>
    <xf numFmtId="0" fontId="8" fillId="5" borderId="6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26" borderId="13" xfId="0" applyFont="1" applyFill="1" applyBorder="1" applyAlignment="1">
      <alignment horizontal="center" vertical="top" wrapText="1"/>
    </xf>
    <xf numFmtId="189" fontId="1" fillId="25" borderId="12" xfId="0" applyNumberFormat="1" applyFont="1" applyFill="1" applyBorder="1" applyAlignment="1">
      <alignment horizontal="center" vertical="top" wrapText="1"/>
    </xf>
    <xf numFmtId="189" fontId="8" fillId="5" borderId="19" xfId="0" applyNumberFormat="1" applyFont="1" applyFill="1" applyBorder="1" applyAlignment="1">
      <alignment horizontal="center" vertical="top" wrapText="1"/>
    </xf>
    <xf numFmtId="189" fontId="15" fillId="27" borderId="19" xfId="0" applyNumberFormat="1" applyFont="1" applyFill="1" applyBorder="1" applyAlignment="1">
      <alignment horizontal="center" vertical="top"/>
    </xf>
    <xf numFmtId="189" fontId="8" fillId="28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L989"/>
  <sheetViews>
    <sheetView tabSelected="1" view="pageBreakPreview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5" sqref="G1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8" width="7.5703125" customWidth="1"/>
    <col min="19" max="19" width="8.85546875" customWidth="1"/>
    <col min="20" max="20" width="7.5703125" customWidth="1"/>
    <col min="21" max="21" width="10.140625" customWidth="1"/>
    <col min="22" max="22" width="7.5703125" customWidth="1"/>
    <col min="23" max="23" width="10.140625" customWidth="1"/>
    <col min="24" max="35" width="7.5703125" customWidth="1"/>
    <col min="36" max="36" width="10.140625" customWidth="1"/>
    <col min="37" max="37" width="7.5703125" customWidth="1"/>
    <col min="38" max="38" width="8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99" t="s">
        <v>1</v>
      </c>
      <c r="B2" s="400"/>
      <c r="C2" s="369" t="s">
        <v>2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1"/>
    </row>
    <row r="3" spans="1:38" ht="30" customHeight="1" x14ac:dyDescent="0.2">
      <c r="A3" s="401"/>
      <c r="B3" s="402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375" t="s">
        <v>4</v>
      </c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6"/>
      <c r="AJ3" s="377" t="s">
        <v>5</v>
      </c>
      <c r="AK3" s="378"/>
      <c r="AL3" s="379"/>
    </row>
    <row r="4" spans="1:38" ht="30" customHeight="1" x14ac:dyDescent="0.2">
      <c r="A4" s="401"/>
      <c r="B4" s="402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366" t="s">
        <v>9</v>
      </c>
      <c r="S4" s="367"/>
      <c r="T4" s="367"/>
      <c r="U4" s="367"/>
      <c r="V4" s="367"/>
      <c r="W4" s="368"/>
      <c r="X4" s="366" t="s">
        <v>10</v>
      </c>
      <c r="Y4" s="367"/>
      <c r="Z4" s="367"/>
      <c r="AA4" s="368"/>
      <c r="AB4" s="366" t="s">
        <v>11</v>
      </c>
      <c r="AC4" s="367"/>
      <c r="AD4" s="367"/>
      <c r="AE4" s="368"/>
      <c r="AF4" s="385" t="s">
        <v>12</v>
      </c>
      <c r="AG4" s="370"/>
      <c r="AH4" s="370"/>
      <c r="AI4" s="371"/>
      <c r="AJ4" s="380"/>
      <c r="AK4" s="381"/>
      <c r="AL4" s="382"/>
    </row>
    <row r="5" spans="1:38" ht="24" customHeight="1" x14ac:dyDescent="0.3">
      <c r="A5" s="401"/>
      <c r="B5" s="402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386" t="s">
        <v>21</v>
      </c>
      <c r="S5" s="376"/>
      <c r="T5" s="393" t="s">
        <v>22</v>
      </c>
      <c r="U5" s="373"/>
      <c r="V5" s="373"/>
      <c r="W5" s="376"/>
      <c r="X5" s="386" t="s">
        <v>21</v>
      </c>
      <c r="Y5" s="376"/>
      <c r="Z5" s="387" t="s">
        <v>22</v>
      </c>
      <c r="AA5" s="376"/>
      <c r="AB5" s="386" t="s">
        <v>21</v>
      </c>
      <c r="AC5" s="376"/>
      <c r="AD5" s="387" t="s">
        <v>22</v>
      </c>
      <c r="AE5" s="376"/>
      <c r="AF5" s="386" t="s">
        <v>21</v>
      </c>
      <c r="AG5" s="376"/>
      <c r="AH5" s="387" t="s">
        <v>22</v>
      </c>
      <c r="AI5" s="376"/>
      <c r="AJ5" s="7" t="s">
        <v>21</v>
      </c>
      <c r="AK5" s="387" t="s">
        <v>22</v>
      </c>
      <c r="AL5" s="376"/>
    </row>
    <row r="6" spans="1:38" ht="30" customHeight="1" x14ac:dyDescent="0.2">
      <c r="A6" s="403"/>
      <c r="B6" s="404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3" t="s">
        <v>27</v>
      </c>
      <c r="S6" s="14" t="s">
        <v>28</v>
      </c>
      <c r="T6" s="15" t="s">
        <v>27</v>
      </c>
      <c r="U6" s="16" t="s">
        <v>24</v>
      </c>
      <c r="V6" s="17" t="s">
        <v>28</v>
      </c>
      <c r="W6" s="16" t="s">
        <v>24</v>
      </c>
      <c r="X6" s="13" t="s">
        <v>27</v>
      </c>
      <c r="Y6" s="14" t="s">
        <v>28</v>
      </c>
      <c r="Z6" s="15" t="s">
        <v>27</v>
      </c>
      <c r="AA6" s="17" t="s">
        <v>28</v>
      </c>
      <c r="AB6" s="13" t="s">
        <v>27</v>
      </c>
      <c r="AC6" s="14" t="s">
        <v>28</v>
      </c>
      <c r="AD6" s="15" t="s">
        <v>27</v>
      </c>
      <c r="AE6" s="17" t="s">
        <v>28</v>
      </c>
      <c r="AF6" s="13" t="s">
        <v>27</v>
      </c>
      <c r="AG6" s="14" t="s">
        <v>28</v>
      </c>
      <c r="AH6" s="15" t="s">
        <v>27</v>
      </c>
      <c r="AI6" s="17" t="s">
        <v>28</v>
      </c>
      <c r="AJ6" s="18" t="s">
        <v>29</v>
      </c>
      <c r="AK6" s="19" t="s">
        <v>27</v>
      </c>
      <c r="AL6" s="20" t="s">
        <v>30</v>
      </c>
    </row>
    <row r="7" spans="1:38" ht="24" customHeight="1" x14ac:dyDescent="0.2">
      <c r="A7" s="412" t="s">
        <v>31</v>
      </c>
      <c r="B7" s="413"/>
      <c r="C7" s="21">
        <f t="shared" ref="C7:C10" ca="1" si="0">D7+G7</f>
        <v>11456200</v>
      </c>
      <c r="D7" s="22">
        <f t="shared" ref="D7:E7" ca="1" si="1">D8+D9+D12</f>
        <v>11456200</v>
      </c>
      <c r="E7" s="23">
        <f t="shared" ca="1" si="1"/>
        <v>5155200</v>
      </c>
      <c r="F7" s="24">
        <f ca="1">F8+F9</f>
        <v>6301000</v>
      </c>
      <c r="G7" s="25">
        <f t="shared" ref="G7:I7" ca="1" si="2">G8+G9+G12</f>
        <v>0</v>
      </c>
      <c r="H7" s="26">
        <f t="shared" ca="1" si="2"/>
        <v>8885600</v>
      </c>
      <c r="I7" s="26">
        <f t="shared" ca="1" si="2"/>
        <v>0</v>
      </c>
      <c r="J7" s="27">
        <f t="shared" ref="J7:J10" ca="1" si="3">L7+O7</f>
        <v>2262783.88</v>
      </c>
      <c r="K7" s="28">
        <f t="shared" ref="K7:K10" ca="1" si="4">IF(C7&gt;0,J7*100/C7,0)</f>
        <v>19.75160943419284</v>
      </c>
      <c r="L7" s="27">
        <f ca="1">L8+L9+L12</f>
        <v>2262783.88</v>
      </c>
      <c r="M7" s="29">
        <f t="shared" ref="M7:M10" ca="1" si="5">IF(D7&gt;0,L7*100/D7,0)</f>
        <v>19.75160943419284</v>
      </c>
      <c r="N7" s="29">
        <f t="shared" ref="N7:N10" ca="1" si="6">IF(H7&gt;0,L7*100/H7,0)</f>
        <v>25.46574097416044</v>
      </c>
      <c r="O7" s="30">
        <f ca="1">O8+O9+O12</f>
        <v>0</v>
      </c>
      <c r="P7" s="30">
        <f t="shared" ref="P7:P10" ca="1" si="7">IF(G7&gt;0,O7*100/G7,0)</f>
        <v>0</v>
      </c>
      <c r="Q7" s="29">
        <f t="shared" ref="Q7:Q10" ca="1" si="8">IF(I7&gt;0,O7*100/I7,0)</f>
        <v>0</v>
      </c>
      <c r="R7" s="31">
        <f ca="1">R8</f>
        <v>13</v>
      </c>
      <c r="S7" s="31">
        <f t="shared" ref="S7:S8" ca="1" si="9">+Y7+AC7+AG7</f>
        <v>613</v>
      </c>
      <c r="T7" s="32">
        <f ca="1">T8+T9+T12</f>
        <v>2</v>
      </c>
      <c r="U7" s="33">
        <f t="shared" ref="U7:U8" ca="1" si="10">IF(R7&gt;0,T7*100/R7,0)</f>
        <v>15.384615384615385</v>
      </c>
      <c r="V7" s="32">
        <f ca="1">V8+V9+V12</f>
        <v>64</v>
      </c>
      <c r="W7" s="33">
        <f t="shared" ref="W7:W8" ca="1" si="11">IF(S7&gt;0,V7*100/S7,0)</f>
        <v>10.440456769983687</v>
      </c>
      <c r="X7" s="31">
        <f t="shared" ref="X7:Y7" ca="1" si="12">X8</f>
        <v>0</v>
      </c>
      <c r="Y7" s="31">
        <f t="shared" ca="1" si="12"/>
        <v>0</v>
      </c>
      <c r="Z7" s="32">
        <f t="shared" ref="Z7:AA7" ca="1" si="13">Z8+Z9+Z12</f>
        <v>0</v>
      </c>
      <c r="AA7" s="32">
        <f t="shared" ca="1" si="13"/>
        <v>0</v>
      </c>
      <c r="AB7" s="31">
        <f t="shared" ref="AB7:AC7" ca="1" si="14">AB8</f>
        <v>0</v>
      </c>
      <c r="AC7" s="31">
        <f t="shared" ca="1" si="14"/>
        <v>0</v>
      </c>
      <c r="AD7" s="32">
        <f t="shared" ref="AD7:AE7" ca="1" si="15">AD8+AD9+AD12</f>
        <v>0</v>
      </c>
      <c r="AE7" s="32">
        <f t="shared" ca="1" si="15"/>
        <v>0</v>
      </c>
      <c r="AF7" s="31">
        <f t="shared" ref="AF7:AG7" ca="1" si="16">AF8</f>
        <v>13</v>
      </c>
      <c r="AG7" s="31">
        <f t="shared" ca="1" si="16"/>
        <v>613</v>
      </c>
      <c r="AH7" s="32">
        <f t="shared" ref="AH7:AI7" ca="1" si="17">AH8+AH9+AH12</f>
        <v>2</v>
      </c>
      <c r="AI7" s="32">
        <f t="shared" ca="1" si="17"/>
        <v>64</v>
      </c>
      <c r="AJ7" s="31">
        <f ca="1">AJ8</f>
        <v>13</v>
      </c>
      <c r="AK7" s="32">
        <f ca="1">AK8+AK9+AK12</f>
        <v>1</v>
      </c>
      <c r="AL7" s="33">
        <f t="shared" ref="AL7:AL8" ca="1" si="18">IF(AJ7&gt;0,AK7*100/AJ7,0)</f>
        <v>7.6923076923076925</v>
      </c>
    </row>
    <row r="8" spans="1:38" ht="28.5" customHeight="1" x14ac:dyDescent="0.2">
      <c r="A8" s="34" t="s">
        <v>32</v>
      </c>
      <c r="B8" s="35"/>
      <c r="C8" s="36">
        <f t="shared" ca="1" si="0"/>
        <v>6972000</v>
      </c>
      <c r="D8" s="37">
        <f t="shared" ref="D8:I8" ca="1" si="19">+D13+D31+D52+D74</f>
        <v>6972000</v>
      </c>
      <c r="E8" s="38">
        <f t="shared" ca="1" si="19"/>
        <v>3253600</v>
      </c>
      <c r="F8" s="38">
        <f t="shared" ca="1" si="19"/>
        <v>3718400</v>
      </c>
      <c r="G8" s="38">
        <f t="shared" ca="1" si="19"/>
        <v>0</v>
      </c>
      <c r="H8" s="38">
        <f t="shared" ca="1" si="19"/>
        <v>6124900</v>
      </c>
      <c r="I8" s="38">
        <f t="shared" ca="1" si="19"/>
        <v>0</v>
      </c>
      <c r="J8" s="38">
        <f t="shared" ca="1" si="3"/>
        <v>1545992.0799999998</v>
      </c>
      <c r="K8" s="39">
        <f t="shared" ca="1" si="4"/>
        <v>22.174298336201947</v>
      </c>
      <c r="L8" s="38">
        <f ca="1">+L13+L31+L52+L74</f>
        <v>1545992.0799999998</v>
      </c>
      <c r="M8" s="40">
        <f t="shared" ca="1" si="5"/>
        <v>22.174298336201947</v>
      </c>
      <c r="N8" s="40">
        <f t="shared" ca="1" si="6"/>
        <v>25.241099119985627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8">
        <f ca="1">+R13+R31+R52+R74</f>
        <v>13</v>
      </c>
      <c r="S8" s="38">
        <f t="shared" ca="1" si="9"/>
        <v>613</v>
      </c>
      <c r="T8" s="38">
        <f ca="1">+T13+T31+T52+T74</f>
        <v>2</v>
      </c>
      <c r="U8" s="40">
        <f t="shared" ca="1" si="10"/>
        <v>15.384615384615385</v>
      </c>
      <c r="V8" s="38">
        <f ca="1">+V13+V31+V52+V74</f>
        <v>64</v>
      </c>
      <c r="W8" s="40">
        <f t="shared" ca="1" si="11"/>
        <v>10.440456769983687</v>
      </c>
      <c r="X8" s="38">
        <f t="shared" ref="X8:AK8" ca="1" si="20">+X13+X31+X52+X74</f>
        <v>0</v>
      </c>
      <c r="Y8" s="38">
        <f t="shared" ca="1" si="20"/>
        <v>0</v>
      </c>
      <c r="Z8" s="38">
        <f t="shared" ca="1" si="20"/>
        <v>0</v>
      </c>
      <c r="AA8" s="38">
        <f t="shared" ca="1" si="20"/>
        <v>0</v>
      </c>
      <c r="AB8" s="38">
        <f t="shared" ca="1" si="20"/>
        <v>0</v>
      </c>
      <c r="AC8" s="38">
        <f t="shared" ca="1" si="20"/>
        <v>0</v>
      </c>
      <c r="AD8" s="38">
        <f t="shared" ca="1" si="20"/>
        <v>0</v>
      </c>
      <c r="AE8" s="38">
        <f t="shared" ca="1" si="20"/>
        <v>0</v>
      </c>
      <c r="AF8" s="38">
        <f t="shared" ca="1" si="20"/>
        <v>13</v>
      </c>
      <c r="AG8" s="38">
        <f t="shared" ca="1" si="20"/>
        <v>613</v>
      </c>
      <c r="AH8" s="38">
        <f t="shared" ca="1" si="20"/>
        <v>2</v>
      </c>
      <c r="AI8" s="38">
        <f t="shared" ca="1" si="20"/>
        <v>64</v>
      </c>
      <c r="AJ8" s="38">
        <f t="shared" ca="1" si="20"/>
        <v>13</v>
      </c>
      <c r="AK8" s="42">
        <f t="shared" ca="1" si="20"/>
        <v>1</v>
      </c>
      <c r="AL8" s="43">
        <f t="shared" ca="1" si="18"/>
        <v>7.6923076923076925</v>
      </c>
    </row>
    <row r="9" spans="1:38" ht="28.5" customHeight="1" x14ac:dyDescent="0.2">
      <c r="A9" s="44" t="s">
        <v>33</v>
      </c>
      <c r="B9" s="45"/>
      <c r="C9" s="46">
        <f t="shared" ca="1" si="0"/>
        <v>4484200</v>
      </c>
      <c r="D9" s="47">
        <f t="shared" ref="D9:I9" ca="1" si="21">+D10+D11</f>
        <v>4484200</v>
      </c>
      <c r="E9" s="46">
        <f t="shared" ca="1" si="21"/>
        <v>1901600</v>
      </c>
      <c r="F9" s="46">
        <f t="shared" ca="1" si="21"/>
        <v>2582600</v>
      </c>
      <c r="G9" s="46">
        <f t="shared" ca="1" si="21"/>
        <v>0</v>
      </c>
      <c r="H9" s="46">
        <f t="shared" ca="1" si="21"/>
        <v>2760700</v>
      </c>
      <c r="I9" s="46">
        <f t="shared" ca="1" si="21"/>
        <v>0</v>
      </c>
      <c r="J9" s="46">
        <f t="shared" ca="1" si="3"/>
        <v>716791.8</v>
      </c>
      <c r="K9" s="48">
        <f t="shared" ca="1" si="4"/>
        <v>15.98483118504973</v>
      </c>
      <c r="L9" s="46">
        <f ca="1">+L10+L11</f>
        <v>716791.8</v>
      </c>
      <c r="M9" s="49">
        <f t="shared" ca="1" si="5"/>
        <v>15.98483118504973</v>
      </c>
      <c r="N9" s="49">
        <f t="shared" ca="1" si="6"/>
        <v>25.964132285289963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6"/>
      <c r="U9" s="49"/>
      <c r="V9" s="46"/>
      <c r="W9" s="49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1"/>
      <c r="AL9" s="52"/>
    </row>
    <row r="10" spans="1:38" ht="28.5" customHeight="1" x14ac:dyDescent="0.2">
      <c r="A10" s="44" t="s">
        <v>34</v>
      </c>
      <c r="B10" s="45"/>
      <c r="C10" s="46">
        <f t="shared" ca="1" si="0"/>
        <v>4484200</v>
      </c>
      <c r="D10" s="47">
        <f t="shared" ref="D10:I10" ca="1" si="22">+D89</f>
        <v>4484200</v>
      </c>
      <c r="E10" s="46">
        <f t="shared" ca="1" si="22"/>
        <v>1901600</v>
      </c>
      <c r="F10" s="46">
        <f t="shared" ca="1" si="22"/>
        <v>2582600</v>
      </c>
      <c r="G10" s="46">
        <f t="shared" ca="1" si="22"/>
        <v>0</v>
      </c>
      <c r="H10" s="46">
        <f t="shared" ca="1" si="22"/>
        <v>2760700</v>
      </c>
      <c r="I10" s="46">
        <f t="shared" ca="1" si="22"/>
        <v>0</v>
      </c>
      <c r="J10" s="46">
        <f t="shared" ca="1" si="3"/>
        <v>716791.8</v>
      </c>
      <c r="K10" s="48">
        <f t="shared" ca="1" si="4"/>
        <v>15.98483118504973</v>
      </c>
      <c r="L10" s="46">
        <f ca="1">+L89</f>
        <v>716791.8</v>
      </c>
      <c r="M10" s="49">
        <f t="shared" ca="1" si="5"/>
        <v>15.98483118504973</v>
      </c>
      <c r="N10" s="49">
        <f t="shared" ca="1" si="6"/>
        <v>25.964132285289963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6"/>
      <c r="U10" s="49"/>
      <c r="V10" s="46"/>
      <c r="W10" s="49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1"/>
      <c r="AL10" s="52"/>
    </row>
    <row r="11" spans="1:38" ht="28.5" hidden="1" customHeight="1" x14ac:dyDescent="0.2">
      <c r="A11" s="53"/>
      <c r="B11" s="54"/>
      <c r="C11" s="55"/>
      <c r="D11" s="56"/>
      <c r="E11" s="55"/>
      <c r="F11" s="55"/>
      <c r="G11" s="55"/>
      <c r="H11" s="55"/>
      <c r="I11" s="55"/>
      <c r="J11" s="55"/>
      <c r="K11" s="57"/>
      <c r="L11" s="55"/>
      <c r="M11" s="58"/>
      <c r="N11" s="58"/>
      <c r="O11" s="59"/>
      <c r="P11" s="59"/>
      <c r="Q11" s="58"/>
      <c r="R11" s="55"/>
      <c r="S11" s="55"/>
      <c r="T11" s="55"/>
      <c r="U11" s="58"/>
      <c r="V11" s="55"/>
      <c r="W11" s="58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60"/>
      <c r="AL11" s="61"/>
    </row>
    <row r="12" spans="1:38" ht="28.5" hidden="1" customHeight="1" x14ac:dyDescent="0.2">
      <c r="A12" s="62"/>
      <c r="B12" s="54"/>
      <c r="C12" s="55"/>
      <c r="D12" s="63"/>
      <c r="E12" s="64"/>
      <c r="F12" s="64"/>
      <c r="G12" s="64"/>
      <c r="H12" s="64"/>
      <c r="I12" s="64"/>
      <c r="J12" s="64"/>
      <c r="K12" s="65"/>
      <c r="L12" s="64"/>
      <c r="M12" s="66"/>
      <c r="N12" s="66"/>
      <c r="O12" s="67"/>
      <c r="P12" s="67"/>
      <c r="Q12" s="66"/>
      <c r="R12" s="64"/>
      <c r="S12" s="64"/>
      <c r="T12" s="64"/>
      <c r="U12" s="66"/>
      <c r="V12" s="64"/>
      <c r="W12" s="66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6"/>
    </row>
    <row r="13" spans="1:38" ht="28.5" customHeight="1" x14ac:dyDescent="0.2">
      <c r="A13" s="394" t="s">
        <v>35</v>
      </c>
      <c r="B13" s="376"/>
      <c r="C13" s="68">
        <f t="shared" ref="C13:C88" ca="1" si="23">D13+G13</f>
        <v>2308600</v>
      </c>
      <c r="D13" s="69">
        <f t="shared" ref="D13:I13" ca="1" si="24">SUM(D14:D30)</f>
        <v>2308600</v>
      </c>
      <c r="E13" s="70">
        <f t="shared" ca="1" si="24"/>
        <v>1253000</v>
      </c>
      <c r="F13" s="70">
        <f t="shared" ca="1" si="24"/>
        <v>1055600</v>
      </c>
      <c r="G13" s="70">
        <f t="shared" ca="1" si="24"/>
        <v>0</v>
      </c>
      <c r="H13" s="70">
        <f t="shared" ca="1" si="24"/>
        <v>2031100</v>
      </c>
      <c r="I13" s="70">
        <f t="shared" ca="1" si="24"/>
        <v>0</v>
      </c>
      <c r="J13" s="70">
        <f t="shared" ref="J13:J88" ca="1" si="25">L13+O13</f>
        <v>490553.77999999997</v>
      </c>
      <c r="K13" s="71">
        <f t="shared" ref="K13:K88" ca="1" si="26">IF(C13&gt;0,J13*100/C13,0)</f>
        <v>21.248972537468596</v>
      </c>
      <c r="L13" s="70">
        <f ca="1">SUM(L14:L30)</f>
        <v>490553.77999999997</v>
      </c>
      <c r="M13" s="72">
        <f t="shared" ref="M13:M88" ca="1" si="27">IF(D13&gt;0,L13*100/D13,0)</f>
        <v>21.248972537468596</v>
      </c>
      <c r="N13" s="72">
        <f t="shared" ref="N13:N88" ca="1" si="28">IF(H13&gt;0,L13*100/H13,0)</f>
        <v>24.152123479887745</v>
      </c>
      <c r="O13" s="73">
        <f ca="1">SUM(O14:O30)</f>
        <v>0</v>
      </c>
      <c r="P13" s="73">
        <f t="shared" ref="P13:P88" ca="1" si="29">IF(G13&gt;0,O13*100/G13,0)</f>
        <v>0</v>
      </c>
      <c r="Q13" s="72">
        <f t="shared" ref="Q13:Q88" ca="1" si="30">IF(I13&gt;0,O13*100/I13,0)</f>
        <v>0</v>
      </c>
      <c r="R13" s="70">
        <f t="shared" ref="R13:R88" ca="1" si="31">SUM(X13+AB13+AF13)</f>
        <v>4</v>
      </c>
      <c r="S13" s="70">
        <f t="shared" ref="S13:S88" ca="1" si="32">+Y13+AC13+AG13</f>
        <v>157</v>
      </c>
      <c r="T13" s="70">
        <f ca="1">SUM(T14:T30)</f>
        <v>1</v>
      </c>
      <c r="U13" s="72">
        <f t="shared" ref="U13:U88" ca="1" si="33">IF(R13&gt;0,T13*100/R13,0)</f>
        <v>25</v>
      </c>
      <c r="V13" s="70">
        <f ca="1">SUM(V14:V30)</f>
        <v>30</v>
      </c>
      <c r="W13" s="72">
        <f t="shared" ref="W13:W88" ca="1" si="34">IF(S13&gt;0,V13*100/S13,0)</f>
        <v>19.108280254777071</v>
      </c>
      <c r="X13" s="70">
        <f t="shared" ref="X13:AK13" ca="1" si="35">SUM(X14:X30)</f>
        <v>0</v>
      </c>
      <c r="Y13" s="70">
        <f t="shared" ca="1" si="35"/>
        <v>0</v>
      </c>
      <c r="Z13" s="70">
        <f t="shared" ca="1" si="35"/>
        <v>0</v>
      </c>
      <c r="AA13" s="70">
        <f t="shared" ca="1" si="35"/>
        <v>0</v>
      </c>
      <c r="AB13" s="70">
        <f t="shared" ca="1" si="35"/>
        <v>0</v>
      </c>
      <c r="AC13" s="70">
        <f t="shared" ca="1" si="35"/>
        <v>0</v>
      </c>
      <c r="AD13" s="70">
        <f t="shared" ca="1" si="35"/>
        <v>0</v>
      </c>
      <c r="AE13" s="70">
        <f t="shared" ca="1" si="35"/>
        <v>0</v>
      </c>
      <c r="AF13" s="70">
        <f t="shared" ca="1" si="35"/>
        <v>4</v>
      </c>
      <c r="AG13" s="70">
        <f t="shared" ca="1" si="35"/>
        <v>157</v>
      </c>
      <c r="AH13" s="70">
        <f t="shared" ca="1" si="35"/>
        <v>1</v>
      </c>
      <c r="AI13" s="70">
        <f t="shared" ca="1" si="35"/>
        <v>30</v>
      </c>
      <c r="AJ13" s="70">
        <f t="shared" ca="1" si="35"/>
        <v>4</v>
      </c>
      <c r="AK13" s="70">
        <f t="shared" ca="1" si="35"/>
        <v>1</v>
      </c>
      <c r="AL13" s="72">
        <f t="shared" ref="AL13:AL88" ca="1" si="36">IF(AJ13&gt;0,AK13*100/AJ13,0)</f>
        <v>25</v>
      </c>
    </row>
    <row r="14" spans="1:38" ht="24" customHeight="1" x14ac:dyDescent="0.2">
      <c r="A14" s="74">
        <v>1</v>
      </c>
      <c r="B14" s="75" t="s">
        <v>36</v>
      </c>
      <c r="C14" s="76">
        <f t="shared" ca="1" si="23"/>
        <v>0</v>
      </c>
      <c r="D14" s="77">
        <f t="shared" ref="D14:D30" ca="1" si="37">+E14+F14</f>
        <v>0</v>
      </c>
      <c r="E14" s="78">
        <f ca="1">IFERROR(__xludf.DUMMYFUNCTION("IMPORTRANGE(""https://docs.google.com/spreadsheets/d/1-uDff_7J0KD5mKrp0Vvzr7lt3OU09vwQwhkpOPPYv2Y/edit?usp=sharing"",""งบพรบ!AN14"")"),0)</f>
        <v>0</v>
      </c>
      <c r="F14" s="78">
        <f ca="1">IFERROR(__xludf.DUMMYFUNCTION("IMPORTRANGE(""https://docs.google.com/spreadsheets/d/1-uDff_7J0KD5mKrp0Vvzr7lt3OU09vwQwhkpOPPYv2Y/edit?usp=sharing"",""งบพรบ!AO14"")"),0)</f>
        <v>0</v>
      </c>
      <c r="G14" s="79">
        <f ca="1">IFERROR(__xludf.DUMMYFUNCTION("IMPORTRANGE(""https://docs.google.com/spreadsheets/d/1-uDff_7J0KD5mKrp0Vvzr7lt3OU09vwQwhkpOPPYv2Y/edit?usp=sharing"",""งบพรบ!AP14"")"),0)</f>
        <v>0</v>
      </c>
      <c r="H14" s="79">
        <f ca="1">IFERROR(__xludf.DUMMYFUNCTION("IMPORTRANGE(""https://docs.google.com/spreadsheets/d/1-uDff_7J0KD5mKrp0Vvzr7lt3OU09vwQwhkpOPPYv2Y/edit?usp=sharing"",""งบพรบ!AR14"")"),0)</f>
        <v>0</v>
      </c>
      <c r="I14" s="79">
        <f ca="1">IFERROR(__xludf.DUMMYFUNCTION("IMPORTRANGE(""https://docs.google.com/spreadsheets/d/1-uDff_7J0KD5mKrp0Vvzr7lt3OU09vwQwhkpOPPYv2Y/edit?usp=sharing"",""งบพรบ!AS14"")"),0)</f>
        <v>0</v>
      </c>
      <c r="J14" s="79">
        <f t="shared" ca="1" si="25"/>
        <v>0</v>
      </c>
      <c r="K14" s="80">
        <f t="shared" ca="1" si="26"/>
        <v>0</v>
      </c>
      <c r="L14" s="79">
        <f ca="1">IFERROR(__xludf.DUMMYFUNCTION("IMPORTRANGE(""https://docs.google.com/spreadsheets/d/1-uDff_7J0KD5mKrp0Vvzr7lt3OU09vwQwhkpOPPYv2Y/edit?usp=sharing"",""งบพรบ!AT14"")"),0)</f>
        <v>0</v>
      </c>
      <c r="M14" s="81">
        <f t="shared" ca="1" si="27"/>
        <v>0</v>
      </c>
      <c r="N14" s="81">
        <f t="shared" ca="1" si="28"/>
        <v>0</v>
      </c>
      <c r="O14" s="82">
        <f ca="1">IFERROR(__xludf.DUMMYFUNCTION("IMPORTRANGE(""https://docs.google.com/spreadsheets/d/1-uDff_7J0KD5mKrp0Vvzr7lt3OU09vwQwhkpOPPYv2Y/edit?usp=sharing"",""งบพรบ!AU14"")"),0)</f>
        <v>0</v>
      </c>
      <c r="P14" s="82">
        <f t="shared" ca="1" si="29"/>
        <v>0</v>
      </c>
      <c r="Q14" s="81">
        <f t="shared" ca="1" si="30"/>
        <v>0</v>
      </c>
      <c r="R14" s="79">
        <f t="shared" ca="1" si="31"/>
        <v>0</v>
      </c>
      <c r="S14" s="79">
        <f t="shared" ca="1" si="32"/>
        <v>0</v>
      </c>
      <c r="T14" s="79">
        <f t="shared" ref="T14:T30" ca="1" si="38">Z14+AD14+AH14</f>
        <v>0</v>
      </c>
      <c r="U14" s="83">
        <f t="shared" ca="1" si="33"/>
        <v>0</v>
      </c>
      <c r="V14" s="79">
        <f t="shared" ref="V14:V30" ca="1" si="39">AA14+AE14+AI14</f>
        <v>0</v>
      </c>
      <c r="W14" s="83">
        <f t="shared" ca="1" si="34"/>
        <v>0</v>
      </c>
      <c r="X14" s="78">
        <f ca="1">IFERROR(__xludf.DUMMYFUNCTION("IMPORTRANGE(""https://docs.google.com/spreadsheets/d/1jTcq05yEiRwXcBMLjiodW9e4biSGYWAHcDj22rKWQ3s/edit?usp=sharing"",""กำแพงเพชร!I84"")"),0)</f>
        <v>0</v>
      </c>
      <c r="Y14" s="78">
        <f ca="1">IFERROR(__xludf.DUMMYFUNCTION("IMPORTRANGE(""https://docs.google.com/spreadsheets/d/1jTcq05yEiRwXcBMLjiodW9e4biSGYWAHcDj22rKWQ3s/edit?usp=sharing"",""กำแพงเพชร!I85"")"),0)</f>
        <v>0</v>
      </c>
      <c r="Z14" s="79">
        <f ca="1">IFERROR(__xludf.DUMMYFUNCTION("IMPORTRANGE(""https://docs.google.com/spreadsheets/d/1jTcq05yEiRwXcBMLjiodW9e4biSGYWAHcDj22rKWQ3s/edit?usp=sharing"",""กำแพงเพชร!J84"")"),0)</f>
        <v>0</v>
      </c>
      <c r="AA14" s="79">
        <f ca="1">IFERROR(__xludf.DUMMYFUNCTION("IMPORTRANGE(""https://docs.google.com/spreadsheets/d/1jTcq05yEiRwXcBMLjiodW9e4biSGYWAHcDj22rKWQ3s/edit?usp=sharing"",""กำแพงเพชร!J85"")"),0)</f>
        <v>0</v>
      </c>
      <c r="AB14" s="78">
        <f ca="1">IFERROR(__xludf.DUMMYFUNCTION("IMPORTRANGE(""https://docs.google.com/spreadsheets/d/1jTcq05yEiRwXcBMLjiodW9e4biSGYWAHcDj22rKWQ3s/edit?usp=sharing"",""กำแพงเพชร!I86"")"),0)</f>
        <v>0</v>
      </c>
      <c r="AC14" s="78">
        <f ca="1">IFERROR(__xludf.DUMMYFUNCTION("IMPORTRANGE(""https://docs.google.com/spreadsheets/d/1jTcq05yEiRwXcBMLjiodW9e4biSGYWAHcDj22rKWQ3s/edit?usp=sharing"",""กำแพงเพชร!I87"")"),0)</f>
        <v>0</v>
      </c>
      <c r="AD14" s="79">
        <f ca="1">IFERROR(__xludf.DUMMYFUNCTION("IMPORTRANGE(""https://docs.google.com/spreadsheets/d/1jTcq05yEiRwXcBMLjiodW9e4biSGYWAHcDj22rKWQ3s/edit?usp=sharing"",""กำแพงเพชร!J86"")"),0)</f>
        <v>0</v>
      </c>
      <c r="AE14" s="79">
        <f ca="1">IFERROR(__xludf.DUMMYFUNCTION("IMPORTRANGE(""https://docs.google.com/spreadsheets/d/1jTcq05yEiRwXcBMLjiodW9e4biSGYWAHcDj22rKWQ3s/edit?usp=sharing"",""กำแพงเพชร!J87"")"),0)</f>
        <v>0</v>
      </c>
      <c r="AF14" s="78">
        <f ca="1">IFERROR(__xludf.DUMMYFUNCTION("IMPORTRANGE(""https://docs.google.com/spreadsheets/d/1jTcq05yEiRwXcBMLjiodW9e4biSGYWAHcDj22rKWQ3s/edit?usp=sharing"",""กำแพงเพชร!I88"")"),0)</f>
        <v>0</v>
      </c>
      <c r="AG14" s="78">
        <f ca="1">IFERROR(__xludf.DUMMYFUNCTION("IMPORTRANGE(""https://docs.google.com/spreadsheets/d/1jTcq05yEiRwXcBMLjiodW9e4biSGYWAHcDj22rKWQ3s/edit?usp=sharing"",""กำแพงเพชร!I89"")"),0)</f>
        <v>0</v>
      </c>
      <c r="AH14" s="79">
        <f ca="1">IFERROR(__xludf.DUMMYFUNCTION("IMPORTRANGE(""https://docs.google.com/spreadsheets/d/1jTcq05yEiRwXcBMLjiodW9e4biSGYWAHcDj22rKWQ3s/edit?usp=sharing"",""กำแพงเพชร!J88"")"),0)</f>
        <v>0</v>
      </c>
      <c r="AI14" s="79">
        <f ca="1">IFERROR(__xludf.DUMMYFUNCTION("IMPORTRANGE(""https://docs.google.com/spreadsheets/d/1jTcq05yEiRwXcBMLjiodW9e4biSGYWAHcDj22rKWQ3s/edit?usp=sharing"",""กำแพงเพชร!J89"")"),0)</f>
        <v>0</v>
      </c>
      <c r="AJ14" s="78">
        <f ca="1">IFERROR(__xludf.DUMMYFUNCTION("IMPORTRANGE(""https://docs.google.com/spreadsheets/d/1jTcq05yEiRwXcBMLjiodW9e4biSGYWAHcDj22rKWQ3s/edit?usp=sharing"",""กำแพงเพชร!I90"")"),0)</f>
        <v>0</v>
      </c>
      <c r="AK14" s="79">
        <f ca="1">IFERROR(__xludf.DUMMYFUNCTION("IMPORTRANGE(""https://docs.google.com/spreadsheets/d/1jTcq05yEiRwXcBMLjiodW9e4biSGYWAHcDj22rKWQ3s/edit?usp=sharing"",""กำแพงเพชร!J90"")"),0)</f>
        <v>0</v>
      </c>
      <c r="AL14" s="81">
        <f t="shared" ca="1" si="36"/>
        <v>0</v>
      </c>
    </row>
    <row r="15" spans="1:38" ht="24" customHeight="1" x14ac:dyDescent="0.2">
      <c r="A15" s="84">
        <v>2</v>
      </c>
      <c r="B15" s="85" t="s">
        <v>37</v>
      </c>
      <c r="C15" s="86">
        <f t="shared" ca="1" si="23"/>
        <v>791300</v>
      </c>
      <c r="D15" s="87">
        <f t="shared" ca="1" si="37"/>
        <v>791300</v>
      </c>
      <c r="E15" s="88">
        <f ca="1">IFERROR(__xludf.DUMMYFUNCTION("IMPORTRANGE(""https://docs.google.com/spreadsheets/d/1-uDff_7J0KD5mKrp0Vvzr7lt3OU09vwQwhkpOPPYv2Y/edit?usp=sharing"",""งบพรบ!AN15"")"),469300)</f>
        <v>469300</v>
      </c>
      <c r="F15" s="88">
        <f ca="1">IFERROR(__xludf.DUMMYFUNCTION("IMPORTRANGE(""https://docs.google.com/spreadsheets/d/1-uDff_7J0KD5mKrp0Vvzr7lt3OU09vwQwhkpOPPYv2Y/edit?usp=sharing"",""งบพรบ!AO15"")"),322000)</f>
        <v>322000</v>
      </c>
      <c r="G15" s="88">
        <f ca="1">IFERROR(__xludf.DUMMYFUNCTION("IMPORTRANGE(""https://docs.google.com/spreadsheets/d/1-uDff_7J0KD5mKrp0Vvzr7lt3OU09vwQwhkpOPPYv2Y/edit?usp=sharing"",""งบพรบ!AP15"")"),0)</f>
        <v>0</v>
      </c>
      <c r="H15" s="88">
        <f ca="1">IFERROR(__xludf.DUMMYFUNCTION("IMPORTRANGE(""https://docs.google.com/spreadsheets/d/1-uDff_7J0KD5mKrp0Vvzr7lt3OU09vwQwhkpOPPYv2Y/edit?usp=sharing"",""งบพรบ!AR15"")"),657500)</f>
        <v>657500</v>
      </c>
      <c r="I15" s="88">
        <f ca="1">IFERROR(__xludf.DUMMYFUNCTION("IMPORTRANGE(""https://docs.google.com/spreadsheets/d/1-uDff_7J0KD5mKrp0Vvzr7lt3OU09vwQwhkpOPPYv2Y/edit?usp=sharing"",""งบพรบ!AS15"")"),0)</f>
        <v>0</v>
      </c>
      <c r="J15" s="88">
        <f t="shared" ca="1" si="25"/>
        <v>121855.65</v>
      </c>
      <c r="K15" s="89">
        <f t="shared" ca="1" si="26"/>
        <v>15.399424996840642</v>
      </c>
      <c r="L15" s="88">
        <f ca="1">IFERROR(__xludf.DUMMYFUNCTION("IMPORTRANGE(""https://docs.google.com/spreadsheets/d/1-uDff_7J0KD5mKrp0Vvzr7lt3OU09vwQwhkpOPPYv2Y/edit?usp=sharing"",""งบพรบ!AT15"")"),121855.65)</f>
        <v>121855.65</v>
      </c>
      <c r="M15" s="90">
        <f t="shared" ca="1" si="27"/>
        <v>15.399424996840642</v>
      </c>
      <c r="N15" s="90">
        <f t="shared" ca="1" si="28"/>
        <v>18.533178707224334</v>
      </c>
      <c r="O15" s="91">
        <f ca="1">IFERROR(__xludf.DUMMYFUNCTION("IMPORTRANGE(""https://docs.google.com/spreadsheets/d/1-uDff_7J0KD5mKrp0Vvzr7lt3OU09vwQwhkpOPPYv2Y/edit?usp=sharing"",""งบพรบ!AU15"")"),0)</f>
        <v>0</v>
      </c>
      <c r="P15" s="91">
        <f t="shared" ca="1" si="29"/>
        <v>0</v>
      </c>
      <c r="Q15" s="90">
        <f t="shared" ca="1" si="30"/>
        <v>0</v>
      </c>
      <c r="R15" s="92">
        <f t="shared" ca="1" si="31"/>
        <v>1</v>
      </c>
      <c r="S15" s="92">
        <f t="shared" ca="1" si="32"/>
        <v>60</v>
      </c>
      <c r="T15" s="92">
        <f t="shared" ca="1" si="38"/>
        <v>0</v>
      </c>
      <c r="U15" s="93">
        <f t="shared" ca="1" si="33"/>
        <v>0</v>
      </c>
      <c r="V15" s="92">
        <f t="shared" ca="1" si="39"/>
        <v>0</v>
      </c>
      <c r="W15" s="93">
        <f t="shared" ca="1" si="34"/>
        <v>0</v>
      </c>
      <c r="X15" s="94">
        <f ca="1">IFERROR(__xludf.DUMMYFUNCTION("IMPORTRANGE(""https://docs.google.com/spreadsheets/d/1KS0zmDSZPk8KnTAbGN-Xk6MtX1YRZD0ldgdt20K4CRk/edit?usp=sharing"",""เชียงราย!I84"")"),0)</f>
        <v>0</v>
      </c>
      <c r="Y15" s="94">
        <f ca="1">IFERROR(__xludf.DUMMYFUNCTION("IMPORTRANGE(""https://docs.google.com/spreadsheets/d/1KS0zmDSZPk8KnTAbGN-Xk6MtX1YRZD0ldgdt20K4CRk/edit?usp=sharing"",""เชียงราย!I85"")"),0)</f>
        <v>0</v>
      </c>
      <c r="Z15" s="92">
        <f ca="1">IFERROR(__xludf.DUMMYFUNCTION("IMPORTRANGE(""https://docs.google.com/spreadsheets/d/1KS0zmDSZPk8KnTAbGN-Xk6MtX1YRZD0ldgdt20K4CRk/edit?usp=sharing"",""เชียงราย!J84"")"),0)</f>
        <v>0</v>
      </c>
      <c r="AA15" s="92">
        <f ca="1">IFERROR(__xludf.DUMMYFUNCTION("IMPORTRANGE(""https://docs.google.com/spreadsheets/d/1KS0zmDSZPk8KnTAbGN-Xk6MtX1YRZD0ldgdt20K4CRk/edit?usp=sharing"",""เชียงราย!J85"")"),0)</f>
        <v>0</v>
      </c>
      <c r="AB15" s="94">
        <f ca="1">IFERROR(__xludf.DUMMYFUNCTION("IMPORTRANGE(""https://docs.google.com/spreadsheets/d/1KS0zmDSZPk8KnTAbGN-Xk6MtX1YRZD0ldgdt20K4CRk/edit?usp=sharing"",""เชียงราย!I86"")"),0)</f>
        <v>0</v>
      </c>
      <c r="AC15" s="94">
        <f ca="1">IFERROR(__xludf.DUMMYFUNCTION("IMPORTRANGE(""https://docs.google.com/spreadsheets/d/1KS0zmDSZPk8KnTAbGN-Xk6MtX1YRZD0ldgdt20K4CRk/edit?usp=sharing"",""เชียงราย!I87"")"),0)</f>
        <v>0</v>
      </c>
      <c r="AD15" s="92">
        <f ca="1">IFERROR(__xludf.DUMMYFUNCTION("IMPORTRANGE(""https://docs.google.com/spreadsheets/d/1KS0zmDSZPk8KnTAbGN-Xk6MtX1YRZD0ldgdt20K4CRk/edit?usp=sharing"",""เชียงราย!J86"")"),0)</f>
        <v>0</v>
      </c>
      <c r="AE15" s="92">
        <f ca="1">IFERROR(__xludf.DUMMYFUNCTION("IMPORTRANGE(""https://docs.google.com/spreadsheets/d/1KS0zmDSZPk8KnTAbGN-Xk6MtX1YRZD0ldgdt20K4CRk/edit?usp=sharing"",""เชียงราย!J87"")"),0)</f>
        <v>0</v>
      </c>
      <c r="AF15" s="94">
        <f ca="1">IFERROR(__xludf.DUMMYFUNCTION("IMPORTRANGE(""https://docs.google.com/spreadsheets/d/1KS0zmDSZPk8KnTAbGN-Xk6MtX1YRZD0ldgdt20K4CRk/edit?usp=sharing"",""เชียงราย!I88"")"),1)</f>
        <v>1</v>
      </c>
      <c r="AG15" s="94">
        <f ca="1">IFERROR(__xludf.DUMMYFUNCTION("IMPORTRANGE(""https://docs.google.com/spreadsheets/d/1KS0zmDSZPk8KnTAbGN-Xk6MtX1YRZD0ldgdt20K4CRk/edit?usp=sharing"",""เชียงราย!I89"")"),60)</f>
        <v>60</v>
      </c>
      <c r="AH15" s="92">
        <f ca="1">IFERROR(__xludf.DUMMYFUNCTION("IMPORTRANGE(""https://docs.google.com/spreadsheets/d/1KS0zmDSZPk8KnTAbGN-Xk6MtX1YRZD0ldgdt20K4CRk/edit?usp=sharing"",""เชียงราย!J88"")"),0)</f>
        <v>0</v>
      </c>
      <c r="AI15" s="92">
        <f ca="1">IFERROR(__xludf.DUMMYFUNCTION("IMPORTRANGE(""https://docs.google.com/spreadsheets/d/1KS0zmDSZPk8KnTAbGN-Xk6MtX1YRZD0ldgdt20K4CRk/edit?usp=sharing"",""เชียงราย!J89"")"),0)</f>
        <v>0</v>
      </c>
      <c r="AJ15" s="94">
        <f ca="1">IFERROR(__xludf.DUMMYFUNCTION("IMPORTRANGE(""https://docs.google.com/spreadsheets/d/1KS0zmDSZPk8KnTAbGN-Xk6MtX1YRZD0ldgdt20K4CRk/edit?usp=sharing"",""เชียงราย!I90"")"),1)</f>
        <v>1</v>
      </c>
      <c r="AK15" s="92">
        <f ca="1">IFERROR(__xludf.DUMMYFUNCTION("IMPORTRANGE(""https://docs.google.com/spreadsheets/d/1KS0zmDSZPk8KnTAbGN-Xk6MtX1YRZD0ldgdt20K4CRk/edit?usp=sharing"",""เชียงราย!J90"")"),0)</f>
        <v>0</v>
      </c>
      <c r="AL15" s="93">
        <f t="shared" ca="1" si="36"/>
        <v>0</v>
      </c>
    </row>
    <row r="16" spans="1:38" ht="24" customHeight="1" x14ac:dyDescent="0.2">
      <c r="A16" s="84">
        <v>3</v>
      </c>
      <c r="B16" s="85" t="s">
        <v>38</v>
      </c>
      <c r="C16" s="86">
        <f t="shared" ca="1" si="23"/>
        <v>0</v>
      </c>
      <c r="D16" s="87">
        <f t="shared" ca="1" si="37"/>
        <v>0</v>
      </c>
      <c r="E16" s="88">
        <f ca="1">IFERROR(__xludf.DUMMYFUNCTION("IMPORTRANGE(""https://docs.google.com/spreadsheets/d/1-uDff_7J0KD5mKrp0Vvzr7lt3OU09vwQwhkpOPPYv2Y/edit?usp=sharing"",""งบพรบ!AN16"")"),0)</f>
        <v>0</v>
      </c>
      <c r="F16" s="88">
        <f ca="1">IFERROR(__xludf.DUMMYFUNCTION("IMPORTRANGE(""https://docs.google.com/spreadsheets/d/1-uDff_7J0KD5mKrp0Vvzr7lt3OU09vwQwhkpOPPYv2Y/edit?usp=sharing"",""งบพรบ!AO16"")"),0)</f>
        <v>0</v>
      </c>
      <c r="G16" s="88">
        <f ca="1">IFERROR(__xludf.DUMMYFUNCTION("IMPORTRANGE(""https://docs.google.com/spreadsheets/d/1-uDff_7J0KD5mKrp0Vvzr7lt3OU09vwQwhkpOPPYv2Y/edit?usp=sharing"",""งบพรบ!AP16"")"),0)</f>
        <v>0</v>
      </c>
      <c r="H16" s="88">
        <f ca="1">IFERROR(__xludf.DUMMYFUNCTION("IMPORTRANGE(""https://docs.google.com/spreadsheets/d/1-uDff_7J0KD5mKrp0Vvzr7lt3OU09vwQwhkpOPPYv2Y/edit?usp=sharing"",""งบพรบ!AR16"")"),80000)</f>
        <v>80000</v>
      </c>
      <c r="I16" s="88">
        <f ca="1">IFERROR(__xludf.DUMMYFUNCTION("IMPORTRANGE(""https://docs.google.com/spreadsheets/d/1-uDff_7J0KD5mKrp0Vvzr7lt3OU09vwQwhkpOPPYv2Y/edit?usp=sharing"",""งบพรบ!AS16"")"),0)</f>
        <v>0</v>
      </c>
      <c r="J16" s="88">
        <f t="shared" ca="1" si="25"/>
        <v>61403.95</v>
      </c>
      <c r="K16" s="89">
        <f t="shared" ca="1" si="26"/>
        <v>0</v>
      </c>
      <c r="L16" s="88">
        <f ca="1">IFERROR(__xludf.DUMMYFUNCTION("IMPORTRANGE(""https://docs.google.com/spreadsheets/d/1-uDff_7J0KD5mKrp0Vvzr7lt3OU09vwQwhkpOPPYv2Y/edit?usp=sharing"",""งบพรบ!AT16"")"),61403.95)</f>
        <v>61403.95</v>
      </c>
      <c r="M16" s="90">
        <f t="shared" ca="1" si="27"/>
        <v>0</v>
      </c>
      <c r="N16" s="90">
        <f t="shared" ca="1" si="28"/>
        <v>76.754937499999997</v>
      </c>
      <c r="O16" s="91">
        <f ca="1">IFERROR(__xludf.DUMMYFUNCTION("IMPORTRANGE(""https://docs.google.com/spreadsheets/d/1-uDff_7J0KD5mKrp0Vvzr7lt3OU09vwQwhkpOPPYv2Y/edit?usp=sharing"",""งบพรบ!AU16"")"),0)</f>
        <v>0</v>
      </c>
      <c r="P16" s="91">
        <f t="shared" ca="1" si="29"/>
        <v>0</v>
      </c>
      <c r="Q16" s="90">
        <f t="shared" ca="1" si="30"/>
        <v>0</v>
      </c>
      <c r="R16" s="92">
        <f t="shared" ca="1" si="31"/>
        <v>0</v>
      </c>
      <c r="S16" s="92">
        <f t="shared" ca="1" si="32"/>
        <v>0</v>
      </c>
      <c r="T16" s="92">
        <f t="shared" ca="1" si="38"/>
        <v>0</v>
      </c>
      <c r="U16" s="93">
        <f t="shared" ca="1" si="33"/>
        <v>0</v>
      </c>
      <c r="V16" s="92">
        <f t="shared" ca="1" si="39"/>
        <v>0</v>
      </c>
      <c r="W16" s="93">
        <f t="shared" ca="1" si="34"/>
        <v>0</v>
      </c>
      <c r="X16" s="88">
        <f ca="1">IFERROR(__xludf.DUMMYFUNCTION("IMPORTRANGE(""https://docs.google.com/spreadsheets/d/1rEDxBtusbi64tE0zunoIbsTVV16HeL0oJ6trHQeQ7K8/edit?usp=sharing"",""เชียงใหม่!I84"")"),0)</f>
        <v>0</v>
      </c>
      <c r="Y16" s="88">
        <f ca="1">IFERROR(__xludf.DUMMYFUNCTION("IMPORTRANGE(""https://docs.google.com/spreadsheets/d/1rEDxBtusbi64tE0zunoIbsTVV16HeL0oJ6trHQeQ7K8/edit?usp=sharing"",""เชียงใหม่!I85"")"),0)</f>
        <v>0</v>
      </c>
      <c r="Z16" s="92">
        <f ca="1">IFERROR(__xludf.DUMMYFUNCTION("IMPORTRANGE(""https://docs.google.com/spreadsheets/d/1rEDxBtusbi64tE0zunoIbsTVV16HeL0oJ6trHQeQ7K8/edit?usp=sharing"",""เชียงใหม่!J84"")"),0)</f>
        <v>0</v>
      </c>
      <c r="AA16" s="92">
        <f ca="1">IFERROR(__xludf.DUMMYFUNCTION("IMPORTRANGE(""https://docs.google.com/spreadsheets/d/1rEDxBtusbi64tE0zunoIbsTVV16HeL0oJ6trHQeQ7K8/edit?usp=sharing"",""เชียงใหม่!J85"")"),0)</f>
        <v>0</v>
      </c>
      <c r="AB16" s="88">
        <f ca="1">IFERROR(__xludf.DUMMYFUNCTION("IMPORTRANGE(""https://docs.google.com/spreadsheets/d/1rEDxBtusbi64tE0zunoIbsTVV16HeL0oJ6trHQeQ7K8/edit?usp=sharing"",""เชียงใหม่!I86"")"),0)</f>
        <v>0</v>
      </c>
      <c r="AC16" s="88">
        <f ca="1">IFERROR(__xludf.DUMMYFUNCTION("IMPORTRANGE(""https://docs.google.com/spreadsheets/d/1rEDxBtusbi64tE0zunoIbsTVV16HeL0oJ6trHQeQ7K8/edit?usp=sharing"",""เชียงใหม่!I87"")"),0)</f>
        <v>0</v>
      </c>
      <c r="AD16" s="92">
        <f ca="1">IFERROR(__xludf.DUMMYFUNCTION("IMPORTRANGE(""https://docs.google.com/spreadsheets/d/1rEDxBtusbi64tE0zunoIbsTVV16HeL0oJ6trHQeQ7K8/edit?usp=sharing"",""เชียงใหม่!J86"")"),0)</f>
        <v>0</v>
      </c>
      <c r="AE16" s="92">
        <f ca="1">IFERROR(__xludf.DUMMYFUNCTION("IMPORTRANGE(""https://docs.google.com/spreadsheets/d/1rEDxBtusbi64tE0zunoIbsTVV16HeL0oJ6trHQeQ7K8/edit?usp=sharing"",""เชียงใหม่!J87"")"),0)</f>
        <v>0</v>
      </c>
      <c r="AF16" s="88">
        <f ca="1">IFERROR(__xludf.DUMMYFUNCTION("IMPORTRANGE(""https://docs.google.com/spreadsheets/d/1rEDxBtusbi64tE0zunoIbsTVV16HeL0oJ6trHQeQ7K8/edit?usp=sharing"",""เชียงใหม่!I88"")"),0)</f>
        <v>0</v>
      </c>
      <c r="AG16" s="88">
        <f ca="1">IFERROR(__xludf.DUMMYFUNCTION("IMPORTRANGE(""https://docs.google.com/spreadsheets/d/1rEDxBtusbi64tE0zunoIbsTVV16HeL0oJ6trHQeQ7K8/edit?usp=sharing"",""เชียงใหม่!I89"")"),0)</f>
        <v>0</v>
      </c>
      <c r="AH16" s="92">
        <f ca="1">IFERROR(__xludf.DUMMYFUNCTION("IMPORTRANGE(""https://docs.google.com/spreadsheets/d/1rEDxBtusbi64tE0zunoIbsTVV16HeL0oJ6trHQeQ7K8/edit?usp=sharing"",""เชียงใหม่!J88"")"),0)</f>
        <v>0</v>
      </c>
      <c r="AI16" s="92">
        <f ca="1">IFERROR(__xludf.DUMMYFUNCTION("IMPORTRANGE(""https://docs.google.com/spreadsheets/d/1rEDxBtusbi64tE0zunoIbsTVV16HeL0oJ6trHQeQ7K8/edit?usp=sharing"",""เชียงใหม่!J89"")"),0)</f>
        <v>0</v>
      </c>
      <c r="AJ16" s="88">
        <f ca="1">IFERROR(__xludf.DUMMYFUNCTION("IMPORTRANGE(""https://docs.google.com/spreadsheets/d/1rEDxBtusbi64tE0zunoIbsTVV16HeL0oJ6trHQeQ7K8/edit?usp=sharing"",""เชียงใหม่!I90"")"),0)</f>
        <v>0</v>
      </c>
      <c r="AK16" s="92">
        <f ca="1">IFERROR(__xludf.DUMMYFUNCTION("IMPORTRANGE(""https://docs.google.com/spreadsheets/d/1rEDxBtusbi64tE0zunoIbsTVV16HeL0oJ6trHQeQ7K8/edit?usp=sharing"",""เชียงใหม่!J90"")"),0)</f>
        <v>0</v>
      </c>
      <c r="AL16" s="90">
        <f t="shared" ca="1" si="36"/>
        <v>0</v>
      </c>
    </row>
    <row r="17" spans="1:38" ht="24" customHeight="1" x14ac:dyDescent="0.2">
      <c r="A17" s="84">
        <v>4</v>
      </c>
      <c r="B17" s="85" t="s">
        <v>39</v>
      </c>
      <c r="C17" s="86">
        <f t="shared" ca="1" si="23"/>
        <v>0</v>
      </c>
      <c r="D17" s="87">
        <f t="shared" ca="1" si="37"/>
        <v>0</v>
      </c>
      <c r="E17" s="88">
        <f ca="1">IFERROR(__xludf.DUMMYFUNCTION("IMPORTRANGE(""https://docs.google.com/spreadsheets/d/1-uDff_7J0KD5mKrp0Vvzr7lt3OU09vwQwhkpOPPYv2Y/edit?usp=sharing"",""งบพรบ!AN17"")"),0)</f>
        <v>0</v>
      </c>
      <c r="F17" s="88">
        <f ca="1">IFERROR(__xludf.DUMMYFUNCTION("IMPORTRANGE(""https://docs.google.com/spreadsheets/d/1-uDff_7J0KD5mKrp0Vvzr7lt3OU09vwQwhkpOPPYv2Y/edit?usp=sharing"",""งบพรบ!AO17"")"),0)</f>
        <v>0</v>
      </c>
      <c r="G17" s="88">
        <f ca="1">IFERROR(__xludf.DUMMYFUNCTION("IMPORTRANGE(""https://docs.google.com/spreadsheets/d/1-uDff_7J0KD5mKrp0Vvzr7lt3OU09vwQwhkpOPPYv2Y/edit?usp=sharing"",""งบพรบ!AP17"")"),0)</f>
        <v>0</v>
      </c>
      <c r="H17" s="88">
        <f ca="1">IFERROR(__xludf.DUMMYFUNCTION("IMPORTRANGE(""https://docs.google.com/spreadsheets/d/1-uDff_7J0KD5mKrp0Vvzr7lt3OU09vwQwhkpOPPYv2Y/edit?usp=sharing"",""งบพรบ!AR17"")"),0)</f>
        <v>0</v>
      </c>
      <c r="I17" s="88">
        <f ca="1">IFERROR(__xludf.DUMMYFUNCTION("IMPORTRANGE(""https://docs.google.com/spreadsheets/d/1-uDff_7J0KD5mKrp0Vvzr7lt3OU09vwQwhkpOPPYv2Y/edit?usp=sharing"",""งบพรบ!AS17"")"),0)</f>
        <v>0</v>
      </c>
      <c r="J17" s="88">
        <f t="shared" ca="1" si="25"/>
        <v>0</v>
      </c>
      <c r="K17" s="89">
        <f t="shared" ca="1" si="26"/>
        <v>0</v>
      </c>
      <c r="L17" s="88">
        <f ca="1">IFERROR(__xludf.DUMMYFUNCTION("IMPORTRANGE(""https://docs.google.com/spreadsheets/d/1-uDff_7J0KD5mKrp0Vvzr7lt3OU09vwQwhkpOPPYv2Y/edit?usp=sharing"",""งบพรบ!AT17"")"),0)</f>
        <v>0</v>
      </c>
      <c r="M17" s="90">
        <f t="shared" ca="1" si="27"/>
        <v>0</v>
      </c>
      <c r="N17" s="90">
        <f t="shared" ca="1" si="28"/>
        <v>0</v>
      </c>
      <c r="O17" s="91">
        <f ca="1">IFERROR(__xludf.DUMMYFUNCTION("IMPORTRANGE(""https://docs.google.com/spreadsheets/d/1-uDff_7J0KD5mKrp0Vvzr7lt3OU09vwQwhkpOPPYv2Y/edit?usp=sharing"",""งบพรบ!AU17"")"),0)</f>
        <v>0</v>
      </c>
      <c r="P17" s="91">
        <f t="shared" ca="1" si="29"/>
        <v>0</v>
      </c>
      <c r="Q17" s="90">
        <f t="shared" ca="1" si="30"/>
        <v>0</v>
      </c>
      <c r="R17" s="92">
        <f t="shared" ca="1" si="31"/>
        <v>0</v>
      </c>
      <c r="S17" s="92">
        <f t="shared" ca="1" si="32"/>
        <v>0</v>
      </c>
      <c r="T17" s="92">
        <f t="shared" ca="1" si="38"/>
        <v>0</v>
      </c>
      <c r="U17" s="93">
        <f t="shared" ca="1" si="33"/>
        <v>0</v>
      </c>
      <c r="V17" s="92">
        <f t="shared" ca="1" si="39"/>
        <v>0</v>
      </c>
      <c r="W17" s="93">
        <f t="shared" ca="1" si="34"/>
        <v>0</v>
      </c>
      <c r="X17" s="88">
        <f ca="1">IFERROR(__xludf.DUMMYFUNCTION("IMPORTRANGE(""https://docs.google.com/spreadsheets/d/1W6MnUbDkMi6xHnHko_XkFDO9kkuL6Wqyc-6OCDFjW9I/edit?usp=sharing"",""ตาก!I84"")"),0)</f>
        <v>0</v>
      </c>
      <c r="Y17" s="88">
        <f ca="1">IFERROR(__xludf.DUMMYFUNCTION("IMPORTRANGE(""https://docs.google.com/spreadsheets/d/1W6MnUbDkMi6xHnHko_XkFDO9kkuL6Wqyc-6OCDFjW9I/edit?usp=sharing"",""ตาก!I85"")"),0)</f>
        <v>0</v>
      </c>
      <c r="Z17" s="92">
        <f ca="1">IFERROR(__xludf.DUMMYFUNCTION("IMPORTRANGE(""https://docs.google.com/spreadsheets/d/1W6MnUbDkMi6xHnHko_XkFDO9kkuL6Wqyc-6OCDFjW9I/edit?usp=sharing"",""ตาก!J84"")"),0)</f>
        <v>0</v>
      </c>
      <c r="AA17" s="92">
        <f ca="1">IFERROR(__xludf.DUMMYFUNCTION("IMPORTRANGE(""https://docs.google.com/spreadsheets/d/1W6MnUbDkMi6xHnHko_XkFDO9kkuL6Wqyc-6OCDFjW9I/edit?usp=sharing"",""ตาก!J85"")"),0)</f>
        <v>0</v>
      </c>
      <c r="AB17" s="88">
        <f ca="1">IFERROR(__xludf.DUMMYFUNCTION("IMPORTRANGE(""https://docs.google.com/spreadsheets/d/1W6MnUbDkMi6xHnHko_XkFDO9kkuL6Wqyc-6OCDFjW9I/edit?usp=sharing"",""ตาก!I86"")"),0)</f>
        <v>0</v>
      </c>
      <c r="AC17" s="88">
        <f ca="1">IFERROR(__xludf.DUMMYFUNCTION("IMPORTRANGE(""https://docs.google.com/spreadsheets/d/1W6MnUbDkMi6xHnHko_XkFDO9kkuL6Wqyc-6OCDFjW9I/edit?usp=sharing"",""ตาก!I87"")"),0)</f>
        <v>0</v>
      </c>
      <c r="AD17" s="92">
        <f ca="1">IFERROR(__xludf.DUMMYFUNCTION("IMPORTRANGE(""https://docs.google.com/spreadsheets/d/1W6MnUbDkMi6xHnHko_XkFDO9kkuL6Wqyc-6OCDFjW9I/edit?usp=sharing"",""ตาก!J86"")"),0)</f>
        <v>0</v>
      </c>
      <c r="AE17" s="92">
        <f ca="1">IFERROR(__xludf.DUMMYFUNCTION("IMPORTRANGE(""https://docs.google.com/spreadsheets/d/1W6MnUbDkMi6xHnHko_XkFDO9kkuL6Wqyc-6OCDFjW9I/edit?usp=sharing"",""ตาก!J87"")"),0)</f>
        <v>0</v>
      </c>
      <c r="AF17" s="88">
        <f ca="1">IFERROR(__xludf.DUMMYFUNCTION("IMPORTRANGE(""https://docs.google.com/spreadsheets/d/1W6MnUbDkMi6xHnHko_XkFDO9kkuL6Wqyc-6OCDFjW9I/edit?usp=sharing"",""ตาก!I88"")"),0)</f>
        <v>0</v>
      </c>
      <c r="AG17" s="88">
        <f ca="1">IFERROR(__xludf.DUMMYFUNCTION("IMPORTRANGE(""https://docs.google.com/spreadsheets/d/1W6MnUbDkMi6xHnHko_XkFDO9kkuL6Wqyc-6OCDFjW9I/edit?usp=sharing"",""ตาก!I89"")"),0)</f>
        <v>0</v>
      </c>
      <c r="AH17" s="92">
        <f ca="1">IFERROR(__xludf.DUMMYFUNCTION("IMPORTRANGE(""https://docs.google.com/spreadsheets/d/1W6MnUbDkMi6xHnHko_XkFDO9kkuL6Wqyc-6OCDFjW9I/edit?usp=sharing"",""ตาก!J88"")"),0)</f>
        <v>0</v>
      </c>
      <c r="AI17" s="92">
        <f ca="1">IFERROR(__xludf.DUMMYFUNCTION("IMPORTRANGE(""https://docs.google.com/spreadsheets/d/1W6MnUbDkMi6xHnHko_XkFDO9kkuL6Wqyc-6OCDFjW9I/edit?usp=sharing"",""ตาก!J89"")"),0)</f>
        <v>0</v>
      </c>
      <c r="AJ17" s="88">
        <f ca="1">IFERROR(__xludf.DUMMYFUNCTION("IMPORTRANGE(""https://docs.google.com/spreadsheets/d/1W6MnUbDkMi6xHnHko_XkFDO9kkuL6Wqyc-6OCDFjW9I/edit?usp=sharing"",""ตาก!I90"")"),0)</f>
        <v>0</v>
      </c>
      <c r="AK17" s="92">
        <f ca="1">IFERROR(__xludf.DUMMYFUNCTION("IMPORTRANGE(""https://docs.google.com/spreadsheets/d/1W6MnUbDkMi6xHnHko_XkFDO9kkuL6Wqyc-6OCDFjW9I/edit?usp=sharing"",""ตาก!J90"")"),0)</f>
        <v>0</v>
      </c>
      <c r="AL17" s="90">
        <f t="shared" ca="1" si="36"/>
        <v>0</v>
      </c>
    </row>
    <row r="18" spans="1:38" ht="24" customHeight="1" x14ac:dyDescent="0.2">
      <c r="A18" s="84">
        <v>5</v>
      </c>
      <c r="B18" s="85" t="s">
        <v>40</v>
      </c>
      <c r="C18" s="86">
        <f t="shared" ca="1" si="23"/>
        <v>0</v>
      </c>
      <c r="D18" s="87">
        <f t="shared" ca="1" si="37"/>
        <v>0</v>
      </c>
      <c r="E18" s="88">
        <f ca="1">IFERROR(__xludf.DUMMYFUNCTION("IMPORTRANGE(""https://docs.google.com/spreadsheets/d/1-uDff_7J0KD5mKrp0Vvzr7lt3OU09vwQwhkpOPPYv2Y/edit?usp=sharing"",""งบพรบ!AN18"")"),0)</f>
        <v>0</v>
      </c>
      <c r="F18" s="88">
        <f ca="1">IFERROR(__xludf.DUMMYFUNCTION("IMPORTRANGE(""https://docs.google.com/spreadsheets/d/1-uDff_7J0KD5mKrp0Vvzr7lt3OU09vwQwhkpOPPYv2Y/edit?usp=sharing"",""งบพรบ!AO18"")"),0)</f>
        <v>0</v>
      </c>
      <c r="G18" s="88">
        <f ca="1">IFERROR(__xludf.DUMMYFUNCTION("IMPORTRANGE(""https://docs.google.com/spreadsheets/d/1-uDff_7J0KD5mKrp0Vvzr7lt3OU09vwQwhkpOPPYv2Y/edit?usp=sharing"",""งบพรบ!AP18"")"),0)</f>
        <v>0</v>
      </c>
      <c r="H18" s="88">
        <f ca="1">IFERROR(__xludf.DUMMYFUNCTION("IMPORTRANGE(""https://docs.google.com/spreadsheets/d/1-uDff_7J0KD5mKrp0Vvzr7lt3OU09vwQwhkpOPPYv2Y/edit?usp=sharing"",""งบพรบ!AR18"")"),0)</f>
        <v>0</v>
      </c>
      <c r="I18" s="88">
        <f ca="1">IFERROR(__xludf.DUMMYFUNCTION("IMPORTRANGE(""https://docs.google.com/spreadsheets/d/1-uDff_7J0KD5mKrp0Vvzr7lt3OU09vwQwhkpOPPYv2Y/edit?usp=sharing"",""งบพรบ!AS18"")"),0)</f>
        <v>0</v>
      </c>
      <c r="J18" s="88">
        <f t="shared" ca="1" si="25"/>
        <v>0</v>
      </c>
      <c r="K18" s="89">
        <f t="shared" ca="1" si="26"/>
        <v>0</v>
      </c>
      <c r="L18" s="88">
        <f ca="1">IFERROR(__xludf.DUMMYFUNCTION("IMPORTRANGE(""https://docs.google.com/spreadsheets/d/1-uDff_7J0KD5mKrp0Vvzr7lt3OU09vwQwhkpOPPYv2Y/edit?usp=sharing"",""งบพรบ!AT18"")"),0)</f>
        <v>0</v>
      </c>
      <c r="M18" s="90">
        <f t="shared" ca="1" si="27"/>
        <v>0</v>
      </c>
      <c r="N18" s="90">
        <f t="shared" ca="1" si="28"/>
        <v>0</v>
      </c>
      <c r="O18" s="91">
        <f ca="1">IFERROR(__xludf.DUMMYFUNCTION("IMPORTRANGE(""https://docs.google.com/spreadsheets/d/1-uDff_7J0KD5mKrp0Vvzr7lt3OU09vwQwhkpOPPYv2Y/edit?usp=sharing"",""งบพรบ!AU18"")"),0)</f>
        <v>0</v>
      </c>
      <c r="P18" s="91">
        <f t="shared" ca="1" si="29"/>
        <v>0</v>
      </c>
      <c r="Q18" s="90">
        <f t="shared" ca="1" si="30"/>
        <v>0</v>
      </c>
      <c r="R18" s="92">
        <f t="shared" ca="1" si="31"/>
        <v>0</v>
      </c>
      <c r="S18" s="92">
        <f t="shared" ca="1" si="32"/>
        <v>0</v>
      </c>
      <c r="T18" s="92">
        <f t="shared" ca="1" si="38"/>
        <v>0</v>
      </c>
      <c r="U18" s="93">
        <f t="shared" ca="1" si="33"/>
        <v>0</v>
      </c>
      <c r="V18" s="92">
        <f t="shared" ca="1" si="39"/>
        <v>0</v>
      </c>
      <c r="W18" s="93">
        <f t="shared" ca="1" si="34"/>
        <v>0</v>
      </c>
      <c r="X18" s="88">
        <f ca="1">IFERROR(__xludf.DUMMYFUNCTION("IMPORTRANGE(""https://docs.google.com/spreadsheets/d/1IQAWArduLkta9LpYo4a_ULsyqdta6-6aDDiwpUnQT6c/edit?usp=sharing"",""นครสวรรค์!I84"")"),0)</f>
        <v>0</v>
      </c>
      <c r="Y18" s="88">
        <f ca="1">IFERROR(__xludf.DUMMYFUNCTION("IMPORTRANGE(""https://docs.google.com/spreadsheets/d/1IQAWArduLkta9LpYo4a_ULsyqdta6-6aDDiwpUnQT6c/edit?usp=sharing"",""นครสวรรค์!I85"")"),0)</f>
        <v>0</v>
      </c>
      <c r="Z18" s="92">
        <f ca="1">IFERROR(__xludf.DUMMYFUNCTION("IMPORTRANGE(""https://docs.google.com/spreadsheets/d/1IQAWArduLkta9LpYo4a_ULsyqdta6-6aDDiwpUnQT6c/edit?usp=sharing"",""นครสวรรค์!J84"")"),0)</f>
        <v>0</v>
      </c>
      <c r="AA18" s="92">
        <f ca="1">IFERROR(__xludf.DUMMYFUNCTION("IMPORTRANGE(""https://docs.google.com/spreadsheets/d/1IQAWArduLkta9LpYo4a_ULsyqdta6-6aDDiwpUnQT6c/edit?usp=sharing"",""นครสวรรค์!J85"")"),0)</f>
        <v>0</v>
      </c>
      <c r="AB18" s="88">
        <f ca="1">IFERROR(__xludf.DUMMYFUNCTION("IMPORTRANGE(""https://docs.google.com/spreadsheets/d/1IQAWArduLkta9LpYo4a_ULsyqdta6-6aDDiwpUnQT6c/edit?usp=sharing"",""นครสวรรค์!I86"")"),0)</f>
        <v>0</v>
      </c>
      <c r="AC18" s="88">
        <f ca="1">IFERROR(__xludf.DUMMYFUNCTION("IMPORTRANGE(""https://docs.google.com/spreadsheets/d/1IQAWArduLkta9LpYo4a_ULsyqdta6-6aDDiwpUnQT6c/edit?usp=sharing"",""นครสวรรค์!I87"")"),0)</f>
        <v>0</v>
      </c>
      <c r="AD18" s="92">
        <f ca="1">IFERROR(__xludf.DUMMYFUNCTION("IMPORTRANGE(""https://docs.google.com/spreadsheets/d/1IQAWArduLkta9LpYo4a_ULsyqdta6-6aDDiwpUnQT6c/edit?usp=sharing"",""นครสวรรค์!J86"")"),0)</f>
        <v>0</v>
      </c>
      <c r="AE18" s="92">
        <f ca="1">IFERROR(__xludf.DUMMYFUNCTION("IMPORTRANGE(""https://docs.google.com/spreadsheets/d/1IQAWArduLkta9LpYo4a_ULsyqdta6-6aDDiwpUnQT6c/edit?usp=sharing"",""นครสวรรค์!J87"")"),0)</f>
        <v>0</v>
      </c>
      <c r="AF18" s="88">
        <f ca="1">IFERROR(__xludf.DUMMYFUNCTION("IMPORTRANGE(""https://docs.google.com/spreadsheets/d/1IQAWArduLkta9LpYo4a_ULsyqdta6-6aDDiwpUnQT6c/edit?usp=sharing"",""นครสวรรค์!I88"")"),0)</f>
        <v>0</v>
      </c>
      <c r="AG18" s="88">
        <f ca="1">IFERROR(__xludf.DUMMYFUNCTION("IMPORTRANGE(""https://docs.google.com/spreadsheets/d/1IQAWArduLkta9LpYo4a_ULsyqdta6-6aDDiwpUnQT6c/edit?usp=sharing"",""นครสวรรค์!I89"")"),0)</f>
        <v>0</v>
      </c>
      <c r="AH18" s="92">
        <f ca="1">IFERROR(__xludf.DUMMYFUNCTION("IMPORTRANGE(""https://docs.google.com/spreadsheets/d/1IQAWArduLkta9LpYo4a_ULsyqdta6-6aDDiwpUnQT6c/edit?usp=sharing"",""นครสวรรค์!J88"")"),0)</f>
        <v>0</v>
      </c>
      <c r="AI18" s="92">
        <f ca="1">IFERROR(__xludf.DUMMYFUNCTION("IMPORTRANGE(""https://docs.google.com/spreadsheets/d/1IQAWArduLkta9LpYo4a_ULsyqdta6-6aDDiwpUnQT6c/edit?usp=sharing"",""นครสวรรค์!J89"")"),0)</f>
        <v>0</v>
      </c>
      <c r="AJ18" s="88">
        <f ca="1">IFERROR(__xludf.DUMMYFUNCTION("IMPORTRANGE(""https://docs.google.com/spreadsheets/d/1IQAWArduLkta9LpYo4a_ULsyqdta6-6aDDiwpUnQT6c/edit?usp=sharing"",""นครสวรรค์!I90"")"),0)</f>
        <v>0</v>
      </c>
      <c r="AK18" s="92">
        <f ca="1">IFERROR(__xludf.DUMMYFUNCTION("IMPORTRANGE(""https://docs.google.com/spreadsheets/d/1IQAWArduLkta9LpYo4a_ULsyqdta6-6aDDiwpUnQT6c/edit?usp=sharing"",""นครสวรรค์!J90"")"),0)</f>
        <v>0</v>
      </c>
      <c r="AL18" s="90">
        <f t="shared" ca="1" si="36"/>
        <v>0</v>
      </c>
    </row>
    <row r="19" spans="1:38" ht="24" customHeight="1" x14ac:dyDescent="0.2">
      <c r="A19" s="84">
        <v>6</v>
      </c>
      <c r="B19" s="85" t="s">
        <v>41</v>
      </c>
      <c r="C19" s="86">
        <f t="shared" ca="1" si="23"/>
        <v>0</v>
      </c>
      <c r="D19" s="87">
        <f t="shared" ca="1" si="37"/>
        <v>0</v>
      </c>
      <c r="E19" s="88">
        <f ca="1">IFERROR(__xludf.DUMMYFUNCTION("IMPORTRANGE(""https://docs.google.com/spreadsheets/d/1-uDff_7J0KD5mKrp0Vvzr7lt3OU09vwQwhkpOPPYv2Y/edit?usp=sharing"",""งบพรบ!AN19"")"),0)</f>
        <v>0</v>
      </c>
      <c r="F19" s="88">
        <f ca="1">IFERROR(__xludf.DUMMYFUNCTION("IMPORTRANGE(""https://docs.google.com/spreadsheets/d/1-uDff_7J0KD5mKrp0Vvzr7lt3OU09vwQwhkpOPPYv2Y/edit?usp=sharing"",""งบพรบ!AO19"")"),0)</f>
        <v>0</v>
      </c>
      <c r="G19" s="88">
        <f ca="1">IFERROR(__xludf.DUMMYFUNCTION("IMPORTRANGE(""https://docs.google.com/spreadsheets/d/1-uDff_7J0KD5mKrp0Vvzr7lt3OU09vwQwhkpOPPYv2Y/edit?usp=sharing"",""งบพรบ!AP19"")"),0)</f>
        <v>0</v>
      </c>
      <c r="H19" s="88">
        <f ca="1">IFERROR(__xludf.DUMMYFUNCTION("IMPORTRANGE(""https://docs.google.com/spreadsheets/d/1-uDff_7J0KD5mKrp0Vvzr7lt3OU09vwQwhkpOPPYv2Y/edit?usp=sharing"",""งบพรบ!AR19"")"),0)</f>
        <v>0</v>
      </c>
      <c r="I19" s="88">
        <f ca="1">IFERROR(__xludf.DUMMYFUNCTION("IMPORTRANGE(""https://docs.google.com/spreadsheets/d/1-uDff_7J0KD5mKrp0Vvzr7lt3OU09vwQwhkpOPPYv2Y/edit?usp=sharing"",""งบพรบ!AS19"")"),0)</f>
        <v>0</v>
      </c>
      <c r="J19" s="88">
        <f t="shared" ca="1" si="25"/>
        <v>0</v>
      </c>
      <c r="K19" s="89">
        <f t="shared" ca="1" si="26"/>
        <v>0</v>
      </c>
      <c r="L19" s="88">
        <f ca="1">IFERROR(__xludf.DUMMYFUNCTION("IMPORTRANGE(""https://docs.google.com/spreadsheets/d/1-uDff_7J0KD5mKrp0Vvzr7lt3OU09vwQwhkpOPPYv2Y/edit?usp=sharing"",""งบพรบ!AT19"")"),0)</f>
        <v>0</v>
      </c>
      <c r="M19" s="90">
        <f t="shared" ca="1" si="27"/>
        <v>0</v>
      </c>
      <c r="N19" s="90">
        <f t="shared" ca="1" si="28"/>
        <v>0</v>
      </c>
      <c r="O19" s="91">
        <f ca="1">IFERROR(__xludf.DUMMYFUNCTION("IMPORTRANGE(""https://docs.google.com/spreadsheets/d/1-uDff_7J0KD5mKrp0Vvzr7lt3OU09vwQwhkpOPPYv2Y/edit?usp=sharing"",""งบพรบ!AU19"")"),0)</f>
        <v>0</v>
      </c>
      <c r="P19" s="91">
        <f t="shared" ca="1" si="29"/>
        <v>0</v>
      </c>
      <c r="Q19" s="90">
        <f t="shared" ca="1" si="30"/>
        <v>0</v>
      </c>
      <c r="R19" s="92">
        <f t="shared" ca="1" si="31"/>
        <v>0</v>
      </c>
      <c r="S19" s="92">
        <f t="shared" ca="1" si="32"/>
        <v>0</v>
      </c>
      <c r="T19" s="92">
        <f t="shared" ca="1" si="38"/>
        <v>0</v>
      </c>
      <c r="U19" s="93">
        <f t="shared" ca="1" si="33"/>
        <v>0</v>
      </c>
      <c r="V19" s="92">
        <f t="shared" ca="1" si="39"/>
        <v>0</v>
      </c>
      <c r="W19" s="93">
        <f t="shared" ca="1" si="34"/>
        <v>0</v>
      </c>
      <c r="X19" s="88">
        <f ca="1">IFERROR(__xludf.DUMMYFUNCTION("IMPORTRANGE(""https://docs.google.com/spreadsheets/d/10s13Sk5xrltsiR-Zkbmk5DwIaDIKO8XlbJAfqyT7Gvg/edit?usp=sharing"",""น่าน!I84"")"),0)</f>
        <v>0</v>
      </c>
      <c r="Y19" s="88">
        <f ca="1">IFERROR(__xludf.DUMMYFUNCTION("IMPORTRANGE(""https://docs.google.com/spreadsheets/d/10s13Sk5xrltsiR-Zkbmk5DwIaDIKO8XlbJAfqyT7Gvg/edit?usp=sharing"",""น่าน!I85"")"),0)</f>
        <v>0</v>
      </c>
      <c r="Z19" s="92">
        <f ca="1">IFERROR(__xludf.DUMMYFUNCTION("IMPORTRANGE(""https://docs.google.com/spreadsheets/d/10s13Sk5xrltsiR-Zkbmk5DwIaDIKO8XlbJAfqyT7Gvg/edit?usp=sharing"",""น่าน!J84"")"),0)</f>
        <v>0</v>
      </c>
      <c r="AA19" s="92">
        <f ca="1">IFERROR(__xludf.DUMMYFUNCTION("IMPORTRANGE(""https://docs.google.com/spreadsheets/d/10s13Sk5xrltsiR-Zkbmk5DwIaDIKO8XlbJAfqyT7Gvg/edit?usp=sharing"",""น่าน!J85"")"),0)</f>
        <v>0</v>
      </c>
      <c r="AB19" s="88">
        <f ca="1">IFERROR(__xludf.DUMMYFUNCTION("IMPORTRANGE(""https://docs.google.com/spreadsheets/d/10s13Sk5xrltsiR-Zkbmk5DwIaDIKO8XlbJAfqyT7Gvg/edit?usp=sharing"",""น่าน!I86"")"),0)</f>
        <v>0</v>
      </c>
      <c r="AC19" s="88">
        <f ca="1">IFERROR(__xludf.DUMMYFUNCTION("IMPORTRANGE(""https://docs.google.com/spreadsheets/d/10s13Sk5xrltsiR-Zkbmk5DwIaDIKO8XlbJAfqyT7Gvg/edit?usp=sharing"",""น่าน!I87"")"),0)</f>
        <v>0</v>
      </c>
      <c r="AD19" s="92">
        <f ca="1">IFERROR(__xludf.DUMMYFUNCTION("IMPORTRANGE(""https://docs.google.com/spreadsheets/d/10s13Sk5xrltsiR-Zkbmk5DwIaDIKO8XlbJAfqyT7Gvg/edit?usp=sharing"",""น่าน!J86"")"),0)</f>
        <v>0</v>
      </c>
      <c r="AE19" s="92">
        <f ca="1">IFERROR(__xludf.DUMMYFUNCTION("IMPORTRANGE(""https://docs.google.com/spreadsheets/d/10s13Sk5xrltsiR-Zkbmk5DwIaDIKO8XlbJAfqyT7Gvg/edit?usp=sharing"",""น่าน!J87"")"),0)</f>
        <v>0</v>
      </c>
      <c r="AF19" s="88">
        <f ca="1">IFERROR(__xludf.DUMMYFUNCTION("IMPORTRANGE(""https://docs.google.com/spreadsheets/d/10s13Sk5xrltsiR-Zkbmk5DwIaDIKO8XlbJAfqyT7Gvg/edit?usp=sharing"",""น่าน!I88"")"),0)</f>
        <v>0</v>
      </c>
      <c r="AG19" s="88">
        <f ca="1">IFERROR(__xludf.DUMMYFUNCTION("IMPORTRANGE(""https://docs.google.com/spreadsheets/d/10s13Sk5xrltsiR-Zkbmk5DwIaDIKO8XlbJAfqyT7Gvg/edit?usp=sharing"",""น่าน!I89"")"),0)</f>
        <v>0</v>
      </c>
      <c r="AH19" s="92">
        <f ca="1">IFERROR(__xludf.DUMMYFUNCTION("IMPORTRANGE(""https://docs.google.com/spreadsheets/d/10s13Sk5xrltsiR-Zkbmk5DwIaDIKO8XlbJAfqyT7Gvg/edit?usp=sharing"",""น่าน!J88"")"),0)</f>
        <v>0</v>
      </c>
      <c r="AI19" s="92">
        <f ca="1">IFERROR(__xludf.DUMMYFUNCTION("IMPORTRANGE(""https://docs.google.com/spreadsheets/d/10s13Sk5xrltsiR-Zkbmk5DwIaDIKO8XlbJAfqyT7Gvg/edit?usp=sharing"",""น่าน!J89"")"),0)</f>
        <v>0</v>
      </c>
      <c r="AJ19" s="88">
        <f ca="1">IFERROR(__xludf.DUMMYFUNCTION("IMPORTRANGE(""https://docs.google.com/spreadsheets/d/10s13Sk5xrltsiR-Zkbmk5DwIaDIKO8XlbJAfqyT7Gvg/edit?usp=sharing"",""น่าน!I90"")"),0)</f>
        <v>0</v>
      </c>
      <c r="AK19" s="92">
        <f ca="1">IFERROR(__xludf.DUMMYFUNCTION("IMPORTRANGE(""https://docs.google.com/spreadsheets/d/10s13Sk5xrltsiR-Zkbmk5DwIaDIKO8XlbJAfqyT7Gvg/edit?usp=sharing"",""น่าน!J90"")"),0)</f>
        <v>0</v>
      </c>
      <c r="AL19" s="90">
        <f t="shared" ca="1" si="36"/>
        <v>0</v>
      </c>
    </row>
    <row r="20" spans="1:38" ht="24" customHeight="1" x14ac:dyDescent="0.2">
      <c r="A20" s="84">
        <v>7</v>
      </c>
      <c r="B20" s="85" t="s">
        <v>42</v>
      </c>
      <c r="C20" s="86">
        <f t="shared" ca="1" si="23"/>
        <v>640200</v>
      </c>
      <c r="D20" s="87">
        <f t="shared" ca="1" si="37"/>
        <v>640200</v>
      </c>
      <c r="E20" s="88">
        <f ca="1">IFERROR(__xludf.DUMMYFUNCTION("IMPORTRANGE(""https://docs.google.com/spreadsheets/d/1-uDff_7J0KD5mKrp0Vvzr7lt3OU09vwQwhkpOPPYv2Y/edit?usp=sharing"",""งบพรบ!AN20"")"),402200)</f>
        <v>402200</v>
      </c>
      <c r="F20" s="88">
        <f ca="1">IFERROR(__xludf.DUMMYFUNCTION("IMPORTRANGE(""https://docs.google.com/spreadsheets/d/1-uDff_7J0KD5mKrp0Vvzr7lt3OU09vwQwhkpOPPYv2Y/edit?usp=sharing"",""งบพรบ!AO20"")"),238000)</f>
        <v>238000</v>
      </c>
      <c r="G20" s="88">
        <f ca="1">IFERROR(__xludf.DUMMYFUNCTION("IMPORTRANGE(""https://docs.google.com/spreadsheets/d/1-uDff_7J0KD5mKrp0Vvzr7lt3OU09vwQwhkpOPPYv2Y/edit?usp=sharing"",""งบพรบ!AP20"")"),0)</f>
        <v>0</v>
      </c>
      <c r="H20" s="88">
        <f ca="1">IFERROR(__xludf.DUMMYFUNCTION("IMPORTRANGE(""https://docs.google.com/spreadsheets/d/1-uDff_7J0KD5mKrp0Vvzr7lt3OU09vwQwhkpOPPYv2Y/edit?usp=sharing"",""งบพรบ!AR20"")"),525500)</f>
        <v>525500</v>
      </c>
      <c r="I20" s="88">
        <f ca="1">IFERROR(__xludf.DUMMYFUNCTION("IMPORTRANGE(""https://docs.google.com/spreadsheets/d/1-uDff_7J0KD5mKrp0Vvzr7lt3OU09vwQwhkpOPPYv2Y/edit?usp=sharing"",""งบพรบ!AS20"")"),0)</f>
        <v>0</v>
      </c>
      <c r="J20" s="88">
        <f t="shared" ca="1" si="25"/>
        <v>167280</v>
      </c>
      <c r="K20" s="89">
        <f t="shared" ca="1" si="26"/>
        <v>26.129334582942832</v>
      </c>
      <c r="L20" s="88">
        <f ca="1">IFERROR(__xludf.DUMMYFUNCTION("IMPORTRANGE(""https://docs.google.com/spreadsheets/d/1-uDff_7J0KD5mKrp0Vvzr7lt3OU09vwQwhkpOPPYv2Y/edit?usp=sharing"",""งบพรบ!AT20"")"),167280)</f>
        <v>167280</v>
      </c>
      <c r="M20" s="90">
        <f t="shared" ca="1" si="27"/>
        <v>26.129334582942832</v>
      </c>
      <c r="N20" s="90">
        <f t="shared" ca="1" si="28"/>
        <v>31.8325404376784</v>
      </c>
      <c r="O20" s="91">
        <f ca="1">IFERROR(__xludf.DUMMYFUNCTION("IMPORTRANGE(""https://docs.google.com/spreadsheets/d/1-uDff_7J0KD5mKrp0Vvzr7lt3OU09vwQwhkpOPPYv2Y/edit?usp=sharing"",""งบพรบ!AU20"")"),0)</f>
        <v>0</v>
      </c>
      <c r="P20" s="91">
        <f t="shared" ca="1" si="29"/>
        <v>0</v>
      </c>
      <c r="Q20" s="90">
        <f t="shared" ca="1" si="30"/>
        <v>0</v>
      </c>
      <c r="R20" s="92">
        <f t="shared" ca="1" si="31"/>
        <v>1</v>
      </c>
      <c r="S20" s="92">
        <f t="shared" ca="1" si="32"/>
        <v>30</v>
      </c>
      <c r="T20" s="92">
        <f t="shared" ca="1" si="38"/>
        <v>1</v>
      </c>
      <c r="U20" s="93">
        <f t="shared" ca="1" si="33"/>
        <v>100</v>
      </c>
      <c r="V20" s="92">
        <f t="shared" ca="1" si="39"/>
        <v>30</v>
      </c>
      <c r="W20" s="93">
        <f t="shared" ca="1" si="34"/>
        <v>100</v>
      </c>
      <c r="X20" s="88">
        <f ca="1">IFERROR(__xludf.DUMMYFUNCTION("IMPORTRANGE(""https://docs.google.com/spreadsheets/d/1uu4nAn4Dbi1XREnLKKotUANlKXa7yCgRcgq8HEzQYW8/edit?usp=sharing"",""พะเยา!I84"")"),0)</f>
        <v>0</v>
      </c>
      <c r="Y20" s="88">
        <f ca="1">IFERROR(__xludf.DUMMYFUNCTION("IMPORTRANGE(""https://docs.google.com/spreadsheets/d/1uu4nAn4Dbi1XREnLKKotUANlKXa7yCgRcgq8HEzQYW8/edit?usp=sharing"",""พะเยา!I85"")"),0)</f>
        <v>0</v>
      </c>
      <c r="Z20" s="92">
        <f ca="1">IFERROR(__xludf.DUMMYFUNCTION("IMPORTRANGE(""https://docs.google.com/spreadsheets/d/1uu4nAn4Dbi1XREnLKKotUANlKXa7yCgRcgq8HEzQYW8/edit?usp=sharing"",""พะเยา!J84"")"),0)</f>
        <v>0</v>
      </c>
      <c r="AA20" s="92">
        <f ca="1">IFERROR(__xludf.DUMMYFUNCTION("IMPORTRANGE(""https://docs.google.com/spreadsheets/d/1uu4nAn4Dbi1XREnLKKotUANlKXa7yCgRcgq8HEzQYW8/edit?usp=sharing"",""พะเยา!J85"")"),0)</f>
        <v>0</v>
      </c>
      <c r="AB20" s="88">
        <f ca="1">IFERROR(__xludf.DUMMYFUNCTION("IMPORTRANGE(""https://docs.google.com/spreadsheets/d/1uu4nAn4Dbi1XREnLKKotUANlKXa7yCgRcgq8HEzQYW8/edit?usp=sharing"",""พะเยา!I86"")"),0)</f>
        <v>0</v>
      </c>
      <c r="AC20" s="88">
        <f ca="1">IFERROR(__xludf.DUMMYFUNCTION("IMPORTRANGE(""https://docs.google.com/spreadsheets/d/1uu4nAn4Dbi1XREnLKKotUANlKXa7yCgRcgq8HEzQYW8/edit?usp=sharing"",""พะเยา!I87"")"),0)</f>
        <v>0</v>
      </c>
      <c r="AD20" s="92">
        <f ca="1">IFERROR(__xludf.DUMMYFUNCTION("IMPORTRANGE(""https://docs.google.com/spreadsheets/d/1uu4nAn4Dbi1XREnLKKotUANlKXa7yCgRcgq8HEzQYW8/edit?usp=sharing"",""พะเยา!J86"")"),0)</f>
        <v>0</v>
      </c>
      <c r="AE20" s="92">
        <f ca="1">IFERROR(__xludf.DUMMYFUNCTION("IMPORTRANGE(""https://docs.google.com/spreadsheets/d/1uu4nAn4Dbi1XREnLKKotUANlKXa7yCgRcgq8HEzQYW8/edit?usp=sharing"",""พะเยา!J87"")"),0)</f>
        <v>0</v>
      </c>
      <c r="AF20" s="88">
        <f ca="1">IFERROR(__xludf.DUMMYFUNCTION("IMPORTRANGE(""https://docs.google.com/spreadsheets/d/1uu4nAn4Dbi1XREnLKKotUANlKXa7yCgRcgq8HEzQYW8/edit?usp=sharing"",""พะเยา!I88"")"),1)</f>
        <v>1</v>
      </c>
      <c r="AG20" s="88">
        <f ca="1">IFERROR(__xludf.DUMMYFUNCTION("IMPORTRANGE(""https://docs.google.com/spreadsheets/d/1uu4nAn4Dbi1XREnLKKotUANlKXa7yCgRcgq8HEzQYW8/edit?usp=sharing"",""พะเยา!I89"")"),30)</f>
        <v>30</v>
      </c>
      <c r="AH20" s="92">
        <f ca="1">IFERROR(__xludf.DUMMYFUNCTION("IMPORTRANGE(""https://docs.google.com/spreadsheets/d/1uu4nAn4Dbi1XREnLKKotUANlKXa7yCgRcgq8HEzQYW8/edit?usp=sharing"",""พะเยา!J88"")"),1)</f>
        <v>1</v>
      </c>
      <c r="AI20" s="92">
        <f ca="1">IFERROR(__xludf.DUMMYFUNCTION("IMPORTRANGE(""https://docs.google.com/spreadsheets/d/1uu4nAn4Dbi1XREnLKKotUANlKXa7yCgRcgq8HEzQYW8/edit?usp=sharing"",""พะเยา!J89"")"),30)</f>
        <v>30</v>
      </c>
      <c r="AJ20" s="88">
        <f ca="1">IFERROR(__xludf.DUMMYFUNCTION("IMPORTRANGE(""https://docs.google.com/spreadsheets/d/1uu4nAn4Dbi1XREnLKKotUANlKXa7yCgRcgq8HEzQYW8/edit?usp=sharing"",""พะเยา!I90"")"),1)</f>
        <v>1</v>
      </c>
      <c r="AK20" s="92">
        <f ca="1">IFERROR(__xludf.DUMMYFUNCTION("IMPORTRANGE(""https://docs.google.com/spreadsheets/d/1uu4nAn4Dbi1XREnLKKotUANlKXa7yCgRcgq8HEzQYW8/edit?usp=sharing"",""พะเยา!J90"")"),1)</f>
        <v>1</v>
      </c>
      <c r="AL20" s="90">
        <f t="shared" ca="1" si="36"/>
        <v>100</v>
      </c>
    </row>
    <row r="21" spans="1:38" ht="24" customHeight="1" x14ac:dyDescent="0.2">
      <c r="A21" s="84">
        <v>8</v>
      </c>
      <c r="B21" s="85" t="s">
        <v>43</v>
      </c>
      <c r="C21" s="86">
        <f t="shared" ca="1" si="23"/>
        <v>0</v>
      </c>
      <c r="D21" s="87">
        <f t="shared" ca="1" si="37"/>
        <v>0</v>
      </c>
      <c r="E21" s="88">
        <f ca="1">IFERROR(__xludf.DUMMYFUNCTION("IMPORTRANGE(""https://docs.google.com/spreadsheets/d/1-uDff_7J0KD5mKrp0Vvzr7lt3OU09vwQwhkpOPPYv2Y/edit?usp=sharing"",""งบพรบ!AN21"")"),0)</f>
        <v>0</v>
      </c>
      <c r="F21" s="88">
        <f ca="1">IFERROR(__xludf.DUMMYFUNCTION("IMPORTRANGE(""https://docs.google.com/spreadsheets/d/1-uDff_7J0KD5mKrp0Vvzr7lt3OU09vwQwhkpOPPYv2Y/edit?usp=sharing"",""งบพรบ!AO21"")"),0)</f>
        <v>0</v>
      </c>
      <c r="G21" s="88">
        <f ca="1">IFERROR(__xludf.DUMMYFUNCTION("IMPORTRANGE(""https://docs.google.com/spreadsheets/d/1-uDff_7J0KD5mKrp0Vvzr7lt3OU09vwQwhkpOPPYv2Y/edit?usp=sharing"",""งบพรบ!AP21"")"),0)</f>
        <v>0</v>
      </c>
      <c r="H21" s="88">
        <f ca="1">IFERROR(__xludf.DUMMYFUNCTION("IMPORTRANGE(""https://docs.google.com/spreadsheets/d/1-uDff_7J0KD5mKrp0Vvzr7lt3OU09vwQwhkpOPPYv2Y/edit?usp=sharing"",""งบพรบ!AR21"")"),0)</f>
        <v>0</v>
      </c>
      <c r="I21" s="88">
        <f ca="1">IFERROR(__xludf.DUMMYFUNCTION("IMPORTRANGE(""https://docs.google.com/spreadsheets/d/1-uDff_7J0KD5mKrp0Vvzr7lt3OU09vwQwhkpOPPYv2Y/edit?usp=sharing"",""งบพรบ!AS21"")"),0)</f>
        <v>0</v>
      </c>
      <c r="J21" s="88">
        <f t="shared" ca="1" si="25"/>
        <v>0</v>
      </c>
      <c r="K21" s="89">
        <f t="shared" ca="1" si="26"/>
        <v>0</v>
      </c>
      <c r="L21" s="88">
        <f ca="1">IFERROR(__xludf.DUMMYFUNCTION("IMPORTRANGE(""https://docs.google.com/spreadsheets/d/1-uDff_7J0KD5mKrp0Vvzr7lt3OU09vwQwhkpOPPYv2Y/edit?usp=sharing"",""งบพรบ!AT21"")"),0)</f>
        <v>0</v>
      </c>
      <c r="M21" s="90">
        <f t="shared" ca="1" si="27"/>
        <v>0</v>
      </c>
      <c r="N21" s="90">
        <f t="shared" ca="1" si="28"/>
        <v>0</v>
      </c>
      <c r="O21" s="91">
        <f ca="1">IFERROR(__xludf.DUMMYFUNCTION("IMPORTRANGE(""https://docs.google.com/spreadsheets/d/1-uDff_7J0KD5mKrp0Vvzr7lt3OU09vwQwhkpOPPYv2Y/edit?usp=sharing"",""งบพรบ!AU21"")"),0)</f>
        <v>0</v>
      </c>
      <c r="P21" s="91">
        <f t="shared" ca="1" si="29"/>
        <v>0</v>
      </c>
      <c r="Q21" s="90">
        <f t="shared" ca="1" si="30"/>
        <v>0</v>
      </c>
      <c r="R21" s="92">
        <f t="shared" ca="1" si="31"/>
        <v>0</v>
      </c>
      <c r="S21" s="92">
        <f t="shared" ca="1" si="32"/>
        <v>0</v>
      </c>
      <c r="T21" s="92">
        <f t="shared" ca="1" si="38"/>
        <v>0</v>
      </c>
      <c r="U21" s="93">
        <f t="shared" ca="1" si="33"/>
        <v>0</v>
      </c>
      <c r="V21" s="92">
        <f t="shared" ca="1" si="39"/>
        <v>0</v>
      </c>
      <c r="W21" s="93">
        <f t="shared" ca="1" si="34"/>
        <v>0</v>
      </c>
      <c r="X21" s="88">
        <f ca="1">IFERROR(__xludf.DUMMYFUNCTION("IMPORTRANGE(""https://docs.google.com/spreadsheets/d/1xfJKIQxVOaPDIICqsflNlLu3JacTDk1FP9RH4phX7mI/edit?usp=sharing"",""พิจิตร!I84"")"),0)</f>
        <v>0</v>
      </c>
      <c r="Y21" s="88">
        <f ca="1">IFERROR(__xludf.DUMMYFUNCTION("IMPORTRANGE(""https://docs.google.com/spreadsheets/d/1xfJKIQxVOaPDIICqsflNlLu3JacTDk1FP9RH4phX7mI/edit?usp=sharing"",""พิจิตร!I85"")"),0)</f>
        <v>0</v>
      </c>
      <c r="Z21" s="92">
        <f ca="1">IFERROR(__xludf.DUMMYFUNCTION("IMPORTRANGE(""https://docs.google.com/spreadsheets/d/1xfJKIQxVOaPDIICqsflNlLu3JacTDk1FP9RH4phX7mI/edit?usp=sharing"",""พิจิตร!J84"")"),0)</f>
        <v>0</v>
      </c>
      <c r="AA21" s="92">
        <f ca="1">IFERROR(__xludf.DUMMYFUNCTION("IMPORTRANGE(""https://docs.google.com/spreadsheets/d/1xfJKIQxVOaPDIICqsflNlLu3JacTDk1FP9RH4phX7mI/edit?usp=sharing"",""พิจิตร!J85"")"),0)</f>
        <v>0</v>
      </c>
      <c r="AB21" s="88">
        <f ca="1">IFERROR(__xludf.DUMMYFUNCTION("IMPORTRANGE(""https://docs.google.com/spreadsheets/d/1xfJKIQxVOaPDIICqsflNlLu3JacTDk1FP9RH4phX7mI/edit?usp=sharing"",""พิจิตร!I86"")"),0)</f>
        <v>0</v>
      </c>
      <c r="AC21" s="88">
        <f ca="1">IFERROR(__xludf.DUMMYFUNCTION("IMPORTRANGE(""https://docs.google.com/spreadsheets/d/1xfJKIQxVOaPDIICqsflNlLu3JacTDk1FP9RH4phX7mI/edit?usp=sharing"",""พิจิตร!I87"")"),0)</f>
        <v>0</v>
      </c>
      <c r="AD21" s="92">
        <f ca="1">IFERROR(__xludf.DUMMYFUNCTION("IMPORTRANGE(""https://docs.google.com/spreadsheets/d/1xfJKIQxVOaPDIICqsflNlLu3JacTDk1FP9RH4phX7mI/edit?usp=sharing"",""พิจิตร!J86"")"),0)</f>
        <v>0</v>
      </c>
      <c r="AE21" s="92">
        <f ca="1">IFERROR(__xludf.DUMMYFUNCTION("IMPORTRANGE(""https://docs.google.com/spreadsheets/d/1xfJKIQxVOaPDIICqsflNlLu3JacTDk1FP9RH4phX7mI/edit?usp=sharing"",""พิจิตร!J87"")"),0)</f>
        <v>0</v>
      </c>
      <c r="AF21" s="88">
        <f ca="1">IFERROR(__xludf.DUMMYFUNCTION("IMPORTRANGE(""https://docs.google.com/spreadsheets/d/1xfJKIQxVOaPDIICqsflNlLu3JacTDk1FP9RH4phX7mI/edit?usp=sharing"",""พิจิตร!I88"")"),0)</f>
        <v>0</v>
      </c>
      <c r="AG21" s="88">
        <f ca="1">IFERROR(__xludf.DUMMYFUNCTION("IMPORTRANGE(""https://docs.google.com/spreadsheets/d/1xfJKIQxVOaPDIICqsflNlLu3JacTDk1FP9RH4phX7mI/edit?usp=sharing"",""พิจิตร!I89"")"),0)</f>
        <v>0</v>
      </c>
      <c r="AH21" s="92">
        <f ca="1">IFERROR(__xludf.DUMMYFUNCTION("IMPORTRANGE(""https://docs.google.com/spreadsheets/d/1xfJKIQxVOaPDIICqsflNlLu3JacTDk1FP9RH4phX7mI/edit?usp=sharing"",""พิจิตร!J88"")"),0)</f>
        <v>0</v>
      </c>
      <c r="AI21" s="92">
        <f ca="1">IFERROR(__xludf.DUMMYFUNCTION("IMPORTRANGE(""https://docs.google.com/spreadsheets/d/1xfJKIQxVOaPDIICqsflNlLu3JacTDk1FP9RH4phX7mI/edit?usp=sharing"",""พิจิตร!J89"")"),0)</f>
        <v>0</v>
      </c>
      <c r="AJ21" s="88">
        <f ca="1">IFERROR(__xludf.DUMMYFUNCTION("IMPORTRANGE(""https://docs.google.com/spreadsheets/d/1xfJKIQxVOaPDIICqsflNlLu3JacTDk1FP9RH4phX7mI/edit?usp=sharing"",""พิจิตร!I90"")"),0)</f>
        <v>0</v>
      </c>
      <c r="AK21" s="92">
        <f ca="1">IFERROR(__xludf.DUMMYFUNCTION("IMPORTRANGE(""https://docs.google.com/spreadsheets/d/1xfJKIQxVOaPDIICqsflNlLu3JacTDk1FP9RH4phX7mI/edit?usp=sharing"",""พิจิตร!J90"")"),0)</f>
        <v>0</v>
      </c>
      <c r="AL21" s="90">
        <f t="shared" ca="1" si="36"/>
        <v>0</v>
      </c>
    </row>
    <row r="22" spans="1:38" ht="24" customHeight="1" x14ac:dyDescent="0.2">
      <c r="A22" s="84">
        <v>9</v>
      </c>
      <c r="B22" s="85" t="s">
        <v>44</v>
      </c>
      <c r="C22" s="86">
        <f t="shared" ca="1" si="23"/>
        <v>0</v>
      </c>
      <c r="D22" s="87">
        <f t="shared" ca="1" si="37"/>
        <v>0</v>
      </c>
      <c r="E22" s="88">
        <f ca="1">IFERROR(__xludf.DUMMYFUNCTION("IMPORTRANGE(""https://docs.google.com/spreadsheets/d/1-uDff_7J0KD5mKrp0Vvzr7lt3OU09vwQwhkpOPPYv2Y/edit?usp=sharing"",""งบพรบ!AN22"")"),0)</f>
        <v>0</v>
      </c>
      <c r="F22" s="88">
        <f ca="1">IFERROR(__xludf.DUMMYFUNCTION("IMPORTRANGE(""https://docs.google.com/spreadsheets/d/1-uDff_7J0KD5mKrp0Vvzr7lt3OU09vwQwhkpOPPYv2Y/edit?usp=sharing"",""งบพรบ!AO22"")"),0)</f>
        <v>0</v>
      </c>
      <c r="G22" s="88">
        <f ca="1">IFERROR(__xludf.DUMMYFUNCTION("IMPORTRANGE(""https://docs.google.com/spreadsheets/d/1-uDff_7J0KD5mKrp0Vvzr7lt3OU09vwQwhkpOPPYv2Y/edit?usp=sharing"",""งบพรบ!AP22"")"),0)</f>
        <v>0</v>
      </c>
      <c r="H22" s="88">
        <f ca="1">IFERROR(__xludf.DUMMYFUNCTION("IMPORTRANGE(""https://docs.google.com/spreadsheets/d/1-uDff_7J0KD5mKrp0Vvzr7lt3OU09vwQwhkpOPPYv2Y/edit?usp=sharing"",""งบพรบ!AR22"")"),0)</f>
        <v>0</v>
      </c>
      <c r="I22" s="88">
        <f ca="1">IFERROR(__xludf.DUMMYFUNCTION("IMPORTRANGE(""https://docs.google.com/spreadsheets/d/1-uDff_7J0KD5mKrp0Vvzr7lt3OU09vwQwhkpOPPYv2Y/edit?usp=sharing"",""งบพรบ!AS22"")"),0)</f>
        <v>0</v>
      </c>
      <c r="J22" s="88">
        <f t="shared" ca="1" si="25"/>
        <v>0</v>
      </c>
      <c r="K22" s="89">
        <f t="shared" ca="1" si="26"/>
        <v>0</v>
      </c>
      <c r="L22" s="88">
        <f ca="1">IFERROR(__xludf.DUMMYFUNCTION("IMPORTRANGE(""https://docs.google.com/spreadsheets/d/1-uDff_7J0KD5mKrp0Vvzr7lt3OU09vwQwhkpOPPYv2Y/edit?usp=sharing"",""งบพรบ!AT22"")"),0)</f>
        <v>0</v>
      </c>
      <c r="M22" s="90">
        <f t="shared" ca="1" si="27"/>
        <v>0</v>
      </c>
      <c r="N22" s="90">
        <f t="shared" ca="1" si="28"/>
        <v>0</v>
      </c>
      <c r="O22" s="91">
        <f ca="1">IFERROR(__xludf.DUMMYFUNCTION("IMPORTRANGE(""https://docs.google.com/spreadsheets/d/1-uDff_7J0KD5mKrp0Vvzr7lt3OU09vwQwhkpOPPYv2Y/edit?usp=sharing"",""งบพรบ!AU22"")"),0)</f>
        <v>0</v>
      </c>
      <c r="P22" s="91">
        <f t="shared" ca="1" si="29"/>
        <v>0</v>
      </c>
      <c r="Q22" s="90">
        <f t="shared" ca="1" si="30"/>
        <v>0</v>
      </c>
      <c r="R22" s="92">
        <f t="shared" ca="1" si="31"/>
        <v>0</v>
      </c>
      <c r="S22" s="92">
        <f t="shared" ca="1" si="32"/>
        <v>0</v>
      </c>
      <c r="T22" s="92">
        <f t="shared" ca="1" si="38"/>
        <v>0</v>
      </c>
      <c r="U22" s="93">
        <f t="shared" ca="1" si="33"/>
        <v>0</v>
      </c>
      <c r="V22" s="92">
        <f t="shared" ca="1" si="39"/>
        <v>0</v>
      </c>
      <c r="W22" s="93">
        <f t="shared" ca="1" si="34"/>
        <v>0</v>
      </c>
      <c r="X22" s="88">
        <f ca="1">IFERROR(__xludf.DUMMYFUNCTION("IMPORTRANGE(""https://docs.google.com/spreadsheets/d/1JtRfZkJMHtEhI5RdRHxYUG4FIZHqKDpNyIuN7A1Q0_k/edit?usp=sharing"",""พิษณุโลก!I84"")"),0)</f>
        <v>0</v>
      </c>
      <c r="Y22" s="88">
        <f ca="1">IFERROR(__xludf.DUMMYFUNCTION("IMPORTRANGE(""https://docs.google.com/spreadsheets/d/1JtRfZkJMHtEhI5RdRHxYUG4FIZHqKDpNyIuN7A1Q0_k/edit?usp=sharing"",""พิษณุโลก!I85"")"),0)</f>
        <v>0</v>
      </c>
      <c r="Z22" s="92">
        <f ca="1">IFERROR(__xludf.DUMMYFUNCTION("IMPORTRANGE(""https://docs.google.com/spreadsheets/d/1JtRfZkJMHtEhI5RdRHxYUG4FIZHqKDpNyIuN7A1Q0_k/edit?usp=sharing"",""พิษณุโลก!J84"")"),0)</f>
        <v>0</v>
      </c>
      <c r="AA22" s="92">
        <f ca="1">IFERROR(__xludf.DUMMYFUNCTION("IMPORTRANGE(""https://docs.google.com/spreadsheets/d/1JtRfZkJMHtEhI5RdRHxYUG4FIZHqKDpNyIuN7A1Q0_k/edit?usp=sharing"",""พิษณุโลก!J85"")"),0)</f>
        <v>0</v>
      </c>
      <c r="AB22" s="88">
        <f ca="1">IFERROR(__xludf.DUMMYFUNCTION("IMPORTRANGE(""https://docs.google.com/spreadsheets/d/1JtRfZkJMHtEhI5RdRHxYUG4FIZHqKDpNyIuN7A1Q0_k/edit?usp=sharing"",""พิษณุโลก!I86"")"),0)</f>
        <v>0</v>
      </c>
      <c r="AC22" s="88">
        <f ca="1">IFERROR(__xludf.DUMMYFUNCTION("IMPORTRANGE(""https://docs.google.com/spreadsheets/d/1JtRfZkJMHtEhI5RdRHxYUG4FIZHqKDpNyIuN7A1Q0_k/edit?usp=sharing"",""พิษณุโลก!I87"")"),0)</f>
        <v>0</v>
      </c>
      <c r="AD22" s="92">
        <f ca="1">IFERROR(__xludf.DUMMYFUNCTION("IMPORTRANGE(""https://docs.google.com/spreadsheets/d/1JtRfZkJMHtEhI5RdRHxYUG4FIZHqKDpNyIuN7A1Q0_k/edit?usp=sharing"",""พิษณุโลก!J86"")"),0)</f>
        <v>0</v>
      </c>
      <c r="AE22" s="92">
        <f ca="1">IFERROR(__xludf.DUMMYFUNCTION("IMPORTRANGE(""https://docs.google.com/spreadsheets/d/1JtRfZkJMHtEhI5RdRHxYUG4FIZHqKDpNyIuN7A1Q0_k/edit?usp=sharing"",""พิษณุโลก!J87"")"),0)</f>
        <v>0</v>
      </c>
      <c r="AF22" s="88">
        <f ca="1">IFERROR(__xludf.DUMMYFUNCTION("IMPORTRANGE(""https://docs.google.com/spreadsheets/d/1JtRfZkJMHtEhI5RdRHxYUG4FIZHqKDpNyIuN7A1Q0_k/edit?usp=sharing"",""พิษณุโลก!I88"")"),0)</f>
        <v>0</v>
      </c>
      <c r="AG22" s="88">
        <f ca="1">IFERROR(__xludf.DUMMYFUNCTION("IMPORTRANGE(""https://docs.google.com/spreadsheets/d/1JtRfZkJMHtEhI5RdRHxYUG4FIZHqKDpNyIuN7A1Q0_k/edit?usp=sharing"",""พิษณุโลก!I89"")"),0)</f>
        <v>0</v>
      </c>
      <c r="AH22" s="92">
        <f ca="1">IFERROR(__xludf.DUMMYFUNCTION("IMPORTRANGE(""https://docs.google.com/spreadsheets/d/1JtRfZkJMHtEhI5RdRHxYUG4FIZHqKDpNyIuN7A1Q0_k/edit?usp=sharing"",""พิษณุโลก!J88"")"),0)</f>
        <v>0</v>
      </c>
      <c r="AI22" s="92">
        <f ca="1">IFERROR(__xludf.DUMMYFUNCTION("IMPORTRANGE(""https://docs.google.com/spreadsheets/d/1JtRfZkJMHtEhI5RdRHxYUG4FIZHqKDpNyIuN7A1Q0_k/edit?usp=sharing"",""พิษณุโลก!J89"")"),0)</f>
        <v>0</v>
      </c>
      <c r="AJ22" s="88">
        <f ca="1">IFERROR(__xludf.DUMMYFUNCTION("IMPORTRANGE(""https://docs.google.com/spreadsheets/d/1JtRfZkJMHtEhI5RdRHxYUG4FIZHqKDpNyIuN7A1Q0_k/edit?usp=sharing"",""พิษณุโลก!I90"")"),0)</f>
        <v>0</v>
      </c>
      <c r="AK22" s="92">
        <f ca="1">IFERROR(__xludf.DUMMYFUNCTION("IMPORTRANGE(""https://docs.google.com/spreadsheets/d/1JtRfZkJMHtEhI5RdRHxYUG4FIZHqKDpNyIuN7A1Q0_k/edit?usp=sharing"",""พิษณุโลก!J90"")"),0)</f>
        <v>0</v>
      </c>
      <c r="AL22" s="90">
        <f t="shared" ca="1" si="36"/>
        <v>0</v>
      </c>
    </row>
    <row r="23" spans="1:38" ht="24" customHeight="1" x14ac:dyDescent="0.2">
      <c r="A23" s="84">
        <v>10</v>
      </c>
      <c r="B23" s="85" t="s">
        <v>45</v>
      </c>
      <c r="C23" s="86">
        <f t="shared" ca="1" si="23"/>
        <v>0</v>
      </c>
      <c r="D23" s="87">
        <f t="shared" ca="1" si="37"/>
        <v>0</v>
      </c>
      <c r="E23" s="88">
        <f ca="1">IFERROR(__xludf.DUMMYFUNCTION("IMPORTRANGE(""https://docs.google.com/spreadsheets/d/1-uDff_7J0KD5mKrp0Vvzr7lt3OU09vwQwhkpOPPYv2Y/edit?usp=sharing"",""งบพรบ!AN23"")"),0)</f>
        <v>0</v>
      </c>
      <c r="F23" s="88">
        <f ca="1">IFERROR(__xludf.DUMMYFUNCTION("IMPORTRANGE(""https://docs.google.com/spreadsheets/d/1-uDff_7J0KD5mKrp0Vvzr7lt3OU09vwQwhkpOPPYv2Y/edit?usp=sharing"",""งบพรบ!AO23"")"),0)</f>
        <v>0</v>
      </c>
      <c r="G23" s="88">
        <f ca="1">IFERROR(__xludf.DUMMYFUNCTION("IMPORTRANGE(""https://docs.google.com/spreadsheets/d/1-uDff_7J0KD5mKrp0Vvzr7lt3OU09vwQwhkpOPPYv2Y/edit?usp=sharing"",""งบพรบ!AP23"")"),0)</f>
        <v>0</v>
      </c>
      <c r="H23" s="88">
        <f ca="1">IFERROR(__xludf.DUMMYFUNCTION("IMPORTRANGE(""https://docs.google.com/spreadsheets/d/1-uDff_7J0KD5mKrp0Vvzr7lt3OU09vwQwhkpOPPYv2Y/edit?usp=sharing"",""งบพรบ!AR23"")"),0)</f>
        <v>0</v>
      </c>
      <c r="I23" s="88">
        <f ca="1">IFERROR(__xludf.DUMMYFUNCTION("IMPORTRANGE(""https://docs.google.com/spreadsheets/d/1-uDff_7J0KD5mKrp0Vvzr7lt3OU09vwQwhkpOPPYv2Y/edit?usp=sharing"",""งบพรบ!AS23"")"),0)</f>
        <v>0</v>
      </c>
      <c r="J23" s="88">
        <f t="shared" ca="1" si="25"/>
        <v>0</v>
      </c>
      <c r="K23" s="89">
        <f t="shared" ca="1" si="26"/>
        <v>0</v>
      </c>
      <c r="L23" s="88">
        <f ca="1">IFERROR(__xludf.DUMMYFUNCTION("IMPORTRANGE(""https://docs.google.com/spreadsheets/d/1-uDff_7J0KD5mKrp0Vvzr7lt3OU09vwQwhkpOPPYv2Y/edit?usp=sharing"",""งบพรบ!AT23"")"),0)</f>
        <v>0</v>
      </c>
      <c r="M23" s="90">
        <f t="shared" ca="1" si="27"/>
        <v>0</v>
      </c>
      <c r="N23" s="90">
        <f t="shared" ca="1" si="28"/>
        <v>0</v>
      </c>
      <c r="O23" s="91">
        <f ca="1">IFERROR(__xludf.DUMMYFUNCTION("IMPORTRANGE(""https://docs.google.com/spreadsheets/d/1-uDff_7J0KD5mKrp0Vvzr7lt3OU09vwQwhkpOPPYv2Y/edit?usp=sharing"",""งบพรบ!AU23"")"),0)</f>
        <v>0</v>
      </c>
      <c r="P23" s="91">
        <f t="shared" ca="1" si="29"/>
        <v>0</v>
      </c>
      <c r="Q23" s="90">
        <f t="shared" ca="1" si="30"/>
        <v>0</v>
      </c>
      <c r="R23" s="92">
        <f t="shared" ca="1" si="31"/>
        <v>0</v>
      </c>
      <c r="S23" s="92">
        <f t="shared" ca="1" si="32"/>
        <v>0</v>
      </c>
      <c r="T23" s="92">
        <f t="shared" ca="1" si="38"/>
        <v>0</v>
      </c>
      <c r="U23" s="93">
        <f t="shared" ca="1" si="33"/>
        <v>0</v>
      </c>
      <c r="V23" s="92">
        <f t="shared" ca="1" si="39"/>
        <v>0</v>
      </c>
      <c r="W23" s="93">
        <f t="shared" ca="1" si="34"/>
        <v>0</v>
      </c>
      <c r="X23" s="88">
        <f ca="1">IFERROR(__xludf.DUMMYFUNCTION("IMPORTRANGE(""https://docs.google.com/spreadsheets/d/1xlcVZWUNn6SuWm0c307h32SiGkd9BaeQWlAktfD3KO8/edit?usp=sharing"",""เพชรบูรณ์!I84"")"),0)</f>
        <v>0</v>
      </c>
      <c r="Y23" s="88">
        <f ca="1">IFERROR(__xludf.DUMMYFUNCTION("IMPORTRANGE(""https://docs.google.com/spreadsheets/d/1xlcVZWUNn6SuWm0c307h32SiGkd9BaeQWlAktfD3KO8/edit?usp=sharing"",""เพชรบูรณ์!I85"")"),0)</f>
        <v>0</v>
      </c>
      <c r="Z23" s="92">
        <f ca="1">IFERROR(__xludf.DUMMYFUNCTION("IMPORTRANGE(""https://docs.google.com/spreadsheets/d/1xlcVZWUNn6SuWm0c307h32SiGkd9BaeQWlAktfD3KO8/edit?usp=sharing"",""เพชรบูรณ์!J84"")"),0)</f>
        <v>0</v>
      </c>
      <c r="AA23" s="92">
        <f ca="1">IFERROR(__xludf.DUMMYFUNCTION("IMPORTRANGE(""https://docs.google.com/spreadsheets/d/1xlcVZWUNn6SuWm0c307h32SiGkd9BaeQWlAktfD3KO8/edit?usp=sharing"",""เพชรบูรณ์!J85"")"),0)</f>
        <v>0</v>
      </c>
      <c r="AB23" s="88">
        <f ca="1">IFERROR(__xludf.DUMMYFUNCTION("IMPORTRANGE(""https://docs.google.com/spreadsheets/d/1xlcVZWUNn6SuWm0c307h32SiGkd9BaeQWlAktfD3KO8/edit?usp=sharing"",""เพชรบูรณ์!I86"")"),0)</f>
        <v>0</v>
      </c>
      <c r="AC23" s="88">
        <f ca="1">IFERROR(__xludf.DUMMYFUNCTION("IMPORTRANGE(""https://docs.google.com/spreadsheets/d/1xlcVZWUNn6SuWm0c307h32SiGkd9BaeQWlAktfD3KO8/edit?usp=sharing"",""เพชรบูรณ์!I87"")"),0)</f>
        <v>0</v>
      </c>
      <c r="AD23" s="92">
        <f ca="1">IFERROR(__xludf.DUMMYFUNCTION("IMPORTRANGE(""https://docs.google.com/spreadsheets/d/1xlcVZWUNn6SuWm0c307h32SiGkd9BaeQWlAktfD3KO8/edit?usp=sharing"",""เพชรบูรณ์!J86"")"),0)</f>
        <v>0</v>
      </c>
      <c r="AE23" s="92">
        <f ca="1">IFERROR(__xludf.DUMMYFUNCTION("IMPORTRANGE(""https://docs.google.com/spreadsheets/d/1xlcVZWUNn6SuWm0c307h32SiGkd9BaeQWlAktfD3KO8/edit?usp=sharing"",""เพชรบูรณ์!J87"")"),0)</f>
        <v>0</v>
      </c>
      <c r="AF23" s="88">
        <f ca="1">IFERROR(__xludf.DUMMYFUNCTION("IMPORTRANGE(""https://docs.google.com/spreadsheets/d/1xlcVZWUNn6SuWm0c307h32SiGkd9BaeQWlAktfD3KO8/edit?usp=sharing"",""เพชรบูรณ์!I88"")"),0)</f>
        <v>0</v>
      </c>
      <c r="AG23" s="88">
        <f ca="1">IFERROR(__xludf.DUMMYFUNCTION("IMPORTRANGE(""https://docs.google.com/spreadsheets/d/1xlcVZWUNn6SuWm0c307h32SiGkd9BaeQWlAktfD3KO8/edit?usp=sharing"",""เพชรบูรณ์!I89"")"),0)</f>
        <v>0</v>
      </c>
      <c r="AH23" s="92">
        <f ca="1">IFERROR(__xludf.DUMMYFUNCTION("IMPORTRANGE(""https://docs.google.com/spreadsheets/d/1xlcVZWUNn6SuWm0c307h32SiGkd9BaeQWlAktfD3KO8/edit?usp=sharing"",""เพชรบูรณ์!J88"")"),0)</f>
        <v>0</v>
      </c>
      <c r="AI23" s="92">
        <f ca="1">IFERROR(__xludf.DUMMYFUNCTION("IMPORTRANGE(""https://docs.google.com/spreadsheets/d/1xlcVZWUNn6SuWm0c307h32SiGkd9BaeQWlAktfD3KO8/edit?usp=sharing"",""เพชรบูรณ์!J89"")"),0)</f>
        <v>0</v>
      </c>
      <c r="AJ23" s="88">
        <f ca="1">IFERROR(__xludf.DUMMYFUNCTION("IMPORTRANGE(""https://docs.google.com/spreadsheets/d/1xlcVZWUNn6SuWm0c307h32SiGkd9BaeQWlAktfD3KO8/edit?usp=sharing"",""เพชรบูรณ์!I90"")"),0)</f>
        <v>0</v>
      </c>
      <c r="AK23" s="92">
        <f ca="1">IFERROR(__xludf.DUMMYFUNCTION("IMPORTRANGE(""https://docs.google.com/spreadsheets/d/1xlcVZWUNn6SuWm0c307h32SiGkd9BaeQWlAktfD3KO8/edit?usp=sharing"",""เพชรบูรณ์!J90"")"),0)</f>
        <v>0</v>
      </c>
      <c r="AL23" s="90">
        <f t="shared" ca="1" si="36"/>
        <v>0</v>
      </c>
    </row>
    <row r="24" spans="1:38" ht="24" customHeight="1" x14ac:dyDescent="0.2">
      <c r="A24" s="84">
        <v>11</v>
      </c>
      <c r="B24" s="85" t="s">
        <v>46</v>
      </c>
      <c r="C24" s="86">
        <f t="shared" ca="1" si="23"/>
        <v>0</v>
      </c>
      <c r="D24" s="87">
        <f t="shared" ca="1" si="37"/>
        <v>0</v>
      </c>
      <c r="E24" s="88">
        <f ca="1">IFERROR(__xludf.DUMMYFUNCTION("IMPORTRANGE(""https://docs.google.com/spreadsheets/d/1-uDff_7J0KD5mKrp0Vvzr7lt3OU09vwQwhkpOPPYv2Y/edit?usp=sharing"",""งบพรบ!AN24"")"),0)</f>
        <v>0</v>
      </c>
      <c r="F24" s="88">
        <f ca="1">IFERROR(__xludf.DUMMYFUNCTION("IMPORTRANGE(""https://docs.google.com/spreadsheets/d/1-uDff_7J0KD5mKrp0Vvzr7lt3OU09vwQwhkpOPPYv2Y/edit?usp=sharing"",""งบพรบ!AO24"")"),0)</f>
        <v>0</v>
      </c>
      <c r="G24" s="88">
        <f ca="1">IFERROR(__xludf.DUMMYFUNCTION("IMPORTRANGE(""https://docs.google.com/spreadsheets/d/1-uDff_7J0KD5mKrp0Vvzr7lt3OU09vwQwhkpOPPYv2Y/edit?usp=sharing"",""งบพรบ!AP24"")"),0)</f>
        <v>0</v>
      </c>
      <c r="H24" s="88">
        <f ca="1">IFERROR(__xludf.DUMMYFUNCTION("IMPORTRANGE(""https://docs.google.com/spreadsheets/d/1-uDff_7J0KD5mKrp0Vvzr7lt3OU09vwQwhkpOPPYv2Y/edit?usp=sharing"",""งบพรบ!AR24"")"),0)</f>
        <v>0</v>
      </c>
      <c r="I24" s="88">
        <f ca="1">IFERROR(__xludf.DUMMYFUNCTION("IMPORTRANGE(""https://docs.google.com/spreadsheets/d/1-uDff_7J0KD5mKrp0Vvzr7lt3OU09vwQwhkpOPPYv2Y/edit?usp=sharing"",""งบพรบ!AS24"")"),0)</f>
        <v>0</v>
      </c>
      <c r="J24" s="88">
        <f t="shared" ca="1" si="25"/>
        <v>0</v>
      </c>
      <c r="K24" s="89">
        <f t="shared" ca="1" si="26"/>
        <v>0</v>
      </c>
      <c r="L24" s="88">
        <f ca="1">IFERROR(__xludf.DUMMYFUNCTION("IMPORTRANGE(""https://docs.google.com/spreadsheets/d/1-uDff_7J0KD5mKrp0Vvzr7lt3OU09vwQwhkpOPPYv2Y/edit?usp=sharing"",""งบพรบ!AT24"")"),0)</f>
        <v>0</v>
      </c>
      <c r="M24" s="90">
        <f t="shared" ca="1" si="27"/>
        <v>0</v>
      </c>
      <c r="N24" s="90">
        <f t="shared" ca="1" si="28"/>
        <v>0</v>
      </c>
      <c r="O24" s="91">
        <f ca="1">IFERROR(__xludf.DUMMYFUNCTION("IMPORTRANGE(""https://docs.google.com/spreadsheets/d/1-uDff_7J0KD5mKrp0Vvzr7lt3OU09vwQwhkpOPPYv2Y/edit?usp=sharing"",""งบพรบ!AU24"")"),0)</f>
        <v>0</v>
      </c>
      <c r="P24" s="91">
        <f t="shared" ca="1" si="29"/>
        <v>0</v>
      </c>
      <c r="Q24" s="90">
        <f t="shared" ca="1" si="30"/>
        <v>0</v>
      </c>
      <c r="R24" s="92">
        <f t="shared" ca="1" si="31"/>
        <v>0</v>
      </c>
      <c r="S24" s="92">
        <f t="shared" ca="1" si="32"/>
        <v>0</v>
      </c>
      <c r="T24" s="92">
        <f t="shared" ca="1" si="38"/>
        <v>0</v>
      </c>
      <c r="U24" s="93">
        <f t="shared" ca="1" si="33"/>
        <v>0</v>
      </c>
      <c r="V24" s="92">
        <f t="shared" ca="1" si="39"/>
        <v>0</v>
      </c>
      <c r="W24" s="93">
        <f t="shared" ca="1" si="34"/>
        <v>0</v>
      </c>
      <c r="X24" s="88">
        <f ca="1">IFERROR(__xludf.DUMMYFUNCTION("IMPORTRANGE(""https://docs.google.com/spreadsheets/d/1lOVebEIsI9qjGXl6EX66luk7wiuP2tBaryw-wKvv4e0/edit?usp=sharing"",""แพร่!I84"")"),0)</f>
        <v>0</v>
      </c>
      <c r="Y24" s="88">
        <f ca="1">IFERROR(__xludf.DUMMYFUNCTION("IMPORTRANGE(""https://docs.google.com/spreadsheets/d/1lOVebEIsI9qjGXl6EX66luk7wiuP2tBaryw-wKvv4e0/edit?usp=sharing"",""แพร่!I85"")"),0)</f>
        <v>0</v>
      </c>
      <c r="Z24" s="92">
        <f ca="1">IFERROR(__xludf.DUMMYFUNCTION("IMPORTRANGE(""https://docs.google.com/spreadsheets/d/1lOVebEIsI9qjGXl6EX66luk7wiuP2tBaryw-wKvv4e0/edit?usp=sharing"",""แพร่!J84"")"),0)</f>
        <v>0</v>
      </c>
      <c r="AA24" s="92">
        <f ca="1">IFERROR(__xludf.DUMMYFUNCTION("IMPORTRANGE(""https://docs.google.com/spreadsheets/d/1lOVebEIsI9qjGXl6EX66luk7wiuP2tBaryw-wKvv4e0/edit?usp=sharing"",""แพร่!J85"")"),0)</f>
        <v>0</v>
      </c>
      <c r="AB24" s="88">
        <f ca="1">IFERROR(__xludf.DUMMYFUNCTION("IMPORTRANGE(""https://docs.google.com/spreadsheets/d/1lOVebEIsI9qjGXl6EX66luk7wiuP2tBaryw-wKvv4e0/edit?usp=sharing"",""แพร่!I86"")"),0)</f>
        <v>0</v>
      </c>
      <c r="AC24" s="88">
        <f ca="1">IFERROR(__xludf.DUMMYFUNCTION("IMPORTRANGE(""https://docs.google.com/spreadsheets/d/1lOVebEIsI9qjGXl6EX66luk7wiuP2tBaryw-wKvv4e0/edit?usp=sharing"",""แพร่!I87"")"),0)</f>
        <v>0</v>
      </c>
      <c r="AD24" s="92">
        <f ca="1">IFERROR(__xludf.DUMMYFUNCTION("IMPORTRANGE(""https://docs.google.com/spreadsheets/d/1lOVebEIsI9qjGXl6EX66luk7wiuP2tBaryw-wKvv4e0/edit?usp=sharing"",""แพร่!J86"")"),0)</f>
        <v>0</v>
      </c>
      <c r="AE24" s="92">
        <f ca="1">IFERROR(__xludf.DUMMYFUNCTION("IMPORTRANGE(""https://docs.google.com/spreadsheets/d/1lOVebEIsI9qjGXl6EX66luk7wiuP2tBaryw-wKvv4e0/edit?usp=sharing"",""แพร่!J87"")"),0)</f>
        <v>0</v>
      </c>
      <c r="AF24" s="88">
        <f ca="1">IFERROR(__xludf.DUMMYFUNCTION("IMPORTRANGE(""https://docs.google.com/spreadsheets/d/1lOVebEIsI9qjGXl6EX66luk7wiuP2tBaryw-wKvv4e0/edit?usp=sharing"",""แพร่!I88"")"),0)</f>
        <v>0</v>
      </c>
      <c r="AG24" s="88">
        <f ca="1">IFERROR(__xludf.DUMMYFUNCTION("IMPORTRANGE(""https://docs.google.com/spreadsheets/d/1lOVebEIsI9qjGXl6EX66luk7wiuP2tBaryw-wKvv4e0/edit?usp=sharing"",""แพร่!I89"")"),0)</f>
        <v>0</v>
      </c>
      <c r="AH24" s="92">
        <f ca="1">IFERROR(__xludf.DUMMYFUNCTION("IMPORTRANGE(""https://docs.google.com/spreadsheets/d/1lOVebEIsI9qjGXl6EX66luk7wiuP2tBaryw-wKvv4e0/edit?usp=sharing"",""แพร่!J88"")"),0)</f>
        <v>0</v>
      </c>
      <c r="AI24" s="92">
        <f ca="1">IFERROR(__xludf.DUMMYFUNCTION("IMPORTRANGE(""https://docs.google.com/spreadsheets/d/1lOVebEIsI9qjGXl6EX66luk7wiuP2tBaryw-wKvv4e0/edit?usp=sharing"",""แพร่!J89"")"),0)</f>
        <v>0</v>
      </c>
      <c r="AJ24" s="88">
        <f ca="1">IFERROR(__xludf.DUMMYFUNCTION("IMPORTRANGE(""https://docs.google.com/spreadsheets/d/1lOVebEIsI9qjGXl6EX66luk7wiuP2tBaryw-wKvv4e0/edit?usp=sharing"",""แพร่!I90"")"),0)</f>
        <v>0</v>
      </c>
      <c r="AK24" s="92">
        <f ca="1">IFERROR(__xludf.DUMMYFUNCTION("IMPORTRANGE(""https://docs.google.com/spreadsheets/d/1lOVebEIsI9qjGXl6EX66luk7wiuP2tBaryw-wKvv4e0/edit?usp=sharing"",""แพร่!J90"")"),0)</f>
        <v>0</v>
      </c>
      <c r="AL24" s="90">
        <f t="shared" ca="1" si="36"/>
        <v>0</v>
      </c>
    </row>
    <row r="25" spans="1:38" ht="24" customHeight="1" x14ac:dyDescent="0.2">
      <c r="A25" s="84">
        <v>12</v>
      </c>
      <c r="B25" s="85" t="s">
        <v>47</v>
      </c>
      <c r="C25" s="86">
        <f t="shared" ca="1" si="23"/>
        <v>0</v>
      </c>
      <c r="D25" s="87">
        <f t="shared" ca="1" si="37"/>
        <v>0</v>
      </c>
      <c r="E25" s="88">
        <f ca="1">IFERROR(__xludf.DUMMYFUNCTION("IMPORTRANGE(""https://docs.google.com/spreadsheets/d/1-uDff_7J0KD5mKrp0Vvzr7lt3OU09vwQwhkpOPPYv2Y/edit?usp=sharing"",""งบพรบ!AN25"")"),0)</f>
        <v>0</v>
      </c>
      <c r="F25" s="88">
        <f ca="1">IFERROR(__xludf.DUMMYFUNCTION("IMPORTRANGE(""https://docs.google.com/spreadsheets/d/1-uDff_7J0KD5mKrp0Vvzr7lt3OU09vwQwhkpOPPYv2Y/edit?usp=sharing"",""งบพรบ!AO25"")"),0)</f>
        <v>0</v>
      </c>
      <c r="G25" s="88">
        <f ca="1">IFERROR(__xludf.DUMMYFUNCTION("IMPORTRANGE(""https://docs.google.com/spreadsheets/d/1-uDff_7J0KD5mKrp0Vvzr7lt3OU09vwQwhkpOPPYv2Y/edit?usp=sharing"",""งบพรบ!AP25"")"),0)</f>
        <v>0</v>
      </c>
      <c r="H25" s="88">
        <f ca="1">IFERROR(__xludf.DUMMYFUNCTION("IMPORTRANGE(""https://docs.google.com/spreadsheets/d/1-uDff_7J0KD5mKrp0Vvzr7lt3OU09vwQwhkpOPPYv2Y/edit?usp=sharing"",""งบพรบ!AR25"")"),0)</f>
        <v>0</v>
      </c>
      <c r="I25" s="88">
        <f ca="1">IFERROR(__xludf.DUMMYFUNCTION("IMPORTRANGE(""https://docs.google.com/spreadsheets/d/1-uDff_7J0KD5mKrp0Vvzr7lt3OU09vwQwhkpOPPYv2Y/edit?usp=sharing"",""งบพรบ!AS25"")"),0)</f>
        <v>0</v>
      </c>
      <c r="J25" s="88">
        <f t="shared" ca="1" si="25"/>
        <v>0</v>
      </c>
      <c r="K25" s="89">
        <f t="shared" ca="1" si="26"/>
        <v>0</v>
      </c>
      <c r="L25" s="88">
        <f ca="1">IFERROR(__xludf.DUMMYFUNCTION("IMPORTRANGE(""https://docs.google.com/spreadsheets/d/1-uDff_7J0KD5mKrp0Vvzr7lt3OU09vwQwhkpOPPYv2Y/edit?usp=sharing"",""งบพรบ!AT25"")"),0)</f>
        <v>0</v>
      </c>
      <c r="M25" s="90">
        <f t="shared" ca="1" si="27"/>
        <v>0</v>
      </c>
      <c r="N25" s="90">
        <f t="shared" ca="1" si="28"/>
        <v>0</v>
      </c>
      <c r="O25" s="91">
        <f ca="1">IFERROR(__xludf.DUMMYFUNCTION("IMPORTRANGE(""https://docs.google.com/spreadsheets/d/1-uDff_7J0KD5mKrp0Vvzr7lt3OU09vwQwhkpOPPYv2Y/edit?usp=sharing"",""งบพรบ!AU25"")"),0)</f>
        <v>0</v>
      </c>
      <c r="P25" s="91">
        <f t="shared" ca="1" si="29"/>
        <v>0</v>
      </c>
      <c r="Q25" s="90">
        <f t="shared" ca="1" si="30"/>
        <v>0</v>
      </c>
      <c r="R25" s="92">
        <f t="shared" ca="1" si="31"/>
        <v>0</v>
      </c>
      <c r="S25" s="92">
        <f t="shared" ca="1" si="32"/>
        <v>0</v>
      </c>
      <c r="T25" s="92">
        <f t="shared" ca="1" si="38"/>
        <v>0</v>
      </c>
      <c r="U25" s="93">
        <f t="shared" ca="1" si="33"/>
        <v>0</v>
      </c>
      <c r="V25" s="92">
        <f t="shared" ca="1" si="39"/>
        <v>0</v>
      </c>
      <c r="W25" s="93">
        <f t="shared" ca="1" si="34"/>
        <v>0</v>
      </c>
      <c r="X25" s="88">
        <f ca="1">IFERROR(__xludf.DUMMYFUNCTION("IMPORTRANGE(""https://docs.google.com/spreadsheets/d/1dQrvX0vEcN7Gu0fnZ0B5S90AeR19zth4XlExFBeExMY/edit?usp=sharing"",""แม่ฮ่องสอน!I84"")"),0)</f>
        <v>0</v>
      </c>
      <c r="Y25" s="88">
        <f ca="1">IFERROR(__xludf.DUMMYFUNCTION("IMPORTRANGE(""https://docs.google.com/spreadsheets/d/1dQrvX0vEcN7Gu0fnZ0B5S90AeR19zth4XlExFBeExMY/edit?usp=sharing"",""แม่ฮ่องสอน!I85"")"),0)</f>
        <v>0</v>
      </c>
      <c r="Z25" s="92">
        <f ca="1">IFERROR(__xludf.DUMMYFUNCTION("IMPORTRANGE(""https://docs.google.com/spreadsheets/d/1dQrvX0vEcN7Gu0fnZ0B5S90AeR19zth4XlExFBeExMY/edit?usp=sharing"",""แม่ฮ่องสอน!J84"")"),0)</f>
        <v>0</v>
      </c>
      <c r="AA25" s="92">
        <f ca="1">IFERROR(__xludf.DUMMYFUNCTION("IMPORTRANGE(""https://docs.google.com/spreadsheets/d/1dQrvX0vEcN7Gu0fnZ0B5S90AeR19zth4XlExFBeExMY/edit?usp=sharing"",""แม่ฮ่องสอน!J85"")"),0)</f>
        <v>0</v>
      </c>
      <c r="AB25" s="88">
        <f ca="1">IFERROR(__xludf.DUMMYFUNCTION("IMPORTRANGE(""https://docs.google.com/spreadsheets/d/1dQrvX0vEcN7Gu0fnZ0B5S90AeR19zth4XlExFBeExMY/edit?usp=sharing"",""แม่ฮ่องสอน!I86"")"),0)</f>
        <v>0</v>
      </c>
      <c r="AC25" s="88">
        <f ca="1">IFERROR(__xludf.DUMMYFUNCTION("IMPORTRANGE(""https://docs.google.com/spreadsheets/d/1dQrvX0vEcN7Gu0fnZ0B5S90AeR19zth4XlExFBeExMY/edit?usp=sharing"",""แม่ฮ่องสอน!I87"")"),0)</f>
        <v>0</v>
      </c>
      <c r="AD25" s="92">
        <f ca="1">IFERROR(__xludf.DUMMYFUNCTION("IMPORTRANGE(""https://docs.google.com/spreadsheets/d/1dQrvX0vEcN7Gu0fnZ0B5S90AeR19zth4XlExFBeExMY/edit?usp=sharing"",""แม่ฮ่องสอน!J86"")"),0)</f>
        <v>0</v>
      </c>
      <c r="AE25" s="92">
        <f ca="1">IFERROR(__xludf.DUMMYFUNCTION("IMPORTRANGE(""https://docs.google.com/spreadsheets/d/1dQrvX0vEcN7Gu0fnZ0B5S90AeR19zth4XlExFBeExMY/edit?usp=sharing"",""แม่ฮ่องสอน!J87"")"),0)</f>
        <v>0</v>
      </c>
      <c r="AF25" s="88">
        <f ca="1">IFERROR(__xludf.DUMMYFUNCTION("IMPORTRANGE(""https://docs.google.com/spreadsheets/d/1dQrvX0vEcN7Gu0fnZ0B5S90AeR19zth4XlExFBeExMY/edit?usp=sharing"",""แม่ฮ่องสอน!I88"")"),0)</f>
        <v>0</v>
      </c>
      <c r="AG25" s="88">
        <f ca="1">IFERROR(__xludf.DUMMYFUNCTION("IMPORTRANGE(""https://docs.google.com/spreadsheets/d/1dQrvX0vEcN7Gu0fnZ0B5S90AeR19zth4XlExFBeExMY/edit?usp=sharing"",""แม่ฮ่องสอน!I89"")"),0)</f>
        <v>0</v>
      </c>
      <c r="AH25" s="92">
        <f ca="1">IFERROR(__xludf.DUMMYFUNCTION("IMPORTRANGE(""https://docs.google.com/spreadsheets/d/1dQrvX0vEcN7Gu0fnZ0B5S90AeR19zth4XlExFBeExMY/edit?usp=sharing"",""แม่ฮ่องสอน!J88"")"),0)</f>
        <v>0</v>
      </c>
      <c r="AI25" s="92">
        <f ca="1">IFERROR(__xludf.DUMMYFUNCTION("IMPORTRANGE(""https://docs.google.com/spreadsheets/d/1dQrvX0vEcN7Gu0fnZ0B5S90AeR19zth4XlExFBeExMY/edit?usp=sharing"",""แม่ฮ่องสอน!J89"")"),0)</f>
        <v>0</v>
      </c>
      <c r="AJ25" s="88">
        <f ca="1">IFERROR(__xludf.DUMMYFUNCTION("IMPORTRANGE(""https://docs.google.com/spreadsheets/d/1dQrvX0vEcN7Gu0fnZ0B5S90AeR19zth4XlExFBeExMY/edit?usp=sharing"",""แม่ฮ่องสอน!I90"")"),0)</f>
        <v>0</v>
      </c>
      <c r="AK25" s="92">
        <f ca="1">IFERROR(__xludf.DUMMYFUNCTION("IMPORTRANGE(""https://docs.google.com/spreadsheets/d/1dQrvX0vEcN7Gu0fnZ0B5S90AeR19zth4XlExFBeExMY/edit?usp=sharing"",""แม่ฮ่องสอน!J90"")"),0)</f>
        <v>0</v>
      </c>
      <c r="AL25" s="90">
        <f t="shared" ca="1" si="36"/>
        <v>0</v>
      </c>
    </row>
    <row r="26" spans="1:38" ht="24" customHeight="1" x14ac:dyDescent="0.2">
      <c r="A26" s="84">
        <v>13</v>
      </c>
      <c r="B26" s="85" t="s">
        <v>48</v>
      </c>
      <c r="C26" s="86">
        <f t="shared" ca="1" si="23"/>
        <v>0</v>
      </c>
      <c r="D26" s="87">
        <f t="shared" ca="1" si="37"/>
        <v>0</v>
      </c>
      <c r="E26" s="88">
        <f ca="1">IFERROR(__xludf.DUMMYFUNCTION("IMPORTRANGE(""https://docs.google.com/spreadsheets/d/1-uDff_7J0KD5mKrp0Vvzr7lt3OU09vwQwhkpOPPYv2Y/edit?usp=sharing"",""งบพรบ!AN26"")"),0)</f>
        <v>0</v>
      </c>
      <c r="F26" s="88">
        <f ca="1">IFERROR(__xludf.DUMMYFUNCTION("IMPORTRANGE(""https://docs.google.com/spreadsheets/d/1-uDff_7J0KD5mKrp0Vvzr7lt3OU09vwQwhkpOPPYv2Y/edit?usp=sharing"",""งบพรบ!AO26"")"),0)</f>
        <v>0</v>
      </c>
      <c r="G26" s="88">
        <f ca="1">IFERROR(__xludf.DUMMYFUNCTION("IMPORTRANGE(""https://docs.google.com/spreadsheets/d/1-uDff_7J0KD5mKrp0Vvzr7lt3OU09vwQwhkpOPPYv2Y/edit?usp=sharing"",""งบพรบ!AP26"")"),0)</f>
        <v>0</v>
      </c>
      <c r="H26" s="88">
        <f ca="1">IFERROR(__xludf.DUMMYFUNCTION("IMPORTRANGE(""https://docs.google.com/spreadsheets/d/1-uDff_7J0KD5mKrp0Vvzr7lt3OU09vwQwhkpOPPYv2Y/edit?usp=sharing"",""งบพรบ!AR26"")"),0)</f>
        <v>0</v>
      </c>
      <c r="I26" s="88">
        <f ca="1">IFERROR(__xludf.DUMMYFUNCTION("IMPORTRANGE(""https://docs.google.com/spreadsheets/d/1-uDff_7J0KD5mKrp0Vvzr7lt3OU09vwQwhkpOPPYv2Y/edit?usp=sharing"",""งบพรบ!AS26"")"),0)</f>
        <v>0</v>
      </c>
      <c r="J26" s="88">
        <f t="shared" ca="1" si="25"/>
        <v>0</v>
      </c>
      <c r="K26" s="89">
        <f t="shared" ca="1" si="26"/>
        <v>0</v>
      </c>
      <c r="L26" s="88">
        <f ca="1">IFERROR(__xludf.DUMMYFUNCTION("IMPORTRANGE(""https://docs.google.com/spreadsheets/d/1-uDff_7J0KD5mKrp0Vvzr7lt3OU09vwQwhkpOPPYv2Y/edit?usp=sharing"",""งบพรบ!AT26"")"),0)</f>
        <v>0</v>
      </c>
      <c r="M26" s="90">
        <f t="shared" ca="1" si="27"/>
        <v>0</v>
      </c>
      <c r="N26" s="90">
        <f t="shared" ca="1" si="28"/>
        <v>0</v>
      </c>
      <c r="O26" s="91">
        <f ca="1">IFERROR(__xludf.DUMMYFUNCTION("IMPORTRANGE(""https://docs.google.com/spreadsheets/d/1-uDff_7J0KD5mKrp0Vvzr7lt3OU09vwQwhkpOPPYv2Y/edit?usp=sharing"",""งบพรบ!AU26"")"),0)</f>
        <v>0</v>
      </c>
      <c r="P26" s="91">
        <f t="shared" ca="1" si="29"/>
        <v>0</v>
      </c>
      <c r="Q26" s="90">
        <f t="shared" ca="1" si="30"/>
        <v>0</v>
      </c>
      <c r="R26" s="92">
        <f t="shared" ca="1" si="31"/>
        <v>0</v>
      </c>
      <c r="S26" s="92">
        <f t="shared" ca="1" si="32"/>
        <v>0</v>
      </c>
      <c r="T26" s="92">
        <f t="shared" ca="1" si="38"/>
        <v>0</v>
      </c>
      <c r="U26" s="93">
        <f t="shared" ca="1" si="33"/>
        <v>0</v>
      </c>
      <c r="V26" s="92">
        <f t="shared" ca="1" si="39"/>
        <v>0</v>
      </c>
      <c r="W26" s="93">
        <f t="shared" ca="1" si="34"/>
        <v>0</v>
      </c>
      <c r="X26" s="88">
        <f ca="1">IFERROR(__xludf.DUMMYFUNCTION("IMPORTRANGE(""https://docs.google.com/spreadsheets/d/1DY4XTNNwjluuxqdfdn6qvOSlMRrZqUtmYcZR0ttFiG4/edit?usp=sharing"",""ลำปาง!I84"")"),0)</f>
        <v>0</v>
      </c>
      <c r="Y26" s="88">
        <f ca="1">IFERROR(__xludf.DUMMYFUNCTION("IMPORTRANGE(""https://docs.google.com/spreadsheets/d/1DY4XTNNwjluuxqdfdn6qvOSlMRrZqUtmYcZR0ttFiG4/edit?usp=sharing"",""ลำปาง!I85"")"),0)</f>
        <v>0</v>
      </c>
      <c r="Z26" s="92">
        <f ca="1">IFERROR(__xludf.DUMMYFUNCTION("IMPORTRANGE(""https://docs.google.com/spreadsheets/d/1DY4XTNNwjluuxqdfdn6qvOSlMRrZqUtmYcZR0ttFiG4/edit?usp=sharing"",""ลำปาง!J84"")"),0)</f>
        <v>0</v>
      </c>
      <c r="AA26" s="92">
        <f ca="1">IFERROR(__xludf.DUMMYFUNCTION("IMPORTRANGE(""https://docs.google.com/spreadsheets/d/1DY4XTNNwjluuxqdfdn6qvOSlMRrZqUtmYcZR0ttFiG4/edit?usp=sharing"",""ลำปาง!J85"")"),0)</f>
        <v>0</v>
      </c>
      <c r="AB26" s="88">
        <f ca="1">IFERROR(__xludf.DUMMYFUNCTION("IMPORTRANGE(""https://docs.google.com/spreadsheets/d/1DY4XTNNwjluuxqdfdn6qvOSlMRrZqUtmYcZR0ttFiG4/edit?usp=sharing"",""ลำปาง!I86"")"),0)</f>
        <v>0</v>
      </c>
      <c r="AC26" s="88">
        <f ca="1">IFERROR(__xludf.DUMMYFUNCTION("IMPORTRANGE(""https://docs.google.com/spreadsheets/d/1DY4XTNNwjluuxqdfdn6qvOSlMRrZqUtmYcZR0ttFiG4/edit?usp=sharing"",""ลำปาง!I87"")"),0)</f>
        <v>0</v>
      </c>
      <c r="AD26" s="92">
        <f ca="1">IFERROR(__xludf.DUMMYFUNCTION("IMPORTRANGE(""https://docs.google.com/spreadsheets/d/1DY4XTNNwjluuxqdfdn6qvOSlMRrZqUtmYcZR0ttFiG4/edit?usp=sharing"",""ลำปาง!J86"")"),0)</f>
        <v>0</v>
      </c>
      <c r="AE26" s="92">
        <f ca="1">IFERROR(__xludf.DUMMYFUNCTION("IMPORTRANGE(""https://docs.google.com/spreadsheets/d/1DY4XTNNwjluuxqdfdn6qvOSlMRrZqUtmYcZR0ttFiG4/edit?usp=sharing"",""ลำปาง!J87"")"),0)</f>
        <v>0</v>
      </c>
      <c r="AF26" s="88">
        <f ca="1">IFERROR(__xludf.DUMMYFUNCTION("IMPORTRANGE(""https://docs.google.com/spreadsheets/d/1DY4XTNNwjluuxqdfdn6qvOSlMRrZqUtmYcZR0ttFiG4/edit?usp=sharing"",""ลำปาง!I88"")"),0)</f>
        <v>0</v>
      </c>
      <c r="AG26" s="88">
        <f ca="1">IFERROR(__xludf.DUMMYFUNCTION("IMPORTRANGE(""https://docs.google.com/spreadsheets/d/1DY4XTNNwjluuxqdfdn6qvOSlMRrZqUtmYcZR0ttFiG4/edit?usp=sharing"",""ลำปาง!I89"")"),0)</f>
        <v>0</v>
      </c>
      <c r="AH26" s="92">
        <f ca="1">IFERROR(__xludf.DUMMYFUNCTION("IMPORTRANGE(""https://docs.google.com/spreadsheets/d/1DY4XTNNwjluuxqdfdn6qvOSlMRrZqUtmYcZR0ttFiG4/edit?usp=sharing"",""ลำปาง!J88"")"),0)</f>
        <v>0</v>
      </c>
      <c r="AI26" s="92">
        <f ca="1">IFERROR(__xludf.DUMMYFUNCTION("IMPORTRANGE(""https://docs.google.com/spreadsheets/d/1DY4XTNNwjluuxqdfdn6qvOSlMRrZqUtmYcZR0ttFiG4/edit?usp=sharing"",""ลำปาง!J89"")"),0)</f>
        <v>0</v>
      </c>
      <c r="AJ26" s="88">
        <f ca="1">IFERROR(__xludf.DUMMYFUNCTION("IMPORTRANGE(""https://docs.google.com/spreadsheets/d/1DY4XTNNwjluuxqdfdn6qvOSlMRrZqUtmYcZR0ttFiG4/edit?usp=sharing"",""ลำปาง!I90"")"),0)</f>
        <v>0</v>
      </c>
      <c r="AK26" s="92">
        <f ca="1">IFERROR(__xludf.DUMMYFUNCTION("IMPORTRANGE(""https://docs.google.com/spreadsheets/d/1DY4XTNNwjluuxqdfdn6qvOSlMRrZqUtmYcZR0ttFiG4/edit?usp=sharing"",""ลำปาง!J90"")"),0)</f>
        <v>0</v>
      </c>
      <c r="AL26" s="90">
        <f t="shared" ca="1" si="36"/>
        <v>0</v>
      </c>
    </row>
    <row r="27" spans="1:38" ht="24" customHeight="1" x14ac:dyDescent="0.2">
      <c r="A27" s="84">
        <v>14</v>
      </c>
      <c r="B27" s="85" t="s">
        <v>49</v>
      </c>
      <c r="C27" s="86">
        <f t="shared" ca="1" si="23"/>
        <v>633500</v>
      </c>
      <c r="D27" s="87">
        <f t="shared" ca="1" si="37"/>
        <v>633500</v>
      </c>
      <c r="E27" s="88">
        <f ca="1">IFERROR(__xludf.DUMMYFUNCTION("IMPORTRANGE(""https://docs.google.com/spreadsheets/d/1-uDff_7J0KD5mKrp0Vvzr7lt3OU09vwQwhkpOPPYv2Y/edit?usp=sharing"",""งบพรบ!AN27"")"),381500)</f>
        <v>381500</v>
      </c>
      <c r="F27" s="88">
        <f ca="1">IFERROR(__xludf.DUMMYFUNCTION("IMPORTRANGE(""https://docs.google.com/spreadsheets/d/1-uDff_7J0KD5mKrp0Vvzr7lt3OU09vwQwhkpOPPYv2Y/edit?usp=sharing"",""งบพรบ!AO27"")"),252000)</f>
        <v>252000</v>
      </c>
      <c r="G27" s="88">
        <f ca="1">IFERROR(__xludf.DUMMYFUNCTION("IMPORTRANGE(""https://docs.google.com/spreadsheets/d/1-uDff_7J0KD5mKrp0Vvzr7lt3OU09vwQwhkpOPPYv2Y/edit?usp=sharing"",""งบพรบ!AP27"")"),0)</f>
        <v>0</v>
      </c>
      <c r="H27" s="88">
        <f ca="1">IFERROR(__xludf.DUMMYFUNCTION("IMPORTRANGE(""https://docs.google.com/spreadsheets/d/1-uDff_7J0KD5mKrp0Vvzr7lt3OU09vwQwhkpOPPYv2Y/edit?usp=sharing"",""งบพรบ!AR27"")"),524500)</f>
        <v>524500</v>
      </c>
      <c r="I27" s="88">
        <f ca="1">IFERROR(__xludf.DUMMYFUNCTION("IMPORTRANGE(""https://docs.google.com/spreadsheets/d/1-uDff_7J0KD5mKrp0Vvzr7lt3OU09vwQwhkpOPPYv2Y/edit?usp=sharing"",""งบพรบ!AS27"")"),0)</f>
        <v>0</v>
      </c>
      <c r="J27" s="88">
        <f t="shared" ca="1" si="25"/>
        <v>85444.18</v>
      </c>
      <c r="K27" s="89">
        <f t="shared" ca="1" si="26"/>
        <v>13.487636937647988</v>
      </c>
      <c r="L27" s="88">
        <f ca="1">IFERROR(__xludf.DUMMYFUNCTION("IMPORTRANGE(""https://docs.google.com/spreadsheets/d/1-uDff_7J0KD5mKrp0Vvzr7lt3OU09vwQwhkpOPPYv2Y/edit?usp=sharing"",""งบพรบ!AT27"")"),85444.18)</f>
        <v>85444.18</v>
      </c>
      <c r="M27" s="90">
        <f t="shared" ca="1" si="27"/>
        <v>13.487636937647988</v>
      </c>
      <c r="N27" s="90">
        <f t="shared" ca="1" si="28"/>
        <v>16.290596758817923</v>
      </c>
      <c r="O27" s="91">
        <f ca="1">IFERROR(__xludf.DUMMYFUNCTION("IMPORTRANGE(""https://docs.google.com/spreadsheets/d/1-uDff_7J0KD5mKrp0Vvzr7lt3OU09vwQwhkpOPPYv2Y/edit?usp=sharing"",""งบพรบ!AU27"")"),0)</f>
        <v>0</v>
      </c>
      <c r="P27" s="91">
        <f t="shared" ca="1" si="29"/>
        <v>0</v>
      </c>
      <c r="Q27" s="90">
        <f t="shared" ca="1" si="30"/>
        <v>0</v>
      </c>
      <c r="R27" s="92">
        <f t="shared" ca="1" si="31"/>
        <v>1</v>
      </c>
      <c r="S27" s="92">
        <f t="shared" ca="1" si="32"/>
        <v>35</v>
      </c>
      <c r="T27" s="92">
        <f t="shared" ca="1" si="38"/>
        <v>0</v>
      </c>
      <c r="U27" s="93">
        <f t="shared" ca="1" si="33"/>
        <v>0</v>
      </c>
      <c r="V27" s="92">
        <f t="shared" ca="1" si="39"/>
        <v>0</v>
      </c>
      <c r="W27" s="93">
        <f t="shared" ca="1" si="34"/>
        <v>0</v>
      </c>
      <c r="X27" s="88">
        <f ca="1">IFERROR(__xludf.DUMMYFUNCTION("IMPORTRANGE(""https://docs.google.com/spreadsheets/d/1ICwG78r0OFT8biBlxnBF8r7she7gNSzOvJ958PWT09c/edit?usp=sharing"",""ลำพูน!I84"")"),0)</f>
        <v>0</v>
      </c>
      <c r="Y27" s="88">
        <f ca="1">IFERROR(__xludf.DUMMYFUNCTION("IMPORTRANGE(""https://docs.google.com/spreadsheets/d/1ICwG78r0OFT8biBlxnBF8r7she7gNSzOvJ958PWT09c/edit?usp=sharing"",""ลำพูน!I85"")"),0)</f>
        <v>0</v>
      </c>
      <c r="Z27" s="92">
        <f ca="1">IFERROR(__xludf.DUMMYFUNCTION("IMPORTRANGE(""https://docs.google.com/spreadsheets/d/1ICwG78r0OFT8biBlxnBF8r7she7gNSzOvJ958PWT09c/edit?usp=sharing"",""ลำพูน!J84"")"),0)</f>
        <v>0</v>
      </c>
      <c r="AA27" s="92">
        <f ca="1">IFERROR(__xludf.DUMMYFUNCTION("IMPORTRANGE(""https://docs.google.com/spreadsheets/d/1ICwG78r0OFT8biBlxnBF8r7she7gNSzOvJ958PWT09c/edit?usp=sharing"",""ลำพูน!J85"")"),0)</f>
        <v>0</v>
      </c>
      <c r="AB27" s="88">
        <f ca="1">IFERROR(__xludf.DUMMYFUNCTION("IMPORTRANGE(""https://docs.google.com/spreadsheets/d/1ICwG78r0OFT8biBlxnBF8r7she7gNSzOvJ958PWT09c/edit?usp=sharing"",""ลำพูน!I86"")"),0)</f>
        <v>0</v>
      </c>
      <c r="AC27" s="88">
        <f ca="1">IFERROR(__xludf.DUMMYFUNCTION("IMPORTRANGE(""https://docs.google.com/spreadsheets/d/1ICwG78r0OFT8biBlxnBF8r7she7gNSzOvJ958PWT09c/edit?usp=sharing"",""ลำพูน!I87"")"),0)</f>
        <v>0</v>
      </c>
      <c r="AD27" s="92">
        <f ca="1">IFERROR(__xludf.DUMMYFUNCTION("IMPORTRANGE(""https://docs.google.com/spreadsheets/d/1ICwG78r0OFT8biBlxnBF8r7she7gNSzOvJ958PWT09c/edit?usp=sharing"",""ลำพูน!J86"")"),0)</f>
        <v>0</v>
      </c>
      <c r="AE27" s="92">
        <f ca="1">IFERROR(__xludf.DUMMYFUNCTION("IMPORTRANGE(""https://docs.google.com/spreadsheets/d/1ICwG78r0OFT8biBlxnBF8r7she7gNSzOvJ958PWT09c/edit?usp=sharing"",""ลำพูน!J87"")"),0)</f>
        <v>0</v>
      </c>
      <c r="AF27" s="88">
        <f ca="1">IFERROR(__xludf.DUMMYFUNCTION("IMPORTRANGE(""https://docs.google.com/spreadsheets/d/1ICwG78r0OFT8biBlxnBF8r7she7gNSzOvJ958PWT09c/edit?usp=sharing"",""ลำพูน!I88"")"),1)</f>
        <v>1</v>
      </c>
      <c r="AG27" s="88">
        <f ca="1">IFERROR(__xludf.DUMMYFUNCTION("IMPORTRANGE(""https://docs.google.com/spreadsheets/d/1ICwG78r0OFT8biBlxnBF8r7she7gNSzOvJ958PWT09c/edit?usp=sharing"",""ลำพูน!I89"")"),35)</f>
        <v>35</v>
      </c>
      <c r="AH27" s="92">
        <f ca="1">IFERROR(__xludf.DUMMYFUNCTION("IMPORTRANGE(""https://docs.google.com/spreadsheets/d/1ICwG78r0OFT8biBlxnBF8r7she7gNSzOvJ958PWT09c/edit?usp=sharing"",""ลำพูน!J88"")"),0)</f>
        <v>0</v>
      </c>
      <c r="AI27" s="92">
        <f ca="1">IFERROR(__xludf.DUMMYFUNCTION("IMPORTRANGE(""https://docs.google.com/spreadsheets/d/1ICwG78r0OFT8biBlxnBF8r7she7gNSzOvJ958PWT09c/edit?usp=sharing"",""ลำพูน!J89"")"),0)</f>
        <v>0</v>
      </c>
      <c r="AJ27" s="88">
        <f ca="1">IFERROR(__xludf.DUMMYFUNCTION("IMPORTRANGE(""https://docs.google.com/spreadsheets/d/1ICwG78r0OFT8biBlxnBF8r7she7gNSzOvJ958PWT09c/edit?usp=sharing"",""ลำพูน!I90"")"),1)</f>
        <v>1</v>
      </c>
      <c r="AK27" s="92">
        <f ca="1">IFERROR(__xludf.DUMMYFUNCTION("IMPORTRANGE(""https://docs.google.com/spreadsheets/d/1ICwG78r0OFT8biBlxnBF8r7she7gNSzOvJ958PWT09c/edit?usp=sharing"",""ลำพูน!J90"")"),0)</f>
        <v>0</v>
      </c>
      <c r="AL27" s="90">
        <f t="shared" ca="1" si="36"/>
        <v>0</v>
      </c>
    </row>
    <row r="28" spans="1:38" ht="24" customHeight="1" x14ac:dyDescent="0.2">
      <c r="A28" s="84">
        <v>15</v>
      </c>
      <c r="B28" s="85" t="s">
        <v>50</v>
      </c>
      <c r="C28" s="86">
        <f t="shared" ca="1" si="23"/>
        <v>0</v>
      </c>
      <c r="D28" s="87">
        <f t="shared" ca="1" si="37"/>
        <v>0</v>
      </c>
      <c r="E28" s="88">
        <f ca="1">IFERROR(__xludf.DUMMYFUNCTION("IMPORTRANGE(""https://docs.google.com/spreadsheets/d/1-uDff_7J0KD5mKrp0Vvzr7lt3OU09vwQwhkpOPPYv2Y/edit?usp=sharing"",""งบพรบ!AN28"")"),0)</f>
        <v>0</v>
      </c>
      <c r="F28" s="88">
        <f ca="1">IFERROR(__xludf.DUMMYFUNCTION("IMPORTRANGE(""https://docs.google.com/spreadsheets/d/1-uDff_7J0KD5mKrp0Vvzr7lt3OU09vwQwhkpOPPYv2Y/edit?usp=sharing"",""งบพรบ!AO28"")"),0)</f>
        <v>0</v>
      </c>
      <c r="G28" s="88">
        <f ca="1">IFERROR(__xludf.DUMMYFUNCTION("IMPORTRANGE(""https://docs.google.com/spreadsheets/d/1-uDff_7J0KD5mKrp0Vvzr7lt3OU09vwQwhkpOPPYv2Y/edit?usp=sharing"",""งบพรบ!AP28"")"),0)</f>
        <v>0</v>
      </c>
      <c r="H28" s="88">
        <f ca="1">IFERROR(__xludf.DUMMYFUNCTION("IMPORTRANGE(""https://docs.google.com/spreadsheets/d/1-uDff_7J0KD5mKrp0Vvzr7lt3OU09vwQwhkpOPPYv2Y/edit?usp=sharing"",""งบพรบ!AR28"")"),0)</f>
        <v>0</v>
      </c>
      <c r="I28" s="88">
        <f ca="1">IFERROR(__xludf.DUMMYFUNCTION("IMPORTRANGE(""https://docs.google.com/spreadsheets/d/1-uDff_7J0KD5mKrp0Vvzr7lt3OU09vwQwhkpOPPYv2Y/edit?usp=sharing"",""งบพรบ!AS28"")"),0)</f>
        <v>0</v>
      </c>
      <c r="J28" s="88">
        <f t="shared" ca="1" si="25"/>
        <v>0</v>
      </c>
      <c r="K28" s="89">
        <f t="shared" ca="1" si="26"/>
        <v>0</v>
      </c>
      <c r="L28" s="88">
        <f ca="1">IFERROR(__xludf.DUMMYFUNCTION("IMPORTRANGE(""https://docs.google.com/spreadsheets/d/1-uDff_7J0KD5mKrp0Vvzr7lt3OU09vwQwhkpOPPYv2Y/edit?usp=sharing"",""งบพรบ!AT28"")"),0)</f>
        <v>0</v>
      </c>
      <c r="M28" s="90">
        <f t="shared" ca="1" si="27"/>
        <v>0</v>
      </c>
      <c r="N28" s="90">
        <f t="shared" ca="1" si="28"/>
        <v>0</v>
      </c>
      <c r="O28" s="91">
        <f ca="1">IFERROR(__xludf.DUMMYFUNCTION("IMPORTRANGE(""https://docs.google.com/spreadsheets/d/1-uDff_7J0KD5mKrp0Vvzr7lt3OU09vwQwhkpOPPYv2Y/edit?usp=sharing"",""งบพรบ!AU28"")"),0)</f>
        <v>0</v>
      </c>
      <c r="P28" s="91">
        <f t="shared" ca="1" si="29"/>
        <v>0</v>
      </c>
      <c r="Q28" s="90">
        <f t="shared" ca="1" si="30"/>
        <v>0</v>
      </c>
      <c r="R28" s="92">
        <f t="shared" ca="1" si="31"/>
        <v>0</v>
      </c>
      <c r="S28" s="92">
        <f t="shared" ca="1" si="32"/>
        <v>0</v>
      </c>
      <c r="T28" s="92">
        <f t="shared" ca="1" si="38"/>
        <v>0</v>
      </c>
      <c r="U28" s="93">
        <f t="shared" ca="1" si="33"/>
        <v>0</v>
      </c>
      <c r="V28" s="92">
        <f t="shared" ca="1" si="39"/>
        <v>0</v>
      </c>
      <c r="W28" s="93">
        <f t="shared" ca="1" si="34"/>
        <v>0</v>
      </c>
      <c r="X28" s="88">
        <f ca="1">IFERROR(__xludf.DUMMYFUNCTION("IMPORTRANGE(""https://docs.google.com/spreadsheets/d/1B0f2xJpZUC6Z0xXnqKlZtEPzsf6L84eP1r1Q15seqRM/edit?usp=sharing"",""สุโขทัย!I84"")"),0)</f>
        <v>0</v>
      </c>
      <c r="Y28" s="88">
        <f ca="1">IFERROR(__xludf.DUMMYFUNCTION("IMPORTRANGE(""https://docs.google.com/spreadsheets/d/1B0f2xJpZUC6Z0xXnqKlZtEPzsf6L84eP1r1Q15seqRM/edit?usp=sharing"",""สุโขทัย!I85"")"),0)</f>
        <v>0</v>
      </c>
      <c r="Z28" s="92">
        <f ca="1">IFERROR(__xludf.DUMMYFUNCTION("IMPORTRANGE(""https://docs.google.com/spreadsheets/d/1B0f2xJpZUC6Z0xXnqKlZtEPzsf6L84eP1r1Q15seqRM/edit?usp=sharing"",""สุโขทัย!J84"")"),0)</f>
        <v>0</v>
      </c>
      <c r="AA28" s="92">
        <f ca="1">IFERROR(__xludf.DUMMYFUNCTION("IMPORTRANGE(""https://docs.google.com/spreadsheets/d/1B0f2xJpZUC6Z0xXnqKlZtEPzsf6L84eP1r1Q15seqRM/edit?usp=sharing"",""สุโขทัย!J85"")"),0)</f>
        <v>0</v>
      </c>
      <c r="AB28" s="88">
        <f ca="1">IFERROR(__xludf.DUMMYFUNCTION("IMPORTRANGE(""https://docs.google.com/spreadsheets/d/1B0f2xJpZUC6Z0xXnqKlZtEPzsf6L84eP1r1Q15seqRM/edit?usp=sharing"",""สุโขทัย!I86"")"),0)</f>
        <v>0</v>
      </c>
      <c r="AC28" s="88">
        <f ca="1">IFERROR(__xludf.DUMMYFUNCTION("IMPORTRANGE(""https://docs.google.com/spreadsheets/d/1B0f2xJpZUC6Z0xXnqKlZtEPzsf6L84eP1r1Q15seqRM/edit?usp=sharing"",""สุโขทัย!I87"")"),0)</f>
        <v>0</v>
      </c>
      <c r="AD28" s="92">
        <f ca="1">IFERROR(__xludf.DUMMYFUNCTION("IMPORTRANGE(""https://docs.google.com/spreadsheets/d/1B0f2xJpZUC6Z0xXnqKlZtEPzsf6L84eP1r1Q15seqRM/edit?usp=sharing"",""สุโขทัย!J86"")"),0)</f>
        <v>0</v>
      </c>
      <c r="AE28" s="92">
        <f ca="1">IFERROR(__xludf.DUMMYFUNCTION("IMPORTRANGE(""https://docs.google.com/spreadsheets/d/1B0f2xJpZUC6Z0xXnqKlZtEPzsf6L84eP1r1Q15seqRM/edit?usp=sharing"",""สุโขทัย!J87"")"),0)</f>
        <v>0</v>
      </c>
      <c r="AF28" s="88">
        <f ca="1">IFERROR(__xludf.DUMMYFUNCTION("IMPORTRANGE(""https://docs.google.com/spreadsheets/d/1B0f2xJpZUC6Z0xXnqKlZtEPzsf6L84eP1r1Q15seqRM/edit?usp=sharing"",""สุโขทัย!I88"")"),0)</f>
        <v>0</v>
      </c>
      <c r="AG28" s="88">
        <f ca="1">IFERROR(__xludf.DUMMYFUNCTION("IMPORTRANGE(""https://docs.google.com/spreadsheets/d/1B0f2xJpZUC6Z0xXnqKlZtEPzsf6L84eP1r1Q15seqRM/edit?usp=sharing"",""สุโขทัย!I89"")"),0)</f>
        <v>0</v>
      </c>
      <c r="AH28" s="92">
        <f ca="1">IFERROR(__xludf.DUMMYFUNCTION("IMPORTRANGE(""https://docs.google.com/spreadsheets/d/1B0f2xJpZUC6Z0xXnqKlZtEPzsf6L84eP1r1Q15seqRM/edit?usp=sharing"",""สุโขทัย!J88"")"),0)</f>
        <v>0</v>
      </c>
      <c r="AI28" s="92">
        <f ca="1">IFERROR(__xludf.DUMMYFUNCTION("IMPORTRANGE(""https://docs.google.com/spreadsheets/d/1B0f2xJpZUC6Z0xXnqKlZtEPzsf6L84eP1r1Q15seqRM/edit?usp=sharing"",""สุโขทัย!J89"")"),0)</f>
        <v>0</v>
      </c>
      <c r="AJ28" s="88">
        <f ca="1">IFERROR(__xludf.DUMMYFUNCTION("IMPORTRANGE(""https://docs.google.com/spreadsheets/d/1B0f2xJpZUC6Z0xXnqKlZtEPzsf6L84eP1r1Q15seqRM/edit?usp=sharing"",""สุโขทัย!I90"")"),0)</f>
        <v>0</v>
      </c>
      <c r="AK28" s="92">
        <f ca="1">IFERROR(__xludf.DUMMYFUNCTION("IMPORTRANGE(""https://docs.google.com/spreadsheets/d/1B0f2xJpZUC6Z0xXnqKlZtEPzsf6L84eP1r1Q15seqRM/edit?usp=sharing"",""สุโขทัย!J90"")"),0)</f>
        <v>0</v>
      </c>
      <c r="AL28" s="90">
        <f t="shared" ca="1" si="36"/>
        <v>0</v>
      </c>
    </row>
    <row r="29" spans="1:38" ht="24" customHeight="1" x14ac:dyDescent="0.2">
      <c r="A29" s="84">
        <v>16</v>
      </c>
      <c r="B29" s="85" t="s">
        <v>51</v>
      </c>
      <c r="C29" s="86">
        <f t="shared" ca="1" si="23"/>
        <v>0</v>
      </c>
      <c r="D29" s="87">
        <f t="shared" ca="1" si="37"/>
        <v>0</v>
      </c>
      <c r="E29" s="88">
        <f ca="1">IFERROR(__xludf.DUMMYFUNCTION("IMPORTRANGE(""https://docs.google.com/spreadsheets/d/1-uDff_7J0KD5mKrp0Vvzr7lt3OU09vwQwhkpOPPYv2Y/edit?usp=sharing"",""งบพรบ!AN29"")"),0)</f>
        <v>0</v>
      </c>
      <c r="F29" s="88">
        <f ca="1">IFERROR(__xludf.DUMMYFUNCTION("IMPORTRANGE(""https://docs.google.com/spreadsheets/d/1-uDff_7J0KD5mKrp0Vvzr7lt3OU09vwQwhkpOPPYv2Y/edit?usp=sharing"",""งบพรบ!AO29"")"),0)</f>
        <v>0</v>
      </c>
      <c r="G29" s="88">
        <f ca="1">IFERROR(__xludf.DUMMYFUNCTION("IMPORTRANGE(""https://docs.google.com/spreadsheets/d/1-uDff_7J0KD5mKrp0Vvzr7lt3OU09vwQwhkpOPPYv2Y/edit?usp=sharing"",""งบพรบ!AP29"")"),0)</f>
        <v>0</v>
      </c>
      <c r="H29" s="88">
        <f ca="1">IFERROR(__xludf.DUMMYFUNCTION("IMPORTRANGE(""https://docs.google.com/spreadsheets/d/1-uDff_7J0KD5mKrp0Vvzr7lt3OU09vwQwhkpOPPYv2Y/edit?usp=sharing"",""งบพรบ!AR29"")"),0)</f>
        <v>0</v>
      </c>
      <c r="I29" s="88">
        <f ca="1">IFERROR(__xludf.DUMMYFUNCTION("IMPORTRANGE(""https://docs.google.com/spreadsheets/d/1-uDff_7J0KD5mKrp0Vvzr7lt3OU09vwQwhkpOPPYv2Y/edit?usp=sharing"",""งบพรบ!AS29"")"),0)</f>
        <v>0</v>
      </c>
      <c r="J29" s="88">
        <f t="shared" ca="1" si="25"/>
        <v>0</v>
      </c>
      <c r="K29" s="89">
        <f t="shared" ca="1" si="26"/>
        <v>0</v>
      </c>
      <c r="L29" s="88">
        <f ca="1">IFERROR(__xludf.DUMMYFUNCTION("IMPORTRANGE(""https://docs.google.com/spreadsheets/d/1-uDff_7J0KD5mKrp0Vvzr7lt3OU09vwQwhkpOPPYv2Y/edit?usp=sharing"",""งบพรบ!AT29"")"),0)</f>
        <v>0</v>
      </c>
      <c r="M29" s="90">
        <f t="shared" ca="1" si="27"/>
        <v>0</v>
      </c>
      <c r="N29" s="90">
        <f t="shared" ca="1" si="28"/>
        <v>0</v>
      </c>
      <c r="O29" s="91">
        <f ca="1">IFERROR(__xludf.DUMMYFUNCTION("IMPORTRANGE(""https://docs.google.com/spreadsheets/d/1-uDff_7J0KD5mKrp0Vvzr7lt3OU09vwQwhkpOPPYv2Y/edit?usp=sharing"",""งบพรบ!AU29"")"),0)</f>
        <v>0</v>
      </c>
      <c r="P29" s="91">
        <f t="shared" ca="1" si="29"/>
        <v>0</v>
      </c>
      <c r="Q29" s="90">
        <f t="shared" ca="1" si="30"/>
        <v>0</v>
      </c>
      <c r="R29" s="92">
        <f t="shared" ca="1" si="31"/>
        <v>0</v>
      </c>
      <c r="S29" s="92">
        <f t="shared" ca="1" si="32"/>
        <v>0</v>
      </c>
      <c r="T29" s="92">
        <f t="shared" ca="1" si="38"/>
        <v>0</v>
      </c>
      <c r="U29" s="93">
        <f t="shared" ca="1" si="33"/>
        <v>0</v>
      </c>
      <c r="V29" s="92">
        <f t="shared" ca="1" si="39"/>
        <v>0</v>
      </c>
      <c r="W29" s="93">
        <f t="shared" ca="1" si="34"/>
        <v>0</v>
      </c>
      <c r="X29" s="88">
        <f ca="1">IFERROR(__xludf.DUMMYFUNCTION("IMPORTRANGE(""https://docs.google.com/spreadsheets/d/1v0b9pFQCsKUVExMei7AgY2yQkdeNQvtOssygGsXbiKo/edit?usp=sharing"",""อุตรดิตถ์!I84"")"),0)</f>
        <v>0</v>
      </c>
      <c r="Y29" s="88">
        <f ca="1">IFERROR(__xludf.DUMMYFUNCTION("IMPORTRANGE(""https://docs.google.com/spreadsheets/d/1v0b9pFQCsKUVExMei7AgY2yQkdeNQvtOssygGsXbiKo/edit?usp=sharing"",""อุตรดิตถ์!I85"")"),0)</f>
        <v>0</v>
      </c>
      <c r="Z29" s="92">
        <f ca="1">IFERROR(__xludf.DUMMYFUNCTION("IMPORTRANGE(""https://docs.google.com/spreadsheets/d/1v0b9pFQCsKUVExMei7AgY2yQkdeNQvtOssygGsXbiKo/edit?usp=sharing"",""อุตรดิตถ์!J84"")"),0)</f>
        <v>0</v>
      </c>
      <c r="AA29" s="92">
        <f ca="1">IFERROR(__xludf.DUMMYFUNCTION("IMPORTRANGE(""https://docs.google.com/spreadsheets/d/1v0b9pFQCsKUVExMei7AgY2yQkdeNQvtOssygGsXbiKo/edit?usp=sharing"",""อุตรดิตถ์!J85"")"),0)</f>
        <v>0</v>
      </c>
      <c r="AB29" s="88">
        <f ca="1">IFERROR(__xludf.DUMMYFUNCTION("IMPORTRANGE(""https://docs.google.com/spreadsheets/d/1v0b9pFQCsKUVExMei7AgY2yQkdeNQvtOssygGsXbiKo/edit?usp=sharing"",""อุตรดิตถ์!I86"")"),0)</f>
        <v>0</v>
      </c>
      <c r="AC29" s="88">
        <f ca="1">IFERROR(__xludf.DUMMYFUNCTION("IMPORTRANGE(""https://docs.google.com/spreadsheets/d/1v0b9pFQCsKUVExMei7AgY2yQkdeNQvtOssygGsXbiKo/edit?usp=sharing"",""อุตรดิตถ์!I87"")"),0)</f>
        <v>0</v>
      </c>
      <c r="AD29" s="92">
        <f ca="1">IFERROR(__xludf.DUMMYFUNCTION("IMPORTRANGE(""https://docs.google.com/spreadsheets/d/1v0b9pFQCsKUVExMei7AgY2yQkdeNQvtOssygGsXbiKo/edit?usp=sharing"",""อุตรดิตถ์!J86"")"),0)</f>
        <v>0</v>
      </c>
      <c r="AE29" s="92">
        <f ca="1">IFERROR(__xludf.DUMMYFUNCTION("IMPORTRANGE(""https://docs.google.com/spreadsheets/d/1v0b9pFQCsKUVExMei7AgY2yQkdeNQvtOssygGsXbiKo/edit?usp=sharing"",""อุตรดิตถ์!J87"")"),0)</f>
        <v>0</v>
      </c>
      <c r="AF29" s="88">
        <f ca="1">IFERROR(__xludf.DUMMYFUNCTION("IMPORTRANGE(""https://docs.google.com/spreadsheets/d/1v0b9pFQCsKUVExMei7AgY2yQkdeNQvtOssygGsXbiKo/edit?usp=sharing"",""อุตรดิตถ์!I88"")"),0)</f>
        <v>0</v>
      </c>
      <c r="AG29" s="88">
        <f ca="1">IFERROR(__xludf.DUMMYFUNCTION("IMPORTRANGE(""https://docs.google.com/spreadsheets/d/1v0b9pFQCsKUVExMei7AgY2yQkdeNQvtOssygGsXbiKo/edit?usp=sharing"",""อุตรดิตถ์!I89"")"),0)</f>
        <v>0</v>
      </c>
      <c r="AH29" s="92">
        <f ca="1">IFERROR(__xludf.DUMMYFUNCTION("IMPORTRANGE(""https://docs.google.com/spreadsheets/d/1v0b9pFQCsKUVExMei7AgY2yQkdeNQvtOssygGsXbiKo/edit?usp=sharing"",""อุตรดิตถ์!J88"")"),0)</f>
        <v>0</v>
      </c>
      <c r="AI29" s="92">
        <f ca="1">IFERROR(__xludf.DUMMYFUNCTION("IMPORTRANGE(""https://docs.google.com/spreadsheets/d/1v0b9pFQCsKUVExMei7AgY2yQkdeNQvtOssygGsXbiKo/edit?usp=sharing"",""อุตรดิตถ์!J89"")"),0)</f>
        <v>0</v>
      </c>
      <c r="AJ29" s="88">
        <f ca="1">IFERROR(__xludf.DUMMYFUNCTION("IMPORTRANGE(""https://docs.google.com/spreadsheets/d/1v0b9pFQCsKUVExMei7AgY2yQkdeNQvtOssygGsXbiKo/edit?usp=sharing"",""อุตรดิตถ์!I90"")"),0)</f>
        <v>0</v>
      </c>
      <c r="AK29" s="92">
        <f ca="1">IFERROR(__xludf.DUMMYFUNCTION("IMPORTRANGE(""https://docs.google.com/spreadsheets/d/1v0b9pFQCsKUVExMei7AgY2yQkdeNQvtOssygGsXbiKo/edit?usp=sharing"",""อุตรดิตถ์!J90"")"),0)</f>
        <v>0</v>
      </c>
      <c r="AL29" s="90">
        <f t="shared" ca="1" si="36"/>
        <v>0</v>
      </c>
    </row>
    <row r="30" spans="1:38" ht="24" customHeight="1" x14ac:dyDescent="0.2">
      <c r="A30" s="95">
        <v>17</v>
      </c>
      <c r="B30" s="96" t="s">
        <v>52</v>
      </c>
      <c r="C30" s="97">
        <f t="shared" ca="1" si="23"/>
        <v>243600</v>
      </c>
      <c r="D30" s="98">
        <f t="shared" ca="1" si="37"/>
        <v>243600</v>
      </c>
      <c r="E30" s="99">
        <f ca="1">IFERROR(__xludf.DUMMYFUNCTION("IMPORTRANGE(""https://docs.google.com/spreadsheets/d/1-uDff_7J0KD5mKrp0Vvzr7lt3OU09vwQwhkpOPPYv2Y/edit?usp=sharing"",""งบพรบ!AN30"")"),0)</f>
        <v>0</v>
      </c>
      <c r="F30" s="99">
        <f ca="1">IFERROR(__xludf.DUMMYFUNCTION("IMPORTRANGE(""https://docs.google.com/spreadsheets/d/1-uDff_7J0KD5mKrp0Vvzr7lt3OU09vwQwhkpOPPYv2Y/edit?usp=sharing"",""งบพรบ!AO30"")"),243600)</f>
        <v>243600</v>
      </c>
      <c r="G30" s="99">
        <f ca="1">IFERROR(__xludf.DUMMYFUNCTION("IMPORTRANGE(""https://docs.google.com/spreadsheets/d/1-uDff_7J0KD5mKrp0Vvzr7lt3OU09vwQwhkpOPPYv2Y/edit?usp=sharing"",""งบพรบ!AP30"")"),0)</f>
        <v>0</v>
      </c>
      <c r="H30" s="99">
        <f ca="1">IFERROR(__xludf.DUMMYFUNCTION("IMPORTRANGE(""https://docs.google.com/spreadsheets/d/1-uDff_7J0KD5mKrp0Vvzr7lt3OU09vwQwhkpOPPYv2Y/edit?usp=sharing"",""งบพรบ!AR30"")"),243600)</f>
        <v>243600</v>
      </c>
      <c r="I30" s="99">
        <f ca="1">IFERROR(__xludf.DUMMYFUNCTION("IMPORTRANGE(""https://docs.google.com/spreadsheets/d/1-uDff_7J0KD5mKrp0Vvzr7lt3OU09vwQwhkpOPPYv2Y/edit?usp=sharing"",""งบพรบ!AS30"")"),0)</f>
        <v>0</v>
      </c>
      <c r="J30" s="99">
        <f t="shared" ca="1" si="25"/>
        <v>54570</v>
      </c>
      <c r="K30" s="100">
        <f t="shared" ca="1" si="26"/>
        <v>22.401477832512317</v>
      </c>
      <c r="L30" s="99">
        <f ca="1">IFERROR(__xludf.DUMMYFUNCTION("IMPORTRANGE(""https://docs.google.com/spreadsheets/d/1-uDff_7J0KD5mKrp0Vvzr7lt3OU09vwQwhkpOPPYv2Y/edit?usp=sharing"",""งบพรบ!AT30"")"),54570)</f>
        <v>54570</v>
      </c>
      <c r="M30" s="101">
        <f t="shared" ca="1" si="27"/>
        <v>22.401477832512317</v>
      </c>
      <c r="N30" s="101">
        <f t="shared" ca="1" si="28"/>
        <v>22.401477832512317</v>
      </c>
      <c r="O30" s="102">
        <f ca="1">IFERROR(__xludf.DUMMYFUNCTION("IMPORTRANGE(""https://docs.google.com/spreadsheets/d/1-uDff_7J0KD5mKrp0Vvzr7lt3OU09vwQwhkpOPPYv2Y/edit?usp=sharing"",""งบพรบ!AU30"")"),0)</f>
        <v>0</v>
      </c>
      <c r="P30" s="102">
        <f t="shared" ca="1" si="29"/>
        <v>0</v>
      </c>
      <c r="Q30" s="101">
        <f t="shared" ca="1" si="30"/>
        <v>0</v>
      </c>
      <c r="R30" s="103">
        <f t="shared" ca="1" si="31"/>
        <v>1</v>
      </c>
      <c r="S30" s="103">
        <f t="shared" ca="1" si="32"/>
        <v>32</v>
      </c>
      <c r="T30" s="103">
        <f t="shared" ca="1" si="38"/>
        <v>0</v>
      </c>
      <c r="U30" s="104">
        <f t="shared" ca="1" si="33"/>
        <v>0</v>
      </c>
      <c r="V30" s="103">
        <f t="shared" ca="1" si="39"/>
        <v>0</v>
      </c>
      <c r="W30" s="104">
        <f t="shared" ca="1" si="34"/>
        <v>0</v>
      </c>
      <c r="X30" s="99">
        <f ca="1">IFERROR(__xludf.DUMMYFUNCTION("IMPORTRANGE(""https://docs.google.com/spreadsheets/d/1UsNK1e-WWiCo2PvGqdNfdme4m17_Ezd3J69EeeiQPD0/edit?usp=sharing"",""อุทัยธานี!I84"")"),0)</f>
        <v>0</v>
      </c>
      <c r="Y30" s="99">
        <f ca="1">IFERROR(__xludf.DUMMYFUNCTION("IMPORTRANGE(""https://docs.google.com/spreadsheets/d/1UsNK1e-WWiCo2PvGqdNfdme4m17_Ezd3J69EeeiQPD0/edit?usp=sharing"",""อุทัยธานี!I85"")"),0)</f>
        <v>0</v>
      </c>
      <c r="Z30" s="103">
        <f ca="1">IFERROR(__xludf.DUMMYFUNCTION("IMPORTRANGE(""https://docs.google.com/spreadsheets/d/1UsNK1e-WWiCo2PvGqdNfdme4m17_Ezd3J69EeeiQPD0/edit?usp=sharing"",""อุทัยธานี!J84"")"),0)</f>
        <v>0</v>
      </c>
      <c r="AA30" s="103">
        <f ca="1">IFERROR(__xludf.DUMMYFUNCTION("IMPORTRANGE(""https://docs.google.com/spreadsheets/d/1UsNK1e-WWiCo2PvGqdNfdme4m17_Ezd3J69EeeiQPD0/edit?usp=sharing"",""อุทัยธานี!J85"")"),0)</f>
        <v>0</v>
      </c>
      <c r="AB30" s="99">
        <f ca="1">IFERROR(__xludf.DUMMYFUNCTION("IMPORTRANGE(""https://docs.google.com/spreadsheets/d/1UsNK1e-WWiCo2PvGqdNfdme4m17_Ezd3J69EeeiQPD0/edit?usp=sharing"",""อุทัยธานี!I86"")"),0)</f>
        <v>0</v>
      </c>
      <c r="AC30" s="99">
        <f ca="1">IFERROR(__xludf.DUMMYFUNCTION("IMPORTRANGE(""https://docs.google.com/spreadsheets/d/1UsNK1e-WWiCo2PvGqdNfdme4m17_Ezd3J69EeeiQPD0/edit?usp=sharing"",""อุทัยธานี!I87"")"),0)</f>
        <v>0</v>
      </c>
      <c r="AD30" s="103">
        <f ca="1">IFERROR(__xludf.DUMMYFUNCTION("IMPORTRANGE(""https://docs.google.com/spreadsheets/d/1UsNK1e-WWiCo2PvGqdNfdme4m17_Ezd3J69EeeiQPD0/edit?usp=sharing"",""อุทัยธานี!J86"")"),0)</f>
        <v>0</v>
      </c>
      <c r="AE30" s="103">
        <f ca="1">IFERROR(__xludf.DUMMYFUNCTION("IMPORTRANGE(""https://docs.google.com/spreadsheets/d/1UsNK1e-WWiCo2PvGqdNfdme4m17_Ezd3J69EeeiQPD0/edit?usp=sharing"",""อุทัยธานี!J87"")"),0)</f>
        <v>0</v>
      </c>
      <c r="AF30" s="99">
        <f ca="1">IFERROR(__xludf.DUMMYFUNCTION("IMPORTRANGE(""https://docs.google.com/spreadsheets/d/1UsNK1e-WWiCo2PvGqdNfdme4m17_Ezd3J69EeeiQPD0/edit?usp=sharing"",""อุทัยธานี!I88"")"),1)</f>
        <v>1</v>
      </c>
      <c r="AG30" s="99">
        <f ca="1">IFERROR(__xludf.DUMMYFUNCTION("IMPORTRANGE(""https://docs.google.com/spreadsheets/d/1UsNK1e-WWiCo2PvGqdNfdme4m17_Ezd3J69EeeiQPD0/edit?usp=sharing"",""อุทัยธานี!I89"")"),32)</f>
        <v>32</v>
      </c>
      <c r="AH30" s="103">
        <f ca="1">IFERROR(__xludf.DUMMYFUNCTION("IMPORTRANGE(""https://docs.google.com/spreadsheets/d/1UsNK1e-WWiCo2PvGqdNfdme4m17_Ezd3J69EeeiQPD0/edit?usp=sharing"",""อุทัยธานี!J88"")"),0)</f>
        <v>0</v>
      </c>
      <c r="AI30" s="103">
        <f ca="1">IFERROR(__xludf.DUMMYFUNCTION("IMPORTRANGE(""https://docs.google.com/spreadsheets/d/1UsNK1e-WWiCo2PvGqdNfdme4m17_Ezd3J69EeeiQPD0/edit?usp=sharing"",""อุทัยธานี!J89"")"),0)</f>
        <v>0</v>
      </c>
      <c r="AJ30" s="99">
        <f ca="1">IFERROR(__xludf.DUMMYFUNCTION("IMPORTRANGE(""https://docs.google.com/spreadsheets/d/1UsNK1e-WWiCo2PvGqdNfdme4m17_Ezd3J69EeeiQPD0/edit?usp=sharing"",""อุทัยธานี!I90"")"),1)</f>
        <v>1</v>
      </c>
      <c r="AK30" s="103">
        <f ca="1">IFERROR(__xludf.DUMMYFUNCTION("IMPORTRANGE(""https://docs.google.com/spreadsheets/d/1UsNK1e-WWiCo2PvGqdNfdme4m17_Ezd3J69EeeiQPD0/edit?usp=sharing"",""อุทัยธานี!J90"")"),0)</f>
        <v>0</v>
      </c>
      <c r="AL30" s="101">
        <f t="shared" ca="1" si="36"/>
        <v>0</v>
      </c>
    </row>
    <row r="31" spans="1:38" ht="21" customHeight="1" x14ac:dyDescent="0.2">
      <c r="A31" s="395" t="s">
        <v>53</v>
      </c>
      <c r="B31" s="396"/>
      <c r="C31" s="105">
        <f t="shared" ca="1" si="23"/>
        <v>2912200</v>
      </c>
      <c r="D31" s="68">
        <f t="shared" ref="D31:I31" ca="1" si="40">SUM(D32:D51)</f>
        <v>2912200</v>
      </c>
      <c r="E31" s="68">
        <f t="shared" ca="1" si="40"/>
        <v>1131400</v>
      </c>
      <c r="F31" s="68">
        <f t="shared" ca="1" si="40"/>
        <v>1780800</v>
      </c>
      <c r="G31" s="68">
        <f t="shared" ca="1" si="40"/>
        <v>0</v>
      </c>
      <c r="H31" s="68">
        <f t="shared" ca="1" si="40"/>
        <v>2590300</v>
      </c>
      <c r="I31" s="68">
        <f t="shared" ca="1" si="40"/>
        <v>0</v>
      </c>
      <c r="J31" s="68">
        <f t="shared" ca="1" si="25"/>
        <v>707186.05999999994</v>
      </c>
      <c r="K31" s="106">
        <f t="shared" ca="1" si="26"/>
        <v>24.283567749467757</v>
      </c>
      <c r="L31" s="68">
        <f ca="1">SUM(L32:L51)</f>
        <v>707186.05999999994</v>
      </c>
      <c r="M31" s="107">
        <f t="shared" ca="1" si="27"/>
        <v>24.283567749467757</v>
      </c>
      <c r="N31" s="107">
        <f t="shared" ca="1" si="28"/>
        <v>27.30131876616608</v>
      </c>
      <c r="O31" s="108">
        <f ca="1">SUM(O32:O51)</f>
        <v>0</v>
      </c>
      <c r="P31" s="108">
        <f t="shared" ca="1" si="29"/>
        <v>0</v>
      </c>
      <c r="Q31" s="107">
        <f t="shared" ca="1" si="30"/>
        <v>0</v>
      </c>
      <c r="R31" s="68">
        <f t="shared" ca="1" si="31"/>
        <v>6</v>
      </c>
      <c r="S31" s="68">
        <f t="shared" ca="1" si="32"/>
        <v>306</v>
      </c>
      <c r="T31" s="68">
        <f ca="1">SUM(T32:T51)</f>
        <v>1</v>
      </c>
      <c r="U31" s="107">
        <f t="shared" ca="1" si="33"/>
        <v>16.666666666666668</v>
      </c>
      <c r="V31" s="68">
        <f ca="1">SUM(V32:V51)</f>
        <v>34</v>
      </c>
      <c r="W31" s="107">
        <f t="shared" ca="1" si="34"/>
        <v>11.111111111111111</v>
      </c>
      <c r="X31" s="68">
        <f t="shared" ref="X31:AK31" ca="1" si="41">SUM(X32:X51)</f>
        <v>0</v>
      </c>
      <c r="Y31" s="68">
        <f t="shared" ca="1" si="41"/>
        <v>0</v>
      </c>
      <c r="Z31" s="68">
        <f t="shared" ca="1" si="41"/>
        <v>0</v>
      </c>
      <c r="AA31" s="68">
        <f t="shared" ca="1" si="41"/>
        <v>0</v>
      </c>
      <c r="AB31" s="68">
        <f t="shared" ca="1" si="41"/>
        <v>0</v>
      </c>
      <c r="AC31" s="68">
        <f t="shared" ca="1" si="41"/>
        <v>0</v>
      </c>
      <c r="AD31" s="68">
        <f t="shared" ca="1" si="41"/>
        <v>0</v>
      </c>
      <c r="AE31" s="68">
        <f t="shared" ca="1" si="41"/>
        <v>0</v>
      </c>
      <c r="AF31" s="68">
        <f t="shared" ca="1" si="41"/>
        <v>6</v>
      </c>
      <c r="AG31" s="68">
        <f t="shared" ca="1" si="41"/>
        <v>306</v>
      </c>
      <c r="AH31" s="68">
        <f t="shared" ca="1" si="41"/>
        <v>1</v>
      </c>
      <c r="AI31" s="68">
        <f t="shared" ca="1" si="41"/>
        <v>34</v>
      </c>
      <c r="AJ31" s="68">
        <f t="shared" ca="1" si="41"/>
        <v>6</v>
      </c>
      <c r="AK31" s="68">
        <f t="shared" ca="1" si="41"/>
        <v>0</v>
      </c>
      <c r="AL31" s="107">
        <f t="shared" ca="1" si="36"/>
        <v>0</v>
      </c>
    </row>
    <row r="32" spans="1:38" ht="21" customHeight="1" x14ac:dyDescent="0.2">
      <c r="A32" s="74">
        <v>1</v>
      </c>
      <c r="B32" s="75" t="s">
        <v>54</v>
      </c>
      <c r="C32" s="109">
        <f t="shared" ca="1" si="23"/>
        <v>0</v>
      </c>
      <c r="D32" s="77">
        <f t="shared" ref="D32:D51" ca="1" si="42">+E32+F32</f>
        <v>0</v>
      </c>
      <c r="E32" s="78">
        <f ca="1">IFERROR(__xludf.DUMMYFUNCTION("IMPORTRANGE(""https://docs.google.com/spreadsheets/d/1-uDff_7J0KD5mKrp0Vvzr7lt3OU09vwQwhkpOPPYv2Y/edit?usp=sharing"",""งบพรบ!AN32"")"),0)</f>
        <v>0</v>
      </c>
      <c r="F32" s="78">
        <f ca="1">IFERROR(__xludf.DUMMYFUNCTION("IMPORTRANGE(""https://docs.google.com/spreadsheets/d/1-uDff_7J0KD5mKrp0Vvzr7lt3OU09vwQwhkpOPPYv2Y/edit?usp=sharing"",""งบพรบ!AO32"")"),0)</f>
        <v>0</v>
      </c>
      <c r="G32" s="79">
        <f ca="1">IFERROR(__xludf.DUMMYFUNCTION("IMPORTRANGE(""https://docs.google.com/spreadsheets/d/1-uDff_7J0KD5mKrp0Vvzr7lt3OU09vwQwhkpOPPYv2Y/edit?usp=sharing"",""งบพรบ!AP32"")"),0)</f>
        <v>0</v>
      </c>
      <c r="H32" s="79">
        <f ca="1">IFERROR(__xludf.DUMMYFUNCTION("IMPORTRANGE(""https://docs.google.com/spreadsheets/d/1-uDff_7J0KD5mKrp0Vvzr7lt3OU09vwQwhkpOPPYv2Y/edit?usp=sharing"",""งบพรบ!AR32"")"),0)</f>
        <v>0</v>
      </c>
      <c r="I32" s="79">
        <f ca="1">IFERROR(__xludf.DUMMYFUNCTION("IMPORTRANGE(""https://docs.google.com/spreadsheets/d/1-uDff_7J0KD5mKrp0Vvzr7lt3OU09vwQwhkpOPPYv2Y/edit?usp=sharing"",""งบพรบ!AS32"")"),0)</f>
        <v>0</v>
      </c>
      <c r="J32" s="79">
        <f t="shared" ca="1" si="25"/>
        <v>0</v>
      </c>
      <c r="K32" s="80">
        <f t="shared" ca="1" si="26"/>
        <v>0</v>
      </c>
      <c r="L32" s="79">
        <f ca="1">IFERROR(__xludf.DUMMYFUNCTION("IMPORTRANGE(""https://docs.google.com/spreadsheets/d/1-uDff_7J0KD5mKrp0Vvzr7lt3OU09vwQwhkpOPPYv2Y/edit?usp=sharing"",""งบพรบ!AT32"")"),0)</f>
        <v>0</v>
      </c>
      <c r="M32" s="81">
        <f t="shared" ca="1" si="27"/>
        <v>0</v>
      </c>
      <c r="N32" s="81">
        <f t="shared" ca="1" si="28"/>
        <v>0</v>
      </c>
      <c r="O32" s="82">
        <f ca="1">IFERROR(__xludf.DUMMYFUNCTION("IMPORTRANGE(""https://docs.google.com/spreadsheets/d/1-uDff_7J0KD5mKrp0Vvzr7lt3OU09vwQwhkpOPPYv2Y/edit?usp=sharing"",""งบพรบ!AU32"")"),0)</f>
        <v>0</v>
      </c>
      <c r="P32" s="82">
        <f t="shared" ca="1" si="29"/>
        <v>0</v>
      </c>
      <c r="Q32" s="81">
        <f t="shared" ca="1" si="30"/>
        <v>0</v>
      </c>
      <c r="R32" s="79">
        <f t="shared" ca="1" si="31"/>
        <v>0</v>
      </c>
      <c r="S32" s="79">
        <f t="shared" ca="1" si="32"/>
        <v>0</v>
      </c>
      <c r="T32" s="79">
        <f t="shared" ref="T32:T51" ca="1" si="43">Z32+AD32+AH32</f>
        <v>0</v>
      </c>
      <c r="U32" s="83">
        <f t="shared" ca="1" si="33"/>
        <v>0</v>
      </c>
      <c r="V32" s="79">
        <f t="shared" ref="V32:V51" ca="1" si="44">AA32+AE32+AI32</f>
        <v>0</v>
      </c>
      <c r="W32" s="83">
        <f t="shared" ca="1" si="34"/>
        <v>0</v>
      </c>
      <c r="X32" s="78">
        <f ca="1">IFERROR(__xludf.DUMMYFUNCTION("IMPORTRANGE(""https://docs.google.com/spreadsheets/d/1yhBcrRPreicbMKl9Bu_Snb2-OcQAF62RKfhTLhJ2eAA/edit?usp=sharing"",""กาฬสินธุ์!I84"")"),0)</f>
        <v>0</v>
      </c>
      <c r="Y32" s="78">
        <f ca="1">IFERROR(__xludf.DUMMYFUNCTION("IMPORTRANGE(""https://docs.google.com/spreadsheets/d/1yhBcrRPreicbMKl9Bu_Snb2-OcQAF62RKfhTLhJ2eAA/edit?usp=sharing"",""กาฬสินธุ์!I85"")"),0)</f>
        <v>0</v>
      </c>
      <c r="Z32" s="79">
        <f ca="1">IFERROR(__xludf.DUMMYFUNCTION("IMPORTRANGE(""https://docs.google.com/spreadsheets/d/1yhBcrRPreicbMKl9Bu_Snb2-OcQAF62RKfhTLhJ2eAA/edit?usp=sharing"",""กาฬสินธุ์!J84"")"),0)</f>
        <v>0</v>
      </c>
      <c r="AA32" s="79">
        <f ca="1">IFERROR(__xludf.DUMMYFUNCTION("IMPORTRANGE(""https://docs.google.com/spreadsheets/d/1yhBcrRPreicbMKl9Bu_Snb2-OcQAF62RKfhTLhJ2eAA/edit?usp=sharing"",""กาฬสินธุ์!J85"")"),0)</f>
        <v>0</v>
      </c>
      <c r="AB32" s="78">
        <f ca="1">IFERROR(__xludf.DUMMYFUNCTION("IMPORTRANGE(""https://docs.google.com/spreadsheets/d/1yhBcrRPreicbMKl9Bu_Snb2-OcQAF62RKfhTLhJ2eAA/edit?usp=sharing"",""กาฬสินธุ์!I86"")"),0)</f>
        <v>0</v>
      </c>
      <c r="AC32" s="78">
        <f ca="1">IFERROR(__xludf.DUMMYFUNCTION("IMPORTRANGE(""https://docs.google.com/spreadsheets/d/1yhBcrRPreicbMKl9Bu_Snb2-OcQAF62RKfhTLhJ2eAA/edit?usp=sharing"",""กาฬสินธุ์!I87"")"),0)</f>
        <v>0</v>
      </c>
      <c r="AD32" s="79">
        <f ca="1">IFERROR(__xludf.DUMMYFUNCTION("IMPORTRANGE(""https://docs.google.com/spreadsheets/d/1yhBcrRPreicbMKl9Bu_Snb2-OcQAF62RKfhTLhJ2eAA/edit?usp=sharing"",""กาฬสินธุ์!J86"")"),0)</f>
        <v>0</v>
      </c>
      <c r="AE32" s="79">
        <f ca="1">IFERROR(__xludf.DUMMYFUNCTION("IMPORTRANGE(""https://docs.google.com/spreadsheets/d/1yhBcrRPreicbMKl9Bu_Snb2-OcQAF62RKfhTLhJ2eAA/edit?usp=sharing"",""กาฬสินธุ์!J87"")"),0)</f>
        <v>0</v>
      </c>
      <c r="AF32" s="78">
        <f ca="1">IFERROR(__xludf.DUMMYFUNCTION("IMPORTRANGE(""https://docs.google.com/spreadsheets/d/1yhBcrRPreicbMKl9Bu_Snb2-OcQAF62RKfhTLhJ2eAA/edit?usp=sharing"",""กาฬสินธุ์!I88"")"),0)</f>
        <v>0</v>
      </c>
      <c r="AG32" s="78">
        <f ca="1">IFERROR(__xludf.DUMMYFUNCTION("IMPORTRANGE(""https://docs.google.com/spreadsheets/d/1yhBcrRPreicbMKl9Bu_Snb2-OcQAF62RKfhTLhJ2eAA/edit?usp=sharing"",""กาฬสินธุ์!I89"")"),0)</f>
        <v>0</v>
      </c>
      <c r="AH32" s="79">
        <f ca="1">IFERROR(__xludf.DUMMYFUNCTION("IMPORTRANGE(""https://docs.google.com/spreadsheets/d/1yhBcrRPreicbMKl9Bu_Snb2-OcQAF62RKfhTLhJ2eAA/edit?usp=sharing"",""กาฬสินธุ์!J88"")"),0)</f>
        <v>0</v>
      </c>
      <c r="AI32" s="79">
        <f ca="1">IFERROR(__xludf.DUMMYFUNCTION("IMPORTRANGE(""https://docs.google.com/spreadsheets/d/1yhBcrRPreicbMKl9Bu_Snb2-OcQAF62RKfhTLhJ2eAA/edit?usp=sharing"",""กาฬสินธุ์!J89"")"),0)</f>
        <v>0</v>
      </c>
      <c r="AJ32" s="78">
        <f ca="1">IFERROR(__xludf.DUMMYFUNCTION("IMPORTRANGE(""https://docs.google.com/spreadsheets/d/1yhBcrRPreicbMKl9Bu_Snb2-OcQAF62RKfhTLhJ2eAA/edit?usp=sharing"",""กาฬสินธุ์!I90"")"),0)</f>
        <v>0</v>
      </c>
      <c r="AK32" s="79">
        <f ca="1">IFERROR(__xludf.DUMMYFUNCTION("IMPORTRANGE(""https://docs.google.com/spreadsheets/d/1yhBcrRPreicbMKl9Bu_Snb2-OcQAF62RKfhTLhJ2eAA/edit?usp=sharing"",""กาฬสินธุ์!J90"")"),0)</f>
        <v>0</v>
      </c>
      <c r="AL32" s="81">
        <f t="shared" ca="1" si="36"/>
        <v>0</v>
      </c>
    </row>
    <row r="33" spans="1:38" ht="21" customHeight="1" x14ac:dyDescent="0.2">
      <c r="A33" s="84">
        <v>2</v>
      </c>
      <c r="B33" s="85" t="s">
        <v>55</v>
      </c>
      <c r="C33" s="86">
        <f t="shared" ca="1" si="23"/>
        <v>522300</v>
      </c>
      <c r="D33" s="87">
        <f t="shared" ca="1" si="42"/>
        <v>522300</v>
      </c>
      <c r="E33" s="88">
        <f ca="1">IFERROR(__xludf.DUMMYFUNCTION("IMPORTRANGE(""https://docs.google.com/spreadsheets/d/1-uDff_7J0KD5mKrp0Vvzr7lt3OU09vwQwhkpOPPYv2Y/edit?usp=sharing"",""งบพรบ!AN33"")"),273100)</f>
        <v>273100</v>
      </c>
      <c r="F33" s="88">
        <f ca="1">IFERROR(__xludf.DUMMYFUNCTION("IMPORTRANGE(""https://docs.google.com/spreadsheets/d/1-uDff_7J0KD5mKrp0Vvzr7lt3OU09vwQwhkpOPPYv2Y/edit?usp=sharing"",""งบพรบ!AO33"")"),249200)</f>
        <v>249200</v>
      </c>
      <c r="G33" s="88">
        <f ca="1">IFERROR(__xludf.DUMMYFUNCTION("IMPORTRANGE(""https://docs.google.com/spreadsheets/d/1-uDff_7J0KD5mKrp0Vvzr7lt3OU09vwQwhkpOPPYv2Y/edit?usp=sharing"",""งบพรบ!AP33"")"),0)</f>
        <v>0</v>
      </c>
      <c r="H33" s="88">
        <f ca="1">IFERROR(__xludf.DUMMYFUNCTION("IMPORTRANGE(""https://docs.google.com/spreadsheets/d/1-uDff_7J0KD5mKrp0Vvzr7lt3OU09vwQwhkpOPPYv2Y/edit?usp=sharing"",""งบพรบ!AR33"")"),444700)</f>
        <v>444700</v>
      </c>
      <c r="I33" s="88">
        <f ca="1">IFERROR(__xludf.DUMMYFUNCTION("IMPORTRANGE(""https://docs.google.com/spreadsheets/d/1-uDff_7J0KD5mKrp0Vvzr7lt3OU09vwQwhkpOPPYv2Y/edit?usp=sharing"",""งบพรบ!AS33"")"),0)</f>
        <v>0</v>
      </c>
      <c r="J33" s="88">
        <f t="shared" ca="1" si="25"/>
        <v>286750</v>
      </c>
      <c r="K33" s="89">
        <f t="shared" ca="1" si="26"/>
        <v>54.901397664177672</v>
      </c>
      <c r="L33" s="88">
        <f ca="1">IFERROR(__xludf.DUMMYFUNCTION("IMPORTRANGE(""https://docs.google.com/spreadsheets/d/1-uDff_7J0KD5mKrp0Vvzr7lt3OU09vwQwhkpOPPYv2Y/edit?usp=sharing"",""งบพรบ!AT33"")"),286750)</f>
        <v>286750</v>
      </c>
      <c r="M33" s="90">
        <f t="shared" ca="1" si="27"/>
        <v>54.901397664177672</v>
      </c>
      <c r="N33" s="90">
        <f t="shared" ca="1" si="28"/>
        <v>64.481673038003152</v>
      </c>
      <c r="O33" s="91">
        <f ca="1">IFERROR(__xludf.DUMMYFUNCTION("IMPORTRANGE(""https://docs.google.com/spreadsheets/d/1-uDff_7J0KD5mKrp0Vvzr7lt3OU09vwQwhkpOPPYv2Y/edit?usp=sharing"",""งบพรบ!AU33"")"),0)</f>
        <v>0</v>
      </c>
      <c r="P33" s="91">
        <f t="shared" ca="1" si="29"/>
        <v>0</v>
      </c>
      <c r="Q33" s="90">
        <f t="shared" ca="1" si="30"/>
        <v>0</v>
      </c>
      <c r="R33" s="92">
        <f t="shared" ca="1" si="31"/>
        <v>1</v>
      </c>
      <c r="S33" s="92">
        <f t="shared" ca="1" si="32"/>
        <v>34</v>
      </c>
      <c r="T33" s="92">
        <f t="shared" ca="1" si="43"/>
        <v>1</v>
      </c>
      <c r="U33" s="93">
        <f t="shared" ca="1" si="33"/>
        <v>100</v>
      </c>
      <c r="V33" s="92">
        <f t="shared" ca="1" si="44"/>
        <v>34</v>
      </c>
      <c r="W33" s="93">
        <f t="shared" ca="1" si="34"/>
        <v>100</v>
      </c>
      <c r="X33" s="88">
        <f ca="1">IFERROR(__xludf.DUMMYFUNCTION("IMPORTRANGE(""https://docs.google.com/spreadsheets/d/1aHkj4IaQMThhwWwevcOymEh837vdxeC_PycurhTbGFA/edit?usp=sharing"",""ขอนแก่น!I84"")"),0)</f>
        <v>0</v>
      </c>
      <c r="Y33" s="88">
        <f ca="1">IFERROR(__xludf.DUMMYFUNCTION("IMPORTRANGE(""https://docs.google.com/spreadsheets/d/1aHkj4IaQMThhwWwevcOymEh837vdxeC_PycurhTbGFA/edit?usp=sharing"",""ขอนแก่น!I85"")"),0)</f>
        <v>0</v>
      </c>
      <c r="Z33" s="92">
        <f ca="1">IFERROR(__xludf.DUMMYFUNCTION("IMPORTRANGE(""https://docs.google.com/spreadsheets/d/1aHkj4IaQMThhwWwevcOymEh837vdxeC_PycurhTbGFA/edit?usp=sharing"",""ขอนแก่น!J84"")"),0)</f>
        <v>0</v>
      </c>
      <c r="AA33" s="92">
        <f ca="1">IFERROR(__xludf.DUMMYFUNCTION("IMPORTRANGE(""https://docs.google.com/spreadsheets/d/1aHkj4IaQMThhwWwevcOymEh837vdxeC_PycurhTbGFA/edit?usp=sharing"",""ขอนแก่น!J85"")"),0)</f>
        <v>0</v>
      </c>
      <c r="AB33" s="88">
        <f ca="1">IFERROR(__xludf.DUMMYFUNCTION("IMPORTRANGE(""https://docs.google.com/spreadsheets/d/1aHkj4IaQMThhwWwevcOymEh837vdxeC_PycurhTbGFA/edit?usp=sharing"",""ขอนแก่น!I86"")"),0)</f>
        <v>0</v>
      </c>
      <c r="AC33" s="88">
        <f ca="1">IFERROR(__xludf.DUMMYFUNCTION("IMPORTRANGE(""https://docs.google.com/spreadsheets/d/1aHkj4IaQMThhwWwevcOymEh837vdxeC_PycurhTbGFA/edit?usp=sharing"",""ขอนแก่น!I87"")"),0)</f>
        <v>0</v>
      </c>
      <c r="AD33" s="92">
        <f ca="1">IFERROR(__xludf.DUMMYFUNCTION("IMPORTRANGE(""https://docs.google.com/spreadsheets/d/1aHkj4IaQMThhwWwevcOymEh837vdxeC_PycurhTbGFA/edit?usp=sharing"",""ขอนแก่น!J86"")"),0)</f>
        <v>0</v>
      </c>
      <c r="AE33" s="92">
        <f ca="1">IFERROR(__xludf.DUMMYFUNCTION("IMPORTRANGE(""https://docs.google.com/spreadsheets/d/1aHkj4IaQMThhwWwevcOymEh837vdxeC_PycurhTbGFA/edit?usp=sharing"",""ขอนแก่น!J87"")"),0)</f>
        <v>0</v>
      </c>
      <c r="AF33" s="88">
        <f ca="1">IFERROR(__xludf.DUMMYFUNCTION("IMPORTRANGE(""https://docs.google.com/spreadsheets/d/1aHkj4IaQMThhwWwevcOymEh837vdxeC_PycurhTbGFA/edit?usp=sharing"",""ขอนแก่น!I88"")"),1)</f>
        <v>1</v>
      </c>
      <c r="AG33" s="88">
        <f ca="1">IFERROR(__xludf.DUMMYFUNCTION("IMPORTRANGE(""https://docs.google.com/spreadsheets/d/1aHkj4IaQMThhwWwevcOymEh837vdxeC_PycurhTbGFA/edit?usp=sharing"",""ขอนแก่น!I89"")"),34)</f>
        <v>34</v>
      </c>
      <c r="AH33" s="92">
        <f ca="1">IFERROR(__xludf.DUMMYFUNCTION("IMPORTRANGE(""https://docs.google.com/spreadsheets/d/1aHkj4IaQMThhwWwevcOymEh837vdxeC_PycurhTbGFA/edit?usp=sharing"",""ขอนแก่น!J88"")"),1)</f>
        <v>1</v>
      </c>
      <c r="AI33" s="92">
        <f ca="1">IFERROR(__xludf.DUMMYFUNCTION("IMPORTRANGE(""https://docs.google.com/spreadsheets/d/1aHkj4IaQMThhwWwevcOymEh837vdxeC_PycurhTbGFA/edit?usp=sharing"",""ขอนแก่น!J89"")"),34)</f>
        <v>34</v>
      </c>
      <c r="AJ33" s="88">
        <f ca="1">IFERROR(__xludf.DUMMYFUNCTION("IMPORTRANGE(""https://docs.google.com/spreadsheets/d/1aHkj4IaQMThhwWwevcOymEh837vdxeC_PycurhTbGFA/edit?usp=sharing"",""ขอนแก่น!I90"")"),1)</f>
        <v>1</v>
      </c>
      <c r="AK33" s="92">
        <f ca="1">IFERROR(__xludf.DUMMYFUNCTION("IMPORTRANGE(""https://docs.google.com/spreadsheets/d/1aHkj4IaQMThhwWwevcOymEh837vdxeC_PycurhTbGFA/edit?usp=sharing"",""ขอนแก่น!J90"")"),0)</f>
        <v>0</v>
      </c>
      <c r="AL33" s="90">
        <f t="shared" ca="1" si="36"/>
        <v>0</v>
      </c>
    </row>
    <row r="34" spans="1:38" ht="21" customHeight="1" x14ac:dyDescent="0.2">
      <c r="A34" s="84">
        <v>3</v>
      </c>
      <c r="B34" s="85" t="s">
        <v>56</v>
      </c>
      <c r="C34" s="86">
        <f t="shared" ca="1" si="23"/>
        <v>0</v>
      </c>
      <c r="D34" s="87">
        <f t="shared" ca="1" si="42"/>
        <v>0</v>
      </c>
      <c r="E34" s="88">
        <f ca="1">IFERROR(__xludf.DUMMYFUNCTION("IMPORTRANGE(""https://docs.google.com/spreadsheets/d/1-uDff_7J0KD5mKrp0Vvzr7lt3OU09vwQwhkpOPPYv2Y/edit?usp=sharing"",""งบพรบ!AN34"")"),0)</f>
        <v>0</v>
      </c>
      <c r="F34" s="88">
        <f ca="1">IFERROR(__xludf.DUMMYFUNCTION("IMPORTRANGE(""https://docs.google.com/spreadsheets/d/1-uDff_7J0KD5mKrp0Vvzr7lt3OU09vwQwhkpOPPYv2Y/edit?usp=sharing"",""งบพรบ!AO34"")"),0)</f>
        <v>0</v>
      </c>
      <c r="G34" s="88">
        <f ca="1">IFERROR(__xludf.DUMMYFUNCTION("IMPORTRANGE(""https://docs.google.com/spreadsheets/d/1-uDff_7J0KD5mKrp0Vvzr7lt3OU09vwQwhkpOPPYv2Y/edit?usp=sharing"",""งบพรบ!AP34"")"),0)</f>
        <v>0</v>
      </c>
      <c r="H34" s="88">
        <f ca="1">IFERROR(__xludf.DUMMYFUNCTION("IMPORTRANGE(""https://docs.google.com/spreadsheets/d/1-uDff_7J0KD5mKrp0Vvzr7lt3OU09vwQwhkpOPPYv2Y/edit?usp=sharing"",""งบพรบ!AR34"")"),0)</f>
        <v>0</v>
      </c>
      <c r="I34" s="88">
        <f ca="1">IFERROR(__xludf.DUMMYFUNCTION("IMPORTRANGE(""https://docs.google.com/spreadsheets/d/1-uDff_7J0KD5mKrp0Vvzr7lt3OU09vwQwhkpOPPYv2Y/edit?usp=sharing"",""งบพรบ!AS34"")"),0)</f>
        <v>0</v>
      </c>
      <c r="J34" s="88">
        <f t="shared" ca="1" si="25"/>
        <v>0</v>
      </c>
      <c r="K34" s="89">
        <f t="shared" ca="1" si="26"/>
        <v>0</v>
      </c>
      <c r="L34" s="88">
        <f ca="1">IFERROR(__xludf.DUMMYFUNCTION("IMPORTRANGE(""https://docs.google.com/spreadsheets/d/1-uDff_7J0KD5mKrp0Vvzr7lt3OU09vwQwhkpOPPYv2Y/edit?usp=sharing"",""งบพรบ!AT34"")"),0)</f>
        <v>0</v>
      </c>
      <c r="M34" s="90">
        <f t="shared" ca="1" si="27"/>
        <v>0</v>
      </c>
      <c r="N34" s="90">
        <f t="shared" ca="1" si="28"/>
        <v>0</v>
      </c>
      <c r="O34" s="91">
        <f ca="1">IFERROR(__xludf.DUMMYFUNCTION("IMPORTRANGE(""https://docs.google.com/spreadsheets/d/1-uDff_7J0KD5mKrp0Vvzr7lt3OU09vwQwhkpOPPYv2Y/edit?usp=sharing"",""งบพรบ!AU34"")"),0)</f>
        <v>0</v>
      </c>
      <c r="P34" s="91">
        <f t="shared" ca="1" si="29"/>
        <v>0</v>
      </c>
      <c r="Q34" s="90">
        <f t="shared" ca="1" si="30"/>
        <v>0</v>
      </c>
      <c r="R34" s="92">
        <f t="shared" ca="1" si="31"/>
        <v>0</v>
      </c>
      <c r="S34" s="92">
        <f t="shared" ca="1" si="32"/>
        <v>0</v>
      </c>
      <c r="T34" s="92">
        <f t="shared" ca="1" si="43"/>
        <v>0</v>
      </c>
      <c r="U34" s="93">
        <f t="shared" ca="1" si="33"/>
        <v>0</v>
      </c>
      <c r="V34" s="92">
        <f t="shared" ca="1" si="44"/>
        <v>0</v>
      </c>
      <c r="W34" s="93">
        <f t="shared" ca="1" si="34"/>
        <v>0</v>
      </c>
      <c r="X34" s="88">
        <f ca="1">IFERROR(__xludf.DUMMYFUNCTION("IMPORTRANGE(""https://docs.google.com/spreadsheets/d/1FvTu2DsIWUjP6WCWra38Bkj_oOl_sOMf14r5Fg5srxU/edit?usp=sharing"",""ชัยภูมิ!I84"")"),0)</f>
        <v>0</v>
      </c>
      <c r="Y34" s="88">
        <f ca="1">IFERROR(__xludf.DUMMYFUNCTION("IMPORTRANGE(""https://docs.google.com/spreadsheets/d/1FvTu2DsIWUjP6WCWra38Bkj_oOl_sOMf14r5Fg5srxU/edit?usp=sharing"",""ชัยภูมิ!I85"")"),0)</f>
        <v>0</v>
      </c>
      <c r="Z34" s="92">
        <f ca="1">IFERROR(__xludf.DUMMYFUNCTION("IMPORTRANGE(""https://docs.google.com/spreadsheets/d/1FvTu2DsIWUjP6WCWra38Bkj_oOl_sOMf14r5Fg5srxU/edit?usp=sharing"",""ชัยภูมิ!J84"")"),0)</f>
        <v>0</v>
      </c>
      <c r="AA34" s="92">
        <f ca="1">IFERROR(__xludf.DUMMYFUNCTION("IMPORTRANGE(""https://docs.google.com/spreadsheets/d/1FvTu2DsIWUjP6WCWra38Bkj_oOl_sOMf14r5Fg5srxU/edit?usp=sharing"",""ชัยภูมิ!J85"")"),0)</f>
        <v>0</v>
      </c>
      <c r="AB34" s="88">
        <f ca="1">IFERROR(__xludf.DUMMYFUNCTION("IMPORTRANGE(""https://docs.google.com/spreadsheets/d/1FvTu2DsIWUjP6WCWra38Bkj_oOl_sOMf14r5Fg5srxU/edit?usp=sharing"",""ชัยภูมิ!I86"")"),0)</f>
        <v>0</v>
      </c>
      <c r="AC34" s="88">
        <f ca="1">IFERROR(__xludf.DUMMYFUNCTION("IMPORTRANGE(""https://docs.google.com/spreadsheets/d/1FvTu2DsIWUjP6WCWra38Bkj_oOl_sOMf14r5Fg5srxU/edit?usp=sharing"",""ชัยภูมิ!I87"")"),0)</f>
        <v>0</v>
      </c>
      <c r="AD34" s="92">
        <f ca="1">IFERROR(__xludf.DUMMYFUNCTION("IMPORTRANGE(""https://docs.google.com/spreadsheets/d/1FvTu2DsIWUjP6WCWra38Bkj_oOl_sOMf14r5Fg5srxU/edit?usp=sharing"",""ชัยภูมิ!J86"")"),0)</f>
        <v>0</v>
      </c>
      <c r="AE34" s="92">
        <f ca="1">IFERROR(__xludf.DUMMYFUNCTION("IMPORTRANGE(""https://docs.google.com/spreadsheets/d/1FvTu2DsIWUjP6WCWra38Bkj_oOl_sOMf14r5Fg5srxU/edit?usp=sharing"",""ชัยภูมิ!J87"")"),0)</f>
        <v>0</v>
      </c>
      <c r="AF34" s="88">
        <f ca="1">IFERROR(__xludf.DUMMYFUNCTION("IMPORTRANGE(""https://docs.google.com/spreadsheets/d/1FvTu2DsIWUjP6WCWra38Bkj_oOl_sOMf14r5Fg5srxU/edit?usp=sharing"",""ชัยภูมิ!I88"")"),0)</f>
        <v>0</v>
      </c>
      <c r="AG34" s="88">
        <f ca="1">IFERROR(__xludf.DUMMYFUNCTION("IMPORTRANGE(""https://docs.google.com/spreadsheets/d/1FvTu2DsIWUjP6WCWra38Bkj_oOl_sOMf14r5Fg5srxU/edit?usp=sharing"",""ชัยภูมิ!I89"")"),0)</f>
        <v>0</v>
      </c>
      <c r="AH34" s="92">
        <f ca="1">IFERROR(__xludf.DUMMYFUNCTION("IMPORTRANGE(""https://docs.google.com/spreadsheets/d/1FvTu2DsIWUjP6WCWra38Bkj_oOl_sOMf14r5Fg5srxU/edit?usp=sharing"",""ชัยภูมิ!J88"")"),0)</f>
        <v>0</v>
      </c>
      <c r="AI34" s="92">
        <f ca="1">IFERROR(__xludf.DUMMYFUNCTION("IMPORTRANGE(""https://docs.google.com/spreadsheets/d/1FvTu2DsIWUjP6WCWra38Bkj_oOl_sOMf14r5Fg5srxU/edit?usp=sharing"",""ชัยภูมิ!J89"")"),0)</f>
        <v>0</v>
      </c>
      <c r="AJ34" s="88">
        <f ca="1">IFERROR(__xludf.DUMMYFUNCTION("IMPORTRANGE(""https://docs.google.com/spreadsheets/d/1FvTu2DsIWUjP6WCWra38Bkj_oOl_sOMf14r5Fg5srxU/edit?usp=sharing"",""ชัยภูมิ!I90"")"),0)</f>
        <v>0</v>
      </c>
      <c r="AK34" s="92">
        <f ca="1">IFERROR(__xludf.DUMMYFUNCTION("IMPORTRANGE(""https://docs.google.com/spreadsheets/d/1FvTu2DsIWUjP6WCWra38Bkj_oOl_sOMf14r5Fg5srxU/edit?usp=sharing"",""ชัยภูมิ!J90"")"),0)</f>
        <v>0</v>
      </c>
      <c r="AL34" s="90">
        <f t="shared" ca="1" si="36"/>
        <v>0</v>
      </c>
    </row>
    <row r="35" spans="1:38" ht="21" customHeight="1" x14ac:dyDescent="0.2">
      <c r="A35" s="84">
        <v>4</v>
      </c>
      <c r="B35" s="85" t="s">
        <v>57</v>
      </c>
      <c r="C35" s="86">
        <f t="shared" ca="1" si="23"/>
        <v>0</v>
      </c>
      <c r="D35" s="87">
        <f t="shared" ca="1" si="42"/>
        <v>0</v>
      </c>
      <c r="E35" s="88">
        <f ca="1">IFERROR(__xludf.DUMMYFUNCTION("IMPORTRANGE(""https://docs.google.com/spreadsheets/d/1-uDff_7J0KD5mKrp0Vvzr7lt3OU09vwQwhkpOPPYv2Y/edit?usp=sharing"",""งบพรบ!AN35"")"),0)</f>
        <v>0</v>
      </c>
      <c r="F35" s="88">
        <f ca="1">IFERROR(__xludf.DUMMYFUNCTION("IMPORTRANGE(""https://docs.google.com/spreadsheets/d/1-uDff_7J0KD5mKrp0Vvzr7lt3OU09vwQwhkpOPPYv2Y/edit?usp=sharing"",""งบพรบ!AO35"")"),0)</f>
        <v>0</v>
      </c>
      <c r="G35" s="88">
        <f ca="1">IFERROR(__xludf.DUMMYFUNCTION("IMPORTRANGE(""https://docs.google.com/spreadsheets/d/1-uDff_7J0KD5mKrp0Vvzr7lt3OU09vwQwhkpOPPYv2Y/edit?usp=sharing"",""งบพรบ!AP35"")"),0)</f>
        <v>0</v>
      </c>
      <c r="H35" s="88">
        <f ca="1">IFERROR(__xludf.DUMMYFUNCTION("IMPORTRANGE(""https://docs.google.com/spreadsheets/d/1-uDff_7J0KD5mKrp0Vvzr7lt3OU09vwQwhkpOPPYv2Y/edit?usp=sharing"",""งบพรบ!AR35"")"),0)</f>
        <v>0</v>
      </c>
      <c r="I35" s="88">
        <f ca="1">IFERROR(__xludf.DUMMYFUNCTION("IMPORTRANGE(""https://docs.google.com/spreadsheets/d/1-uDff_7J0KD5mKrp0Vvzr7lt3OU09vwQwhkpOPPYv2Y/edit?usp=sharing"",""งบพรบ!AS35"")"),0)</f>
        <v>0</v>
      </c>
      <c r="J35" s="88">
        <f t="shared" ca="1" si="25"/>
        <v>0</v>
      </c>
      <c r="K35" s="89">
        <f t="shared" ca="1" si="26"/>
        <v>0</v>
      </c>
      <c r="L35" s="88">
        <f ca="1">IFERROR(__xludf.DUMMYFUNCTION("IMPORTRANGE(""https://docs.google.com/spreadsheets/d/1-uDff_7J0KD5mKrp0Vvzr7lt3OU09vwQwhkpOPPYv2Y/edit?usp=sharing"",""งบพรบ!AT35"")"),0)</f>
        <v>0</v>
      </c>
      <c r="M35" s="90">
        <f t="shared" ca="1" si="27"/>
        <v>0</v>
      </c>
      <c r="N35" s="90">
        <f t="shared" ca="1" si="28"/>
        <v>0</v>
      </c>
      <c r="O35" s="91">
        <f ca="1">IFERROR(__xludf.DUMMYFUNCTION("IMPORTRANGE(""https://docs.google.com/spreadsheets/d/1-uDff_7J0KD5mKrp0Vvzr7lt3OU09vwQwhkpOPPYv2Y/edit?usp=sharing"",""งบพรบ!AU35"")"),0)</f>
        <v>0</v>
      </c>
      <c r="P35" s="91">
        <f t="shared" ca="1" si="29"/>
        <v>0</v>
      </c>
      <c r="Q35" s="90">
        <f t="shared" ca="1" si="30"/>
        <v>0</v>
      </c>
      <c r="R35" s="92">
        <f t="shared" ca="1" si="31"/>
        <v>0</v>
      </c>
      <c r="S35" s="92">
        <f t="shared" ca="1" si="32"/>
        <v>0</v>
      </c>
      <c r="T35" s="92">
        <f t="shared" ca="1" si="43"/>
        <v>0</v>
      </c>
      <c r="U35" s="93">
        <f t="shared" ca="1" si="33"/>
        <v>0</v>
      </c>
      <c r="V35" s="92">
        <f t="shared" ca="1" si="44"/>
        <v>0</v>
      </c>
      <c r="W35" s="93">
        <f t="shared" ca="1" si="34"/>
        <v>0</v>
      </c>
      <c r="X35" s="88">
        <f ca="1">IFERROR(__xludf.DUMMYFUNCTION("IMPORTRANGE(""https://docs.google.com/spreadsheets/d/1XVB7oCJ3pr-vBUdflwPQ8Z2LlzhnCvZaaYjAfP-647E/edit?usp=sharing"",""นครพนม!I84"")"),0)</f>
        <v>0</v>
      </c>
      <c r="Y35" s="88">
        <f ca="1">IFERROR(__xludf.DUMMYFUNCTION("IMPORTRANGE(""https://docs.google.com/spreadsheets/d/1XVB7oCJ3pr-vBUdflwPQ8Z2LlzhnCvZaaYjAfP-647E/edit?usp=sharing"",""นครพนม!I85"")"),0)</f>
        <v>0</v>
      </c>
      <c r="Z35" s="92">
        <f ca="1">IFERROR(__xludf.DUMMYFUNCTION("IMPORTRANGE(""https://docs.google.com/spreadsheets/d/1XVB7oCJ3pr-vBUdflwPQ8Z2LlzhnCvZaaYjAfP-647E/edit?usp=sharing"",""นครพนม!J84"")"),0)</f>
        <v>0</v>
      </c>
      <c r="AA35" s="92">
        <f ca="1">IFERROR(__xludf.DUMMYFUNCTION("IMPORTRANGE(""https://docs.google.com/spreadsheets/d/1XVB7oCJ3pr-vBUdflwPQ8Z2LlzhnCvZaaYjAfP-647E/edit?usp=sharing"",""นครพนม!J85"")"),0)</f>
        <v>0</v>
      </c>
      <c r="AB35" s="88">
        <f ca="1">IFERROR(__xludf.DUMMYFUNCTION("IMPORTRANGE(""https://docs.google.com/spreadsheets/d/1XVB7oCJ3pr-vBUdflwPQ8Z2LlzhnCvZaaYjAfP-647E/edit?usp=sharing"",""นครพนม!I86"")"),0)</f>
        <v>0</v>
      </c>
      <c r="AC35" s="88">
        <f ca="1">IFERROR(__xludf.DUMMYFUNCTION("IMPORTRANGE(""https://docs.google.com/spreadsheets/d/1XVB7oCJ3pr-vBUdflwPQ8Z2LlzhnCvZaaYjAfP-647E/edit?usp=sharing"",""นครพนม!I87"")"),0)</f>
        <v>0</v>
      </c>
      <c r="AD35" s="92">
        <f ca="1">IFERROR(__xludf.DUMMYFUNCTION("IMPORTRANGE(""https://docs.google.com/spreadsheets/d/1XVB7oCJ3pr-vBUdflwPQ8Z2LlzhnCvZaaYjAfP-647E/edit?usp=sharing"",""นครพนม!J86"")"),0)</f>
        <v>0</v>
      </c>
      <c r="AE35" s="92">
        <f ca="1">IFERROR(__xludf.DUMMYFUNCTION("IMPORTRANGE(""https://docs.google.com/spreadsheets/d/1XVB7oCJ3pr-vBUdflwPQ8Z2LlzhnCvZaaYjAfP-647E/edit?usp=sharing"",""นครพนม!J87"")"),0)</f>
        <v>0</v>
      </c>
      <c r="AF35" s="88">
        <f ca="1">IFERROR(__xludf.DUMMYFUNCTION("IMPORTRANGE(""https://docs.google.com/spreadsheets/d/1XVB7oCJ3pr-vBUdflwPQ8Z2LlzhnCvZaaYjAfP-647E/edit?usp=sharing"",""นครพนม!I88"")"),0)</f>
        <v>0</v>
      </c>
      <c r="AG35" s="88">
        <f ca="1">IFERROR(__xludf.DUMMYFUNCTION("IMPORTRANGE(""https://docs.google.com/spreadsheets/d/1XVB7oCJ3pr-vBUdflwPQ8Z2LlzhnCvZaaYjAfP-647E/edit?usp=sharing"",""นครพนม!I89"")"),0)</f>
        <v>0</v>
      </c>
      <c r="AH35" s="92">
        <f ca="1">IFERROR(__xludf.DUMMYFUNCTION("IMPORTRANGE(""https://docs.google.com/spreadsheets/d/1XVB7oCJ3pr-vBUdflwPQ8Z2LlzhnCvZaaYjAfP-647E/edit?usp=sharing"",""นครพนม!J88"")"),0)</f>
        <v>0</v>
      </c>
      <c r="AI35" s="92">
        <f ca="1">IFERROR(__xludf.DUMMYFUNCTION("IMPORTRANGE(""https://docs.google.com/spreadsheets/d/1XVB7oCJ3pr-vBUdflwPQ8Z2LlzhnCvZaaYjAfP-647E/edit?usp=sharing"",""นครพนม!J89"")"),0)</f>
        <v>0</v>
      </c>
      <c r="AJ35" s="88">
        <f ca="1">IFERROR(__xludf.DUMMYFUNCTION("IMPORTRANGE(""https://docs.google.com/spreadsheets/d/1XVB7oCJ3pr-vBUdflwPQ8Z2LlzhnCvZaaYjAfP-647E/edit?usp=sharing"",""นครพนม!I90"")"),0)</f>
        <v>0</v>
      </c>
      <c r="AK35" s="92">
        <f ca="1">IFERROR(__xludf.DUMMYFUNCTION("IMPORTRANGE(""https://docs.google.com/spreadsheets/d/1XVB7oCJ3pr-vBUdflwPQ8Z2LlzhnCvZaaYjAfP-647E/edit?usp=sharing"",""นครพนม!J90"")"),0)</f>
        <v>0</v>
      </c>
      <c r="AL35" s="90">
        <f t="shared" ca="1" si="36"/>
        <v>0</v>
      </c>
    </row>
    <row r="36" spans="1:38" ht="21" customHeight="1" x14ac:dyDescent="0.2">
      <c r="A36" s="84">
        <v>5</v>
      </c>
      <c r="B36" s="85" t="s">
        <v>58</v>
      </c>
      <c r="C36" s="86">
        <f t="shared" ca="1" si="23"/>
        <v>0</v>
      </c>
      <c r="D36" s="87">
        <f t="shared" ca="1" si="42"/>
        <v>0</v>
      </c>
      <c r="E36" s="88">
        <f ca="1">IFERROR(__xludf.DUMMYFUNCTION("IMPORTRANGE(""https://docs.google.com/spreadsheets/d/1-uDff_7J0KD5mKrp0Vvzr7lt3OU09vwQwhkpOPPYv2Y/edit?usp=sharing"",""งบพรบ!AN36"")"),0)</f>
        <v>0</v>
      </c>
      <c r="F36" s="88">
        <f ca="1">IFERROR(__xludf.DUMMYFUNCTION("IMPORTRANGE(""https://docs.google.com/spreadsheets/d/1-uDff_7J0KD5mKrp0Vvzr7lt3OU09vwQwhkpOPPYv2Y/edit?usp=sharing"",""งบพรบ!AO36"")"),0)</f>
        <v>0</v>
      </c>
      <c r="G36" s="88">
        <f ca="1">IFERROR(__xludf.DUMMYFUNCTION("IMPORTRANGE(""https://docs.google.com/spreadsheets/d/1-uDff_7J0KD5mKrp0Vvzr7lt3OU09vwQwhkpOPPYv2Y/edit?usp=sharing"",""งบพรบ!AP36"")"),0)</f>
        <v>0</v>
      </c>
      <c r="H36" s="88">
        <f ca="1">IFERROR(__xludf.DUMMYFUNCTION("IMPORTRANGE(""https://docs.google.com/spreadsheets/d/1-uDff_7J0KD5mKrp0Vvzr7lt3OU09vwQwhkpOPPYv2Y/edit?usp=sharing"",""งบพรบ!AR36"")"),0)</f>
        <v>0</v>
      </c>
      <c r="I36" s="88">
        <f ca="1">IFERROR(__xludf.DUMMYFUNCTION("IMPORTRANGE(""https://docs.google.com/spreadsheets/d/1-uDff_7J0KD5mKrp0Vvzr7lt3OU09vwQwhkpOPPYv2Y/edit?usp=sharing"",""งบพรบ!AS36"")"),0)</f>
        <v>0</v>
      </c>
      <c r="J36" s="88">
        <f t="shared" ca="1" si="25"/>
        <v>0</v>
      </c>
      <c r="K36" s="89">
        <f t="shared" ca="1" si="26"/>
        <v>0</v>
      </c>
      <c r="L36" s="88">
        <f ca="1">IFERROR(__xludf.DUMMYFUNCTION("IMPORTRANGE(""https://docs.google.com/spreadsheets/d/1-uDff_7J0KD5mKrp0Vvzr7lt3OU09vwQwhkpOPPYv2Y/edit?usp=sharing"",""งบพรบ!AT36"")"),0)</f>
        <v>0</v>
      </c>
      <c r="M36" s="90">
        <f t="shared" ca="1" si="27"/>
        <v>0</v>
      </c>
      <c r="N36" s="90">
        <f t="shared" ca="1" si="28"/>
        <v>0</v>
      </c>
      <c r="O36" s="91">
        <f ca="1">IFERROR(__xludf.DUMMYFUNCTION("IMPORTRANGE(""https://docs.google.com/spreadsheets/d/1-uDff_7J0KD5mKrp0Vvzr7lt3OU09vwQwhkpOPPYv2Y/edit?usp=sharing"",""งบพรบ!AU36"")"),0)</f>
        <v>0</v>
      </c>
      <c r="P36" s="91">
        <f t="shared" ca="1" si="29"/>
        <v>0</v>
      </c>
      <c r="Q36" s="90">
        <f t="shared" ca="1" si="30"/>
        <v>0</v>
      </c>
      <c r="R36" s="92">
        <f t="shared" ca="1" si="31"/>
        <v>0</v>
      </c>
      <c r="S36" s="92">
        <f t="shared" ca="1" si="32"/>
        <v>0</v>
      </c>
      <c r="T36" s="92">
        <f t="shared" ca="1" si="43"/>
        <v>0</v>
      </c>
      <c r="U36" s="93">
        <f t="shared" ca="1" si="33"/>
        <v>0</v>
      </c>
      <c r="V36" s="92">
        <f t="shared" ca="1" si="44"/>
        <v>0</v>
      </c>
      <c r="W36" s="93">
        <f t="shared" ca="1" si="34"/>
        <v>0</v>
      </c>
      <c r="X36" s="88">
        <f ca="1">IFERROR(__xludf.DUMMYFUNCTION("IMPORTRANGE(""https://docs.google.com/spreadsheets/d/1Mnpb-8PYAgn85W6KOTD40hc_Xc55CaLfHoGAbrZ8tls/edit?usp=sharing"",""นครราชสีมา!I84"")"),0)</f>
        <v>0</v>
      </c>
      <c r="Y36" s="88">
        <f ca="1">IFERROR(__xludf.DUMMYFUNCTION("IMPORTRANGE(""https://docs.google.com/spreadsheets/d/1Mnpb-8PYAgn85W6KOTD40hc_Xc55CaLfHoGAbrZ8tls/edit?usp=sharing"",""นครราชสีมา!I85"")"),0)</f>
        <v>0</v>
      </c>
      <c r="Z36" s="92">
        <f ca="1">IFERROR(__xludf.DUMMYFUNCTION("IMPORTRANGE(""https://docs.google.com/spreadsheets/d/1Mnpb-8PYAgn85W6KOTD40hc_Xc55CaLfHoGAbrZ8tls/edit?usp=sharing"",""นครราชสีมา!J84"")"),0)</f>
        <v>0</v>
      </c>
      <c r="AA36" s="92">
        <f ca="1">IFERROR(__xludf.DUMMYFUNCTION("IMPORTRANGE(""https://docs.google.com/spreadsheets/d/1Mnpb-8PYAgn85W6KOTD40hc_Xc55CaLfHoGAbrZ8tls/edit?usp=sharing"",""นครราชสีมา!J85"")"),0)</f>
        <v>0</v>
      </c>
      <c r="AB36" s="88">
        <f ca="1">IFERROR(__xludf.DUMMYFUNCTION("IMPORTRANGE(""https://docs.google.com/spreadsheets/d/1Mnpb-8PYAgn85W6KOTD40hc_Xc55CaLfHoGAbrZ8tls/edit?usp=sharing"",""นครราชสีมา!I86"")"),0)</f>
        <v>0</v>
      </c>
      <c r="AC36" s="88">
        <f ca="1">IFERROR(__xludf.DUMMYFUNCTION("IMPORTRANGE(""https://docs.google.com/spreadsheets/d/1Mnpb-8PYAgn85W6KOTD40hc_Xc55CaLfHoGAbrZ8tls/edit?usp=sharing"",""นครราชสีมา!I87"")"),0)</f>
        <v>0</v>
      </c>
      <c r="AD36" s="92">
        <f ca="1">IFERROR(__xludf.DUMMYFUNCTION("IMPORTRANGE(""https://docs.google.com/spreadsheets/d/1Mnpb-8PYAgn85W6KOTD40hc_Xc55CaLfHoGAbrZ8tls/edit?usp=sharing"",""นครราชสีมา!J86"")"),0)</f>
        <v>0</v>
      </c>
      <c r="AE36" s="92">
        <f ca="1">IFERROR(__xludf.DUMMYFUNCTION("IMPORTRANGE(""https://docs.google.com/spreadsheets/d/1Mnpb-8PYAgn85W6KOTD40hc_Xc55CaLfHoGAbrZ8tls/edit?usp=sharing"",""นครราชสีมา!J87"")"),0)</f>
        <v>0</v>
      </c>
      <c r="AF36" s="88">
        <f ca="1">IFERROR(__xludf.DUMMYFUNCTION("IMPORTRANGE(""https://docs.google.com/spreadsheets/d/1Mnpb-8PYAgn85W6KOTD40hc_Xc55CaLfHoGAbrZ8tls/edit?usp=sharing"",""นครราชสีมา!I88"")"),0)</f>
        <v>0</v>
      </c>
      <c r="AG36" s="88">
        <f ca="1">IFERROR(__xludf.DUMMYFUNCTION("IMPORTRANGE(""https://docs.google.com/spreadsheets/d/1Mnpb-8PYAgn85W6KOTD40hc_Xc55CaLfHoGAbrZ8tls/edit?usp=sharing"",""นครราชสีมา!I89"")"),0)</f>
        <v>0</v>
      </c>
      <c r="AH36" s="92">
        <f ca="1">IFERROR(__xludf.DUMMYFUNCTION("IMPORTRANGE(""https://docs.google.com/spreadsheets/d/1Mnpb-8PYAgn85W6KOTD40hc_Xc55CaLfHoGAbrZ8tls/edit?usp=sharing"",""นครราชสีมา!J88"")"),0)</f>
        <v>0</v>
      </c>
      <c r="AI36" s="92">
        <f ca="1">IFERROR(__xludf.DUMMYFUNCTION("IMPORTRANGE(""https://docs.google.com/spreadsheets/d/1Mnpb-8PYAgn85W6KOTD40hc_Xc55CaLfHoGAbrZ8tls/edit?usp=sharing"",""นครราชสีมา!J89"")"),0)</f>
        <v>0</v>
      </c>
      <c r="AJ36" s="88">
        <f ca="1">IFERROR(__xludf.DUMMYFUNCTION("IMPORTRANGE(""https://docs.google.com/spreadsheets/d/1Mnpb-8PYAgn85W6KOTD40hc_Xc55CaLfHoGAbrZ8tls/edit?usp=sharing"",""นครราชสีมา!I90"")"),0)</f>
        <v>0</v>
      </c>
      <c r="AK36" s="92">
        <f ca="1">IFERROR(__xludf.DUMMYFUNCTION("IMPORTRANGE(""https://docs.google.com/spreadsheets/d/1Mnpb-8PYAgn85W6KOTD40hc_Xc55CaLfHoGAbrZ8tls/edit?usp=sharing"",""นครราชสีมา!J90"")"),0)</f>
        <v>0</v>
      </c>
      <c r="AL36" s="90">
        <f t="shared" ca="1" si="36"/>
        <v>0</v>
      </c>
    </row>
    <row r="37" spans="1:38" ht="21" customHeight="1" x14ac:dyDescent="0.2">
      <c r="A37" s="84">
        <v>6</v>
      </c>
      <c r="B37" s="85" t="s">
        <v>59</v>
      </c>
      <c r="C37" s="86">
        <f t="shared" ca="1" si="23"/>
        <v>0</v>
      </c>
      <c r="D37" s="87">
        <f t="shared" ca="1" si="42"/>
        <v>0</v>
      </c>
      <c r="E37" s="88">
        <f ca="1">IFERROR(__xludf.DUMMYFUNCTION("IMPORTRANGE(""https://docs.google.com/spreadsheets/d/1-uDff_7J0KD5mKrp0Vvzr7lt3OU09vwQwhkpOPPYv2Y/edit?usp=sharing"",""งบพรบ!AN37"")"),0)</f>
        <v>0</v>
      </c>
      <c r="F37" s="88">
        <f ca="1">IFERROR(__xludf.DUMMYFUNCTION("IMPORTRANGE(""https://docs.google.com/spreadsheets/d/1-uDff_7J0KD5mKrp0Vvzr7lt3OU09vwQwhkpOPPYv2Y/edit?usp=sharing"",""งบพรบ!AO37"")"),0)</f>
        <v>0</v>
      </c>
      <c r="G37" s="88">
        <f ca="1">IFERROR(__xludf.DUMMYFUNCTION("IMPORTRANGE(""https://docs.google.com/spreadsheets/d/1-uDff_7J0KD5mKrp0Vvzr7lt3OU09vwQwhkpOPPYv2Y/edit?usp=sharing"",""งบพรบ!AP37"")"),0)</f>
        <v>0</v>
      </c>
      <c r="H37" s="88">
        <f ca="1">IFERROR(__xludf.DUMMYFUNCTION("IMPORTRANGE(""https://docs.google.com/spreadsheets/d/1-uDff_7J0KD5mKrp0Vvzr7lt3OU09vwQwhkpOPPYv2Y/edit?usp=sharing"",""งบพรบ!AR37"")"),0)</f>
        <v>0</v>
      </c>
      <c r="I37" s="88">
        <f ca="1">IFERROR(__xludf.DUMMYFUNCTION("IMPORTRANGE(""https://docs.google.com/spreadsheets/d/1-uDff_7J0KD5mKrp0Vvzr7lt3OU09vwQwhkpOPPYv2Y/edit?usp=sharing"",""งบพรบ!AS37"")"),0)</f>
        <v>0</v>
      </c>
      <c r="J37" s="88">
        <f t="shared" ca="1" si="25"/>
        <v>0</v>
      </c>
      <c r="K37" s="89">
        <f t="shared" ca="1" si="26"/>
        <v>0</v>
      </c>
      <c r="L37" s="88">
        <f ca="1">IFERROR(__xludf.DUMMYFUNCTION("IMPORTRANGE(""https://docs.google.com/spreadsheets/d/1-uDff_7J0KD5mKrp0Vvzr7lt3OU09vwQwhkpOPPYv2Y/edit?usp=sharing"",""งบพรบ!AT37"")"),0)</f>
        <v>0</v>
      </c>
      <c r="M37" s="90">
        <f t="shared" ca="1" si="27"/>
        <v>0</v>
      </c>
      <c r="N37" s="90">
        <f t="shared" ca="1" si="28"/>
        <v>0</v>
      </c>
      <c r="O37" s="91">
        <f ca="1">IFERROR(__xludf.DUMMYFUNCTION("IMPORTRANGE(""https://docs.google.com/spreadsheets/d/1-uDff_7J0KD5mKrp0Vvzr7lt3OU09vwQwhkpOPPYv2Y/edit?usp=sharing"",""งบพรบ!AU37"")"),0)</f>
        <v>0</v>
      </c>
      <c r="P37" s="91">
        <f t="shared" ca="1" si="29"/>
        <v>0</v>
      </c>
      <c r="Q37" s="90">
        <f t="shared" ca="1" si="30"/>
        <v>0</v>
      </c>
      <c r="R37" s="92">
        <f t="shared" ca="1" si="31"/>
        <v>0</v>
      </c>
      <c r="S37" s="92">
        <f t="shared" ca="1" si="32"/>
        <v>0</v>
      </c>
      <c r="T37" s="92">
        <f t="shared" ca="1" si="43"/>
        <v>0</v>
      </c>
      <c r="U37" s="93">
        <f t="shared" ca="1" si="33"/>
        <v>0</v>
      </c>
      <c r="V37" s="92">
        <f t="shared" ca="1" si="44"/>
        <v>0</v>
      </c>
      <c r="W37" s="93">
        <f t="shared" ca="1" si="34"/>
        <v>0</v>
      </c>
      <c r="X37" s="88">
        <f ca="1">IFERROR(__xludf.DUMMYFUNCTION("IMPORTRANGE(""https://docs.google.com/spreadsheets/d/1xoDLGBv9CYbyosIhki0kTq6IpYNj-gpjxfobnaDiut0/edit?usp=sharing"",""บึงกาฬ!I84"")"),0)</f>
        <v>0</v>
      </c>
      <c r="Y37" s="88">
        <f ca="1">IFERROR(__xludf.DUMMYFUNCTION("IMPORTRANGE(""https://docs.google.com/spreadsheets/d/1xoDLGBv9CYbyosIhki0kTq6IpYNj-gpjxfobnaDiut0/edit?usp=sharing"",""บึงกาฬ!I85"")"),0)</f>
        <v>0</v>
      </c>
      <c r="Z37" s="92">
        <f ca="1">IFERROR(__xludf.DUMMYFUNCTION("IMPORTRANGE(""https://docs.google.com/spreadsheets/d/1xoDLGBv9CYbyosIhki0kTq6IpYNj-gpjxfobnaDiut0/edit?usp=sharing"",""บึงกาฬ!J84"")"),0)</f>
        <v>0</v>
      </c>
      <c r="AA37" s="92">
        <f ca="1">IFERROR(__xludf.DUMMYFUNCTION("IMPORTRANGE(""https://docs.google.com/spreadsheets/d/1xoDLGBv9CYbyosIhki0kTq6IpYNj-gpjxfobnaDiut0/edit?usp=sharing"",""บึงกาฬ!J85"")"),0)</f>
        <v>0</v>
      </c>
      <c r="AB37" s="88">
        <f ca="1">IFERROR(__xludf.DUMMYFUNCTION("IMPORTRANGE(""https://docs.google.com/spreadsheets/d/1xoDLGBv9CYbyosIhki0kTq6IpYNj-gpjxfobnaDiut0/edit?usp=sharing"",""บึงกาฬ!I86"")"),0)</f>
        <v>0</v>
      </c>
      <c r="AC37" s="88">
        <f ca="1">IFERROR(__xludf.DUMMYFUNCTION("IMPORTRANGE(""https://docs.google.com/spreadsheets/d/1xoDLGBv9CYbyosIhki0kTq6IpYNj-gpjxfobnaDiut0/edit?usp=sharing"",""บึงกาฬ!I87"")"),0)</f>
        <v>0</v>
      </c>
      <c r="AD37" s="92">
        <f ca="1">IFERROR(__xludf.DUMMYFUNCTION("IMPORTRANGE(""https://docs.google.com/spreadsheets/d/1xoDLGBv9CYbyosIhki0kTq6IpYNj-gpjxfobnaDiut0/edit?usp=sharing"",""บึงกาฬ!J86"")"),0)</f>
        <v>0</v>
      </c>
      <c r="AE37" s="92">
        <f ca="1">IFERROR(__xludf.DUMMYFUNCTION("IMPORTRANGE(""https://docs.google.com/spreadsheets/d/1xoDLGBv9CYbyosIhki0kTq6IpYNj-gpjxfobnaDiut0/edit?usp=sharing"",""บึงกาฬ!J87"")"),0)</f>
        <v>0</v>
      </c>
      <c r="AF37" s="88">
        <f ca="1">IFERROR(__xludf.DUMMYFUNCTION("IMPORTRANGE(""https://docs.google.com/spreadsheets/d/1xoDLGBv9CYbyosIhki0kTq6IpYNj-gpjxfobnaDiut0/edit?usp=sharing"",""บึงกาฬ!I88"")"),0)</f>
        <v>0</v>
      </c>
      <c r="AG37" s="88">
        <f ca="1">IFERROR(__xludf.DUMMYFUNCTION("IMPORTRANGE(""https://docs.google.com/spreadsheets/d/1xoDLGBv9CYbyosIhki0kTq6IpYNj-gpjxfobnaDiut0/edit?usp=sharing"",""บึงกาฬ!I89"")"),0)</f>
        <v>0</v>
      </c>
      <c r="AH37" s="92">
        <f ca="1">IFERROR(__xludf.DUMMYFUNCTION("IMPORTRANGE(""https://docs.google.com/spreadsheets/d/1xoDLGBv9CYbyosIhki0kTq6IpYNj-gpjxfobnaDiut0/edit?usp=sharing"",""บึงกาฬ!J88"")"),0)</f>
        <v>0</v>
      </c>
      <c r="AI37" s="92">
        <f ca="1">IFERROR(__xludf.DUMMYFUNCTION("IMPORTRANGE(""https://docs.google.com/spreadsheets/d/1xoDLGBv9CYbyosIhki0kTq6IpYNj-gpjxfobnaDiut0/edit?usp=sharing"",""บึงกาฬ!J89"")"),0)</f>
        <v>0</v>
      </c>
      <c r="AJ37" s="88">
        <f ca="1">IFERROR(__xludf.DUMMYFUNCTION("IMPORTRANGE(""https://docs.google.com/spreadsheets/d/1xoDLGBv9CYbyosIhki0kTq6IpYNj-gpjxfobnaDiut0/edit?usp=sharing"",""บึงกาฬ!I90"")"),0)</f>
        <v>0</v>
      </c>
      <c r="AK37" s="92">
        <f ca="1">IFERROR(__xludf.DUMMYFUNCTION("IMPORTRANGE(""https://docs.google.com/spreadsheets/d/1xoDLGBv9CYbyosIhki0kTq6IpYNj-gpjxfobnaDiut0/edit?usp=sharing"",""บึงกาฬ!J90"")"),0)</f>
        <v>0</v>
      </c>
      <c r="AL37" s="90">
        <f t="shared" ca="1" si="36"/>
        <v>0</v>
      </c>
    </row>
    <row r="38" spans="1:38" ht="21" customHeight="1" x14ac:dyDescent="0.2">
      <c r="A38" s="84">
        <v>7</v>
      </c>
      <c r="B38" s="85" t="s">
        <v>60</v>
      </c>
      <c r="C38" s="86">
        <f t="shared" ca="1" si="23"/>
        <v>330400</v>
      </c>
      <c r="D38" s="87">
        <f t="shared" ca="1" si="42"/>
        <v>330400</v>
      </c>
      <c r="E38" s="88">
        <f ca="1">IFERROR(__xludf.DUMMYFUNCTION("IMPORTRANGE(""https://docs.google.com/spreadsheets/d/1-uDff_7J0KD5mKrp0Vvzr7lt3OU09vwQwhkpOPPYv2Y/edit?usp=sharing"",""งบพรบ!AN38"")"),0)</f>
        <v>0</v>
      </c>
      <c r="F38" s="88">
        <f ca="1">IFERROR(__xludf.DUMMYFUNCTION("IMPORTRANGE(""https://docs.google.com/spreadsheets/d/1-uDff_7J0KD5mKrp0Vvzr7lt3OU09vwQwhkpOPPYv2Y/edit?usp=sharing"",""งบพรบ!AO38"")"),330400)</f>
        <v>330400</v>
      </c>
      <c r="G38" s="88">
        <f ca="1">IFERROR(__xludf.DUMMYFUNCTION("IMPORTRANGE(""https://docs.google.com/spreadsheets/d/1-uDff_7J0KD5mKrp0Vvzr7lt3OU09vwQwhkpOPPYv2Y/edit?usp=sharing"",""งบพรบ!AP38"")"),0)</f>
        <v>0</v>
      </c>
      <c r="H38" s="88">
        <f ca="1">IFERROR(__xludf.DUMMYFUNCTION("IMPORTRANGE(""https://docs.google.com/spreadsheets/d/1-uDff_7J0KD5mKrp0Vvzr7lt3OU09vwQwhkpOPPYv2Y/edit?usp=sharing"",""งบพรบ!AR38"")"),330400)</f>
        <v>330400</v>
      </c>
      <c r="I38" s="88">
        <f ca="1">IFERROR(__xludf.DUMMYFUNCTION("IMPORTRANGE(""https://docs.google.com/spreadsheets/d/1-uDff_7J0KD5mKrp0Vvzr7lt3OU09vwQwhkpOPPYv2Y/edit?usp=sharing"",""งบพรบ!AS38"")"),0)</f>
        <v>0</v>
      </c>
      <c r="J38" s="88">
        <f t="shared" ca="1" si="25"/>
        <v>14100</v>
      </c>
      <c r="K38" s="89">
        <f t="shared" ca="1" si="26"/>
        <v>4.2675544794188864</v>
      </c>
      <c r="L38" s="88">
        <f ca="1">IFERROR(__xludf.DUMMYFUNCTION("IMPORTRANGE(""https://docs.google.com/spreadsheets/d/1-uDff_7J0KD5mKrp0Vvzr7lt3OU09vwQwhkpOPPYv2Y/edit?usp=sharing"",""งบพรบ!AT38"")"),14100)</f>
        <v>14100</v>
      </c>
      <c r="M38" s="90">
        <f t="shared" ca="1" si="27"/>
        <v>4.2675544794188864</v>
      </c>
      <c r="N38" s="90">
        <f t="shared" ca="1" si="28"/>
        <v>4.2675544794188864</v>
      </c>
      <c r="O38" s="91">
        <f ca="1">IFERROR(__xludf.DUMMYFUNCTION("IMPORTRANGE(""https://docs.google.com/spreadsheets/d/1-uDff_7J0KD5mKrp0Vvzr7lt3OU09vwQwhkpOPPYv2Y/edit?usp=sharing"",""งบพรบ!AU38"")"),0)</f>
        <v>0</v>
      </c>
      <c r="P38" s="91">
        <f t="shared" ca="1" si="29"/>
        <v>0</v>
      </c>
      <c r="Q38" s="90">
        <f t="shared" ca="1" si="30"/>
        <v>0</v>
      </c>
      <c r="R38" s="92">
        <f t="shared" ca="1" si="31"/>
        <v>1</v>
      </c>
      <c r="S38" s="92">
        <f t="shared" ca="1" si="32"/>
        <v>63</v>
      </c>
      <c r="T38" s="92">
        <f t="shared" ca="1" si="43"/>
        <v>0</v>
      </c>
      <c r="U38" s="93">
        <f t="shared" ca="1" si="33"/>
        <v>0</v>
      </c>
      <c r="V38" s="92">
        <f t="shared" ca="1" si="44"/>
        <v>0</v>
      </c>
      <c r="W38" s="93">
        <f t="shared" ca="1" si="34"/>
        <v>0</v>
      </c>
      <c r="X38" s="92">
        <f ca="1">IFERROR(__xludf.DUMMYFUNCTION("IMPORTRANGE(""https://docs.google.com/spreadsheets/d/1MMPq-JyI6DSgQETxuSiXkesP-P7JHuemnE6QJIa-Nlw/edit?usp=sharing"",""บุรีรัมย์!I84"")"),0)</f>
        <v>0</v>
      </c>
      <c r="Y38" s="92">
        <f ca="1">IFERROR(__xludf.DUMMYFUNCTION("IMPORTRANGE(""https://docs.google.com/spreadsheets/d/1MMPq-JyI6DSgQETxuSiXkesP-P7JHuemnE6QJIa-Nlw/edit?usp=sharing"",""บุรีรัมย์!I85"")"),0)</f>
        <v>0</v>
      </c>
      <c r="Z38" s="92">
        <f ca="1">IFERROR(__xludf.DUMMYFUNCTION("IMPORTRANGE(""https://docs.google.com/spreadsheets/d/1MMPq-JyI6DSgQETxuSiXkesP-P7JHuemnE6QJIa-Nlw/edit?usp=sharing"",""บุรีรัมย์!J84"")"),0)</f>
        <v>0</v>
      </c>
      <c r="AA38" s="92">
        <f ca="1">IFERROR(__xludf.DUMMYFUNCTION("IMPORTRANGE(""https://docs.google.com/spreadsheets/d/1MMPq-JyI6DSgQETxuSiXkesP-P7JHuemnE6QJIa-Nlw/edit?usp=sharing"",""บุรีรัมย์!J85"")"),0)</f>
        <v>0</v>
      </c>
      <c r="AB38" s="92">
        <f ca="1">IFERROR(__xludf.DUMMYFUNCTION("IMPORTRANGE(""https://docs.google.com/spreadsheets/d/1MMPq-JyI6DSgQETxuSiXkesP-P7JHuemnE6QJIa-Nlw/edit?usp=sharing"",""บุรีรัมย์!I86"")"),0)</f>
        <v>0</v>
      </c>
      <c r="AC38" s="92">
        <f ca="1">IFERROR(__xludf.DUMMYFUNCTION("IMPORTRANGE(""https://docs.google.com/spreadsheets/d/1MMPq-JyI6DSgQETxuSiXkesP-P7JHuemnE6QJIa-Nlw/edit?usp=sharing"",""บุรีรัมย์!I87"")"),0)</f>
        <v>0</v>
      </c>
      <c r="AD38" s="92">
        <f ca="1">IFERROR(__xludf.DUMMYFUNCTION("IMPORTRANGE(""https://docs.google.com/spreadsheets/d/1MMPq-JyI6DSgQETxuSiXkesP-P7JHuemnE6QJIa-Nlw/edit?usp=sharing"",""บุรีรัมย์!J86"")"),0)</f>
        <v>0</v>
      </c>
      <c r="AE38" s="92">
        <f ca="1">IFERROR(__xludf.DUMMYFUNCTION("IMPORTRANGE(""https://docs.google.com/spreadsheets/d/1MMPq-JyI6DSgQETxuSiXkesP-P7JHuemnE6QJIa-Nlw/edit?usp=sharing"",""บุรีรัมย์!J87"")"),0)</f>
        <v>0</v>
      </c>
      <c r="AF38" s="92">
        <f ca="1">IFERROR(__xludf.DUMMYFUNCTION("IMPORTRANGE(""https://docs.google.com/spreadsheets/d/1MMPq-JyI6DSgQETxuSiXkesP-P7JHuemnE6QJIa-Nlw/edit?usp=sharing"",""บุรีรัมย์!I88"")"),1)</f>
        <v>1</v>
      </c>
      <c r="AG38" s="88">
        <f ca="1">IFERROR(__xludf.DUMMYFUNCTION("IMPORTRANGE(""https://docs.google.com/spreadsheets/d/1MMPq-JyI6DSgQETxuSiXkesP-P7JHuemnE6QJIa-Nlw/edit?usp=sharing"",""บุรีรัมย์!I89"")"),63)</f>
        <v>63</v>
      </c>
      <c r="AH38" s="92">
        <f ca="1">IFERROR(__xludf.DUMMYFUNCTION("IMPORTRANGE(""https://docs.google.com/spreadsheets/d/1MMPq-JyI6DSgQETxuSiXkesP-P7JHuemnE6QJIa-Nlw/edit?usp=sharing"",""บุรีรัมย์!J88"")"),0)</f>
        <v>0</v>
      </c>
      <c r="AI38" s="92">
        <f ca="1">IFERROR(__xludf.DUMMYFUNCTION("IMPORTRANGE(""https://docs.google.com/spreadsheets/d/1MMPq-JyI6DSgQETxuSiXkesP-P7JHuemnE6QJIa-Nlw/edit?usp=sharing"",""บุรีรัมย์!J89"")"),0)</f>
        <v>0</v>
      </c>
      <c r="AJ38" s="92">
        <f ca="1">IFERROR(__xludf.DUMMYFUNCTION("IMPORTRANGE(""https://docs.google.com/spreadsheets/d/1MMPq-JyI6DSgQETxuSiXkesP-P7JHuemnE6QJIa-Nlw/edit?usp=sharing"",""บุรีรัมย์!I90"")"),1)</f>
        <v>1</v>
      </c>
      <c r="AK38" s="92">
        <f ca="1">IFERROR(__xludf.DUMMYFUNCTION("IMPORTRANGE(""https://docs.google.com/spreadsheets/d/1MMPq-JyI6DSgQETxuSiXkesP-P7JHuemnE6QJIa-Nlw/edit?usp=sharing"",""บุรีรัมย์!J90"")"),0)</f>
        <v>0</v>
      </c>
      <c r="AL38" s="93">
        <f t="shared" ca="1" si="36"/>
        <v>0</v>
      </c>
    </row>
    <row r="39" spans="1:38" ht="21" customHeight="1" x14ac:dyDescent="0.2">
      <c r="A39" s="84">
        <v>8</v>
      </c>
      <c r="B39" s="85" t="s">
        <v>61</v>
      </c>
      <c r="C39" s="86">
        <f t="shared" ca="1" si="23"/>
        <v>655300</v>
      </c>
      <c r="D39" s="87">
        <f t="shared" ca="1" si="42"/>
        <v>655300</v>
      </c>
      <c r="E39" s="88">
        <f ca="1">IFERROR(__xludf.DUMMYFUNCTION("IMPORTRANGE(""https://docs.google.com/spreadsheets/d/1-uDff_7J0KD5mKrp0Vvzr7lt3OU09vwQwhkpOPPYv2Y/edit?usp=sharing"",""งบพรบ!AN39"")"),308100)</f>
        <v>308100</v>
      </c>
      <c r="F39" s="88">
        <f ca="1">IFERROR(__xludf.DUMMYFUNCTION("IMPORTRANGE(""https://docs.google.com/spreadsheets/d/1-uDff_7J0KD5mKrp0Vvzr7lt3OU09vwQwhkpOPPYv2Y/edit?usp=sharing"",""งบพรบ!AO39"")"),347200)</f>
        <v>347200</v>
      </c>
      <c r="G39" s="88">
        <f ca="1">IFERROR(__xludf.DUMMYFUNCTION("IMPORTRANGE(""https://docs.google.com/spreadsheets/d/1-uDff_7J0KD5mKrp0Vvzr7lt3OU09vwQwhkpOPPYv2Y/edit?usp=sharing"",""งบพรบ!AP39"")"),0)</f>
        <v>0</v>
      </c>
      <c r="H39" s="88">
        <f ca="1">IFERROR(__xludf.DUMMYFUNCTION("IMPORTRANGE(""https://docs.google.com/spreadsheets/d/1-uDff_7J0KD5mKrp0Vvzr7lt3OU09vwQwhkpOPPYv2Y/edit?usp=sharing"",""งบพรบ!AR39"")"),567700)</f>
        <v>567700</v>
      </c>
      <c r="I39" s="88">
        <f ca="1">IFERROR(__xludf.DUMMYFUNCTION("IMPORTRANGE(""https://docs.google.com/spreadsheets/d/1-uDff_7J0KD5mKrp0Vvzr7lt3OU09vwQwhkpOPPYv2Y/edit?usp=sharing"",""งบพรบ!AS39"")"),0)</f>
        <v>0</v>
      </c>
      <c r="J39" s="88">
        <f t="shared" ca="1" si="25"/>
        <v>108232</v>
      </c>
      <c r="K39" s="89">
        <f t="shared" ca="1" si="26"/>
        <v>16.516404700137343</v>
      </c>
      <c r="L39" s="88">
        <f ca="1">IFERROR(__xludf.DUMMYFUNCTION("IMPORTRANGE(""https://docs.google.com/spreadsheets/d/1-uDff_7J0KD5mKrp0Vvzr7lt3OU09vwQwhkpOPPYv2Y/edit?usp=sharing"",""งบพรบ!AT39"")"),108232)</f>
        <v>108232</v>
      </c>
      <c r="M39" s="90">
        <f t="shared" ca="1" si="27"/>
        <v>16.516404700137343</v>
      </c>
      <c r="N39" s="90">
        <f t="shared" ca="1" si="28"/>
        <v>19.064999119253127</v>
      </c>
      <c r="O39" s="91">
        <f ca="1">IFERROR(__xludf.DUMMYFUNCTION("IMPORTRANGE(""https://docs.google.com/spreadsheets/d/1-uDff_7J0KD5mKrp0Vvzr7lt3OU09vwQwhkpOPPYv2Y/edit?usp=sharing"",""งบพรบ!AU39"")"),0)</f>
        <v>0</v>
      </c>
      <c r="P39" s="91">
        <f t="shared" ca="1" si="29"/>
        <v>0</v>
      </c>
      <c r="Q39" s="90">
        <f t="shared" ca="1" si="30"/>
        <v>0</v>
      </c>
      <c r="R39" s="92">
        <f t="shared" ca="1" si="31"/>
        <v>1</v>
      </c>
      <c r="S39" s="92">
        <f t="shared" ca="1" si="32"/>
        <v>69</v>
      </c>
      <c r="T39" s="92">
        <f t="shared" ca="1" si="43"/>
        <v>0</v>
      </c>
      <c r="U39" s="93">
        <f t="shared" ca="1" si="33"/>
        <v>0</v>
      </c>
      <c r="V39" s="92">
        <f t="shared" ca="1" si="44"/>
        <v>0</v>
      </c>
      <c r="W39" s="93">
        <f t="shared" ca="1" si="34"/>
        <v>0</v>
      </c>
      <c r="X39" s="92">
        <f ca="1">IFERROR(__xludf.DUMMYFUNCTION("IMPORTRANGE(""https://docs.google.com/spreadsheets/d/1l6IZ8xUPgMrESzcTYwhA1k_tPjeQjJPTqlm8Gd9eU5g/edit?usp=sharing"",""มหาสารคาม!I84"")"),0)</f>
        <v>0</v>
      </c>
      <c r="Y39" s="92">
        <f ca="1">IFERROR(__xludf.DUMMYFUNCTION("IMPORTRANGE(""https://docs.google.com/spreadsheets/d/1l6IZ8xUPgMrESzcTYwhA1k_tPjeQjJPTqlm8Gd9eU5g/edit?usp=sharing"",""มหาสารคาม!I85"")"),0)</f>
        <v>0</v>
      </c>
      <c r="Z39" s="92">
        <f ca="1">IFERROR(__xludf.DUMMYFUNCTION("IMPORTRANGE(""https://docs.google.com/spreadsheets/d/1l6IZ8xUPgMrESzcTYwhA1k_tPjeQjJPTqlm8Gd9eU5g/edit?usp=sharing"",""มหาสารคาม!J84"")"),0)</f>
        <v>0</v>
      </c>
      <c r="AA39" s="92">
        <f ca="1">IFERROR(__xludf.DUMMYFUNCTION("IMPORTRANGE(""https://docs.google.com/spreadsheets/d/1l6IZ8xUPgMrESzcTYwhA1k_tPjeQjJPTqlm8Gd9eU5g/edit?usp=sharing"",""มหาสารคาม!J85"")"),0)</f>
        <v>0</v>
      </c>
      <c r="AB39" s="92">
        <f ca="1">IFERROR(__xludf.DUMMYFUNCTION("IMPORTRANGE(""https://docs.google.com/spreadsheets/d/1l6IZ8xUPgMrESzcTYwhA1k_tPjeQjJPTqlm8Gd9eU5g/edit?usp=sharing"",""มหาสารคาม!I86"")"),0)</f>
        <v>0</v>
      </c>
      <c r="AC39" s="92">
        <f ca="1">IFERROR(__xludf.DUMMYFUNCTION("IMPORTRANGE(""https://docs.google.com/spreadsheets/d/1l6IZ8xUPgMrESzcTYwhA1k_tPjeQjJPTqlm8Gd9eU5g/edit?usp=sharing"",""มหาสารคาม!I87"")"),0)</f>
        <v>0</v>
      </c>
      <c r="AD39" s="92">
        <f ca="1">IFERROR(__xludf.DUMMYFUNCTION("IMPORTRANGE(""https://docs.google.com/spreadsheets/d/1l6IZ8xUPgMrESzcTYwhA1k_tPjeQjJPTqlm8Gd9eU5g/edit?usp=sharing"",""มหาสารคาม!J86"")"),0)</f>
        <v>0</v>
      </c>
      <c r="AE39" s="92">
        <f ca="1">IFERROR(__xludf.DUMMYFUNCTION("IMPORTRANGE(""https://docs.google.com/spreadsheets/d/1l6IZ8xUPgMrESzcTYwhA1k_tPjeQjJPTqlm8Gd9eU5g/edit?usp=sharing"",""มหาสารคาม!J87"")"),0)</f>
        <v>0</v>
      </c>
      <c r="AF39" s="92">
        <f ca="1">IFERROR(__xludf.DUMMYFUNCTION("IMPORTRANGE(""https://docs.google.com/spreadsheets/d/1l6IZ8xUPgMrESzcTYwhA1k_tPjeQjJPTqlm8Gd9eU5g/edit?usp=sharing"",""มหาสารคาม!I88"")"),1)</f>
        <v>1</v>
      </c>
      <c r="AG39" s="88">
        <f ca="1">IFERROR(__xludf.DUMMYFUNCTION("IMPORTRANGE(""https://docs.google.com/spreadsheets/d/1l6IZ8xUPgMrESzcTYwhA1k_tPjeQjJPTqlm8Gd9eU5g/edit?usp=sharing"",""มหาสารคาม!I89"")"),69)</f>
        <v>69</v>
      </c>
      <c r="AH39" s="92">
        <f ca="1">IFERROR(__xludf.DUMMYFUNCTION("IMPORTRANGE(""https://docs.google.com/spreadsheets/d/1l6IZ8xUPgMrESzcTYwhA1k_tPjeQjJPTqlm8Gd9eU5g/edit?usp=sharing"",""มหาสารคาม!J88"")"),0)</f>
        <v>0</v>
      </c>
      <c r="AI39" s="92">
        <f ca="1">IFERROR(__xludf.DUMMYFUNCTION("IMPORTRANGE(""https://docs.google.com/spreadsheets/d/1l6IZ8xUPgMrESzcTYwhA1k_tPjeQjJPTqlm8Gd9eU5g/edit?usp=sharing"",""มหาสารคาม!J89"")"),0)</f>
        <v>0</v>
      </c>
      <c r="AJ39" s="92">
        <f ca="1">IFERROR(__xludf.DUMMYFUNCTION("IMPORTRANGE(""https://docs.google.com/spreadsheets/d/1l6IZ8xUPgMrESzcTYwhA1k_tPjeQjJPTqlm8Gd9eU5g/edit?usp=sharing"",""มหาสารคาม!I90"")"),1)</f>
        <v>1</v>
      </c>
      <c r="AK39" s="92">
        <f ca="1">IFERROR(__xludf.DUMMYFUNCTION("IMPORTRANGE(""https://docs.google.com/spreadsheets/d/1l6IZ8xUPgMrESzcTYwhA1k_tPjeQjJPTqlm8Gd9eU5g/edit?usp=sharing"",""มหาสารคาม!J90"")"),0)</f>
        <v>0</v>
      </c>
      <c r="AL39" s="93">
        <f t="shared" ca="1" si="36"/>
        <v>0</v>
      </c>
    </row>
    <row r="40" spans="1:38" ht="21" customHeight="1" x14ac:dyDescent="0.2">
      <c r="A40" s="84">
        <v>9</v>
      </c>
      <c r="B40" s="85" t="s">
        <v>62</v>
      </c>
      <c r="C40" s="86">
        <f t="shared" ca="1" si="23"/>
        <v>0</v>
      </c>
      <c r="D40" s="87">
        <f t="shared" ca="1" si="42"/>
        <v>0</v>
      </c>
      <c r="E40" s="88">
        <f ca="1">IFERROR(__xludf.DUMMYFUNCTION("IMPORTRANGE(""https://docs.google.com/spreadsheets/d/1-uDff_7J0KD5mKrp0Vvzr7lt3OU09vwQwhkpOPPYv2Y/edit?usp=sharing"",""งบพรบ!AN40"")"),0)</f>
        <v>0</v>
      </c>
      <c r="F40" s="88">
        <f ca="1">IFERROR(__xludf.DUMMYFUNCTION("IMPORTRANGE(""https://docs.google.com/spreadsheets/d/1-uDff_7J0KD5mKrp0Vvzr7lt3OU09vwQwhkpOPPYv2Y/edit?usp=sharing"",""งบพรบ!AO40"")"),0)</f>
        <v>0</v>
      </c>
      <c r="G40" s="88">
        <f ca="1">IFERROR(__xludf.DUMMYFUNCTION("IMPORTRANGE(""https://docs.google.com/spreadsheets/d/1-uDff_7J0KD5mKrp0Vvzr7lt3OU09vwQwhkpOPPYv2Y/edit?usp=sharing"",""งบพรบ!AP40"")"),0)</f>
        <v>0</v>
      </c>
      <c r="H40" s="88">
        <f ca="1">IFERROR(__xludf.DUMMYFUNCTION("IMPORTRANGE(""https://docs.google.com/spreadsheets/d/1-uDff_7J0KD5mKrp0Vvzr7lt3OU09vwQwhkpOPPYv2Y/edit?usp=sharing"",""งบพรบ!AR40"")"),0)</f>
        <v>0</v>
      </c>
      <c r="I40" s="88">
        <f ca="1">IFERROR(__xludf.DUMMYFUNCTION("IMPORTRANGE(""https://docs.google.com/spreadsheets/d/1-uDff_7J0KD5mKrp0Vvzr7lt3OU09vwQwhkpOPPYv2Y/edit?usp=sharing"",""งบพรบ!AS40"")"),0)</f>
        <v>0</v>
      </c>
      <c r="J40" s="88">
        <f t="shared" ca="1" si="25"/>
        <v>0</v>
      </c>
      <c r="K40" s="89">
        <f t="shared" ca="1" si="26"/>
        <v>0</v>
      </c>
      <c r="L40" s="88">
        <f ca="1">IFERROR(__xludf.DUMMYFUNCTION("IMPORTRANGE(""https://docs.google.com/spreadsheets/d/1-uDff_7J0KD5mKrp0Vvzr7lt3OU09vwQwhkpOPPYv2Y/edit?usp=sharing"",""งบพรบ!AT40"")"),0)</f>
        <v>0</v>
      </c>
      <c r="M40" s="90">
        <f t="shared" ca="1" si="27"/>
        <v>0</v>
      </c>
      <c r="N40" s="90">
        <f t="shared" ca="1" si="28"/>
        <v>0</v>
      </c>
      <c r="O40" s="91">
        <f ca="1">IFERROR(__xludf.DUMMYFUNCTION("IMPORTRANGE(""https://docs.google.com/spreadsheets/d/1-uDff_7J0KD5mKrp0Vvzr7lt3OU09vwQwhkpOPPYv2Y/edit?usp=sharing"",""งบพรบ!AU40"")"),0)</f>
        <v>0</v>
      </c>
      <c r="P40" s="91">
        <f t="shared" ca="1" si="29"/>
        <v>0</v>
      </c>
      <c r="Q40" s="90">
        <f t="shared" ca="1" si="30"/>
        <v>0</v>
      </c>
      <c r="R40" s="92">
        <f t="shared" ca="1" si="31"/>
        <v>0</v>
      </c>
      <c r="S40" s="92">
        <f t="shared" ca="1" si="32"/>
        <v>0</v>
      </c>
      <c r="T40" s="92">
        <f t="shared" ca="1" si="43"/>
        <v>0</v>
      </c>
      <c r="U40" s="93">
        <f t="shared" ca="1" si="33"/>
        <v>0</v>
      </c>
      <c r="V40" s="92">
        <f t="shared" ca="1" si="44"/>
        <v>0</v>
      </c>
      <c r="W40" s="93">
        <f t="shared" ca="1" si="34"/>
        <v>0</v>
      </c>
      <c r="X40" s="92">
        <f ca="1">IFERROR(__xludf.DUMMYFUNCTION("IMPORTRANGE(""https://docs.google.com/spreadsheets/d/1uB74YLqNjWX6FObjekfB2NtSYigTQyR2rq9u4Ub2Sq4/edit?usp=sharing"",""มุกดาหาร!I84"")"),0)</f>
        <v>0</v>
      </c>
      <c r="Y40" s="92">
        <f ca="1">IFERROR(__xludf.DUMMYFUNCTION("IMPORTRANGE(""https://docs.google.com/spreadsheets/d/1uB74YLqNjWX6FObjekfB2NtSYigTQyR2rq9u4Ub2Sq4/edit?usp=sharing"",""มุกดาหาร!I85"")"),0)</f>
        <v>0</v>
      </c>
      <c r="Z40" s="92">
        <f ca="1">IFERROR(__xludf.DUMMYFUNCTION("IMPORTRANGE(""https://docs.google.com/spreadsheets/d/1uB74YLqNjWX6FObjekfB2NtSYigTQyR2rq9u4Ub2Sq4/edit?usp=sharing"",""มุกดาหาร!J84"")"),0)</f>
        <v>0</v>
      </c>
      <c r="AA40" s="92">
        <f ca="1">IFERROR(__xludf.DUMMYFUNCTION("IMPORTRANGE(""https://docs.google.com/spreadsheets/d/1uB74YLqNjWX6FObjekfB2NtSYigTQyR2rq9u4Ub2Sq4/edit?usp=sharing"",""มุกดาหาร!J85"")"),0)</f>
        <v>0</v>
      </c>
      <c r="AB40" s="92">
        <f ca="1">IFERROR(__xludf.DUMMYFUNCTION("IMPORTRANGE(""https://docs.google.com/spreadsheets/d/1uB74YLqNjWX6FObjekfB2NtSYigTQyR2rq9u4Ub2Sq4/edit?usp=sharing"",""มุกดาหาร!I86"")"),0)</f>
        <v>0</v>
      </c>
      <c r="AC40" s="92">
        <f ca="1">IFERROR(__xludf.DUMMYFUNCTION("IMPORTRANGE(""https://docs.google.com/spreadsheets/d/1uB74YLqNjWX6FObjekfB2NtSYigTQyR2rq9u4Ub2Sq4/edit?usp=sharing"",""มุกดาหาร!I87"")"),0)</f>
        <v>0</v>
      </c>
      <c r="AD40" s="92">
        <f ca="1">IFERROR(__xludf.DUMMYFUNCTION("IMPORTRANGE(""https://docs.google.com/spreadsheets/d/1uB74YLqNjWX6FObjekfB2NtSYigTQyR2rq9u4Ub2Sq4/edit?usp=sharing"",""มุกดาหาร!J86"")"),0)</f>
        <v>0</v>
      </c>
      <c r="AE40" s="92">
        <f ca="1">IFERROR(__xludf.DUMMYFUNCTION("IMPORTRANGE(""https://docs.google.com/spreadsheets/d/1uB74YLqNjWX6FObjekfB2NtSYigTQyR2rq9u4Ub2Sq4/edit?usp=sharing"",""มุกดาหาร!J87"")"),0)</f>
        <v>0</v>
      </c>
      <c r="AF40" s="92">
        <f ca="1">IFERROR(__xludf.DUMMYFUNCTION("IMPORTRANGE(""https://docs.google.com/spreadsheets/d/1uB74YLqNjWX6FObjekfB2NtSYigTQyR2rq9u4Ub2Sq4/edit?usp=sharing"",""มุกดาหาร!I88"")"),0)</f>
        <v>0</v>
      </c>
      <c r="AG40" s="88">
        <f ca="1">IFERROR(__xludf.DUMMYFUNCTION("IMPORTRANGE(""https://docs.google.com/spreadsheets/d/1uB74YLqNjWX6FObjekfB2NtSYigTQyR2rq9u4Ub2Sq4/edit?usp=sharing"",""มุกดาหาร!I89"")"),0)</f>
        <v>0</v>
      </c>
      <c r="AH40" s="92">
        <f ca="1">IFERROR(__xludf.DUMMYFUNCTION("IMPORTRANGE(""https://docs.google.com/spreadsheets/d/1uB74YLqNjWX6FObjekfB2NtSYigTQyR2rq9u4Ub2Sq4/edit?usp=sharing"",""มุกดาหาร!J88"")"),0)</f>
        <v>0</v>
      </c>
      <c r="AI40" s="92">
        <f ca="1">IFERROR(__xludf.DUMMYFUNCTION("IMPORTRANGE(""https://docs.google.com/spreadsheets/d/1uB74YLqNjWX6FObjekfB2NtSYigTQyR2rq9u4Ub2Sq4/edit?usp=sharing"",""มุกดาหาร!J89"")"),0)</f>
        <v>0</v>
      </c>
      <c r="AJ40" s="92">
        <f ca="1">IFERROR(__xludf.DUMMYFUNCTION("IMPORTRANGE(""https://docs.google.com/spreadsheets/d/1uB74YLqNjWX6FObjekfB2NtSYigTQyR2rq9u4Ub2Sq4/edit?usp=sharing"",""มุกดาหาร!I90"")"),0)</f>
        <v>0</v>
      </c>
      <c r="AK40" s="92">
        <f ca="1">IFERROR(__xludf.DUMMYFUNCTION("IMPORTRANGE(""https://docs.google.com/spreadsheets/d/1uB74YLqNjWX6FObjekfB2NtSYigTQyR2rq9u4Ub2Sq4/edit?usp=sharing"",""มุกดาหาร!J90"")"),0)</f>
        <v>0</v>
      </c>
      <c r="AL40" s="93">
        <f t="shared" ca="1" si="36"/>
        <v>0</v>
      </c>
    </row>
    <row r="41" spans="1:38" ht="21" customHeight="1" x14ac:dyDescent="0.2">
      <c r="A41" s="84">
        <v>10</v>
      </c>
      <c r="B41" s="85" t="s">
        <v>63</v>
      </c>
      <c r="C41" s="86">
        <f t="shared" ca="1" si="23"/>
        <v>506900</v>
      </c>
      <c r="D41" s="87">
        <f t="shared" ca="1" si="42"/>
        <v>506900</v>
      </c>
      <c r="E41" s="88">
        <f ca="1">IFERROR(__xludf.DUMMYFUNCTION("IMPORTRANGE(""https://docs.google.com/spreadsheets/d/1-uDff_7J0KD5mKrp0Vvzr7lt3OU09vwQwhkpOPPYv2Y/edit?usp=sharing"",""งบพรบ!AN41"")"),240900)</f>
        <v>240900</v>
      </c>
      <c r="F41" s="88">
        <f ca="1">IFERROR(__xludf.DUMMYFUNCTION("IMPORTRANGE(""https://docs.google.com/spreadsheets/d/1-uDff_7J0KD5mKrp0Vvzr7lt3OU09vwQwhkpOPPYv2Y/edit?usp=sharing"",""งบพรบ!AO41"")"),266000)</f>
        <v>266000</v>
      </c>
      <c r="G41" s="88">
        <f ca="1">IFERROR(__xludf.DUMMYFUNCTION("IMPORTRANGE(""https://docs.google.com/spreadsheets/d/1-uDff_7J0KD5mKrp0Vvzr7lt3OU09vwQwhkpOPPYv2Y/edit?usp=sharing"",""งบพรบ!AP41"")"),0)</f>
        <v>0</v>
      </c>
      <c r="H41" s="88">
        <f ca="1">IFERROR(__xludf.DUMMYFUNCTION("IMPORTRANGE(""https://docs.google.com/spreadsheets/d/1-uDff_7J0KD5mKrp0Vvzr7lt3OU09vwQwhkpOPPYv2Y/edit?usp=sharing"",""งบพรบ!AR41"")"),438500)</f>
        <v>438500</v>
      </c>
      <c r="I41" s="88">
        <f ca="1">IFERROR(__xludf.DUMMYFUNCTION("IMPORTRANGE(""https://docs.google.com/spreadsheets/d/1-uDff_7J0KD5mKrp0Vvzr7lt3OU09vwQwhkpOPPYv2Y/edit?usp=sharing"",""งบพรบ!AS41"")"),0)</f>
        <v>0</v>
      </c>
      <c r="J41" s="88">
        <f t="shared" ca="1" si="25"/>
        <v>75634</v>
      </c>
      <c r="K41" s="89">
        <f t="shared" ca="1" si="26"/>
        <v>14.920891694614323</v>
      </c>
      <c r="L41" s="88">
        <f ca="1">IFERROR(__xludf.DUMMYFUNCTION("IMPORTRANGE(""https://docs.google.com/spreadsheets/d/1-uDff_7J0KD5mKrp0Vvzr7lt3OU09vwQwhkpOPPYv2Y/edit?usp=sharing"",""งบพรบ!AT41"")"),75634)</f>
        <v>75634</v>
      </c>
      <c r="M41" s="90">
        <f t="shared" ca="1" si="27"/>
        <v>14.920891694614323</v>
      </c>
      <c r="N41" s="90">
        <f t="shared" ca="1" si="28"/>
        <v>17.248346636259978</v>
      </c>
      <c r="O41" s="91">
        <f ca="1">IFERROR(__xludf.DUMMYFUNCTION("IMPORTRANGE(""https://docs.google.com/spreadsheets/d/1-uDff_7J0KD5mKrp0Vvzr7lt3OU09vwQwhkpOPPYv2Y/edit?usp=sharing"",""งบพรบ!AU41"")"),0)</f>
        <v>0</v>
      </c>
      <c r="P41" s="91">
        <f t="shared" ca="1" si="29"/>
        <v>0</v>
      </c>
      <c r="Q41" s="90">
        <f t="shared" ca="1" si="30"/>
        <v>0</v>
      </c>
      <c r="R41" s="92">
        <f t="shared" ca="1" si="31"/>
        <v>1</v>
      </c>
      <c r="S41" s="92">
        <f t="shared" ca="1" si="32"/>
        <v>40</v>
      </c>
      <c r="T41" s="92">
        <f t="shared" ca="1" si="43"/>
        <v>0</v>
      </c>
      <c r="U41" s="93">
        <f t="shared" ca="1" si="33"/>
        <v>0</v>
      </c>
      <c r="V41" s="92">
        <f t="shared" ca="1" si="44"/>
        <v>0</v>
      </c>
      <c r="W41" s="93">
        <f t="shared" ca="1" si="34"/>
        <v>0</v>
      </c>
      <c r="X41" s="92">
        <f ca="1">IFERROR(__xludf.DUMMYFUNCTION("IMPORTRANGE(""https://docs.google.com/spreadsheets/d/1NexK3geCPxCTO1fzNF8dPec7yZyUx3OaWkFBC9HsQOo/edit?usp=sharing"",""ยโสธร!I84"")"),0)</f>
        <v>0</v>
      </c>
      <c r="Y41" s="92">
        <f ca="1">IFERROR(__xludf.DUMMYFUNCTION("IMPORTRANGE(""https://docs.google.com/spreadsheets/d/1NexK3geCPxCTO1fzNF8dPec7yZyUx3OaWkFBC9HsQOo/edit?usp=sharing"",""ยโสธร!I85"")"),0)</f>
        <v>0</v>
      </c>
      <c r="Z41" s="92">
        <f ca="1">IFERROR(__xludf.DUMMYFUNCTION("IMPORTRANGE(""https://docs.google.com/spreadsheets/d/1NexK3geCPxCTO1fzNF8dPec7yZyUx3OaWkFBC9HsQOo/edit?usp=sharing"",""ยโสธร!J84"")"),0)</f>
        <v>0</v>
      </c>
      <c r="AA41" s="92">
        <f ca="1">IFERROR(__xludf.DUMMYFUNCTION("IMPORTRANGE(""https://docs.google.com/spreadsheets/d/1NexK3geCPxCTO1fzNF8dPec7yZyUx3OaWkFBC9HsQOo/edit?usp=sharing"",""ยโสธร!J85"")"),0)</f>
        <v>0</v>
      </c>
      <c r="AB41" s="92">
        <f ca="1">IFERROR(__xludf.DUMMYFUNCTION("IMPORTRANGE(""https://docs.google.com/spreadsheets/d/1NexK3geCPxCTO1fzNF8dPec7yZyUx3OaWkFBC9HsQOo/edit?usp=sharing"",""ยโสธร!I86"")"),0)</f>
        <v>0</v>
      </c>
      <c r="AC41" s="92">
        <f ca="1">IFERROR(__xludf.DUMMYFUNCTION("IMPORTRANGE(""https://docs.google.com/spreadsheets/d/1NexK3geCPxCTO1fzNF8dPec7yZyUx3OaWkFBC9HsQOo/edit?usp=sharing"",""ยโสธร!I87"")"),0)</f>
        <v>0</v>
      </c>
      <c r="AD41" s="92">
        <f ca="1">IFERROR(__xludf.DUMMYFUNCTION("IMPORTRANGE(""https://docs.google.com/spreadsheets/d/1NexK3geCPxCTO1fzNF8dPec7yZyUx3OaWkFBC9HsQOo/edit?usp=sharing"",""ยโสธร!J86"")"),0)</f>
        <v>0</v>
      </c>
      <c r="AE41" s="92">
        <f ca="1">IFERROR(__xludf.DUMMYFUNCTION("IMPORTRANGE(""https://docs.google.com/spreadsheets/d/1NexK3geCPxCTO1fzNF8dPec7yZyUx3OaWkFBC9HsQOo/edit?usp=sharing"",""ยโสธร!J87"")"),0)</f>
        <v>0</v>
      </c>
      <c r="AF41" s="92">
        <f ca="1">IFERROR(__xludf.DUMMYFUNCTION("IMPORTRANGE(""https://docs.google.com/spreadsheets/d/1NexK3geCPxCTO1fzNF8dPec7yZyUx3OaWkFBC9HsQOo/edit?usp=sharing"",""ยโสธร!I88"")"),1)</f>
        <v>1</v>
      </c>
      <c r="AG41" s="88">
        <f ca="1">IFERROR(__xludf.DUMMYFUNCTION("IMPORTRANGE(""https://docs.google.com/spreadsheets/d/1NexK3geCPxCTO1fzNF8dPec7yZyUx3OaWkFBC9HsQOo/edit?usp=sharing"",""ยโสธร!I89"")"),40)</f>
        <v>40</v>
      </c>
      <c r="AH41" s="92">
        <f ca="1">IFERROR(__xludf.DUMMYFUNCTION("IMPORTRANGE(""https://docs.google.com/spreadsheets/d/1NexK3geCPxCTO1fzNF8dPec7yZyUx3OaWkFBC9HsQOo/edit?usp=sharing"",""ยโสธร!J88"")"),0)</f>
        <v>0</v>
      </c>
      <c r="AI41" s="92">
        <f ca="1">IFERROR(__xludf.DUMMYFUNCTION("IMPORTRANGE(""https://docs.google.com/spreadsheets/d/1NexK3geCPxCTO1fzNF8dPec7yZyUx3OaWkFBC9HsQOo/edit?usp=sharing"",""ยโสธร!J89"")"),0)</f>
        <v>0</v>
      </c>
      <c r="AJ41" s="92">
        <f ca="1">IFERROR(__xludf.DUMMYFUNCTION("IMPORTRANGE(""https://docs.google.com/spreadsheets/d/1NexK3geCPxCTO1fzNF8dPec7yZyUx3OaWkFBC9HsQOo/edit?usp=sharing"",""ยโสธร!I90"")"),1)</f>
        <v>1</v>
      </c>
      <c r="AK41" s="92">
        <f ca="1">IFERROR(__xludf.DUMMYFUNCTION("IMPORTRANGE(""https://docs.google.com/spreadsheets/d/1NexK3geCPxCTO1fzNF8dPec7yZyUx3OaWkFBC9HsQOo/edit?usp=sharing"",""ยโสธร!J90"")"),0)</f>
        <v>0</v>
      </c>
      <c r="AL41" s="93">
        <f t="shared" ca="1" si="36"/>
        <v>0</v>
      </c>
    </row>
    <row r="42" spans="1:38" ht="21" customHeight="1" x14ac:dyDescent="0.2">
      <c r="A42" s="84">
        <v>11</v>
      </c>
      <c r="B42" s="85" t="s">
        <v>64</v>
      </c>
      <c r="C42" s="86">
        <f t="shared" ca="1" si="23"/>
        <v>0</v>
      </c>
      <c r="D42" s="87">
        <f t="shared" ca="1" si="42"/>
        <v>0</v>
      </c>
      <c r="E42" s="88">
        <f ca="1">IFERROR(__xludf.DUMMYFUNCTION("IMPORTRANGE(""https://docs.google.com/spreadsheets/d/1-uDff_7J0KD5mKrp0Vvzr7lt3OU09vwQwhkpOPPYv2Y/edit?usp=sharing"",""งบพรบ!AN42"")"),0)</f>
        <v>0</v>
      </c>
      <c r="F42" s="88">
        <f ca="1">IFERROR(__xludf.DUMMYFUNCTION("IMPORTRANGE(""https://docs.google.com/spreadsheets/d/1-uDff_7J0KD5mKrp0Vvzr7lt3OU09vwQwhkpOPPYv2Y/edit?usp=sharing"",""งบพรบ!AO42"")"),0)</f>
        <v>0</v>
      </c>
      <c r="G42" s="88">
        <f ca="1">IFERROR(__xludf.DUMMYFUNCTION("IMPORTRANGE(""https://docs.google.com/spreadsheets/d/1-uDff_7J0KD5mKrp0Vvzr7lt3OU09vwQwhkpOPPYv2Y/edit?usp=sharing"",""งบพรบ!AP42"")"),0)</f>
        <v>0</v>
      </c>
      <c r="H42" s="88">
        <f ca="1">IFERROR(__xludf.DUMMYFUNCTION("IMPORTRANGE(""https://docs.google.com/spreadsheets/d/1-uDff_7J0KD5mKrp0Vvzr7lt3OU09vwQwhkpOPPYv2Y/edit?usp=sharing"",""งบพรบ!AR42"")"),0)</f>
        <v>0</v>
      </c>
      <c r="I42" s="88">
        <f ca="1">IFERROR(__xludf.DUMMYFUNCTION("IMPORTRANGE(""https://docs.google.com/spreadsheets/d/1-uDff_7J0KD5mKrp0Vvzr7lt3OU09vwQwhkpOPPYv2Y/edit?usp=sharing"",""งบพรบ!AS42"")"),0)</f>
        <v>0</v>
      </c>
      <c r="J42" s="88">
        <f t="shared" ca="1" si="25"/>
        <v>0</v>
      </c>
      <c r="K42" s="89">
        <f t="shared" ca="1" si="26"/>
        <v>0</v>
      </c>
      <c r="L42" s="88">
        <f ca="1">IFERROR(__xludf.DUMMYFUNCTION("IMPORTRANGE(""https://docs.google.com/spreadsheets/d/1-uDff_7J0KD5mKrp0Vvzr7lt3OU09vwQwhkpOPPYv2Y/edit?usp=sharing"",""งบพรบ!AT42"")"),0)</f>
        <v>0</v>
      </c>
      <c r="M42" s="90">
        <f t="shared" ca="1" si="27"/>
        <v>0</v>
      </c>
      <c r="N42" s="90">
        <f t="shared" ca="1" si="28"/>
        <v>0</v>
      </c>
      <c r="O42" s="91">
        <f ca="1">IFERROR(__xludf.DUMMYFUNCTION("IMPORTRANGE(""https://docs.google.com/spreadsheets/d/1-uDff_7J0KD5mKrp0Vvzr7lt3OU09vwQwhkpOPPYv2Y/edit?usp=sharing"",""งบพรบ!AU42"")"),0)</f>
        <v>0</v>
      </c>
      <c r="P42" s="91">
        <f t="shared" ca="1" si="29"/>
        <v>0</v>
      </c>
      <c r="Q42" s="90">
        <f t="shared" ca="1" si="30"/>
        <v>0</v>
      </c>
      <c r="R42" s="92">
        <f t="shared" ca="1" si="31"/>
        <v>0</v>
      </c>
      <c r="S42" s="92">
        <f t="shared" ca="1" si="32"/>
        <v>0</v>
      </c>
      <c r="T42" s="92">
        <f t="shared" ca="1" si="43"/>
        <v>0</v>
      </c>
      <c r="U42" s="93">
        <f t="shared" ca="1" si="33"/>
        <v>0</v>
      </c>
      <c r="V42" s="92">
        <f t="shared" ca="1" si="44"/>
        <v>0</v>
      </c>
      <c r="W42" s="93">
        <f t="shared" ca="1" si="34"/>
        <v>0</v>
      </c>
      <c r="X42" s="88">
        <f ca="1">IFERROR(__xludf.DUMMYFUNCTION("IMPORTRANGE(""https://docs.google.com/spreadsheets/d/1v_cJrbBlyqmnHPReHk44g9NrMRdENNlSy_E_c5M9fIg/edit?usp=sharing"",""ร้อยเอ็ด!I84"")"),0)</f>
        <v>0</v>
      </c>
      <c r="Y42" s="88">
        <f ca="1">IFERROR(__xludf.DUMMYFUNCTION("IMPORTRANGE(""https://docs.google.com/spreadsheets/d/1v_cJrbBlyqmnHPReHk44g9NrMRdENNlSy_E_c5M9fIg/edit?usp=sharing"",""ร้อยเอ็ด!I85"")"),0)</f>
        <v>0</v>
      </c>
      <c r="Z42" s="92">
        <f ca="1">IFERROR(__xludf.DUMMYFUNCTION("IMPORTRANGE(""https://docs.google.com/spreadsheets/d/1v_cJrbBlyqmnHPReHk44g9NrMRdENNlSy_E_c5M9fIg/edit?usp=sharing"",""ร้อยเอ็ด!J84"")"),0)</f>
        <v>0</v>
      </c>
      <c r="AA42" s="92">
        <f ca="1">IFERROR(__xludf.DUMMYFUNCTION("IMPORTRANGE(""https://docs.google.com/spreadsheets/d/1v_cJrbBlyqmnHPReHk44g9NrMRdENNlSy_E_c5M9fIg/edit?usp=sharing"",""ร้อยเอ็ด!J85"")"),0)</f>
        <v>0</v>
      </c>
      <c r="AB42" s="88">
        <f ca="1">IFERROR(__xludf.DUMMYFUNCTION("IMPORTRANGE(""https://docs.google.com/spreadsheets/d/1v_cJrbBlyqmnHPReHk44g9NrMRdENNlSy_E_c5M9fIg/edit?usp=sharing"",""ร้อยเอ็ด!I86"")"),0)</f>
        <v>0</v>
      </c>
      <c r="AC42" s="88">
        <f ca="1">IFERROR(__xludf.DUMMYFUNCTION("IMPORTRANGE(""https://docs.google.com/spreadsheets/d/1v_cJrbBlyqmnHPReHk44g9NrMRdENNlSy_E_c5M9fIg/edit?usp=sharing"",""ร้อยเอ็ด!I87"")"),0)</f>
        <v>0</v>
      </c>
      <c r="AD42" s="92">
        <f ca="1">IFERROR(__xludf.DUMMYFUNCTION("IMPORTRANGE(""https://docs.google.com/spreadsheets/d/1v_cJrbBlyqmnHPReHk44g9NrMRdENNlSy_E_c5M9fIg/edit?usp=sharing"",""ร้อยเอ็ด!J86"")"),0)</f>
        <v>0</v>
      </c>
      <c r="AE42" s="92">
        <f ca="1">IFERROR(__xludf.DUMMYFUNCTION("IMPORTRANGE(""https://docs.google.com/spreadsheets/d/1v_cJrbBlyqmnHPReHk44g9NrMRdENNlSy_E_c5M9fIg/edit?usp=sharing"",""ร้อยเอ็ด!J87"")"),0)</f>
        <v>0</v>
      </c>
      <c r="AF42" s="88">
        <f ca="1">IFERROR(__xludf.DUMMYFUNCTION("IMPORTRANGE(""https://docs.google.com/spreadsheets/d/1v_cJrbBlyqmnHPReHk44g9NrMRdENNlSy_E_c5M9fIg/edit?usp=sharing"",""ร้อยเอ็ด!I88"")"),0)</f>
        <v>0</v>
      </c>
      <c r="AG42" s="88">
        <f ca="1">IFERROR(__xludf.DUMMYFUNCTION("IMPORTRANGE(""https://docs.google.com/spreadsheets/d/1v_cJrbBlyqmnHPReHk44g9NrMRdENNlSy_E_c5M9fIg/edit?usp=sharing"",""ร้อยเอ็ด!I89"")"),0)</f>
        <v>0</v>
      </c>
      <c r="AH42" s="92">
        <f ca="1">IFERROR(__xludf.DUMMYFUNCTION("IMPORTRANGE(""https://docs.google.com/spreadsheets/d/1v_cJrbBlyqmnHPReHk44g9NrMRdENNlSy_E_c5M9fIg/edit?usp=sharing"",""ร้อยเอ็ด!J88"")"),0)</f>
        <v>0</v>
      </c>
      <c r="AI42" s="92">
        <f ca="1">IFERROR(__xludf.DUMMYFUNCTION("IMPORTRANGE(""https://docs.google.com/spreadsheets/d/1v_cJrbBlyqmnHPReHk44g9NrMRdENNlSy_E_c5M9fIg/edit?usp=sharing"",""ร้อยเอ็ด!J89"")"),0)</f>
        <v>0</v>
      </c>
      <c r="AJ42" s="88">
        <f ca="1">IFERROR(__xludf.DUMMYFUNCTION("IMPORTRANGE(""https://docs.google.com/spreadsheets/d/1v_cJrbBlyqmnHPReHk44g9NrMRdENNlSy_E_c5M9fIg/edit?usp=sharing"",""ร้อยเอ็ด!I90"")"),0)</f>
        <v>0</v>
      </c>
      <c r="AK42" s="92">
        <f ca="1">IFERROR(__xludf.DUMMYFUNCTION("IMPORTRANGE(""https://docs.google.com/spreadsheets/d/1v_cJrbBlyqmnHPReHk44g9NrMRdENNlSy_E_c5M9fIg/edit?usp=sharing"",""ร้อยเอ็ด!J90"")"),0)</f>
        <v>0</v>
      </c>
      <c r="AL42" s="90">
        <f t="shared" ca="1" si="36"/>
        <v>0</v>
      </c>
    </row>
    <row r="43" spans="1:38" ht="21" customHeight="1" x14ac:dyDescent="0.2">
      <c r="A43" s="84">
        <v>12</v>
      </c>
      <c r="B43" s="85" t="s">
        <v>65</v>
      </c>
      <c r="C43" s="86">
        <f t="shared" ca="1" si="23"/>
        <v>0</v>
      </c>
      <c r="D43" s="87">
        <f t="shared" ca="1" si="42"/>
        <v>0</v>
      </c>
      <c r="E43" s="88">
        <f ca="1">IFERROR(__xludf.DUMMYFUNCTION("IMPORTRANGE(""https://docs.google.com/spreadsheets/d/1-uDff_7J0KD5mKrp0Vvzr7lt3OU09vwQwhkpOPPYv2Y/edit?usp=sharing"",""งบพรบ!AN43"")"),0)</f>
        <v>0</v>
      </c>
      <c r="F43" s="88">
        <f ca="1">IFERROR(__xludf.DUMMYFUNCTION("IMPORTRANGE(""https://docs.google.com/spreadsheets/d/1-uDff_7J0KD5mKrp0Vvzr7lt3OU09vwQwhkpOPPYv2Y/edit?usp=sharing"",""งบพรบ!AO43"")"),0)</f>
        <v>0</v>
      </c>
      <c r="G43" s="88">
        <f ca="1">IFERROR(__xludf.DUMMYFUNCTION("IMPORTRANGE(""https://docs.google.com/spreadsheets/d/1-uDff_7J0KD5mKrp0Vvzr7lt3OU09vwQwhkpOPPYv2Y/edit?usp=sharing"",""งบพรบ!AP43"")"),0)</f>
        <v>0</v>
      </c>
      <c r="H43" s="88">
        <f ca="1">IFERROR(__xludf.DUMMYFUNCTION("IMPORTRANGE(""https://docs.google.com/spreadsheets/d/1-uDff_7J0KD5mKrp0Vvzr7lt3OU09vwQwhkpOPPYv2Y/edit?usp=sharing"",""งบพรบ!AR43"")"),0)</f>
        <v>0</v>
      </c>
      <c r="I43" s="88">
        <f ca="1">IFERROR(__xludf.DUMMYFUNCTION("IMPORTRANGE(""https://docs.google.com/spreadsheets/d/1-uDff_7J0KD5mKrp0Vvzr7lt3OU09vwQwhkpOPPYv2Y/edit?usp=sharing"",""งบพรบ!AS43"")"),0)</f>
        <v>0</v>
      </c>
      <c r="J43" s="88">
        <f t="shared" ca="1" si="25"/>
        <v>0</v>
      </c>
      <c r="K43" s="89">
        <f t="shared" ca="1" si="26"/>
        <v>0</v>
      </c>
      <c r="L43" s="88">
        <f ca="1">IFERROR(__xludf.DUMMYFUNCTION("IMPORTRANGE(""https://docs.google.com/spreadsheets/d/1-uDff_7J0KD5mKrp0Vvzr7lt3OU09vwQwhkpOPPYv2Y/edit?usp=sharing"",""งบพรบ!AT43"")"),0)</f>
        <v>0</v>
      </c>
      <c r="M43" s="90">
        <f t="shared" ca="1" si="27"/>
        <v>0</v>
      </c>
      <c r="N43" s="90">
        <f t="shared" ca="1" si="28"/>
        <v>0</v>
      </c>
      <c r="O43" s="91">
        <f ca="1">IFERROR(__xludf.DUMMYFUNCTION("IMPORTRANGE(""https://docs.google.com/spreadsheets/d/1-uDff_7J0KD5mKrp0Vvzr7lt3OU09vwQwhkpOPPYv2Y/edit?usp=sharing"",""งบพรบ!AU43"")"),0)</f>
        <v>0</v>
      </c>
      <c r="P43" s="91">
        <f t="shared" ca="1" si="29"/>
        <v>0</v>
      </c>
      <c r="Q43" s="90">
        <f t="shared" ca="1" si="30"/>
        <v>0</v>
      </c>
      <c r="R43" s="92">
        <f t="shared" ca="1" si="31"/>
        <v>0</v>
      </c>
      <c r="S43" s="92">
        <f t="shared" ca="1" si="32"/>
        <v>0</v>
      </c>
      <c r="T43" s="92">
        <f t="shared" ca="1" si="43"/>
        <v>0</v>
      </c>
      <c r="U43" s="93">
        <f t="shared" ca="1" si="33"/>
        <v>0</v>
      </c>
      <c r="V43" s="92">
        <f t="shared" ca="1" si="44"/>
        <v>0</v>
      </c>
      <c r="W43" s="93">
        <f t="shared" ca="1" si="34"/>
        <v>0</v>
      </c>
      <c r="X43" s="88">
        <f ca="1">IFERROR(__xludf.DUMMYFUNCTION("IMPORTRANGE(""https://docs.google.com/spreadsheets/d/1Ul4RCpCX66NxYADU1QpwAPjOmBzW64SsT11s1wzXw_c/edit?usp=sharing"",""เลย!I84"")"),0)</f>
        <v>0</v>
      </c>
      <c r="Y43" s="88">
        <f ca="1">IFERROR(__xludf.DUMMYFUNCTION("IMPORTRANGE(""https://docs.google.com/spreadsheets/d/1Ul4RCpCX66NxYADU1QpwAPjOmBzW64SsT11s1wzXw_c/edit?usp=sharing"",""เลย!I85"")"),0)</f>
        <v>0</v>
      </c>
      <c r="Z43" s="92">
        <f ca="1">IFERROR(__xludf.DUMMYFUNCTION("IMPORTRANGE(""https://docs.google.com/spreadsheets/d/1Ul4RCpCX66NxYADU1QpwAPjOmBzW64SsT11s1wzXw_c/edit?usp=sharing"",""เลย!J84"")"),0)</f>
        <v>0</v>
      </c>
      <c r="AA43" s="92">
        <f ca="1">IFERROR(__xludf.DUMMYFUNCTION("IMPORTRANGE(""https://docs.google.com/spreadsheets/d/1Ul4RCpCX66NxYADU1QpwAPjOmBzW64SsT11s1wzXw_c/edit?usp=sharing"",""เลย!J85"")"),0)</f>
        <v>0</v>
      </c>
      <c r="AB43" s="88">
        <f ca="1">IFERROR(__xludf.DUMMYFUNCTION("IMPORTRANGE(""https://docs.google.com/spreadsheets/d/1Ul4RCpCX66NxYADU1QpwAPjOmBzW64SsT11s1wzXw_c/edit?usp=sharing"",""เลย!I86"")"),0)</f>
        <v>0</v>
      </c>
      <c r="AC43" s="88">
        <f ca="1">IFERROR(__xludf.DUMMYFUNCTION("IMPORTRANGE(""https://docs.google.com/spreadsheets/d/1Ul4RCpCX66NxYADU1QpwAPjOmBzW64SsT11s1wzXw_c/edit?usp=sharing"",""เลย!I87"")"),0)</f>
        <v>0</v>
      </c>
      <c r="AD43" s="92">
        <f ca="1">IFERROR(__xludf.DUMMYFUNCTION("IMPORTRANGE(""https://docs.google.com/spreadsheets/d/1Ul4RCpCX66NxYADU1QpwAPjOmBzW64SsT11s1wzXw_c/edit?usp=sharing"",""เลย!J86"")"),0)</f>
        <v>0</v>
      </c>
      <c r="AE43" s="92">
        <f ca="1">IFERROR(__xludf.DUMMYFUNCTION("IMPORTRANGE(""https://docs.google.com/spreadsheets/d/1Ul4RCpCX66NxYADU1QpwAPjOmBzW64SsT11s1wzXw_c/edit?usp=sharing"",""เลย!J87"")"),0)</f>
        <v>0</v>
      </c>
      <c r="AF43" s="88">
        <f ca="1">IFERROR(__xludf.DUMMYFUNCTION("IMPORTRANGE(""https://docs.google.com/spreadsheets/d/1Ul4RCpCX66NxYADU1QpwAPjOmBzW64SsT11s1wzXw_c/edit?usp=sharing"",""เลย!I88"")"),0)</f>
        <v>0</v>
      </c>
      <c r="AG43" s="88">
        <f ca="1">IFERROR(__xludf.DUMMYFUNCTION("IMPORTRANGE(""https://docs.google.com/spreadsheets/d/1Ul4RCpCX66NxYADU1QpwAPjOmBzW64SsT11s1wzXw_c/edit?usp=sharing"",""เลย!I89"")"),0)</f>
        <v>0</v>
      </c>
      <c r="AH43" s="92">
        <f ca="1">IFERROR(__xludf.DUMMYFUNCTION("IMPORTRANGE(""https://docs.google.com/spreadsheets/d/1Ul4RCpCX66NxYADU1QpwAPjOmBzW64SsT11s1wzXw_c/edit?usp=sharing"",""เลย!J88"")"),0)</f>
        <v>0</v>
      </c>
      <c r="AI43" s="92">
        <f ca="1">IFERROR(__xludf.DUMMYFUNCTION("IMPORTRANGE(""https://docs.google.com/spreadsheets/d/1Ul4RCpCX66NxYADU1QpwAPjOmBzW64SsT11s1wzXw_c/edit?usp=sharing"",""เลย!J89"")"),0)</f>
        <v>0</v>
      </c>
      <c r="AJ43" s="88">
        <f ca="1">IFERROR(__xludf.DUMMYFUNCTION("IMPORTRANGE(""https://docs.google.com/spreadsheets/d/1Ul4RCpCX66NxYADU1QpwAPjOmBzW64SsT11s1wzXw_c/edit?usp=sharing"",""เลย!I90"")"),0)</f>
        <v>0</v>
      </c>
      <c r="AK43" s="92">
        <f ca="1">IFERROR(__xludf.DUMMYFUNCTION("IMPORTRANGE(""https://docs.google.com/spreadsheets/d/1Ul4RCpCX66NxYADU1QpwAPjOmBzW64SsT11s1wzXw_c/edit?usp=sharing"",""เลย!J90"")"),0)</f>
        <v>0</v>
      </c>
      <c r="AL43" s="90">
        <f t="shared" ca="1" si="36"/>
        <v>0</v>
      </c>
    </row>
    <row r="44" spans="1:38" ht="21" customHeight="1" x14ac:dyDescent="0.2">
      <c r="A44" s="84">
        <v>13</v>
      </c>
      <c r="B44" s="85" t="s">
        <v>66</v>
      </c>
      <c r="C44" s="86">
        <f t="shared" ca="1" si="23"/>
        <v>0</v>
      </c>
      <c r="D44" s="87">
        <f t="shared" ca="1" si="42"/>
        <v>0</v>
      </c>
      <c r="E44" s="88">
        <f ca="1">IFERROR(__xludf.DUMMYFUNCTION("IMPORTRANGE(""https://docs.google.com/spreadsheets/d/1-uDff_7J0KD5mKrp0Vvzr7lt3OU09vwQwhkpOPPYv2Y/edit?usp=sharing"",""งบพรบ!AN44"")"),0)</f>
        <v>0</v>
      </c>
      <c r="F44" s="88">
        <f ca="1">IFERROR(__xludf.DUMMYFUNCTION("IMPORTRANGE(""https://docs.google.com/spreadsheets/d/1-uDff_7J0KD5mKrp0Vvzr7lt3OU09vwQwhkpOPPYv2Y/edit?usp=sharing"",""งบพรบ!AO44"")"),0)</f>
        <v>0</v>
      </c>
      <c r="G44" s="88">
        <f ca="1">IFERROR(__xludf.DUMMYFUNCTION("IMPORTRANGE(""https://docs.google.com/spreadsheets/d/1-uDff_7J0KD5mKrp0Vvzr7lt3OU09vwQwhkpOPPYv2Y/edit?usp=sharing"",""งบพรบ!AP44"")"),0)</f>
        <v>0</v>
      </c>
      <c r="H44" s="88">
        <f ca="1">IFERROR(__xludf.DUMMYFUNCTION("IMPORTRANGE(""https://docs.google.com/spreadsheets/d/1-uDff_7J0KD5mKrp0Vvzr7lt3OU09vwQwhkpOPPYv2Y/edit?usp=sharing"",""งบพรบ!AR44"")"),0)</f>
        <v>0</v>
      </c>
      <c r="I44" s="88">
        <f ca="1">IFERROR(__xludf.DUMMYFUNCTION("IMPORTRANGE(""https://docs.google.com/spreadsheets/d/1-uDff_7J0KD5mKrp0Vvzr7lt3OU09vwQwhkpOPPYv2Y/edit?usp=sharing"",""งบพรบ!AS44"")"),0)</f>
        <v>0</v>
      </c>
      <c r="J44" s="88">
        <f t="shared" ca="1" si="25"/>
        <v>0</v>
      </c>
      <c r="K44" s="89">
        <f t="shared" ca="1" si="26"/>
        <v>0</v>
      </c>
      <c r="L44" s="88">
        <f ca="1">IFERROR(__xludf.DUMMYFUNCTION("IMPORTRANGE(""https://docs.google.com/spreadsheets/d/1-uDff_7J0KD5mKrp0Vvzr7lt3OU09vwQwhkpOPPYv2Y/edit?usp=sharing"",""งบพรบ!AT44"")"),0)</f>
        <v>0</v>
      </c>
      <c r="M44" s="90">
        <f t="shared" ca="1" si="27"/>
        <v>0</v>
      </c>
      <c r="N44" s="90">
        <f t="shared" ca="1" si="28"/>
        <v>0</v>
      </c>
      <c r="O44" s="91">
        <f ca="1">IFERROR(__xludf.DUMMYFUNCTION("IMPORTRANGE(""https://docs.google.com/spreadsheets/d/1-uDff_7J0KD5mKrp0Vvzr7lt3OU09vwQwhkpOPPYv2Y/edit?usp=sharing"",""งบพรบ!AU44"")"),0)</f>
        <v>0</v>
      </c>
      <c r="P44" s="91">
        <f t="shared" ca="1" si="29"/>
        <v>0</v>
      </c>
      <c r="Q44" s="90">
        <f t="shared" ca="1" si="30"/>
        <v>0</v>
      </c>
      <c r="R44" s="92">
        <f t="shared" ca="1" si="31"/>
        <v>0</v>
      </c>
      <c r="S44" s="92">
        <f t="shared" ca="1" si="32"/>
        <v>0</v>
      </c>
      <c r="T44" s="92">
        <f t="shared" ca="1" si="43"/>
        <v>0</v>
      </c>
      <c r="U44" s="93">
        <f t="shared" ca="1" si="33"/>
        <v>0</v>
      </c>
      <c r="V44" s="92">
        <f t="shared" ca="1" si="44"/>
        <v>0</v>
      </c>
      <c r="W44" s="93">
        <f t="shared" ca="1" si="34"/>
        <v>0</v>
      </c>
      <c r="X44" s="88">
        <f ca="1">IFERROR(__xludf.DUMMYFUNCTION("IMPORTRANGE(""https://docs.google.com/spreadsheets/d/1bRrNKwbHDVktQG10isr5vbWRtt5spIZPpkOSWgbT5ug/edit?usp=sharing"",""ศรีสะเกษ!I84"")"),0)</f>
        <v>0</v>
      </c>
      <c r="Y44" s="88">
        <f ca="1">IFERROR(__xludf.DUMMYFUNCTION("IMPORTRANGE(""https://docs.google.com/spreadsheets/d/1bRrNKwbHDVktQG10isr5vbWRtt5spIZPpkOSWgbT5ug/edit?usp=sharing"",""ศรีสะเกษ!I85"")"),0)</f>
        <v>0</v>
      </c>
      <c r="Z44" s="92">
        <f ca="1">IFERROR(__xludf.DUMMYFUNCTION("IMPORTRANGE(""https://docs.google.com/spreadsheets/d/1bRrNKwbHDVktQG10isr5vbWRtt5spIZPpkOSWgbT5ug/edit?usp=sharing"",""ศรีสะเกษ!J84"")"),0)</f>
        <v>0</v>
      </c>
      <c r="AA44" s="92">
        <f ca="1">IFERROR(__xludf.DUMMYFUNCTION("IMPORTRANGE(""https://docs.google.com/spreadsheets/d/1bRrNKwbHDVktQG10isr5vbWRtt5spIZPpkOSWgbT5ug/edit?usp=sharing"",""ศรีสะเกษ!J85"")"),0)</f>
        <v>0</v>
      </c>
      <c r="AB44" s="88">
        <f ca="1">IFERROR(__xludf.DUMMYFUNCTION("IMPORTRANGE(""https://docs.google.com/spreadsheets/d/1bRrNKwbHDVktQG10isr5vbWRtt5spIZPpkOSWgbT5ug/edit?usp=sharing"",""ศรีสะเกษ!I86"")"),0)</f>
        <v>0</v>
      </c>
      <c r="AC44" s="88">
        <f ca="1">IFERROR(__xludf.DUMMYFUNCTION("IMPORTRANGE(""https://docs.google.com/spreadsheets/d/1bRrNKwbHDVktQG10isr5vbWRtt5spIZPpkOSWgbT5ug/edit?usp=sharing"",""ศรีสะเกษ!I87"")"),0)</f>
        <v>0</v>
      </c>
      <c r="AD44" s="92">
        <f ca="1">IFERROR(__xludf.DUMMYFUNCTION("IMPORTRANGE(""https://docs.google.com/spreadsheets/d/1bRrNKwbHDVktQG10isr5vbWRtt5spIZPpkOSWgbT5ug/edit?usp=sharing"",""ศรีสะเกษ!J86"")"),0)</f>
        <v>0</v>
      </c>
      <c r="AE44" s="92">
        <f ca="1">IFERROR(__xludf.DUMMYFUNCTION("IMPORTRANGE(""https://docs.google.com/spreadsheets/d/1bRrNKwbHDVktQG10isr5vbWRtt5spIZPpkOSWgbT5ug/edit?usp=sharing"",""ศรีสะเกษ!J87"")"),0)</f>
        <v>0</v>
      </c>
      <c r="AF44" s="88">
        <f ca="1">IFERROR(__xludf.DUMMYFUNCTION("IMPORTRANGE(""https://docs.google.com/spreadsheets/d/1bRrNKwbHDVktQG10isr5vbWRtt5spIZPpkOSWgbT5ug/edit?usp=sharing"",""ศรีสะเกษ!I88"")"),0)</f>
        <v>0</v>
      </c>
      <c r="AG44" s="88">
        <f ca="1">IFERROR(__xludf.DUMMYFUNCTION("IMPORTRANGE(""https://docs.google.com/spreadsheets/d/1bRrNKwbHDVktQG10isr5vbWRtt5spIZPpkOSWgbT5ug/edit?usp=sharing"",""ศรีสะเกษ!I89"")"),0)</f>
        <v>0</v>
      </c>
      <c r="AH44" s="92">
        <f ca="1">IFERROR(__xludf.DUMMYFUNCTION("IMPORTRANGE(""https://docs.google.com/spreadsheets/d/1bRrNKwbHDVktQG10isr5vbWRtt5spIZPpkOSWgbT5ug/edit?usp=sharing"",""ศรีสะเกษ!J88"")"),0)</f>
        <v>0</v>
      </c>
      <c r="AI44" s="92">
        <f ca="1">IFERROR(__xludf.DUMMYFUNCTION("IMPORTRANGE(""https://docs.google.com/spreadsheets/d/1bRrNKwbHDVktQG10isr5vbWRtt5spIZPpkOSWgbT5ug/edit?usp=sharing"",""ศรีสะเกษ!J89"")"),0)</f>
        <v>0</v>
      </c>
      <c r="AJ44" s="88">
        <f ca="1">IFERROR(__xludf.DUMMYFUNCTION("IMPORTRANGE(""https://docs.google.com/spreadsheets/d/1bRrNKwbHDVktQG10isr5vbWRtt5spIZPpkOSWgbT5ug/edit?usp=sharing"",""ศรีสะเกษ!I90"")"),0)</f>
        <v>0</v>
      </c>
      <c r="AK44" s="92">
        <f ca="1">IFERROR(__xludf.DUMMYFUNCTION("IMPORTRANGE(""https://docs.google.com/spreadsheets/d/1bRrNKwbHDVktQG10isr5vbWRtt5spIZPpkOSWgbT5ug/edit?usp=sharing"",""ศรีสะเกษ!J90"")"),0)</f>
        <v>0</v>
      </c>
      <c r="AL44" s="90">
        <f t="shared" ca="1" si="36"/>
        <v>0</v>
      </c>
    </row>
    <row r="45" spans="1:38" ht="21" customHeight="1" x14ac:dyDescent="0.2">
      <c r="A45" s="84">
        <v>14</v>
      </c>
      <c r="B45" s="85" t="s">
        <v>67</v>
      </c>
      <c r="C45" s="86">
        <f t="shared" ca="1" si="23"/>
        <v>0</v>
      </c>
      <c r="D45" s="87">
        <f t="shared" ca="1" si="42"/>
        <v>0</v>
      </c>
      <c r="E45" s="88">
        <f ca="1">IFERROR(__xludf.DUMMYFUNCTION("IMPORTRANGE(""https://docs.google.com/spreadsheets/d/1-uDff_7J0KD5mKrp0Vvzr7lt3OU09vwQwhkpOPPYv2Y/edit?usp=sharing"",""งบพรบ!AN45"")"),0)</f>
        <v>0</v>
      </c>
      <c r="F45" s="88">
        <f ca="1">IFERROR(__xludf.DUMMYFUNCTION("IMPORTRANGE(""https://docs.google.com/spreadsheets/d/1-uDff_7J0KD5mKrp0Vvzr7lt3OU09vwQwhkpOPPYv2Y/edit?usp=sharing"",""งบพรบ!AO45"")"),0)</f>
        <v>0</v>
      </c>
      <c r="G45" s="88">
        <f ca="1">IFERROR(__xludf.DUMMYFUNCTION("IMPORTRANGE(""https://docs.google.com/spreadsheets/d/1-uDff_7J0KD5mKrp0Vvzr7lt3OU09vwQwhkpOPPYv2Y/edit?usp=sharing"",""งบพรบ!AP45"")"),0)</f>
        <v>0</v>
      </c>
      <c r="H45" s="88">
        <f ca="1">IFERROR(__xludf.DUMMYFUNCTION("IMPORTRANGE(""https://docs.google.com/spreadsheets/d/1-uDff_7J0KD5mKrp0Vvzr7lt3OU09vwQwhkpOPPYv2Y/edit?usp=sharing"",""งบพรบ!AR45"")"),0)</f>
        <v>0</v>
      </c>
      <c r="I45" s="88">
        <f ca="1">IFERROR(__xludf.DUMMYFUNCTION("IMPORTRANGE(""https://docs.google.com/spreadsheets/d/1-uDff_7J0KD5mKrp0Vvzr7lt3OU09vwQwhkpOPPYv2Y/edit?usp=sharing"",""งบพรบ!AS45"")"),0)</f>
        <v>0</v>
      </c>
      <c r="J45" s="88">
        <f t="shared" ca="1" si="25"/>
        <v>0</v>
      </c>
      <c r="K45" s="89">
        <f t="shared" ca="1" si="26"/>
        <v>0</v>
      </c>
      <c r="L45" s="88">
        <f ca="1">IFERROR(__xludf.DUMMYFUNCTION("IMPORTRANGE(""https://docs.google.com/spreadsheets/d/1-uDff_7J0KD5mKrp0Vvzr7lt3OU09vwQwhkpOPPYv2Y/edit?usp=sharing"",""งบพรบ!AT45"")"),0)</f>
        <v>0</v>
      </c>
      <c r="M45" s="90">
        <f t="shared" ca="1" si="27"/>
        <v>0</v>
      </c>
      <c r="N45" s="90">
        <f t="shared" ca="1" si="28"/>
        <v>0</v>
      </c>
      <c r="O45" s="91">
        <f ca="1">IFERROR(__xludf.DUMMYFUNCTION("IMPORTRANGE(""https://docs.google.com/spreadsheets/d/1-uDff_7J0KD5mKrp0Vvzr7lt3OU09vwQwhkpOPPYv2Y/edit?usp=sharing"",""งบพรบ!AU45"")"),0)</f>
        <v>0</v>
      </c>
      <c r="P45" s="91">
        <f t="shared" ca="1" si="29"/>
        <v>0</v>
      </c>
      <c r="Q45" s="90">
        <f t="shared" ca="1" si="30"/>
        <v>0</v>
      </c>
      <c r="R45" s="92">
        <f t="shared" ca="1" si="31"/>
        <v>0</v>
      </c>
      <c r="S45" s="92">
        <f t="shared" ca="1" si="32"/>
        <v>0</v>
      </c>
      <c r="T45" s="92">
        <f t="shared" ca="1" si="43"/>
        <v>0</v>
      </c>
      <c r="U45" s="93">
        <f t="shared" ca="1" si="33"/>
        <v>0</v>
      </c>
      <c r="V45" s="92">
        <f t="shared" ca="1" si="44"/>
        <v>0</v>
      </c>
      <c r="W45" s="93">
        <f t="shared" ca="1" si="34"/>
        <v>0</v>
      </c>
      <c r="X45" s="88">
        <f ca="1">IFERROR(__xludf.DUMMYFUNCTION("IMPORTRANGE(""https://docs.google.com/spreadsheets/d/17P34_Ow5kFBfdQD0qspb2UuPX5zpi6WMrQzslghyvrI/edit?usp=sharing"",""สกลนคร!I84"")"),0)</f>
        <v>0</v>
      </c>
      <c r="Y45" s="88">
        <f ca="1">IFERROR(__xludf.DUMMYFUNCTION("IMPORTRANGE(""https://docs.google.com/spreadsheets/d/17P34_Ow5kFBfdQD0qspb2UuPX5zpi6WMrQzslghyvrI/edit?usp=sharing"",""สกลนคร!I85"")"),0)</f>
        <v>0</v>
      </c>
      <c r="Z45" s="92">
        <f ca="1">IFERROR(__xludf.DUMMYFUNCTION("IMPORTRANGE(""https://docs.google.com/spreadsheets/d/17P34_Ow5kFBfdQD0qspb2UuPX5zpi6WMrQzslghyvrI/edit?usp=sharing"",""สกลนคร!J84"")"),0)</f>
        <v>0</v>
      </c>
      <c r="AA45" s="92">
        <f ca="1">IFERROR(__xludf.DUMMYFUNCTION("IMPORTRANGE(""https://docs.google.com/spreadsheets/d/17P34_Ow5kFBfdQD0qspb2UuPX5zpi6WMrQzslghyvrI/edit?usp=sharing"",""สกลนคร!J85"")"),0)</f>
        <v>0</v>
      </c>
      <c r="AB45" s="88">
        <f ca="1">IFERROR(__xludf.DUMMYFUNCTION("IMPORTRANGE(""https://docs.google.com/spreadsheets/d/17P34_Ow5kFBfdQD0qspb2UuPX5zpi6WMrQzslghyvrI/edit?usp=sharing"",""สกลนคร!I86"")"),0)</f>
        <v>0</v>
      </c>
      <c r="AC45" s="88">
        <f ca="1">IFERROR(__xludf.DUMMYFUNCTION("IMPORTRANGE(""https://docs.google.com/spreadsheets/d/17P34_Ow5kFBfdQD0qspb2UuPX5zpi6WMrQzslghyvrI/edit?usp=sharing"",""สกลนคร!I87"")"),0)</f>
        <v>0</v>
      </c>
      <c r="AD45" s="92">
        <f ca="1">IFERROR(__xludf.DUMMYFUNCTION("IMPORTRANGE(""https://docs.google.com/spreadsheets/d/17P34_Ow5kFBfdQD0qspb2UuPX5zpi6WMrQzslghyvrI/edit?usp=sharing"",""สกลนคร!J86"")"),0)</f>
        <v>0</v>
      </c>
      <c r="AE45" s="92">
        <f ca="1">IFERROR(__xludf.DUMMYFUNCTION("IMPORTRANGE(""https://docs.google.com/spreadsheets/d/17P34_Ow5kFBfdQD0qspb2UuPX5zpi6WMrQzslghyvrI/edit?usp=sharing"",""สกลนคร!J87"")"),0)</f>
        <v>0</v>
      </c>
      <c r="AF45" s="88">
        <f ca="1">IFERROR(__xludf.DUMMYFUNCTION("IMPORTRANGE(""https://docs.google.com/spreadsheets/d/17P34_Ow5kFBfdQD0qspb2UuPX5zpi6WMrQzslghyvrI/edit?usp=sharing"",""สกลนคร!I88"")"),0)</f>
        <v>0</v>
      </c>
      <c r="AG45" s="88">
        <f ca="1">IFERROR(__xludf.DUMMYFUNCTION("IMPORTRANGE(""https://docs.google.com/spreadsheets/d/17P34_Ow5kFBfdQD0qspb2UuPX5zpi6WMrQzslghyvrI/edit?usp=sharing"",""สกลนคร!I89"")"),0)</f>
        <v>0</v>
      </c>
      <c r="AH45" s="92">
        <f ca="1">IFERROR(__xludf.DUMMYFUNCTION("IMPORTRANGE(""https://docs.google.com/spreadsheets/d/17P34_Ow5kFBfdQD0qspb2UuPX5zpi6WMrQzslghyvrI/edit?usp=sharing"",""สกลนคร!J88"")"),0)</f>
        <v>0</v>
      </c>
      <c r="AI45" s="92">
        <f ca="1">IFERROR(__xludf.DUMMYFUNCTION("IMPORTRANGE(""https://docs.google.com/spreadsheets/d/17P34_Ow5kFBfdQD0qspb2UuPX5zpi6WMrQzslghyvrI/edit?usp=sharing"",""สกลนคร!J89"")"),0)</f>
        <v>0</v>
      </c>
      <c r="AJ45" s="88">
        <f ca="1">IFERROR(__xludf.DUMMYFUNCTION("IMPORTRANGE(""https://docs.google.com/spreadsheets/d/17P34_Ow5kFBfdQD0qspb2UuPX5zpi6WMrQzslghyvrI/edit?usp=sharing"",""สกลนคร!I90"")"),0)</f>
        <v>0</v>
      </c>
      <c r="AK45" s="92">
        <f ca="1">IFERROR(__xludf.DUMMYFUNCTION("IMPORTRANGE(""https://docs.google.com/spreadsheets/d/17P34_Ow5kFBfdQD0qspb2UuPX5zpi6WMrQzslghyvrI/edit?usp=sharing"",""สกลนคร!J90"")"),0)</f>
        <v>0</v>
      </c>
      <c r="AL45" s="90">
        <f t="shared" ca="1" si="36"/>
        <v>0</v>
      </c>
    </row>
    <row r="46" spans="1:38" ht="21" customHeight="1" x14ac:dyDescent="0.2">
      <c r="A46" s="84">
        <v>15</v>
      </c>
      <c r="B46" s="85" t="s">
        <v>68</v>
      </c>
      <c r="C46" s="86">
        <f t="shared" ca="1" si="23"/>
        <v>0</v>
      </c>
      <c r="D46" s="87">
        <f t="shared" ca="1" si="42"/>
        <v>0</v>
      </c>
      <c r="E46" s="88">
        <f ca="1">IFERROR(__xludf.DUMMYFUNCTION("IMPORTRANGE(""https://docs.google.com/spreadsheets/d/1-uDff_7J0KD5mKrp0Vvzr7lt3OU09vwQwhkpOPPYv2Y/edit?usp=sharing"",""งบพรบ!AN46"")"),0)</f>
        <v>0</v>
      </c>
      <c r="F46" s="88">
        <f ca="1">IFERROR(__xludf.DUMMYFUNCTION("IMPORTRANGE(""https://docs.google.com/spreadsheets/d/1-uDff_7J0KD5mKrp0Vvzr7lt3OU09vwQwhkpOPPYv2Y/edit?usp=sharing"",""งบพรบ!AO46"")"),0)</f>
        <v>0</v>
      </c>
      <c r="G46" s="88">
        <f ca="1">IFERROR(__xludf.DUMMYFUNCTION("IMPORTRANGE(""https://docs.google.com/spreadsheets/d/1-uDff_7J0KD5mKrp0Vvzr7lt3OU09vwQwhkpOPPYv2Y/edit?usp=sharing"",""งบพรบ!AP46"")"),0)</f>
        <v>0</v>
      </c>
      <c r="H46" s="88">
        <f ca="1">IFERROR(__xludf.DUMMYFUNCTION("IMPORTRANGE(""https://docs.google.com/spreadsheets/d/1-uDff_7J0KD5mKrp0Vvzr7lt3OU09vwQwhkpOPPYv2Y/edit?usp=sharing"",""งบพรบ!AR46"")"),0)</f>
        <v>0</v>
      </c>
      <c r="I46" s="88">
        <f ca="1">IFERROR(__xludf.DUMMYFUNCTION("IMPORTRANGE(""https://docs.google.com/spreadsheets/d/1-uDff_7J0KD5mKrp0Vvzr7lt3OU09vwQwhkpOPPYv2Y/edit?usp=sharing"",""งบพรบ!AS46"")"),0)</f>
        <v>0</v>
      </c>
      <c r="J46" s="88">
        <f t="shared" ca="1" si="25"/>
        <v>0</v>
      </c>
      <c r="K46" s="89">
        <f t="shared" ca="1" si="26"/>
        <v>0</v>
      </c>
      <c r="L46" s="88">
        <f ca="1">IFERROR(__xludf.DUMMYFUNCTION("IMPORTRANGE(""https://docs.google.com/spreadsheets/d/1-uDff_7J0KD5mKrp0Vvzr7lt3OU09vwQwhkpOPPYv2Y/edit?usp=sharing"",""งบพรบ!AT46"")"),0)</f>
        <v>0</v>
      </c>
      <c r="M46" s="90">
        <f t="shared" ca="1" si="27"/>
        <v>0</v>
      </c>
      <c r="N46" s="90">
        <f t="shared" ca="1" si="28"/>
        <v>0</v>
      </c>
      <c r="O46" s="91">
        <f ca="1">IFERROR(__xludf.DUMMYFUNCTION("IMPORTRANGE(""https://docs.google.com/spreadsheets/d/1-uDff_7J0KD5mKrp0Vvzr7lt3OU09vwQwhkpOPPYv2Y/edit?usp=sharing"",""งบพรบ!AU46"")"),0)</f>
        <v>0</v>
      </c>
      <c r="P46" s="91">
        <f t="shared" ca="1" si="29"/>
        <v>0</v>
      </c>
      <c r="Q46" s="90">
        <f t="shared" ca="1" si="30"/>
        <v>0</v>
      </c>
      <c r="R46" s="92">
        <f t="shared" ca="1" si="31"/>
        <v>0</v>
      </c>
      <c r="S46" s="92">
        <f t="shared" ca="1" si="32"/>
        <v>0</v>
      </c>
      <c r="T46" s="92">
        <f t="shared" ca="1" si="43"/>
        <v>0</v>
      </c>
      <c r="U46" s="93">
        <f t="shared" ca="1" si="33"/>
        <v>0</v>
      </c>
      <c r="V46" s="92">
        <f t="shared" ca="1" si="44"/>
        <v>0</v>
      </c>
      <c r="W46" s="93">
        <f t="shared" ca="1" si="34"/>
        <v>0</v>
      </c>
      <c r="X46" s="88">
        <f ca="1">IFERROR(__xludf.DUMMYFUNCTION("IMPORTRANGE(""https://docs.google.com/spreadsheets/d/1yswqbM3-AEpThF3ZSUa1AcmHnmRTF1vlJ1CZGcJ8YuU/edit?usp=sharing"",""สุรินทร์!I84"")"),0)</f>
        <v>0</v>
      </c>
      <c r="Y46" s="88">
        <f ca="1">IFERROR(__xludf.DUMMYFUNCTION("IMPORTRANGE(""https://docs.google.com/spreadsheets/d/1yswqbM3-AEpThF3ZSUa1AcmHnmRTF1vlJ1CZGcJ8YuU/edit?usp=sharing"",""สุรินทร์!I85"")"),0)</f>
        <v>0</v>
      </c>
      <c r="Z46" s="92">
        <f ca="1">IFERROR(__xludf.DUMMYFUNCTION("IMPORTRANGE(""https://docs.google.com/spreadsheets/d/1yswqbM3-AEpThF3ZSUa1AcmHnmRTF1vlJ1CZGcJ8YuU/edit?usp=sharing"",""สุรินทร์!J84"")"),0)</f>
        <v>0</v>
      </c>
      <c r="AA46" s="92">
        <f ca="1">IFERROR(__xludf.DUMMYFUNCTION("IMPORTRANGE(""https://docs.google.com/spreadsheets/d/1yswqbM3-AEpThF3ZSUa1AcmHnmRTF1vlJ1CZGcJ8YuU/edit?usp=sharing"",""สุรินทร์!J85"")"),0)</f>
        <v>0</v>
      </c>
      <c r="AB46" s="88">
        <f ca="1">IFERROR(__xludf.DUMMYFUNCTION("IMPORTRANGE(""https://docs.google.com/spreadsheets/d/1yswqbM3-AEpThF3ZSUa1AcmHnmRTF1vlJ1CZGcJ8YuU/edit?usp=sharing"",""สุรินทร์!I86"")"),0)</f>
        <v>0</v>
      </c>
      <c r="AC46" s="88">
        <f ca="1">IFERROR(__xludf.DUMMYFUNCTION("IMPORTRANGE(""https://docs.google.com/spreadsheets/d/1yswqbM3-AEpThF3ZSUa1AcmHnmRTF1vlJ1CZGcJ8YuU/edit?usp=sharing"",""สุรินทร์!I87"")"),0)</f>
        <v>0</v>
      </c>
      <c r="AD46" s="92">
        <f ca="1">IFERROR(__xludf.DUMMYFUNCTION("IMPORTRANGE(""https://docs.google.com/spreadsheets/d/1yswqbM3-AEpThF3ZSUa1AcmHnmRTF1vlJ1CZGcJ8YuU/edit?usp=sharing"",""สุรินทร์!J86"")"),0)</f>
        <v>0</v>
      </c>
      <c r="AE46" s="92">
        <f ca="1">IFERROR(__xludf.DUMMYFUNCTION("IMPORTRANGE(""https://docs.google.com/spreadsheets/d/1yswqbM3-AEpThF3ZSUa1AcmHnmRTF1vlJ1CZGcJ8YuU/edit?usp=sharing"",""สุรินทร์!J87"")"),0)</f>
        <v>0</v>
      </c>
      <c r="AF46" s="88">
        <f ca="1">IFERROR(__xludf.DUMMYFUNCTION("IMPORTRANGE(""https://docs.google.com/spreadsheets/d/1yswqbM3-AEpThF3ZSUa1AcmHnmRTF1vlJ1CZGcJ8YuU/edit?usp=sharing"",""สุรินทร์!I88"")"),0)</f>
        <v>0</v>
      </c>
      <c r="AG46" s="88">
        <f ca="1">IFERROR(__xludf.DUMMYFUNCTION("IMPORTRANGE(""https://docs.google.com/spreadsheets/d/1yswqbM3-AEpThF3ZSUa1AcmHnmRTF1vlJ1CZGcJ8YuU/edit?usp=sharing"",""สุรินทร์!I89"")"),0)</f>
        <v>0</v>
      </c>
      <c r="AH46" s="92">
        <f ca="1">IFERROR(__xludf.DUMMYFUNCTION("IMPORTRANGE(""https://docs.google.com/spreadsheets/d/1yswqbM3-AEpThF3ZSUa1AcmHnmRTF1vlJ1CZGcJ8YuU/edit?usp=sharing"",""สุรินทร์!J88"")"),0)</f>
        <v>0</v>
      </c>
      <c r="AI46" s="92">
        <f ca="1">IFERROR(__xludf.DUMMYFUNCTION("IMPORTRANGE(""https://docs.google.com/spreadsheets/d/1yswqbM3-AEpThF3ZSUa1AcmHnmRTF1vlJ1CZGcJ8YuU/edit?usp=sharing"",""สุรินทร์!J89"")"),0)</f>
        <v>0</v>
      </c>
      <c r="AJ46" s="88">
        <f ca="1">IFERROR(__xludf.DUMMYFUNCTION("IMPORTRANGE(""https://docs.google.com/spreadsheets/d/1yswqbM3-AEpThF3ZSUa1AcmHnmRTF1vlJ1CZGcJ8YuU/edit?usp=sharing"",""สุรินทร์!I90"")"),0)</f>
        <v>0</v>
      </c>
      <c r="AK46" s="92">
        <f ca="1">IFERROR(__xludf.DUMMYFUNCTION("IMPORTRANGE(""https://docs.google.com/spreadsheets/d/1yswqbM3-AEpThF3ZSUa1AcmHnmRTF1vlJ1CZGcJ8YuU/edit?usp=sharing"",""สุรินทร์!J90"")"),0)</f>
        <v>0</v>
      </c>
      <c r="AL46" s="90">
        <f t="shared" ca="1" si="36"/>
        <v>0</v>
      </c>
    </row>
    <row r="47" spans="1:38" ht="21" customHeight="1" x14ac:dyDescent="0.2">
      <c r="A47" s="84">
        <v>16</v>
      </c>
      <c r="B47" s="85" t="s">
        <v>69</v>
      </c>
      <c r="C47" s="86">
        <f t="shared" ca="1" si="23"/>
        <v>0</v>
      </c>
      <c r="D47" s="87">
        <f t="shared" ca="1" si="42"/>
        <v>0</v>
      </c>
      <c r="E47" s="88">
        <f ca="1">IFERROR(__xludf.DUMMYFUNCTION("IMPORTRANGE(""https://docs.google.com/spreadsheets/d/1-uDff_7J0KD5mKrp0Vvzr7lt3OU09vwQwhkpOPPYv2Y/edit?usp=sharing"",""งบพรบ!AN47"")"),0)</f>
        <v>0</v>
      </c>
      <c r="F47" s="88">
        <f ca="1">IFERROR(__xludf.DUMMYFUNCTION("IMPORTRANGE(""https://docs.google.com/spreadsheets/d/1-uDff_7J0KD5mKrp0Vvzr7lt3OU09vwQwhkpOPPYv2Y/edit?usp=sharing"",""งบพรบ!AO47"")"),0)</f>
        <v>0</v>
      </c>
      <c r="G47" s="88">
        <f ca="1">IFERROR(__xludf.DUMMYFUNCTION("IMPORTRANGE(""https://docs.google.com/spreadsheets/d/1-uDff_7J0KD5mKrp0Vvzr7lt3OU09vwQwhkpOPPYv2Y/edit?usp=sharing"",""งบพรบ!AP47"")"),0)</f>
        <v>0</v>
      </c>
      <c r="H47" s="88">
        <f ca="1">IFERROR(__xludf.DUMMYFUNCTION("IMPORTRANGE(""https://docs.google.com/spreadsheets/d/1-uDff_7J0KD5mKrp0Vvzr7lt3OU09vwQwhkpOPPYv2Y/edit?usp=sharing"",""งบพรบ!AR47"")"),0)</f>
        <v>0</v>
      </c>
      <c r="I47" s="88">
        <f ca="1">IFERROR(__xludf.DUMMYFUNCTION("IMPORTRANGE(""https://docs.google.com/spreadsheets/d/1-uDff_7J0KD5mKrp0Vvzr7lt3OU09vwQwhkpOPPYv2Y/edit?usp=sharing"",""งบพรบ!AS47"")"),0)</f>
        <v>0</v>
      </c>
      <c r="J47" s="88">
        <f t="shared" ca="1" si="25"/>
        <v>0</v>
      </c>
      <c r="K47" s="89">
        <f t="shared" ca="1" si="26"/>
        <v>0</v>
      </c>
      <c r="L47" s="88">
        <f ca="1">IFERROR(__xludf.DUMMYFUNCTION("IMPORTRANGE(""https://docs.google.com/spreadsheets/d/1-uDff_7J0KD5mKrp0Vvzr7lt3OU09vwQwhkpOPPYv2Y/edit?usp=sharing"",""งบพรบ!AT47"")"),0)</f>
        <v>0</v>
      </c>
      <c r="M47" s="90">
        <f t="shared" ca="1" si="27"/>
        <v>0</v>
      </c>
      <c r="N47" s="90">
        <f t="shared" ca="1" si="28"/>
        <v>0</v>
      </c>
      <c r="O47" s="91">
        <f ca="1">IFERROR(__xludf.DUMMYFUNCTION("IMPORTRANGE(""https://docs.google.com/spreadsheets/d/1-uDff_7J0KD5mKrp0Vvzr7lt3OU09vwQwhkpOPPYv2Y/edit?usp=sharing"",""งบพรบ!AU47"")"),0)</f>
        <v>0</v>
      </c>
      <c r="P47" s="91">
        <f t="shared" ca="1" si="29"/>
        <v>0</v>
      </c>
      <c r="Q47" s="90">
        <f t="shared" ca="1" si="30"/>
        <v>0</v>
      </c>
      <c r="R47" s="92">
        <f t="shared" ca="1" si="31"/>
        <v>0</v>
      </c>
      <c r="S47" s="92">
        <f t="shared" ca="1" si="32"/>
        <v>0</v>
      </c>
      <c r="T47" s="92">
        <f t="shared" ca="1" si="43"/>
        <v>0</v>
      </c>
      <c r="U47" s="93">
        <f t="shared" ca="1" si="33"/>
        <v>0</v>
      </c>
      <c r="V47" s="92">
        <f t="shared" ca="1" si="44"/>
        <v>0</v>
      </c>
      <c r="W47" s="93">
        <f t="shared" ca="1" si="34"/>
        <v>0</v>
      </c>
      <c r="X47" s="88">
        <f ca="1">IFERROR(__xludf.DUMMYFUNCTION("IMPORTRANGE(""https://docs.google.com/spreadsheets/d/13JHU_EFbsQOUQ0JSQ3dWy1VTRosIWcDq6Nc99z2qzdc/edit?usp=sharing"",""หนองคาย!I84"")"),0)</f>
        <v>0</v>
      </c>
      <c r="Y47" s="88">
        <f ca="1">IFERROR(__xludf.DUMMYFUNCTION("IMPORTRANGE(""https://docs.google.com/spreadsheets/d/13JHU_EFbsQOUQ0JSQ3dWy1VTRosIWcDq6Nc99z2qzdc/edit?usp=sharing"",""หนองคาย!I85"")"),0)</f>
        <v>0</v>
      </c>
      <c r="Z47" s="92">
        <f ca="1">IFERROR(__xludf.DUMMYFUNCTION("IMPORTRANGE(""https://docs.google.com/spreadsheets/d/13JHU_EFbsQOUQ0JSQ3dWy1VTRosIWcDq6Nc99z2qzdc/edit?usp=sharing"",""หนองคาย!J84"")"),0)</f>
        <v>0</v>
      </c>
      <c r="AA47" s="92">
        <f ca="1">IFERROR(__xludf.DUMMYFUNCTION("IMPORTRANGE(""https://docs.google.com/spreadsheets/d/13JHU_EFbsQOUQ0JSQ3dWy1VTRosIWcDq6Nc99z2qzdc/edit?usp=sharing"",""หนองคาย!J85"")"),0)</f>
        <v>0</v>
      </c>
      <c r="AB47" s="88">
        <f ca="1">IFERROR(__xludf.DUMMYFUNCTION("IMPORTRANGE(""https://docs.google.com/spreadsheets/d/13JHU_EFbsQOUQ0JSQ3dWy1VTRosIWcDq6Nc99z2qzdc/edit?usp=sharing"",""หนองคาย!I86"")"),0)</f>
        <v>0</v>
      </c>
      <c r="AC47" s="88">
        <f ca="1">IFERROR(__xludf.DUMMYFUNCTION("IMPORTRANGE(""https://docs.google.com/spreadsheets/d/13JHU_EFbsQOUQ0JSQ3dWy1VTRosIWcDq6Nc99z2qzdc/edit?usp=sharing"",""หนองคาย!I87"")"),0)</f>
        <v>0</v>
      </c>
      <c r="AD47" s="92">
        <f ca="1">IFERROR(__xludf.DUMMYFUNCTION("IMPORTRANGE(""https://docs.google.com/spreadsheets/d/13JHU_EFbsQOUQ0JSQ3dWy1VTRosIWcDq6Nc99z2qzdc/edit?usp=sharing"",""หนองคาย!J86"")"),0)</f>
        <v>0</v>
      </c>
      <c r="AE47" s="92">
        <f ca="1">IFERROR(__xludf.DUMMYFUNCTION("IMPORTRANGE(""https://docs.google.com/spreadsheets/d/13JHU_EFbsQOUQ0JSQ3dWy1VTRosIWcDq6Nc99z2qzdc/edit?usp=sharing"",""หนองคาย!J87"")"),0)</f>
        <v>0</v>
      </c>
      <c r="AF47" s="88">
        <f ca="1">IFERROR(__xludf.DUMMYFUNCTION("IMPORTRANGE(""https://docs.google.com/spreadsheets/d/13JHU_EFbsQOUQ0JSQ3dWy1VTRosIWcDq6Nc99z2qzdc/edit?usp=sharing"",""หนองคาย!I88"")"),0)</f>
        <v>0</v>
      </c>
      <c r="AG47" s="88">
        <f ca="1">IFERROR(__xludf.DUMMYFUNCTION("IMPORTRANGE(""https://docs.google.com/spreadsheets/d/13JHU_EFbsQOUQ0JSQ3dWy1VTRosIWcDq6Nc99z2qzdc/edit?usp=sharing"",""หนองคาย!I89"")"),0)</f>
        <v>0</v>
      </c>
      <c r="AH47" s="92">
        <f ca="1">IFERROR(__xludf.DUMMYFUNCTION("IMPORTRANGE(""https://docs.google.com/spreadsheets/d/13JHU_EFbsQOUQ0JSQ3dWy1VTRosIWcDq6Nc99z2qzdc/edit?usp=sharing"",""หนองคาย!J88"")"),0)</f>
        <v>0</v>
      </c>
      <c r="AI47" s="92">
        <f ca="1">IFERROR(__xludf.DUMMYFUNCTION("IMPORTRANGE(""https://docs.google.com/spreadsheets/d/13JHU_EFbsQOUQ0JSQ3dWy1VTRosIWcDq6Nc99z2qzdc/edit?usp=sharing"",""หนองคาย!J89"")"),0)</f>
        <v>0</v>
      </c>
      <c r="AJ47" s="88">
        <f ca="1">IFERROR(__xludf.DUMMYFUNCTION("IMPORTRANGE(""https://docs.google.com/spreadsheets/d/13JHU_EFbsQOUQ0JSQ3dWy1VTRosIWcDq6Nc99z2qzdc/edit?usp=sharing"",""หนองคาย!I90"")"),0)</f>
        <v>0</v>
      </c>
      <c r="AK47" s="92">
        <f ca="1">IFERROR(__xludf.DUMMYFUNCTION("IMPORTRANGE(""https://docs.google.com/spreadsheets/d/13JHU_EFbsQOUQ0JSQ3dWy1VTRosIWcDq6Nc99z2qzdc/edit?usp=sharing"",""หนองคาย!J90"")"),0)</f>
        <v>0</v>
      </c>
      <c r="AL47" s="90">
        <f t="shared" ca="1" si="36"/>
        <v>0</v>
      </c>
    </row>
    <row r="48" spans="1:38" ht="21" customHeight="1" x14ac:dyDescent="0.2">
      <c r="A48" s="84">
        <v>17</v>
      </c>
      <c r="B48" s="85" t="s">
        <v>70</v>
      </c>
      <c r="C48" s="86">
        <f t="shared" ca="1" si="23"/>
        <v>324000</v>
      </c>
      <c r="D48" s="87">
        <f t="shared" ca="1" si="42"/>
        <v>324000</v>
      </c>
      <c r="E48" s="88">
        <f ca="1">IFERROR(__xludf.DUMMYFUNCTION("IMPORTRANGE(""https://docs.google.com/spreadsheets/d/1-uDff_7J0KD5mKrp0Vvzr7lt3OU09vwQwhkpOPPYv2Y/edit?usp=sharing"",""งบพรบ!AN48"")"),86000)</f>
        <v>86000</v>
      </c>
      <c r="F48" s="88">
        <f ca="1">IFERROR(__xludf.DUMMYFUNCTION("IMPORTRANGE(""https://docs.google.com/spreadsheets/d/1-uDff_7J0KD5mKrp0Vvzr7lt3OU09vwQwhkpOPPYv2Y/edit?usp=sharing"",""งบพรบ!AO48"")"),238000)</f>
        <v>238000</v>
      </c>
      <c r="G48" s="88">
        <f ca="1">IFERROR(__xludf.DUMMYFUNCTION("IMPORTRANGE(""https://docs.google.com/spreadsheets/d/1-uDff_7J0KD5mKrp0Vvzr7lt3OU09vwQwhkpOPPYv2Y/edit?usp=sharing"",""งบพรบ!AP48"")"),0)</f>
        <v>0</v>
      </c>
      <c r="H48" s="88">
        <f ca="1">IFERROR(__xludf.DUMMYFUNCTION("IMPORTRANGE(""https://docs.google.com/spreadsheets/d/1-uDff_7J0KD5mKrp0Vvzr7lt3OU09vwQwhkpOPPYv2Y/edit?usp=sharing"",""งบพรบ!AR48"")"),299500)</f>
        <v>299500</v>
      </c>
      <c r="I48" s="88">
        <f ca="1">IFERROR(__xludf.DUMMYFUNCTION("IMPORTRANGE(""https://docs.google.com/spreadsheets/d/1-uDff_7J0KD5mKrp0Vvzr7lt3OU09vwQwhkpOPPYv2Y/edit?usp=sharing"",""งบพรบ!AS48"")"),0)</f>
        <v>0</v>
      </c>
      <c r="J48" s="88">
        <f t="shared" ca="1" si="25"/>
        <v>139823.07999999999</v>
      </c>
      <c r="K48" s="89">
        <f t="shared" ca="1" si="26"/>
        <v>43.155271604938264</v>
      </c>
      <c r="L48" s="88">
        <f ca="1">IFERROR(__xludf.DUMMYFUNCTION("IMPORTRANGE(""https://docs.google.com/spreadsheets/d/1-uDff_7J0KD5mKrp0Vvzr7lt3OU09vwQwhkpOPPYv2Y/edit?usp=sharing"",""งบพรบ!AT48"")"),139823.08)</f>
        <v>139823.07999999999</v>
      </c>
      <c r="M48" s="90">
        <f t="shared" ca="1" si="27"/>
        <v>43.155271604938264</v>
      </c>
      <c r="N48" s="90">
        <f t="shared" ca="1" si="28"/>
        <v>46.68550250417362</v>
      </c>
      <c r="O48" s="91">
        <f ca="1">IFERROR(__xludf.DUMMYFUNCTION("IMPORTRANGE(""https://docs.google.com/spreadsheets/d/1-uDff_7J0KD5mKrp0Vvzr7lt3OU09vwQwhkpOPPYv2Y/edit?usp=sharing"",""งบพรบ!AU48"")"),0)</f>
        <v>0</v>
      </c>
      <c r="P48" s="91">
        <f t="shared" ca="1" si="29"/>
        <v>0</v>
      </c>
      <c r="Q48" s="90">
        <f t="shared" ca="1" si="30"/>
        <v>0</v>
      </c>
      <c r="R48" s="92">
        <f t="shared" ca="1" si="31"/>
        <v>1</v>
      </c>
      <c r="S48" s="92">
        <f t="shared" ca="1" si="32"/>
        <v>30</v>
      </c>
      <c r="T48" s="92">
        <f t="shared" ca="1" si="43"/>
        <v>0</v>
      </c>
      <c r="U48" s="93">
        <f t="shared" ca="1" si="33"/>
        <v>0</v>
      </c>
      <c r="V48" s="92">
        <f t="shared" ca="1" si="44"/>
        <v>0</v>
      </c>
      <c r="W48" s="93">
        <f t="shared" ca="1" si="34"/>
        <v>0</v>
      </c>
      <c r="X48" s="88">
        <f ca="1">IFERROR(__xludf.DUMMYFUNCTION("IMPORTRANGE(""https://docs.google.com/spreadsheets/d/1Hx73zIEgVdDZZaYSTc46Dqv64atFhpr3GelxLbaIN8A/edit?usp=sharing"",""หนองบัวลำภู!I84"")"),0)</f>
        <v>0</v>
      </c>
      <c r="Y48" s="88">
        <f ca="1">IFERROR(__xludf.DUMMYFUNCTION("IMPORTRANGE(""https://docs.google.com/spreadsheets/d/1Hx73zIEgVdDZZaYSTc46Dqv64atFhpr3GelxLbaIN8A/edit?usp=sharing"",""หนองบัวลำภู!I85"")"),0)</f>
        <v>0</v>
      </c>
      <c r="Z48" s="92">
        <f ca="1">IFERROR(__xludf.DUMMYFUNCTION("IMPORTRANGE(""https://docs.google.com/spreadsheets/d/1Hx73zIEgVdDZZaYSTc46Dqv64atFhpr3GelxLbaIN8A/edit?usp=sharing"",""หนองบัวลำภู!J84"")"),0)</f>
        <v>0</v>
      </c>
      <c r="AA48" s="92">
        <f ca="1">IFERROR(__xludf.DUMMYFUNCTION("IMPORTRANGE(""https://docs.google.com/spreadsheets/d/1Hx73zIEgVdDZZaYSTc46Dqv64atFhpr3GelxLbaIN8A/edit?usp=sharing"",""หนองบัวลำภู!J85"")"),0)</f>
        <v>0</v>
      </c>
      <c r="AB48" s="88">
        <f ca="1">IFERROR(__xludf.DUMMYFUNCTION("IMPORTRANGE(""https://docs.google.com/spreadsheets/d/1Hx73zIEgVdDZZaYSTc46Dqv64atFhpr3GelxLbaIN8A/edit?usp=sharing"",""หนองบัวลำภู!I86"")"),0)</f>
        <v>0</v>
      </c>
      <c r="AC48" s="88">
        <f ca="1">IFERROR(__xludf.DUMMYFUNCTION("IMPORTRANGE(""https://docs.google.com/spreadsheets/d/1Hx73zIEgVdDZZaYSTc46Dqv64atFhpr3GelxLbaIN8A/edit?usp=sharing"",""หนองบัวลำภู!I87"")"),0)</f>
        <v>0</v>
      </c>
      <c r="AD48" s="92">
        <f ca="1">IFERROR(__xludf.DUMMYFUNCTION("IMPORTRANGE(""https://docs.google.com/spreadsheets/d/1Hx73zIEgVdDZZaYSTc46Dqv64atFhpr3GelxLbaIN8A/edit?usp=sharing"",""หนองบัวลำภู!J86"")"),0)</f>
        <v>0</v>
      </c>
      <c r="AE48" s="92">
        <f ca="1">IFERROR(__xludf.DUMMYFUNCTION("IMPORTRANGE(""https://docs.google.com/spreadsheets/d/1Hx73zIEgVdDZZaYSTc46Dqv64atFhpr3GelxLbaIN8A/edit?usp=sharing"",""หนองบัวลำภู!J87"")"),0)</f>
        <v>0</v>
      </c>
      <c r="AF48" s="88">
        <f ca="1">IFERROR(__xludf.DUMMYFUNCTION("IMPORTRANGE(""https://docs.google.com/spreadsheets/d/1Hx73zIEgVdDZZaYSTc46Dqv64atFhpr3GelxLbaIN8A/edit?usp=sharing"",""หนองบัวลำภู!I88"")"),1)</f>
        <v>1</v>
      </c>
      <c r="AG48" s="88">
        <f ca="1">IFERROR(__xludf.DUMMYFUNCTION("IMPORTRANGE(""https://docs.google.com/spreadsheets/d/1Hx73zIEgVdDZZaYSTc46Dqv64atFhpr3GelxLbaIN8A/edit?usp=sharing"",""หนองบัวลำภู!I89"")"),30)</f>
        <v>30</v>
      </c>
      <c r="AH48" s="92">
        <f ca="1">IFERROR(__xludf.DUMMYFUNCTION("IMPORTRANGE(""https://docs.google.com/spreadsheets/d/1Hx73zIEgVdDZZaYSTc46Dqv64atFhpr3GelxLbaIN8A/edit?usp=sharing"",""หนองบัวลำภู!J88"")"),0)</f>
        <v>0</v>
      </c>
      <c r="AI48" s="92">
        <f ca="1">IFERROR(__xludf.DUMMYFUNCTION("IMPORTRANGE(""https://docs.google.com/spreadsheets/d/1Hx73zIEgVdDZZaYSTc46Dqv64atFhpr3GelxLbaIN8A/edit?usp=sharing"",""หนองบัวลำภู!J89"")"),0)</f>
        <v>0</v>
      </c>
      <c r="AJ48" s="88">
        <f ca="1">IFERROR(__xludf.DUMMYFUNCTION("IMPORTRANGE(""https://docs.google.com/spreadsheets/d/1Hx73zIEgVdDZZaYSTc46Dqv64atFhpr3GelxLbaIN8A/edit?usp=sharing"",""หนองบัวลำภู!I90"")"),1)</f>
        <v>1</v>
      </c>
      <c r="AK48" s="92">
        <f ca="1">IFERROR(__xludf.DUMMYFUNCTION("IMPORTRANGE(""https://docs.google.com/spreadsheets/d/1Hx73zIEgVdDZZaYSTc46Dqv64atFhpr3GelxLbaIN8A/edit?usp=sharing"",""หนองบัวลำภู!J90"")"),0)</f>
        <v>0</v>
      </c>
      <c r="AL48" s="90">
        <f t="shared" ca="1" si="36"/>
        <v>0</v>
      </c>
    </row>
    <row r="49" spans="1:38" ht="21" customHeight="1" x14ac:dyDescent="0.2">
      <c r="A49" s="84">
        <v>18</v>
      </c>
      <c r="B49" s="85" t="s">
        <v>71</v>
      </c>
      <c r="C49" s="86">
        <f t="shared" ca="1" si="23"/>
        <v>0</v>
      </c>
      <c r="D49" s="87">
        <f t="shared" ca="1" si="42"/>
        <v>0</v>
      </c>
      <c r="E49" s="88">
        <f ca="1">IFERROR(__xludf.DUMMYFUNCTION("IMPORTRANGE(""https://docs.google.com/spreadsheets/d/1-uDff_7J0KD5mKrp0Vvzr7lt3OU09vwQwhkpOPPYv2Y/edit?usp=sharing"",""งบพรบ!AN49"")"),0)</f>
        <v>0</v>
      </c>
      <c r="F49" s="88">
        <f ca="1">IFERROR(__xludf.DUMMYFUNCTION("IMPORTRANGE(""https://docs.google.com/spreadsheets/d/1-uDff_7J0KD5mKrp0Vvzr7lt3OU09vwQwhkpOPPYv2Y/edit?usp=sharing"",""งบพรบ!AO49"")"),0)</f>
        <v>0</v>
      </c>
      <c r="G49" s="88">
        <f ca="1">IFERROR(__xludf.DUMMYFUNCTION("IMPORTRANGE(""https://docs.google.com/spreadsheets/d/1-uDff_7J0KD5mKrp0Vvzr7lt3OU09vwQwhkpOPPYv2Y/edit?usp=sharing"",""งบพรบ!AP49"")"),0)</f>
        <v>0</v>
      </c>
      <c r="H49" s="88">
        <f ca="1">IFERROR(__xludf.DUMMYFUNCTION("IMPORTRANGE(""https://docs.google.com/spreadsheets/d/1-uDff_7J0KD5mKrp0Vvzr7lt3OU09vwQwhkpOPPYv2Y/edit?usp=sharing"",""งบพรบ!AR49"")"),0)</f>
        <v>0</v>
      </c>
      <c r="I49" s="88">
        <f ca="1">IFERROR(__xludf.DUMMYFUNCTION("IMPORTRANGE(""https://docs.google.com/spreadsheets/d/1-uDff_7J0KD5mKrp0Vvzr7lt3OU09vwQwhkpOPPYv2Y/edit?usp=sharing"",""งบพรบ!AS49"")"),0)</f>
        <v>0</v>
      </c>
      <c r="J49" s="88">
        <f t="shared" ca="1" si="25"/>
        <v>0</v>
      </c>
      <c r="K49" s="89">
        <f t="shared" ca="1" si="26"/>
        <v>0</v>
      </c>
      <c r="L49" s="88">
        <f ca="1">IFERROR(__xludf.DUMMYFUNCTION("IMPORTRANGE(""https://docs.google.com/spreadsheets/d/1-uDff_7J0KD5mKrp0Vvzr7lt3OU09vwQwhkpOPPYv2Y/edit?usp=sharing"",""งบพรบ!AT49"")"),0)</f>
        <v>0</v>
      </c>
      <c r="M49" s="90">
        <f t="shared" ca="1" si="27"/>
        <v>0</v>
      </c>
      <c r="N49" s="90">
        <f t="shared" ca="1" si="28"/>
        <v>0</v>
      </c>
      <c r="O49" s="91">
        <f ca="1">IFERROR(__xludf.DUMMYFUNCTION("IMPORTRANGE(""https://docs.google.com/spreadsheets/d/1-uDff_7J0KD5mKrp0Vvzr7lt3OU09vwQwhkpOPPYv2Y/edit?usp=sharing"",""งบพรบ!AU49"")"),0)</f>
        <v>0</v>
      </c>
      <c r="P49" s="91">
        <f t="shared" ca="1" si="29"/>
        <v>0</v>
      </c>
      <c r="Q49" s="90">
        <f t="shared" ca="1" si="30"/>
        <v>0</v>
      </c>
      <c r="R49" s="92">
        <f t="shared" ca="1" si="31"/>
        <v>0</v>
      </c>
      <c r="S49" s="92">
        <f t="shared" ca="1" si="32"/>
        <v>0</v>
      </c>
      <c r="T49" s="92">
        <f t="shared" ca="1" si="43"/>
        <v>0</v>
      </c>
      <c r="U49" s="93">
        <f t="shared" ca="1" si="33"/>
        <v>0</v>
      </c>
      <c r="V49" s="92">
        <f t="shared" ca="1" si="44"/>
        <v>0</v>
      </c>
      <c r="W49" s="93">
        <f t="shared" ca="1" si="34"/>
        <v>0</v>
      </c>
      <c r="X49" s="88">
        <f ca="1">IFERROR(__xludf.DUMMYFUNCTION("IMPORTRANGE(""https://docs.google.com/spreadsheets/d/1lFxr3ctmjFN90yc-xV6jrQ9Ty8BKYVBWnAZ15wcNIJc/edit?usp=sharing"",""อำนาจเจริญ!I84"")"),0)</f>
        <v>0</v>
      </c>
      <c r="Y49" s="88">
        <f ca="1">IFERROR(__xludf.DUMMYFUNCTION("IMPORTRANGE(""https://docs.google.com/spreadsheets/d/1lFxr3ctmjFN90yc-xV6jrQ9Ty8BKYVBWnAZ15wcNIJc/edit?usp=sharing"",""อำนาจเจริญ!I85"")"),0)</f>
        <v>0</v>
      </c>
      <c r="Z49" s="92">
        <f ca="1">IFERROR(__xludf.DUMMYFUNCTION("IMPORTRANGE(""https://docs.google.com/spreadsheets/d/1lFxr3ctmjFN90yc-xV6jrQ9Ty8BKYVBWnAZ15wcNIJc/edit?usp=sharing"",""อำนาจเจริญ!J84"")"),0)</f>
        <v>0</v>
      </c>
      <c r="AA49" s="92">
        <f ca="1">IFERROR(__xludf.DUMMYFUNCTION("IMPORTRANGE(""https://docs.google.com/spreadsheets/d/1lFxr3ctmjFN90yc-xV6jrQ9Ty8BKYVBWnAZ15wcNIJc/edit?usp=sharing"",""อำนาจเจริญ!J85"")"),0)</f>
        <v>0</v>
      </c>
      <c r="AB49" s="88">
        <f ca="1">IFERROR(__xludf.DUMMYFUNCTION("IMPORTRANGE(""https://docs.google.com/spreadsheets/d/1lFxr3ctmjFN90yc-xV6jrQ9Ty8BKYVBWnAZ15wcNIJc/edit?usp=sharing"",""อำนาจเจริญ!I86"")"),0)</f>
        <v>0</v>
      </c>
      <c r="AC49" s="88">
        <f ca="1">IFERROR(__xludf.DUMMYFUNCTION("IMPORTRANGE(""https://docs.google.com/spreadsheets/d/1lFxr3ctmjFN90yc-xV6jrQ9Ty8BKYVBWnAZ15wcNIJc/edit?usp=sharing"",""อำนาจเจริญ!I87"")"),0)</f>
        <v>0</v>
      </c>
      <c r="AD49" s="92">
        <f ca="1">IFERROR(__xludf.DUMMYFUNCTION("IMPORTRANGE(""https://docs.google.com/spreadsheets/d/1lFxr3ctmjFN90yc-xV6jrQ9Ty8BKYVBWnAZ15wcNIJc/edit?usp=sharing"",""อำนาจเจริญ!J86"")"),0)</f>
        <v>0</v>
      </c>
      <c r="AE49" s="92">
        <f ca="1">IFERROR(__xludf.DUMMYFUNCTION("IMPORTRANGE(""https://docs.google.com/spreadsheets/d/1lFxr3ctmjFN90yc-xV6jrQ9Ty8BKYVBWnAZ15wcNIJc/edit?usp=sharing"",""อำนาจเจริญ!J87"")"),0)</f>
        <v>0</v>
      </c>
      <c r="AF49" s="88">
        <f ca="1">IFERROR(__xludf.DUMMYFUNCTION("IMPORTRANGE(""https://docs.google.com/spreadsheets/d/1lFxr3ctmjFN90yc-xV6jrQ9Ty8BKYVBWnAZ15wcNIJc/edit?usp=sharing"",""อำนาจเจริญ!I88"")"),0)</f>
        <v>0</v>
      </c>
      <c r="AG49" s="88">
        <f ca="1">IFERROR(__xludf.DUMMYFUNCTION("IMPORTRANGE(""https://docs.google.com/spreadsheets/d/1lFxr3ctmjFN90yc-xV6jrQ9Ty8BKYVBWnAZ15wcNIJc/edit?usp=sharing"",""อำนาจเจริญ!I89"")"),0)</f>
        <v>0</v>
      </c>
      <c r="AH49" s="92">
        <f ca="1">IFERROR(__xludf.DUMMYFUNCTION("IMPORTRANGE(""https://docs.google.com/spreadsheets/d/1lFxr3ctmjFN90yc-xV6jrQ9Ty8BKYVBWnAZ15wcNIJc/edit?usp=sharing"",""อำนาจเจริญ!J88"")"),0)</f>
        <v>0</v>
      </c>
      <c r="AI49" s="92">
        <f ca="1">IFERROR(__xludf.DUMMYFUNCTION("IMPORTRANGE(""https://docs.google.com/spreadsheets/d/1lFxr3ctmjFN90yc-xV6jrQ9Ty8BKYVBWnAZ15wcNIJc/edit?usp=sharing"",""อำนาจเจริญ!J89"")"),0)</f>
        <v>0</v>
      </c>
      <c r="AJ49" s="88">
        <f ca="1">IFERROR(__xludf.DUMMYFUNCTION("IMPORTRANGE(""https://docs.google.com/spreadsheets/d/1lFxr3ctmjFN90yc-xV6jrQ9Ty8BKYVBWnAZ15wcNIJc/edit?usp=sharing"",""อำนาจเจริญ!I90"")"),0)</f>
        <v>0</v>
      </c>
      <c r="AK49" s="92">
        <f ca="1">IFERROR(__xludf.DUMMYFUNCTION("IMPORTRANGE(""https://docs.google.com/spreadsheets/d/1lFxr3ctmjFN90yc-xV6jrQ9Ty8BKYVBWnAZ15wcNIJc/edit?usp=sharing"",""อำนาจเจริญ!J90"")"),0)</f>
        <v>0</v>
      </c>
      <c r="AL49" s="90">
        <f t="shared" ca="1" si="36"/>
        <v>0</v>
      </c>
    </row>
    <row r="50" spans="1:38" ht="21" customHeight="1" x14ac:dyDescent="0.2">
      <c r="A50" s="84">
        <v>19</v>
      </c>
      <c r="B50" s="85" t="s">
        <v>72</v>
      </c>
      <c r="C50" s="86">
        <f t="shared" ca="1" si="23"/>
        <v>573300</v>
      </c>
      <c r="D50" s="87">
        <f t="shared" ca="1" si="42"/>
        <v>573300</v>
      </c>
      <c r="E50" s="88">
        <f ca="1">IFERROR(__xludf.DUMMYFUNCTION("IMPORTRANGE(""https://docs.google.com/spreadsheets/d/1-uDff_7J0KD5mKrp0Vvzr7lt3OU09vwQwhkpOPPYv2Y/edit?usp=sharing"",""งบพรบ!AN50"")"),223300)</f>
        <v>223300</v>
      </c>
      <c r="F50" s="88">
        <f ca="1">IFERROR(__xludf.DUMMYFUNCTION("IMPORTRANGE(""https://docs.google.com/spreadsheets/d/1-uDff_7J0KD5mKrp0Vvzr7lt3OU09vwQwhkpOPPYv2Y/edit?usp=sharing"",""งบพรบ!AO50"")"),350000)</f>
        <v>350000</v>
      </c>
      <c r="G50" s="88">
        <f ca="1">IFERROR(__xludf.DUMMYFUNCTION("IMPORTRANGE(""https://docs.google.com/spreadsheets/d/1-uDff_7J0KD5mKrp0Vvzr7lt3OU09vwQwhkpOPPYv2Y/edit?usp=sharing"",""งบพรบ!AP50"")"),0)</f>
        <v>0</v>
      </c>
      <c r="H50" s="88">
        <f ca="1">IFERROR(__xludf.DUMMYFUNCTION("IMPORTRANGE(""https://docs.google.com/spreadsheets/d/1-uDff_7J0KD5mKrp0Vvzr7lt3OU09vwQwhkpOPPYv2Y/edit?usp=sharing"",""งบพรบ!AR50"")"),509500)</f>
        <v>509500</v>
      </c>
      <c r="I50" s="88">
        <f ca="1">IFERROR(__xludf.DUMMYFUNCTION("IMPORTRANGE(""https://docs.google.com/spreadsheets/d/1-uDff_7J0KD5mKrp0Vvzr7lt3OU09vwQwhkpOPPYv2Y/edit?usp=sharing"",""งบพรบ!AS50"")"),0)</f>
        <v>0</v>
      </c>
      <c r="J50" s="88">
        <f t="shared" ca="1" si="25"/>
        <v>82646.98</v>
      </c>
      <c r="K50" s="89">
        <f t="shared" ca="1" si="26"/>
        <v>14.416009070294784</v>
      </c>
      <c r="L50" s="88">
        <f ca="1">IFERROR(__xludf.DUMMYFUNCTION("IMPORTRANGE(""https://docs.google.com/spreadsheets/d/1-uDff_7J0KD5mKrp0Vvzr7lt3OU09vwQwhkpOPPYv2Y/edit?usp=sharing"",""งบพรบ!AT50"")"),82646.98)</f>
        <v>82646.98</v>
      </c>
      <c r="M50" s="90">
        <f t="shared" ca="1" si="27"/>
        <v>14.416009070294784</v>
      </c>
      <c r="N50" s="90">
        <f t="shared" ca="1" si="28"/>
        <v>16.221193326790971</v>
      </c>
      <c r="O50" s="91">
        <f ca="1">IFERROR(__xludf.DUMMYFUNCTION("IMPORTRANGE(""https://docs.google.com/spreadsheets/d/1-uDff_7J0KD5mKrp0Vvzr7lt3OU09vwQwhkpOPPYv2Y/edit?usp=sharing"",""งบพรบ!AU50"")"),0)</f>
        <v>0</v>
      </c>
      <c r="P50" s="91">
        <f t="shared" ca="1" si="29"/>
        <v>0</v>
      </c>
      <c r="Q50" s="90">
        <f t="shared" ca="1" si="30"/>
        <v>0</v>
      </c>
      <c r="R50" s="92">
        <f t="shared" ca="1" si="31"/>
        <v>1</v>
      </c>
      <c r="S50" s="92">
        <f t="shared" ca="1" si="32"/>
        <v>70</v>
      </c>
      <c r="T50" s="92">
        <f t="shared" ca="1" si="43"/>
        <v>0</v>
      </c>
      <c r="U50" s="93">
        <f t="shared" ca="1" si="33"/>
        <v>0</v>
      </c>
      <c r="V50" s="92">
        <f t="shared" ca="1" si="44"/>
        <v>0</v>
      </c>
      <c r="W50" s="93">
        <f t="shared" ca="1" si="34"/>
        <v>0</v>
      </c>
      <c r="X50" s="88">
        <f ca="1">IFERROR(__xludf.DUMMYFUNCTION("IMPORTRANGE(""https://docs.google.com/spreadsheets/d/1gF7RJpRnL-1oyjyeWxs5SFWEH7y8ahOZsQlyp2A2e-A/edit?usp=sharing"",""อุดรธานี!I84"")"),0)</f>
        <v>0</v>
      </c>
      <c r="Y50" s="88">
        <f ca="1">IFERROR(__xludf.DUMMYFUNCTION("IMPORTRANGE(""https://docs.google.com/spreadsheets/d/1gF7RJpRnL-1oyjyeWxs5SFWEH7y8ahOZsQlyp2A2e-A/edit?usp=sharing"",""อุดรธานี!I85"")"),0)</f>
        <v>0</v>
      </c>
      <c r="Z50" s="92">
        <f ca="1">IFERROR(__xludf.DUMMYFUNCTION("IMPORTRANGE(""https://docs.google.com/spreadsheets/d/1gF7RJpRnL-1oyjyeWxs5SFWEH7y8ahOZsQlyp2A2e-A/edit?usp=sharing"",""อุดรธานี!J84"")"),0)</f>
        <v>0</v>
      </c>
      <c r="AA50" s="92">
        <f ca="1">IFERROR(__xludf.DUMMYFUNCTION("IMPORTRANGE(""https://docs.google.com/spreadsheets/d/1gF7RJpRnL-1oyjyeWxs5SFWEH7y8ahOZsQlyp2A2e-A/edit?usp=sharing"",""อุดรธานี!J85"")"),0)</f>
        <v>0</v>
      </c>
      <c r="AB50" s="88">
        <f ca="1">IFERROR(__xludf.DUMMYFUNCTION("IMPORTRANGE(""https://docs.google.com/spreadsheets/d/1gF7RJpRnL-1oyjyeWxs5SFWEH7y8ahOZsQlyp2A2e-A/edit?usp=sharing"",""อุดรธานี!I86"")"),0)</f>
        <v>0</v>
      </c>
      <c r="AC50" s="88">
        <f ca="1">IFERROR(__xludf.DUMMYFUNCTION("IMPORTRANGE(""https://docs.google.com/spreadsheets/d/1gF7RJpRnL-1oyjyeWxs5SFWEH7y8ahOZsQlyp2A2e-A/edit?usp=sharing"",""อุดรธานี!I87"")"),0)</f>
        <v>0</v>
      </c>
      <c r="AD50" s="92">
        <f ca="1">IFERROR(__xludf.DUMMYFUNCTION("IMPORTRANGE(""https://docs.google.com/spreadsheets/d/1gF7RJpRnL-1oyjyeWxs5SFWEH7y8ahOZsQlyp2A2e-A/edit?usp=sharing"",""อุดรธานี!J86"")"),0)</f>
        <v>0</v>
      </c>
      <c r="AE50" s="92">
        <f ca="1">IFERROR(__xludf.DUMMYFUNCTION("IMPORTRANGE(""https://docs.google.com/spreadsheets/d/1gF7RJpRnL-1oyjyeWxs5SFWEH7y8ahOZsQlyp2A2e-A/edit?usp=sharing"",""อุดรธานี!J87"")"),0)</f>
        <v>0</v>
      </c>
      <c r="AF50" s="88">
        <f ca="1">IFERROR(__xludf.DUMMYFUNCTION("IMPORTRANGE(""https://docs.google.com/spreadsheets/d/1gF7RJpRnL-1oyjyeWxs5SFWEH7y8ahOZsQlyp2A2e-A/edit?usp=sharing"",""อุดรธานี!I88"")"),1)</f>
        <v>1</v>
      </c>
      <c r="AG50" s="88">
        <f ca="1">IFERROR(__xludf.DUMMYFUNCTION("IMPORTRANGE(""https://docs.google.com/spreadsheets/d/1gF7RJpRnL-1oyjyeWxs5SFWEH7y8ahOZsQlyp2A2e-A/edit?usp=sharing"",""อุดรธานี!I89"")"),70)</f>
        <v>70</v>
      </c>
      <c r="AH50" s="92">
        <f ca="1">IFERROR(__xludf.DUMMYFUNCTION("IMPORTRANGE(""https://docs.google.com/spreadsheets/d/1gF7RJpRnL-1oyjyeWxs5SFWEH7y8ahOZsQlyp2A2e-A/edit?usp=sharing"",""อุดรธานี!J88"")"),0)</f>
        <v>0</v>
      </c>
      <c r="AI50" s="92">
        <f ca="1">IFERROR(__xludf.DUMMYFUNCTION("IMPORTRANGE(""https://docs.google.com/spreadsheets/d/1gF7RJpRnL-1oyjyeWxs5SFWEH7y8ahOZsQlyp2A2e-A/edit?usp=sharing"",""อุดรธานี!J89"")"),0)</f>
        <v>0</v>
      </c>
      <c r="AJ50" s="88">
        <f ca="1">IFERROR(__xludf.DUMMYFUNCTION("IMPORTRANGE(""https://docs.google.com/spreadsheets/d/1gF7RJpRnL-1oyjyeWxs5SFWEH7y8ahOZsQlyp2A2e-A/edit?usp=sharing"",""อุดรธานี!I90"")"),1)</f>
        <v>1</v>
      </c>
      <c r="AK50" s="92">
        <f ca="1">IFERROR(__xludf.DUMMYFUNCTION("IMPORTRANGE(""https://docs.google.com/spreadsheets/d/1gF7RJpRnL-1oyjyeWxs5SFWEH7y8ahOZsQlyp2A2e-A/edit?usp=sharing"",""อุดรธานี!J90"")"),0)</f>
        <v>0</v>
      </c>
      <c r="AL50" s="90">
        <f t="shared" ca="1" si="36"/>
        <v>0</v>
      </c>
    </row>
    <row r="51" spans="1:38" ht="21" customHeight="1" x14ac:dyDescent="0.2">
      <c r="A51" s="95">
        <v>20</v>
      </c>
      <c r="B51" s="96" t="s">
        <v>73</v>
      </c>
      <c r="C51" s="97">
        <f t="shared" ca="1" si="23"/>
        <v>0</v>
      </c>
      <c r="D51" s="98">
        <f t="shared" ca="1" si="42"/>
        <v>0</v>
      </c>
      <c r="E51" s="99">
        <f ca="1">IFERROR(__xludf.DUMMYFUNCTION("IMPORTRANGE(""https://docs.google.com/spreadsheets/d/1-uDff_7J0KD5mKrp0Vvzr7lt3OU09vwQwhkpOPPYv2Y/edit?usp=sharing"",""งบพรบ!AN51"")"),0)</f>
        <v>0</v>
      </c>
      <c r="F51" s="99">
        <f ca="1">IFERROR(__xludf.DUMMYFUNCTION("IMPORTRANGE(""https://docs.google.com/spreadsheets/d/1-uDff_7J0KD5mKrp0Vvzr7lt3OU09vwQwhkpOPPYv2Y/edit?usp=sharing"",""งบพรบ!AO51"")"),0)</f>
        <v>0</v>
      </c>
      <c r="G51" s="99">
        <f ca="1">IFERROR(__xludf.DUMMYFUNCTION("IMPORTRANGE(""https://docs.google.com/spreadsheets/d/1-uDff_7J0KD5mKrp0Vvzr7lt3OU09vwQwhkpOPPYv2Y/edit?usp=sharing"",""งบพรบ!AP51"")"),0)</f>
        <v>0</v>
      </c>
      <c r="H51" s="99">
        <f ca="1">IFERROR(__xludf.DUMMYFUNCTION("IMPORTRANGE(""https://docs.google.com/spreadsheets/d/1-uDff_7J0KD5mKrp0Vvzr7lt3OU09vwQwhkpOPPYv2Y/edit?usp=sharing"",""งบพรบ!AR51"")"),0)</f>
        <v>0</v>
      </c>
      <c r="I51" s="99">
        <f ca="1">IFERROR(__xludf.DUMMYFUNCTION("IMPORTRANGE(""https://docs.google.com/spreadsheets/d/1-uDff_7J0KD5mKrp0Vvzr7lt3OU09vwQwhkpOPPYv2Y/edit?usp=sharing"",""งบพรบ!AS51"")"),0)</f>
        <v>0</v>
      </c>
      <c r="J51" s="99">
        <f t="shared" ca="1" si="25"/>
        <v>0</v>
      </c>
      <c r="K51" s="100">
        <f t="shared" ca="1" si="26"/>
        <v>0</v>
      </c>
      <c r="L51" s="99">
        <f ca="1">IFERROR(__xludf.DUMMYFUNCTION("IMPORTRANGE(""https://docs.google.com/spreadsheets/d/1-uDff_7J0KD5mKrp0Vvzr7lt3OU09vwQwhkpOPPYv2Y/edit?usp=sharing"",""งบพรบ!AT51"")"),0)</f>
        <v>0</v>
      </c>
      <c r="M51" s="101">
        <f t="shared" ca="1" si="27"/>
        <v>0</v>
      </c>
      <c r="N51" s="101">
        <f t="shared" ca="1" si="28"/>
        <v>0</v>
      </c>
      <c r="O51" s="102">
        <f ca="1">IFERROR(__xludf.DUMMYFUNCTION("IMPORTRANGE(""https://docs.google.com/spreadsheets/d/1-uDff_7J0KD5mKrp0Vvzr7lt3OU09vwQwhkpOPPYv2Y/edit?usp=sharing"",""งบพรบ!AU51"")"),0)</f>
        <v>0</v>
      </c>
      <c r="P51" s="102">
        <f t="shared" ca="1" si="29"/>
        <v>0</v>
      </c>
      <c r="Q51" s="101">
        <f t="shared" ca="1" si="30"/>
        <v>0</v>
      </c>
      <c r="R51" s="103">
        <f t="shared" ca="1" si="31"/>
        <v>0</v>
      </c>
      <c r="S51" s="103">
        <f t="shared" ca="1" si="32"/>
        <v>0</v>
      </c>
      <c r="T51" s="103">
        <f t="shared" ca="1" si="43"/>
        <v>0</v>
      </c>
      <c r="U51" s="104">
        <f t="shared" ca="1" si="33"/>
        <v>0</v>
      </c>
      <c r="V51" s="103">
        <f t="shared" ca="1" si="44"/>
        <v>0</v>
      </c>
      <c r="W51" s="104">
        <f t="shared" ca="1" si="34"/>
        <v>0</v>
      </c>
      <c r="X51" s="99">
        <f ca="1">IFERROR(__xludf.DUMMYFUNCTION("IMPORTRANGE(""https://docs.google.com/spreadsheets/d/1kfLP0j3INXRa8bTDpcEmoWewMBV61jlFlfzczfjWIgc/edit?usp=sharing"",""อุบลราชธานี!I84"")"),0)</f>
        <v>0</v>
      </c>
      <c r="Y51" s="99">
        <f ca="1">IFERROR(__xludf.DUMMYFUNCTION("IMPORTRANGE(""https://docs.google.com/spreadsheets/d/1kfLP0j3INXRa8bTDpcEmoWewMBV61jlFlfzczfjWIgc/edit?usp=sharing"",""อุบลราชธานี!I85"")"),0)</f>
        <v>0</v>
      </c>
      <c r="Z51" s="103">
        <f ca="1">IFERROR(__xludf.DUMMYFUNCTION("IMPORTRANGE(""https://docs.google.com/spreadsheets/d/1kfLP0j3INXRa8bTDpcEmoWewMBV61jlFlfzczfjWIgc/edit?usp=sharing"",""อุบลราชธานี!J84"")"),0)</f>
        <v>0</v>
      </c>
      <c r="AA51" s="103">
        <f ca="1">IFERROR(__xludf.DUMMYFUNCTION("IMPORTRANGE(""https://docs.google.com/spreadsheets/d/1kfLP0j3INXRa8bTDpcEmoWewMBV61jlFlfzczfjWIgc/edit?usp=sharing"",""อุบลราชธานี!J85"")"),0)</f>
        <v>0</v>
      </c>
      <c r="AB51" s="99">
        <f ca="1">IFERROR(__xludf.DUMMYFUNCTION("IMPORTRANGE(""https://docs.google.com/spreadsheets/d/1kfLP0j3INXRa8bTDpcEmoWewMBV61jlFlfzczfjWIgc/edit?usp=sharing"",""อุบลราชธานี!I86"")"),0)</f>
        <v>0</v>
      </c>
      <c r="AC51" s="99">
        <f ca="1">IFERROR(__xludf.DUMMYFUNCTION("IMPORTRANGE(""https://docs.google.com/spreadsheets/d/1kfLP0j3INXRa8bTDpcEmoWewMBV61jlFlfzczfjWIgc/edit?usp=sharing"",""อุบลราชธานี!I87"")"),0)</f>
        <v>0</v>
      </c>
      <c r="AD51" s="103">
        <f ca="1">IFERROR(__xludf.DUMMYFUNCTION("IMPORTRANGE(""https://docs.google.com/spreadsheets/d/1kfLP0j3INXRa8bTDpcEmoWewMBV61jlFlfzczfjWIgc/edit?usp=sharing"",""อุบลราชธานี!J86"")"),0)</f>
        <v>0</v>
      </c>
      <c r="AE51" s="103">
        <f ca="1">IFERROR(__xludf.DUMMYFUNCTION("IMPORTRANGE(""https://docs.google.com/spreadsheets/d/1kfLP0j3INXRa8bTDpcEmoWewMBV61jlFlfzczfjWIgc/edit?usp=sharing"",""อุบลราชธานี!J87"")"),0)</f>
        <v>0</v>
      </c>
      <c r="AF51" s="99">
        <f ca="1">IFERROR(__xludf.DUMMYFUNCTION("IMPORTRANGE(""https://docs.google.com/spreadsheets/d/1kfLP0j3INXRa8bTDpcEmoWewMBV61jlFlfzczfjWIgc/edit?usp=sharing"",""อุบลราชธานี!I88"")"),0)</f>
        <v>0</v>
      </c>
      <c r="AG51" s="99">
        <f ca="1">IFERROR(__xludf.DUMMYFUNCTION("IMPORTRANGE(""https://docs.google.com/spreadsheets/d/1kfLP0j3INXRa8bTDpcEmoWewMBV61jlFlfzczfjWIgc/edit?usp=sharing"",""อุบลราชธานี!I89"")"),0)</f>
        <v>0</v>
      </c>
      <c r="AH51" s="103">
        <f ca="1">IFERROR(__xludf.DUMMYFUNCTION("IMPORTRANGE(""https://docs.google.com/spreadsheets/d/1kfLP0j3INXRa8bTDpcEmoWewMBV61jlFlfzczfjWIgc/edit?usp=sharing"",""อุบลราชธานี!J88"")"),0)</f>
        <v>0</v>
      </c>
      <c r="AI51" s="103">
        <f ca="1">IFERROR(__xludf.DUMMYFUNCTION("IMPORTRANGE(""https://docs.google.com/spreadsheets/d/1kfLP0j3INXRa8bTDpcEmoWewMBV61jlFlfzczfjWIgc/edit?usp=sharing"",""อุบลราชธานี!J89"")"),0)</f>
        <v>0</v>
      </c>
      <c r="AJ51" s="99">
        <f ca="1">IFERROR(__xludf.DUMMYFUNCTION("IMPORTRANGE(""https://docs.google.com/spreadsheets/d/1kfLP0j3INXRa8bTDpcEmoWewMBV61jlFlfzczfjWIgc/edit?usp=sharing"",""อุบลราชธานี!I90"")"),0)</f>
        <v>0</v>
      </c>
      <c r="AK51" s="103">
        <f ca="1">IFERROR(__xludf.DUMMYFUNCTION("IMPORTRANGE(""https://docs.google.com/spreadsheets/d/1kfLP0j3INXRa8bTDpcEmoWewMBV61jlFlfzczfjWIgc/edit?usp=sharing"",""อุบลราชธานี!J90"")"),0)</f>
        <v>0</v>
      </c>
      <c r="AL51" s="101">
        <f t="shared" ca="1" si="36"/>
        <v>0</v>
      </c>
    </row>
    <row r="52" spans="1:38" ht="21" customHeight="1" x14ac:dyDescent="0.2">
      <c r="A52" s="397" t="s">
        <v>74</v>
      </c>
      <c r="B52" s="396"/>
      <c r="C52" s="105">
        <f t="shared" ca="1" si="23"/>
        <v>1206300</v>
      </c>
      <c r="D52" s="68">
        <f t="shared" ref="D52:I52" ca="1" si="45">SUM(D53:D73)</f>
        <v>1206300</v>
      </c>
      <c r="E52" s="68">
        <f t="shared" ca="1" si="45"/>
        <v>562300</v>
      </c>
      <c r="F52" s="68">
        <f t="shared" ca="1" si="45"/>
        <v>644000</v>
      </c>
      <c r="G52" s="68">
        <f t="shared" ca="1" si="45"/>
        <v>0</v>
      </c>
      <c r="H52" s="68">
        <f t="shared" ca="1" si="45"/>
        <v>1046000</v>
      </c>
      <c r="I52" s="68">
        <f t="shared" ca="1" si="45"/>
        <v>0</v>
      </c>
      <c r="J52" s="68">
        <f t="shared" ca="1" si="25"/>
        <v>210667.46</v>
      </c>
      <c r="K52" s="106">
        <f t="shared" ca="1" si="26"/>
        <v>17.463936002652741</v>
      </c>
      <c r="L52" s="68">
        <f ca="1">SUM(L53:L73)</f>
        <v>210667.46</v>
      </c>
      <c r="M52" s="107">
        <f t="shared" ca="1" si="27"/>
        <v>17.463936002652741</v>
      </c>
      <c r="N52" s="107">
        <f t="shared" ca="1" si="28"/>
        <v>20.140292543021033</v>
      </c>
      <c r="O52" s="108">
        <f ca="1">SUM(O53:O73)</f>
        <v>0</v>
      </c>
      <c r="P52" s="108">
        <f t="shared" ca="1" si="29"/>
        <v>0</v>
      </c>
      <c r="Q52" s="107">
        <f t="shared" ca="1" si="30"/>
        <v>0</v>
      </c>
      <c r="R52" s="68">
        <f t="shared" ca="1" si="31"/>
        <v>2</v>
      </c>
      <c r="S52" s="68">
        <f t="shared" ca="1" si="32"/>
        <v>120</v>
      </c>
      <c r="T52" s="68">
        <f ca="1">SUM(T53:T73)</f>
        <v>0</v>
      </c>
      <c r="U52" s="107">
        <f t="shared" ca="1" si="33"/>
        <v>0</v>
      </c>
      <c r="V52" s="68">
        <f ca="1">SUM(V53:V73)</f>
        <v>0</v>
      </c>
      <c r="W52" s="107">
        <f t="shared" ca="1" si="34"/>
        <v>0</v>
      </c>
      <c r="X52" s="68">
        <f t="shared" ref="X52:AK52" ca="1" si="46">SUM(X53:X73)</f>
        <v>0</v>
      </c>
      <c r="Y52" s="68">
        <f t="shared" ca="1" si="46"/>
        <v>0</v>
      </c>
      <c r="Z52" s="68">
        <f t="shared" ca="1" si="46"/>
        <v>0</v>
      </c>
      <c r="AA52" s="68">
        <f t="shared" ca="1" si="46"/>
        <v>0</v>
      </c>
      <c r="AB52" s="68">
        <f t="shared" ca="1" si="46"/>
        <v>0</v>
      </c>
      <c r="AC52" s="68">
        <f t="shared" ca="1" si="46"/>
        <v>0</v>
      </c>
      <c r="AD52" s="68">
        <f t="shared" ca="1" si="46"/>
        <v>0</v>
      </c>
      <c r="AE52" s="68">
        <f t="shared" ca="1" si="46"/>
        <v>0</v>
      </c>
      <c r="AF52" s="68">
        <f t="shared" ca="1" si="46"/>
        <v>2</v>
      </c>
      <c r="AG52" s="68">
        <f t="shared" ca="1" si="46"/>
        <v>120</v>
      </c>
      <c r="AH52" s="68">
        <f t="shared" ca="1" si="46"/>
        <v>0</v>
      </c>
      <c r="AI52" s="68">
        <f t="shared" ca="1" si="46"/>
        <v>0</v>
      </c>
      <c r="AJ52" s="68">
        <f t="shared" ca="1" si="46"/>
        <v>2</v>
      </c>
      <c r="AK52" s="68">
        <f t="shared" ca="1" si="46"/>
        <v>0</v>
      </c>
      <c r="AL52" s="107">
        <f t="shared" ca="1" si="36"/>
        <v>0</v>
      </c>
    </row>
    <row r="53" spans="1:38" ht="21" customHeight="1" x14ac:dyDescent="0.2">
      <c r="A53" s="74">
        <v>1</v>
      </c>
      <c r="B53" s="75" t="s">
        <v>75</v>
      </c>
      <c r="C53" s="109">
        <f t="shared" ca="1" si="23"/>
        <v>0</v>
      </c>
      <c r="D53" s="77">
        <f t="shared" ref="D53:D73" ca="1" si="47">+E53+F53</f>
        <v>0</v>
      </c>
      <c r="E53" s="78">
        <f ca="1">IFERROR(__xludf.DUMMYFUNCTION("IMPORTRANGE(""https://docs.google.com/spreadsheets/d/1-uDff_7J0KD5mKrp0Vvzr7lt3OU09vwQwhkpOPPYv2Y/edit?usp=sharing"",""งบพรบ!AN53"")"),0)</f>
        <v>0</v>
      </c>
      <c r="F53" s="78">
        <f ca="1">IFERROR(__xludf.DUMMYFUNCTION("IMPORTRANGE(""https://docs.google.com/spreadsheets/d/1-uDff_7J0KD5mKrp0Vvzr7lt3OU09vwQwhkpOPPYv2Y/edit?usp=sharing"",""งบพรบ!AO53"")"),0)</f>
        <v>0</v>
      </c>
      <c r="G53" s="79">
        <f ca="1">IFERROR(__xludf.DUMMYFUNCTION("IMPORTRANGE(""https://docs.google.com/spreadsheets/d/1-uDff_7J0KD5mKrp0Vvzr7lt3OU09vwQwhkpOPPYv2Y/edit?usp=sharing"",""งบพรบ!AP53"")"),0)</f>
        <v>0</v>
      </c>
      <c r="H53" s="79">
        <f ca="1">IFERROR(__xludf.DUMMYFUNCTION("IMPORTRANGE(""https://docs.google.com/spreadsheets/d/1-uDff_7J0KD5mKrp0Vvzr7lt3OU09vwQwhkpOPPYv2Y/edit?usp=sharing"",""งบพรบ!AR53"")"),0)</f>
        <v>0</v>
      </c>
      <c r="I53" s="79">
        <f ca="1">IFERROR(__xludf.DUMMYFUNCTION("IMPORTRANGE(""https://docs.google.com/spreadsheets/d/1-uDff_7J0KD5mKrp0Vvzr7lt3OU09vwQwhkpOPPYv2Y/edit?usp=sharing"",""งบพรบ!AS53"")"),0)</f>
        <v>0</v>
      </c>
      <c r="J53" s="79">
        <f t="shared" ca="1" si="25"/>
        <v>0</v>
      </c>
      <c r="K53" s="80">
        <f t="shared" ca="1" si="26"/>
        <v>0</v>
      </c>
      <c r="L53" s="79">
        <f ca="1">IFERROR(__xludf.DUMMYFUNCTION("IMPORTRANGE(""https://docs.google.com/spreadsheets/d/1-uDff_7J0KD5mKrp0Vvzr7lt3OU09vwQwhkpOPPYv2Y/edit?usp=sharing"",""งบพรบ!AT53"")"),0)</f>
        <v>0</v>
      </c>
      <c r="M53" s="81">
        <f t="shared" ca="1" si="27"/>
        <v>0</v>
      </c>
      <c r="N53" s="81">
        <f t="shared" ca="1" si="28"/>
        <v>0</v>
      </c>
      <c r="O53" s="82">
        <f ca="1">IFERROR(__xludf.DUMMYFUNCTION("IMPORTRANGE(""https://docs.google.com/spreadsheets/d/1-uDff_7J0KD5mKrp0Vvzr7lt3OU09vwQwhkpOPPYv2Y/edit?usp=sharing"",""งบพรบ!AU53"")"),0)</f>
        <v>0</v>
      </c>
      <c r="P53" s="82">
        <f t="shared" ca="1" si="29"/>
        <v>0</v>
      </c>
      <c r="Q53" s="81">
        <f t="shared" ca="1" si="30"/>
        <v>0</v>
      </c>
      <c r="R53" s="79">
        <f t="shared" ca="1" si="31"/>
        <v>0</v>
      </c>
      <c r="S53" s="79">
        <f t="shared" ca="1" si="32"/>
        <v>0</v>
      </c>
      <c r="T53" s="79">
        <f t="shared" ref="T53:T73" ca="1" si="48">Z53+AD53+AH53</f>
        <v>0</v>
      </c>
      <c r="U53" s="83">
        <f t="shared" ca="1" si="33"/>
        <v>0</v>
      </c>
      <c r="V53" s="79">
        <f t="shared" ref="V53:V73" ca="1" si="49">AA53+AE53+AI53</f>
        <v>0</v>
      </c>
      <c r="W53" s="83">
        <f t="shared" ca="1" si="34"/>
        <v>0</v>
      </c>
      <c r="X53" s="78">
        <f ca="1">IFERROR(__xludf.DUMMYFUNCTION("IMPORTRANGE(""https://docs.google.com/spreadsheets/d/13wPX838HrBrQMCywv1BsuMkt4PEKTChp52zj44s2izQ/edit?usp=sharing"",""กาญจนบุรี!I84"")"),0)</f>
        <v>0</v>
      </c>
      <c r="Y53" s="78">
        <f ca="1">IFERROR(__xludf.DUMMYFUNCTION("IMPORTRANGE(""https://docs.google.com/spreadsheets/d/13wPX838HrBrQMCywv1BsuMkt4PEKTChp52zj44s2izQ/edit?usp=sharing"",""กาญจนบุรี!I85"")"),0)</f>
        <v>0</v>
      </c>
      <c r="Z53" s="79">
        <f ca="1">IFERROR(__xludf.DUMMYFUNCTION("IMPORTRANGE(""https://docs.google.com/spreadsheets/d/13wPX838HrBrQMCywv1BsuMkt4PEKTChp52zj44s2izQ/edit?usp=sharing"",""กาญจนบุรี!J84"")"),0)</f>
        <v>0</v>
      </c>
      <c r="AA53" s="79">
        <f ca="1">IFERROR(__xludf.DUMMYFUNCTION("IMPORTRANGE(""https://docs.google.com/spreadsheets/d/13wPX838HrBrQMCywv1BsuMkt4PEKTChp52zj44s2izQ/edit?usp=sharing"",""กาญจนบุรี!J85"")"),0)</f>
        <v>0</v>
      </c>
      <c r="AB53" s="78">
        <f ca="1">IFERROR(__xludf.DUMMYFUNCTION("IMPORTRANGE(""https://docs.google.com/spreadsheets/d/13wPX838HrBrQMCywv1BsuMkt4PEKTChp52zj44s2izQ/edit?usp=sharing"",""กาญจนบุรี!I86"")"),0)</f>
        <v>0</v>
      </c>
      <c r="AC53" s="78">
        <f ca="1">IFERROR(__xludf.DUMMYFUNCTION("IMPORTRANGE(""https://docs.google.com/spreadsheets/d/13wPX838HrBrQMCywv1BsuMkt4PEKTChp52zj44s2izQ/edit?usp=sharing"",""กาญจนบุรี!I87"")"),0)</f>
        <v>0</v>
      </c>
      <c r="AD53" s="79">
        <f ca="1">IFERROR(__xludf.DUMMYFUNCTION("IMPORTRANGE(""https://docs.google.com/spreadsheets/d/13wPX838HrBrQMCywv1BsuMkt4PEKTChp52zj44s2izQ/edit?usp=sharing"",""กาญจนบุรี!J86"")"),0)</f>
        <v>0</v>
      </c>
      <c r="AE53" s="79">
        <f ca="1">IFERROR(__xludf.DUMMYFUNCTION("IMPORTRANGE(""https://docs.google.com/spreadsheets/d/13wPX838HrBrQMCywv1BsuMkt4PEKTChp52zj44s2izQ/edit?usp=sharing"",""กาญจนบุรี!J87"")"),0)</f>
        <v>0</v>
      </c>
      <c r="AF53" s="78">
        <f ca="1">IFERROR(__xludf.DUMMYFUNCTION("IMPORTRANGE(""https://docs.google.com/spreadsheets/d/13wPX838HrBrQMCywv1BsuMkt4PEKTChp52zj44s2izQ/edit?usp=sharing"",""กาญจนบุรี!I88"")"),0)</f>
        <v>0</v>
      </c>
      <c r="AG53" s="78">
        <f ca="1">IFERROR(__xludf.DUMMYFUNCTION("IMPORTRANGE(""https://docs.google.com/spreadsheets/d/13wPX838HrBrQMCywv1BsuMkt4PEKTChp52zj44s2izQ/edit?usp=sharing"",""กาญจนบุรี!I89"")"),0)</f>
        <v>0</v>
      </c>
      <c r="AH53" s="79">
        <f ca="1">IFERROR(__xludf.DUMMYFUNCTION("IMPORTRANGE(""https://docs.google.com/spreadsheets/d/13wPX838HrBrQMCywv1BsuMkt4PEKTChp52zj44s2izQ/edit?usp=sharing"",""กาญจนบุรี!J88"")"),0)</f>
        <v>0</v>
      </c>
      <c r="AI53" s="79">
        <f ca="1">IFERROR(__xludf.DUMMYFUNCTION("IMPORTRANGE(""https://docs.google.com/spreadsheets/d/13wPX838HrBrQMCywv1BsuMkt4PEKTChp52zj44s2izQ/edit?usp=sharing"",""กาญจนบุรี!J89"")"),0)</f>
        <v>0</v>
      </c>
      <c r="AJ53" s="78">
        <f ca="1">IFERROR(__xludf.DUMMYFUNCTION("IMPORTRANGE(""https://docs.google.com/spreadsheets/d/13wPX838HrBrQMCywv1BsuMkt4PEKTChp52zj44s2izQ/edit?usp=sharing"",""กาญจนบุรี!I90"")"),0)</f>
        <v>0</v>
      </c>
      <c r="AK53" s="79">
        <f ca="1">IFERROR(__xludf.DUMMYFUNCTION("IMPORTRANGE(""https://docs.google.com/spreadsheets/d/13wPX838HrBrQMCywv1BsuMkt4PEKTChp52zj44s2izQ/edit?usp=sharing"",""กาญจนบุรี!J90"")"),0)</f>
        <v>0</v>
      </c>
      <c r="AL53" s="81">
        <f t="shared" ca="1" si="36"/>
        <v>0</v>
      </c>
    </row>
    <row r="54" spans="1:38" ht="21" customHeight="1" x14ac:dyDescent="0.2">
      <c r="A54" s="84">
        <v>2</v>
      </c>
      <c r="B54" s="85" t="s">
        <v>76</v>
      </c>
      <c r="C54" s="86">
        <f t="shared" ca="1" si="23"/>
        <v>0</v>
      </c>
      <c r="D54" s="87">
        <f t="shared" ca="1" si="47"/>
        <v>0</v>
      </c>
      <c r="E54" s="88">
        <f ca="1">IFERROR(__xludf.DUMMYFUNCTION("IMPORTRANGE(""https://docs.google.com/spreadsheets/d/1-uDff_7J0KD5mKrp0Vvzr7lt3OU09vwQwhkpOPPYv2Y/edit?usp=sharing"",""งบพรบ!AN54"")"),0)</f>
        <v>0</v>
      </c>
      <c r="F54" s="88">
        <f ca="1">IFERROR(__xludf.DUMMYFUNCTION("IMPORTRANGE(""https://docs.google.com/spreadsheets/d/1-uDff_7J0KD5mKrp0Vvzr7lt3OU09vwQwhkpOPPYv2Y/edit?usp=sharing"",""งบพรบ!AO54"")"),0)</f>
        <v>0</v>
      </c>
      <c r="G54" s="88">
        <f ca="1">IFERROR(__xludf.DUMMYFUNCTION("IMPORTRANGE(""https://docs.google.com/spreadsheets/d/1-uDff_7J0KD5mKrp0Vvzr7lt3OU09vwQwhkpOPPYv2Y/edit?usp=sharing"",""งบพรบ!AP54"")"),0)</f>
        <v>0</v>
      </c>
      <c r="H54" s="88">
        <f ca="1">IFERROR(__xludf.DUMMYFUNCTION("IMPORTRANGE(""https://docs.google.com/spreadsheets/d/1-uDff_7J0KD5mKrp0Vvzr7lt3OU09vwQwhkpOPPYv2Y/edit?usp=sharing"",""งบพรบ!AR54"")"),0)</f>
        <v>0</v>
      </c>
      <c r="I54" s="88">
        <f ca="1">IFERROR(__xludf.DUMMYFUNCTION("IMPORTRANGE(""https://docs.google.com/spreadsheets/d/1-uDff_7J0KD5mKrp0Vvzr7lt3OU09vwQwhkpOPPYv2Y/edit?usp=sharing"",""งบพรบ!AS54"")"),0)</f>
        <v>0</v>
      </c>
      <c r="J54" s="88">
        <f t="shared" ca="1" si="25"/>
        <v>0</v>
      </c>
      <c r="K54" s="89">
        <f t="shared" ca="1" si="26"/>
        <v>0</v>
      </c>
      <c r="L54" s="88">
        <f ca="1">IFERROR(__xludf.DUMMYFUNCTION("IMPORTRANGE(""https://docs.google.com/spreadsheets/d/1-uDff_7J0KD5mKrp0Vvzr7lt3OU09vwQwhkpOPPYv2Y/edit?usp=sharing"",""งบพรบ!AT54"")"),0)</f>
        <v>0</v>
      </c>
      <c r="M54" s="90">
        <f t="shared" ca="1" si="27"/>
        <v>0</v>
      </c>
      <c r="N54" s="90">
        <f t="shared" ca="1" si="28"/>
        <v>0</v>
      </c>
      <c r="O54" s="91">
        <f ca="1">IFERROR(__xludf.DUMMYFUNCTION("IMPORTRANGE(""https://docs.google.com/spreadsheets/d/1-uDff_7J0KD5mKrp0Vvzr7lt3OU09vwQwhkpOPPYv2Y/edit?usp=sharing"",""งบพรบ!AU54"")"),0)</f>
        <v>0</v>
      </c>
      <c r="P54" s="91">
        <f t="shared" ca="1" si="29"/>
        <v>0</v>
      </c>
      <c r="Q54" s="90">
        <f t="shared" ca="1" si="30"/>
        <v>0</v>
      </c>
      <c r="R54" s="92">
        <f t="shared" ca="1" si="31"/>
        <v>0</v>
      </c>
      <c r="S54" s="92">
        <f t="shared" ca="1" si="32"/>
        <v>0</v>
      </c>
      <c r="T54" s="92">
        <f t="shared" ca="1" si="48"/>
        <v>0</v>
      </c>
      <c r="U54" s="93">
        <f t="shared" ca="1" si="33"/>
        <v>0</v>
      </c>
      <c r="V54" s="92">
        <f t="shared" ca="1" si="49"/>
        <v>0</v>
      </c>
      <c r="W54" s="93">
        <f t="shared" ca="1" si="34"/>
        <v>0</v>
      </c>
      <c r="X54" s="88">
        <f ca="1">IFERROR(__xludf.DUMMYFUNCTION("IMPORTRANGE(""https://docs.google.com/spreadsheets/d/1ddFKvqj1W1NEiWytbGlB1zMx_ykJDVtmfEQ-6-lIUBA/edit?usp=sharing"",""จันทบุรี!I84"")"),0)</f>
        <v>0</v>
      </c>
      <c r="Y54" s="88">
        <f ca="1">IFERROR(__xludf.DUMMYFUNCTION("IMPORTRANGE(""https://docs.google.com/spreadsheets/d/1ddFKvqj1W1NEiWytbGlB1zMx_ykJDVtmfEQ-6-lIUBA/edit?usp=sharing"",""จันทบุรี!I85"")"),0)</f>
        <v>0</v>
      </c>
      <c r="Z54" s="92">
        <f ca="1">IFERROR(__xludf.DUMMYFUNCTION("IMPORTRANGE(""https://docs.google.com/spreadsheets/d/1ddFKvqj1W1NEiWytbGlB1zMx_ykJDVtmfEQ-6-lIUBA/edit?usp=sharing"",""จันทบุรี!J84"")"),0)</f>
        <v>0</v>
      </c>
      <c r="AA54" s="92">
        <f ca="1">IFERROR(__xludf.DUMMYFUNCTION("IMPORTRANGE(""https://docs.google.com/spreadsheets/d/1ddFKvqj1W1NEiWytbGlB1zMx_ykJDVtmfEQ-6-lIUBA/edit?usp=sharing"",""จันทบุรี!J85"")"),0)</f>
        <v>0</v>
      </c>
      <c r="AB54" s="88">
        <f ca="1">IFERROR(__xludf.DUMMYFUNCTION("IMPORTRANGE(""https://docs.google.com/spreadsheets/d/1ddFKvqj1W1NEiWytbGlB1zMx_ykJDVtmfEQ-6-lIUBA/edit?usp=sharing"",""จันทบุรี!I86"")"),0)</f>
        <v>0</v>
      </c>
      <c r="AC54" s="88">
        <f ca="1">IFERROR(__xludf.DUMMYFUNCTION("IMPORTRANGE(""https://docs.google.com/spreadsheets/d/1ddFKvqj1W1NEiWytbGlB1zMx_ykJDVtmfEQ-6-lIUBA/edit?usp=sharing"",""จันทบุรี!I87"")"),0)</f>
        <v>0</v>
      </c>
      <c r="AD54" s="92">
        <f ca="1">IFERROR(__xludf.DUMMYFUNCTION("IMPORTRANGE(""https://docs.google.com/spreadsheets/d/1ddFKvqj1W1NEiWytbGlB1zMx_ykJDVtmfEQ-6-lIUBA/edit?usp=sharing"",""จันทบุรี!J86"")"),0)</f>
        <v>0</v>
      </c>
      <c r="AE54" s="92">
        <f ca="1">IFERROR(__xludf.DUMMYFUNCTION("IMPORTRANGE(""https://docs.google.com/spreadsheets/d/1ddFKvqj1W1NEiWytbGlB1zMx_ykJDVtmfEQ-6-lIUBA/edit?usp=sharing"",""จันทบุรี!J87"")"),0)</f>
        <v>0</v>
      </c>
      <c r="AF54" s="88">
        <f ca="1">IFERROR(__xludf.DUMMYFUNCTION("IMPORTRANGE(""https://docs.google.com/spreadsheets/d/1ddFKvqj1W1NEiWytbGlB1zMx_ykJDVtmfEQ-6-lIUBA/edit?usp=sharing"",""จันทบุรี!I88"")"),0)</f>
        <v>0</v>
      </c>
      <c r="AG54" s="88">
        <f ca="1">IFERROR(__xludf.DUMMYFUNCTION("IMPORTRANGE(""https://docs.google.com/spreadsheets/d/1ddFKvqj1W1NEiWytbGlB1zMx_ykJDVtmfEQ-6-lIUBA/edit?usp=sharing"",""จันทบุรี!I89"")"),0)</f>
        <v>0</v>
      </c>
      <c r="AH54" s="92">
        <f ca="1">IFERROR(__xludf.DUMMYFUNCTION("IMPORTRANGE(""https://docs.google.com/spreadsheets/d/1ddFKvqj1W1NEiWytbGlB1zMx_ykJDVtmfEQ-6-lIUBA/edit?usp=sharing"",""จันทบุรี!J88"")"),0)</f>
        <v>0</v>
      </c>
      <c r="AI54" s="92">
        <f ca="1">IFERROR(__xludf.DUMMYFUNCTION("IMPORTRANGE(""https://docs.google.com/spreadsheets/d/1ddFKvqj1W1NEiWytbGlB1zMx_ykJDVtmfEQ-6-lIUBA/edit?usp=sharing"",""จันทบุรี!J89"")"),0)</f>
        <v>0</v>
      </c>
      <c r="AJ54" s="88">
        <f ca="1">IFERROR(__xludf.DUMMYFUNCTION("IMPORTRANGE(""https://docs.google.com/spreadsheets/d/1ddFKvqj1W1NEiWytbGlB1zMx_ykJDVtmfEQ-6-lIUBA/edit?usp=sharing"",""จันทบุรี!I90"")"),0)</f>
        <v>0</v>
      </c>
      <c r="AK54" s="92">
        <f ca="1">IFERROR(__xludf.DUMMYFUNCTION("IMPORTRANGE(""https://docs.google.com/spreadsheets/d/1ddFKvqj1W1NEiWytbGlB1zMx_ykJDVtmfEQ-6-lIUBA/edit?usp=sharing"",""จันทบุรี!J90"")"),0)</f>
        <v>0</v>
      </c>
      <c r="AL54" s="90">
        <f t="shared" ca="1" si="36"/>
        <v>0</v>
      </c>
    </row>
    <row r="55" spans="1:38" ht="21" customHeight="1" x14ac:dyDescent="0.2">
      <c r="A55" s="84">
        <v>3</v>
      </c>
      <c r="B55" s="85" t="s">
        <v>77</v>
      </c>
      <c r="C55" s="86">
        <f t="shared" ca="1" si="23"/>
        <v>0</v>
      </c>
      <c r="D55" s="87">
        <f t="shared" ca="1" si="47"/>
        <v>0</v>
      </c>
      <c r="E55" s="88">
        <f ca="1">IFERROR(__xludf.DUMMYFUNCTION("IMPORTRANGE(""https://docs.google.com/spreadsheets/d/1-uDff_7J0KD5mKrp0Vvzr7lt3OU09vwQwhkpOPPYv2Y/edit?usp=sharing"",""งบพรบ!AN55"")"),0)</f>
        <v>0</v>
      </c>
      <c r="F55" s="88">
        <f ca="1">IFERROR(__xludf.DUMMYFUNCTION("IMPORTRANGE(""https://docs.google.com/spreadsheets/d/1-uDff_7J0KD5mKrp0Vvzr7lt3OU09vwQwhkpOPPYv2Y/edit?usp=sharing"",""งบพรบ!AO55"")"),0)</f>
        <v>0</v>
      </c>
      <c r="G55" s="88">
        <f ca="1">IFERROR(__xludf.DUMMYFUNCTION("IMPORTRANGE(""https://docs.google.com/spreadsheets/d/1-uDff_7J0KD5mKrp0Vvzr7lt3OU09vwQwhkpOPPYv2Y/edit?usp=sharing"",""งบพรบ!AP55"")"),0)</f>
        <v>0</v>
      </c>
      <c r="H55" s="88">
        <f ca="1">IFERROR(__xludf.DUMMYFUNCTION("IMPORTRANGE(""https://docs.google.com/spreadsheets/d/1-uDff_7J0KD5mKrp0Vvzr7lt3OU09vwQwhkpOPPYv2Y/edit?usp=sharing"",""งบพรบ!AR55"")"),0)</f>
        <v>0</v>
      </c>
      <c r="I55" s="88">
        <f ca="1">IFERROR(__xludf.DUMMYFUNCTION("IMPORTRANGE(""https://docs.google.com/spreadsheets/d/1-uDff_7J0KD5mKrp0Vvzr7lt3OU09vwQwhkpOPPYv2Y/edit?usp=sharing"",""งบพรบ!AS55"")"),0)</f>
        <v>0</v>
      </c>
      <c r="J55" s="88">
        <f t="shared" ca="1" si="25"/>
        <v>0</v>
      </c>
      <c r="K55" s="89">
        <f t="shared" ca="1" si="26"/>
        <v>0</v>
      </c>
      <c r="L55" s="88">
        <f ca="1">IFERROR(__xludf.DUMMYFUNCTION("IMPORTRANGE(""https://docs.google.com/spreadsheets/d/1-uDff_7J0KD5mKrp0Vvzr7lt3OU09vwQwhkpOPPYv2Y/edit?usp=sharing"",""งบพรบ!AT55"")"),0)</f>
        <v>0</v>
      </c>
      <c r="M55" s="90">
        <f t="shared" ca="1" si="27"/>
        <v>0</v>
      </c>
      <c r="N55" s="90">
        <f t="shared" ca="1" si="28"/>
        <v>0</v>
      </c>
      <c r="O55" s="91">
        <f ca="1">IFERROR(__xludf.DUMMYFUNCTION("IMPORTRANGE(""https://docs.google.com/spreadsheets/d/1-uDff_7J0KD5mKrp0Vvzr7lt3OU09vwQwhkpOPPYv2Y/edit?usp=sharing"",""งบพรบ!AU55"")"),0)</f>
        <v>0</v>
      </c>
      <c r="P55" s="91">
        <f t="shared" ca="1" si="29"/>
        <v>0</v>
      </c>
      <c r="Q55" s="90">
        <f t="shared" ca="1" si="30"/>
        <v>0</v>
      </c>
      <c r="R55" s="92">
        <f t="shared" ca="1" si="31"/>
        <v>0</v>
      </c>
      <c r="S55" s="92">
        <f t="shared" ca="1" si="32"/>
        <v>0</v>
      </c>
      <c r="T55" s="92">
        <f t="shared" ca="1" si="48"/>
        <v>0</v>
      </c>
      <c r="U55" s="93">
        <f t="shared" ca="1" si="33"/>
        <v>0</v>
      </c>
      <c r="V55" s="92">
        <f t="shared" ca="1" si="49"/>
        <v>0</v>
      </c>
      <c r="W55" s="93">
        <f t="shared" ca="1" si="34"/>
        <v>0</v>
      </c>
      <c r="X55" s="88">
        <f ca="1">IFERROR(__xludf.DUMMYFUNCTION("IMPORTRANGE(""https://docs.google.com/spreadsheets/d/1T1PQvRODqOBZk8BRht_U031fIS1beLA0Ub2CEytj2q0/edit?usp=sharing"",""ฉะเชิงเทรา!I84"")"),0)</f>
        <v>0</v>
      </c>
      <c r="Y55" s="88">
        <f ca="1">IFERROR(__xludf.DUMMYFUNCTION("IMPORTRANGE(""https://docs.google.com/spreadsheets/d/1T1PQvRODqOBZk8BRht_U031fIS1beLA0Ub2CEytj2q0/edit?usp=sharing"",""ฉะเชิงเทรา!I85"")"),0)</f>
        <v>0</v>
      </c>
      <c r="Z55" s="92">
        <f ca="1">IFERROR(__xludf.DUMMYFUNCTION("IMPORTRANGE(""https://docs.google.com/spreadsheets/d/1T1PQvRODqOBZk8BRht_U031fIS1beLA0Ub2CEytj2q0/edit?usp=sharing"",""ฉะเชิงเทรา!J84"")"),0)</f>
        <v>0</v>
      </c>
      <c r="AA55" s="92">
        <f ca="1">IFERROR(__xludf.DUMMYFUNCTION("IMPORTRANGE(""https://docs.google.com/spreadsheets/d/1T1PQvRODqOBZk8BRht_U031fIS1beLA0Ub2CEytj2q0/edit?usp=sharing"",""ฉะเชิงเทรา!J85"")"),0)</f>
        <v>0</v>
      </c>
      <c r="AB55" s="88">
        <f ca="1">IFERROR(__xludf.DUMMYFUNCTION("IMPORTRANGE(""https://docs.google.com/spreadsheets/d/1T1PQvRODqOBZk8BRht_U031fIS1beLA0Ub2CEytj2q0/edit?usp=sharing"",""ฉะเชิงเทรา!I86"")"),0)</f>
        <v>0</v>
      </c>
      <c r="AC55" s="88">
        <f ca="1">IFERROR(__xludf.DUMMYFUNCTION("IMPORTRANGE(""https://docs.google.com/spreadsheets/d/1T1PQvRODqOBZk8BRht_U031fIS1beLA0Ub2CEytj2q0/edit?usp=sharing"",""ฉะเชิงเทรา!I87"")"),0)</f>
        <v>0</v>
      </c>
      <c r="AD55" s="92">
        <f ca="1">IFERROR(__xludf.DUMMYFUNCTION("IMPORTRANGE(""https://docs.google.com/spreadsheets/d/1T1PQvRODqOBZk8BRht_U031fIS1beLA0Ub2CEytj2q0/edit?usp=sharing"",""ฉะเชิงเทรา!J86"")"),0)</f>
        <v>0</v>
      </c>
      <c r="AE55" s="92">
        <f ca="1">IFERROR(__xludf.DUMMYFUNCTION("IMPORTRANGE(""https://docs.google.com/spreadsheets/d/1T1PQvRODqOBZk8BRht_U031fIS1beLA0Ub2CEytj2q0/edit?usp=sharing"",""ฉะเชิงเทรา!J87"")"),0)</f>
        <v>0</v>
      </c>
      <c r="AF55" s="88">
        <f ca="1">IFERROR(__xludf.DUMMYFUNCTION("IMPORTRANGE(""https://docs.google.com/spreadsheets/d/1T1PQvRODqOBZk8BRht_U031fIS1beLA0Ub2CEytj2q0/edit?usp=sharing"",""ฉะเชิงเทรา!I88"")"),0)</f>
        <v>0</v>
      </c>
      <c r="AG55" s="88">
        <f ca="1">IFERROR(__xludf.DUMMYFUNCTION("IMPORTRANGE(""https://docs.google.com/spreadsheets/d/1T1PQvRODqOBZk8BRht_U031fIS1beLA0Ub2CEytj2q0/edit?usp=sharing"",""ฉะเชิงเทรา!I89"")"),0)</f>
        <v>0</v>
      </c>
      <c r="AH55" s="92">
        <f ca="1">IFERROR(__xludf.DUMMYFUNCTION("IMPORTRANGE(""https://docs.google.com/spreadsheets/d/1T1PQvRODqOBZk8BRht_U031fIS1beLA0Ub2CEytj2q0/edit?usp=sharing"",""ฉะเชิงเทรา!J88"")"),0)</f>
        <v>0</v>
      </c>
      <c r="AI55" s="92">
        <f ca="1">IFERROR(__xludf.DUMMYFUNCTION("IMPORTRANGE(""https://docs.google.com/spreadsheets/d/1T1PQvRODqOBZk8BRht_U031fIS1beLA0Ub2CEytj2q0/edit?usp=sharing"",""ฉะเชิงเทรา!J89"")"),0)</f>
        <v>0</v>
      </c>
      <c r="AJ55" s="88">
        <f ca="1">IFERROR(__xludf.DUMMYFUNCTION("IMPORTRANGE(""https://docs.google.com/spreadsheets/d/1T1PQvRODqOBZk8BRht_U031fIS1beLA0Ub2CEytj2q0/edit?usp=sharing"",""ฉะเชิงเทรา!I90"")"),0)</f>
        <v>0</v>
      </c>
      <c r="AK55" s="92">
        <f ca="1">IFERROR(__xludf.DUMMYFUNCTION("IMPORTRANGE(""https://docs.google.com/spreadsheets/d/1T1PQvRODqOBZk8BRht_U031fIS1beLA0Ub2CEytj2q0/edit?usp=sharing"",""ฉะเชิงเทรา!J90"")"),0)</f>
        <v>0</v>
      </c>
      <c r="AL55" s="90">
        <f t="shared" ca="1" si="36"/>
        <v>0</v>
      </c>
    </row>
    <row r="56" spans="1:38" ht="21" customHeight="1" x14ac:dyDescent="0.2">
      <c r="A56" s="84">
        <v>4</v>
      </c>
      <c r="B56" s="85" t="s">
        <v>78</v>
      </c>
      <c r="C56" s="86">
        <f t="shared" ca="1" si="23"/>
        <v>0</v>
      </c>
      <c r="D56" s="87">
        <f t="shared" ca="1" si="47"/>
        <v>0</v>
      </c>
      <c r="E56" s="88">
        <f ca="1">IFERROR(__xludf.DUMMYFUNCTION("IMPORTRANGE(""https://docs.google.com/spreadsheets/d/1-uDff_7J0KD5mKrp0Vvzr7lt3OU09vwQwhkpOPPYv2Y/edit?usp=sharing"",""งบพรบ!AN56"")"),0)</f>
        <v>0</v>
      </c>
      <c r="F56" s="88">
        <f ca="1">IFERROR(__xludf.DUMMYFUNCTION("IMPORTRANGE(""https://docs.google.com/spreadsheets/d/1-uDff_7J0KD5mKrp0Vvzr7lt3OU09vwQwhkpOPPYv2Y/edit?usp=sharing"",""งบพรบ!AO56"")"),0)</f>
        <v>0</v>
      </c>
      <c r="G56" s="88">
        <f ca="1">IFERROR(__xludf.DUMMYFUNCTION("IMPORTRANGE(""https://docs.google.com/spreadsheets/d/1-uDff_7J0KD5mKrp0Vvzr7lt3OU09vwQwhkpOPPYv2Y/edit?usp=sharing"",""งบพรบ!AP56"")"),0)</f>
        <v>0</v>
      </c>
      <c r="H56" s="88">
        <f ca="1">IFERROR(__xludf.DUMMYFUNCTION("IMPORTRANGE(""https://docs.google.com/spreadsheets/d/1-uDff_7J0KD5mKrp0Vvzr7lt3OU09vwQwhkpOPPYv2Y/edit?usp=sharing"",""งบพรบ!AR56"")"),0)</f>
        <v>0</v>
      </c>
      <c r="I56" s="88">
        <f ca="1">IFERROR(__xludf.DUMMYFUNCTION("IMPORTRANGE(""https://docs.google.com/spreadsheets/d/1-uDff_7J0KD5mKrp0Vvzr7lt3OU09vwQwhkpOPPYv2Y/edit?usp=sharing"",""งบพรบ!AS56"")"),0)</f>
        <v>0</v>
      </c>
      <c r="J56" s="88">
        <f t="shared" ca="1" si="25"/>
        <v>0</v>
      </c>
      <c r="K56" s="89">
        <f t="shared" ca="1" si="26"/>
        <v>0</v>
      </c>
      <c r="L56" s="88">
        <f ca="1">IFERROR(__xludf.DUMMYFUNCTION("IMPORTRANGE(""https://docs.google.com/spreadsheets/d/1-uDff_7J0KD5mKrp0Vvzr7lt3OU09vwQwhkpOPPYv2Y/edit?usp=sharing"",""งบพรบ!AT56"")"),0)</f>
        <v>0</v>
      </c>
      <c r="M56" s="90">
        <f t="shared" ca="1" si="27"/>
        <v>0</v>
      </c>
      <c r="N56" s="90">
        <f t="shared" ca="1" si="28"/>
        <v>0</v>
      </c>
      <c r="O56" s="91">
        <f ca="1">IFERROR(__xludf.DUMMYFUNCTION("IMPORTRANGE(""https://docs.google.com/spreadsheets/d/1-uDff_7J0KD5mKrp0Vvzr7lt3OU09vwQwhkpOPPYv2Y/edit?usp=sharing"",""งบพรบ!AU56"")"),0)</f>
        <v>0</v>
      </c>
      <c r="P56" s="91">
        <f t="shared" ca="1" si="29"/>
        <v>0</v>
      </c>
      <c r="Q56" s="90">
        <f t="shared" ca="1" si="30"/>
        <v>0</v>
      </c>
      <c r="R56" s="92">
        <f t="shared" ca="1" si="31"/>
        <v>0</v>
      </c>
      <c r="S56" s="92">
        <f t="shared" ca="1" si="32"/>
        <v>0</v>
      </c>
      <c r="T56" s="92">
        <f t="shared" ca="1" si="48"/>
        <v>0</v>
      </c>
      <c r="U56" s="93">
        <f t="shared" ca="1" si="33"/>
        <v>0</v>
      </c>
      <c r="V56" s="92">
        <f t="shared" ca="1" si="49"/>
        <v>0</v>
      </c>
      <c r="W56" s="93">
        <f t="shared" ca="1" si="34"/>
        <v>0</v>
      </c>
      <c r="X56" s="88">
        <f ca="1">IFERROR(__xludf.DUMMYFUNCTION("IMPORTRANGE(""https://docs.google.com/spreadsheets/d/11tr1B-Bhyr79v2bkwVh5h_fR-PStkgjlZtkrZpYurG0/edit?usp=sharing"",""ชลบุรี!I84"")"),0)</f>
        <v>0</v>
      </c>
      <c r="Y56" s="88">
        <f ca="1">IFERROR(__xludf.DUMMYFUNCTION("IMPORTRANGE(""https://docs.google.com/spreadsheets/d/11tr1B-Bhyr79v2bkwVh5h_fR-PStkgjlZtkrZpYurG0/edit?usp=sharing"",""ชลบุรี!I85"")"),0)</f>
        <v>0</v>
      </c>
      <c r="Z56" s="92">
        <f ca="1">IFERROR(__xludf.DUMMYFUNCTION("IMPORTRANGE(""https://docs.google.com/spreadsheets/d/11tr1B-Bhyr79v2bkwVh5h_fR-PStkgjlZtkrZpYurG0/edit?usp=sharing"",""ชลบุรี!J84"")"),0)</f>
        <v>0</v>
      </c>
      <c r="AA56" s="92">
        <f ca="1">IFERROR(__xludf.DUMMYFUNCTION("IMPORTRANGE(""https://docs.google.com/spreadsheets/d/11tr1B-Bhyr79v2bkwVh5h_fR-PStkgjlZtkrZpYurG0/edit?usp=sharing"",""ชลบุรี!J85"")"),0)</f>
        <v>0</v>
      </c>
      <c r="AB56" s="88">
        <f ca="1">IFERROR(__xludf.DUMMYFUNCTION("IMPORTRANGE(""https://docs.google.com/spreadsheets/d/11tr1B-Bhyr79v2bkwVh5h_fR-PStkgjlZtkrZpYurG0/edit?usp=sharing"",""ชลบุรี!I86"")"),0)</f>
        <v>0</v>
      </c>
      <c r="AC56" s="88">
        <f ca="1">IFERROR(__xludf.DUMMYFUNCTION("IMPORTRANGE(""https://docs.google.com/spreadsheets/d/11tr1B-Bhyr79v2bkwVh5h_fR-PStkgjlZtkrZpYurG0/edit?usp=sharing"",""ชลบุรี!I87"")"),0)</f>
        <v>0</v>
      </c>
      <c r="AD56" s="92">
        <f ca="1">IFERROR(__xludf.DUMMYFUNCTION("IMPORTRANGE(""https://docs.google.com/spreadsheets/d/11tr1B-Bhyr79v2bkwVh5h_fR-PStkgjlZtkrZpYurG0/edit?usp=sharing"",""ชลบุรี!J86"")"),0)</f>
        <v>0</v>
      </c>
      <c r="AE56" s="92">
        <f ca="1">IFERROR(__xludf.DUMMYFUNCTION("IMPORTRANGE(""https://docs.google.com/spreadsheets/d/11tr1B-Bhyr79v2bkwVh5h_fR-PStkgjlZtkrZpYurG0/edit?usp=sharing"",""ชลบุรี!J87"")"),0)</f>
        <v>0</v>
      </c>
      <c r="AF56" s="88">
        <f ca="1">IFERROR(__xludf.DUMMYFUNCTION("IMPORTRANGE(""https://docs.google.com/spreadsheets/d/11tr1B-Bhyr79v2bkwVh5h_fR-PStkgjlZtkrZpYurG0/edit?usp=sharing"",""ชลบุรี!I88"")"),0)</f>
        <v>0</v>
      </c>
      <c r="AG56" s="88">
        <f ca="1">IFERROR(__xludf.DUMMYFUNCTION("IMPORTRANGE(""https://docs.google.com/spreadsheets/d/11tr1B-Bhyr79v2bkwVh5h_fR-PStkgjlZtkrZpYurG0/edit?usp=sharing"",""ชลบุรี!I89"")"),0)</f>
        <v>0</v>
      </c>
      <c r="AH56" s="92">
        <f ca="1">IFERROR(__xludf.DUMMYFUNCTION("IMPORTRANGE(""https://docs.google.com/spreadsheets/d/11tr1B-Bhyr79v2bkwVh5h_fR-PStkgjlZtkrZpYurG0/edit?usp=sharing"",""ชลบุรี!J88"")"),0)</f>
        <v>0</v>
      </c>
      <c r="AI56" s="92">
        <f ca="1">IFERROR(__xludf.DUMMYFUNCTION("IMPORTRANGE(""https://docs.google.com/spreadsheets/d/11tr1B-Bhyr79v2bkwVh5h_fR-PStkgjlZtkrZpYurG0/edit?usp=sharing"",""ชลบุรี!J89"")"),0)</f>
        <v>0</v>
      </c>
      <c r="AJ56" s="88">
        <f ca="1">IFERROR(__xludf.DUMMYFUNCTION("IMPORTRANGE(""https://docs.google.com/spreadsheets/d/11tr1B-Bhyr79v2bkwVh5h_fR-PStkgjlZtkrZpYurG0/edit?usp=sharing"",""ชลบุรี!I90"")"),0)</f>
        <v>0</v>
      </c>
      <c r="AK56" s="92">
        <f ca="1">IFERROR(__xludf.DUMMYFUNCTION("IMPORTRANGE(""https://docs.google.com/spreadsheets/d/11tr1B-Bhyr79v2bkwVh5h_fR-PStkgjlZtkrZpYurG0/edit?usp=sharing"",""ชลบุรี!J90"")"),0)</f>
        <v>0</v>
      </c>
      <c r="AL56" s="90">
        <f t="shared" ca="1" si="36"/>
        <v>0</v>
      </c>
    </row>
    <row r="57" spans="1:38" ht="21" customHeight="1" x14ac:dyDescent="0.2">
      <c r="A57" s="84">
        <v>5</v>
      </c>
      <c r="B57" s="85" t="s">
        <v>79</v>
      </c>
      <c r="C57" s="86">
        <f t="shared" ca="1" si="23"/>
        <v>0</v>
      </c>
      <c r="D57" s="87">
        <f t="shared" ca="1" si="47"/>
        <v>0</v>
      </c>
      <c r="E57" s="88">
        <f ca="1">IFERROR(__xludf.DUMMYFUNCTION("IMPORTRANGE(""https://docs.google.com/spreadsheets/d/1-uDff_7J0KD5mKrp0Vvzr7lt3OU09vwQwhkpOPPYv2Y/edit?usp=sharing"",""งบพรบ!AN57"")"),0)</f>
        <v>0</v>
      </c>
      <c r="F57" s="88">
        <f ca="1">IFERROR(__xludf.DUMMYFUNCTION("IMPORTRANGE(""https://docs.google.com/spreadsheets/d/1-uDff_7J0KD5mKrp0Vvzr7lt3OU09vwQwhkpOPPYv2Y/edit?usp=sharing"",""งบพรบ!AO57"")"),0)</f>
        <v>0</v>
      </c>
      <c r="G57" s="88">
        <f ca="1">IFERROR(__xludf.DUMMYFUNCTION("IMPORTRANGE(""https://docs.google.com/spreadsheets/d/1-uDff_7J0KD5mKrp0Vvzr7lt3OU09vwQwhkpOPPYv2Y/edit?usp=sharing"",""งบพรบ!AP57"")"),0)</f>
        <v>0</v>
      </c>
      <c r="H57" s="88">
        <f ca="1">IFERROR(__xludf.DUMMYFUNCTION("IMPORTRANGE(""https://docs.google.com/spreadsheets/d/1-uDff_7J0KD5mKrp0Vvzr7lt3OU09vwQwhkpOPPYv2Y/edit?usp=sharing"",""งบพรบ!AR57"")"),0)</f>
        <v>0</v>
      </c>
      <c r="I57" s="88">
        <f ca="1">IFERROR(__xludf.DUMMYFUNCTION("IMPORTRANGE(""https://docs.google.com/spreadsheets/d/1-uDff_7J0KD5mKrp0Vvzr7lt3OU09vwQwhkpOPPYv2Y/edit?usp=sharing"",""งบพรบ!AS57"")"),0)</f>
        <v>0</v>
      </c>
      <c r="J57" s="88">
        <f t="shared" ca="1" si="25"/>
        <v>0</v>
      </c>
      <c r="K57" s="89">
        <f t="shared" ca="1" si="26"/>
        <v>0</v>
      </c>
      <c r="L57" s="88">
        <f ca="1">IFERROR(__xludf.DUMMYFUNCTION("IMPORTRANGE(""https://docs.google.com/spreadsheets/d/1-uDff_7J0KD5mKrp0Vvzr7lt3OU09vwQwhkpOPPYv2Y/edit?usp=sharing"",""งบพรบ!AT57"")"),0)</f>
        <v>0</v>
      </c>
      <c r="M57" s="90">
        <f t="shared" ca="1" si="27"/>
        <v>0</v>
      </c>
      <c r="N57" s="90">
        <f t="shared" ca="1" si="28"/>
        <v>0</v>
      </c>
      <c r="O57" s="91">
        <f ca="1">IFERROR(__xludf.DUMMYFUNCTION("IMPORTRANGE(""https://docs.google.com/spreadsheets/d/1-uDff_7J0KD5mKrp0Vvzr7lt3OU09vwQwhkpOPPYv2Y/edit?usp=sharing"",""งบพรบ!AU57"")"),0)</f>
        <v>0</v>
      </c>
      <c r="P57" s="91">
        <f t="shared" ca="1" si="29"/>
        <v>0</v>
      </c>
      <c r="Q57" s="90">
        <f t="shared" ca="1" si="30"/>
        <v>0</v>
      </c>
      <c r="R57" s="92">
        <f t="shared" ca="1" si="31"/>
        <v>0</v>
      </c>
      <c r="S57" s="92">
        <f t="shared" ca="1" si="32"/>
        <v>0</v>
      </c>
      <c r="T57" s="92">
        <f t="shared" ca="1" si="48"/>
        <v>0</v>
      </c>
      <c r="U57" s="93">
        <f t="shared" ca="1" si="33"/>
        <v>0</v>
      </c>
      <c r="V57" s="92">
        <f t="shared" ca="1" si="49"/>
        <v>0</v>
      </c>
      <c r="W57" s="93">
        <f t="shared" ca="1" si="34"/>
        <v>0</v>
      </c>
      <c r="X57" s="88">
        <f ca="1">IFERROR(__xludf.DUMMYFUNCTION("IMPORTRANGE(""https://docs.google.com/spreadsheets/d/1hh-FVnSX0vozXhGluamEcS54Dw9_zqW0N7qJUWgJ0Sw/edit?usp=sharing"",""ชัยนาท!I84"")"),0)</f>
        <v>0</v>
      </c>
      <c r="Y57" s="88">
        <f ca="1">IFERROR(__xludf.DUMMYFUNCTION("IMPORTRANGE(""https://docs.google.com/spreadsheets/d/1hh-FVnSX0vozXhGluamEcS54Dw9_zqW0N7qJUWgJ0Sw/edit?usp=sharing"",""ชัยนาท!I85"")"),0)</f>
        <v>0</v>
      </c>
      <c r="Z57" s="92">
        <f ca="1">IFERROR(__xludf.DUMMYFUNCTION("IMPORTRANGE(""https://docs.google.com/spreadsheets/d/1hh-FVnSX0vozXhGluamEcS54Dw9_zqW0N7qJUWgJ0Sw/edit?usp=sharing"",""ชัยนาท!J84"")"),0)</f>
        <v>0</v>
      </c>
      <c r="AA57" s="92">
        <f ca="1">IFERROR(__xludf.DUMMYFUNCTION("IMPORTRANGE(""https://docs.google.com/spreadsheets/d/1hh-FVnSX0vozXhGluamEcS54Dw9_zqW0N7qJUWgJ0Sw/edit?usp=sharing"",""ชัยนาท!J85"")"),0)</f>
        <v>0</v>
      </c>
      <c r="AB57" s="88">
        <f ca="1">IFERROR(__xludf.DUMMYFUNCTION("IMPORTRANGE(""https://docs.google.com/spreadsheets/d/1hh-FVnSX0vozXhGluamEcS54Dw9_zqW0N7qJUWgJ0Sw/edit?usp=sharing"",""ชัยนาท!I86"")"),0)</f>
        <v>0</v>
      </c>
      <c r="AC57" s="88">
        <f ca="1">IFERROR(__xludf.DUMMYFUNCTION("IMPORTRANGE(""https://docs.google.com/spreadsheets/d/1hh-FVnSX0vozXhGluamEcS54Dw9_zqW0N7qJUWgJ0Sw/edit?usp=sharing"",""ชัยนาท!I87"")"),0)</f>
        <v>0</v>
      </c>
      <c r="AD57" s="92">
        <f ca="1">IFERROR(__xludf.DUMMYFUNCTION("IMPORTRANGE(""https://docs.google.com/spreadsheets/d/1hh-FVnSX0vozXhGluamEcS54Dw9_zqW0N7qJUWgJ0Sw/edit?usp=sharing"",""ชัยนาท!J86"")"),0)</f>
        <v>0</v>
      </c>
      <c r="AE57" s="92">
        <f ca="1">IFERROR(__xludf.DUMMYFUNCTION("IMPORTRANGE(""https://docs.google.com/spreadsheets/d/1hh-FVnSX0vozXhGluamEcS54Dw9_zqW0N7qJUWgJ0Sw/edit?usp=sharing"",""ชัยนาท!J87"")"),0)</f>
        <v>0</v>
      </c>
      <c r="AF57" s="88">
        <f ca="1">IFERROR(__xludf.DUMMYFUNCTION("IMPORTRANGE(""https://docs.google.com/spreadsheets/d/1hh-FVnSX0vozXhGluamEcS54Dw9_zqW0N7qJUWgJ0Sw/edit?usp=sharing"",""ชัยนาท!I88"")"),0)</f>
        <v>0</v>
      </c>
      <c r="AG57" s="88">
        <f ca="1">IFERROR(__xludf.DUMMYFUNCTION("IMPORTRANGE(""https://docs.google.com/spreadsheets/d/1hh-FVnSX0vozXhGluamEcS54Dw9_zqW0N7qJUWgJ0Sw/edit?usp=sharing"",""ชัยนาท!I89"")"),0)</f>
        <v>0</v>
      </c>
      <c r="AH57" s="92">
        <f ca="1">IFERROR(__xludf.DUMMYFUNCTION("IMPORTRANGE(""https://docs.google.com/spreadsheets/d/1hh-FVnSX0vozXhGluamEcS54Dw9_zqW0N7qJUWgJ0Sw/edit?usp=sharing"",""ชัยนาท!J88"")"),0)</f>
        <v>0</v>
      </c>
      <c r="AI57" s="92">
        <f ca="1">IFERROR(__xludf.DUMMYFUNCTION("IMPORTRANGE(""https://docs.google.com/spreadsheets/d/1hh-FVnSX0vozXhGluamEcS54Dw9_zqW0N7qJUWgJ0Sw/edit?usp=sharing"",""ชัยนาท!J89"")"),0)</f>
        <v>0</v>
      </c>
      <c r="AJ57" s="88">
        <f ca="1">IFERROR(__xludf.DUMMYFUNCTION("IMPORTRANGE(""https://docs.google.com/spreadsheets/d/1hh-FVnSX0vozXhGluamEcS54Dw9_zqW0N7qJUWgJ0Sw/edit?usp=sharing"",""ชัยนาท!I90"")"),0)</f>
        <v>0</v>
      </c>
      <c r="AK57" s="92">
        <f ca="1">IFERROR(__xludf.DUMMYFUNCTION("IMPORTRANGE(""https://docs.google.com/spreadsheets/d/1hh-FVnSX0vozXhGluamEcS54Dw9_zqW0N7qJUWgJ0Sw/edit?usp=sharing"",""ชัยนาท!J90"")"),0)</f>
        <v>0</v>
      </c>
      <c r="AL57" s="90">
        <f t="shared" ca="1" si="36"/>
        <v>0</v>
      </c>
    </row>
    <row r="58" spans="1:38" ht="21" customHeight="1" x14ac:dyDescent="0.2">
      <c r="A58" s="84">
        <v>6</v>
      </c>
      <c r="B58" s="85" t="s">
        <v>80</v>
      </c>
      <c r="C58" s="86">
        <f t="shared" ca="1" si="23"/>
        <v>0</v>
      </c>
      <c r="D58" s="87">
        <f t="shared" ca="1" si="47"/>
        <v>0</v>
      </c>
      <c r="E58" s="88">
        <f ca="1">IFERROR(__xludf.DUMMYFUNCTION("IMPORTRANGE(""https://docs.google.com/spreadsheets/d/1-uDff_7J0KD5mKrp0Vvzr7lt3OU09vwQwhkpOPPYv2Y/edit?usp=sharing"",""งบพรบ!AN58"")"),0)</f>
        <v>0</v>
      </c>
      <c r="F58" s="88">
        <f ca="1">IFERROR(__xludf.DUMMYFUNCTION("IMPORTRANGE(""https://docs.google.com/spreadsheets/d/1-uDff_7J0KD5mKrp0Vvzr7lt3OU09vwQwhkpOPPYv2Y/edit?usp=sharing"",""งบพรบ!AO58"")"),0)</f>
        <v>0</v>
      </c>
      <c r="G58" s="88">
        <f ca="1">IFERROR(__xludf.DUMMYFUNCTION("IMPORTRANGE(""https://docs.google.com/spreadsheets/d/1-uDff_7J0KD5mKrp0Vvzr7lt3OU09vwQwhkpOPPYv2Y/edit?usp=sharing"",""งบพรบ!AP58"")"),0)</f>
        <v>0</v>
      </c>
      <c r="H58" s="88">
        <f ca="1">IFERROR(__xludf.DUMMYFUNCTION("IMPORTRANGE(""https://docs.google.com/spreadsheets/d/1-uDff_7J0KD5mKrp0Vvzr7lt3OU09vwQwhkpOPPYv2Y/edit?usp=sharing"",""งบพรบ!AR58"")"),0)</f>
        <v>0</v>
      </c>
      <c r="I58" s="88">
        <f ca="1">IFERROR(__xludf.DUMMYFUNCTION("IMPORTRANGE(""https://docs.google.com/spreadsheets/d/1-uDff_7J0KD5mKrp0Vvzr7lt3OU09vwQwhkpOPPYv2Y/edit?usp=sharing"",""งบพรบ!AS58"")"),0)</f>
        <v>0</v>
      </c>
      <c r="J58" s="88">
        <f t="shared" ca="1" si="25"/>
        <v>0</v>
      </c>
      <c r="K58" s="89">
        <f t="shared" ca="1" si="26"/>
        <v>0</v>
      </c>
      <c r="L58" s="88">
        <f ca="1">IFERROR(__xludf.DUMMYFUNCTION("IMPORTRANGE(""https://docs.google.com/spreadsheets/d/1-uDff_7J0KD5mKrp0Vvzr7lt3OU09vwQwhkpOPPYv2Y/edit?usp=sharing"",""งบพรบ!AT58"")"),0)</f>
        <v>0</v>
      </c>
      <c r="M58" s="90">
        <f t="shared" ca="1" si="27"/>
        <v>0</v>
      </c>
      <c r="N58" s="90">
        <f t="shared" ca="1" si="28"/>
        <v>0</v>
      </c>
      <c r="O58" s="91">
        <f ca="1">IFERROR(__xludf.DUMMYFUNCTION("IMPORTRANGE(""https://docs.google.com/spreadsheets/d/1-uDff_7J0KD5mKrp0Vvzr7lt3OU09vwQwhkpOPPYv2Y/edit?usp=sharing"",""งบพรบ!AU58"")"),0)</f>
        <v>0</v>
      </c>
      <c r="P58" s="91">
        <f t="shared" ca="1" si="29"/>
        <v>0</v>
      </c>
      <c r="Q58" s="90">
        <f t="shared" ca="1" si="30"/>
        <v>0</v>
      </c>
      <c r="R58" s="92">
        <f t="shared" ca="1" si="31"/>
        <v>0</v>
      </c>
      <c r="S58" s="92">
        <f t="shared" ca="1" si="32"/>
        <v>0</v>
      </c>
      <c r="T58" s="92">
        <f t="shared" ca="1" si="48"/>
        <v>0</v>
      </c>
      <c r="U58" s="93">
        <f t="shared" ca="1" si="33"/>
        <v>0</v>
      </c>
      <c r="V58" s="92">
        <f t="shared" ca="1" si="49"/>
        <v>0</v>
      </c>
      <c r="W58" s="93">
        <f t="shared" ca="1" si="34"/>
        <v>0</v>
      </c>
      <c r="X58" s="88">
        <f ca="1">IFERROR(__xludf.DUMMYFUNCTION("IMPORTRANGE(""https://docs.google.com/spreadsheets/d/1jkqa6GXxSacMcY1eN8AHjMNJ_7dDXMJVRLDlaFSOdPM/edit?usp=sharing"",""ตราด!I84"")"),0)</f>
        <v>0</v>
      </c>
      <c r="Y58" s="88">
        <f ca="1">IFERROR(__xludf.DUMMYFUNCTION("IMPORTRANGE(""https://docs.google.com/spreadsheets/d/1jkqa6GXxSacMcY1eN8AHjMNJ_7dDXMJVRLDlaFSOdPM/edit?usp=sharing"",""ตราด!I85"")"),0)</f>
        <v>0</v>
      </c>
      <c r="Z58" s="92">
        <f ca="1">IFERROR(__xludf.DUMMYFUNCTION("IMPORTRANGE(""https://docs.google.com/spreadsheets/d/1jkqa6GXxSacMcY1eN8AHjMNJ_7dDXMJVRLDlaFSOdPM/edit?usp=sharing"",""ตราด!J84"")"),0)</f>
        <v>0</v>
      </c>
      <c r="AA58" s="92">
        <f ca="1">IFERROR(__xludf.DUMMYFUNCTION("IMPORTRANGE(""https://docs.google.com/spreadsheets/d/1jkqa6GXxSacMcY1eN8AHjMNJ_7dDXMJVRLDlaFSOdPM/edit?usp=sharing"",""ตราด!J85"")"),0)</f>
        <v>0</v>
      </c>
      <c r="AB58" s="88">
        <f ca="1">IFERROR(__xludf.DUMMYFUNCTION("IMPORTRANGE(""https://docs.google.com/spreadsheets/d/1jkqa6GXxSacMcY1eN8AHjMNJ_7dDXMJVRLDlaFSOdPM/edit?usp=sharing"",""ตราด!I86"")"),0)</f>
        <v>0</v>
      </c>
      <c r="AC58" s="88">
        <f ca="1">IFERROR(__xludf.DUMMYFUNCTION("IMPORTRANGE(""https://docs.google.com/spreadsheets/d/1jkqa6GXxSacMcY1eN8AHjMNJ_7dDXMJVRLDlaFSOdPM/edit?usp=sharing"",""ตราด!I87"")"),0)</f>
        <v>0</v>
      </c>
      <c r="AD58" s="92">
        <f ca="1">IFERROR(__xludf.DUMMYFUNCTION("IMPORTRANGE(""https://docs.google.com/spreadsheets/d/1jkqa6GXxSacMcY1eN8AHjMNJ_7dDXMJVRLDlaFSOdPM/edit?usp=sharing"",""ตราด!J86"")"),0)</f>
        <v>0</v>
      </c>
      <c r="AE58" s="92">
        <f ca="1">IFERROR(__xludf.DUMMYFUNCTION("IMPORTRANGE(""https://docs.google.com/spreadsheets/d/1jkqa6GXxSacMcY1eN8AHjMNJ_7dDXMJVRLDlaFSOdPM/edit?usp=sharing"",""ตราด!J87"")"),0)</f>
        <v>0</v>
      </c>
      <c r="AF58" s="88">
        <f ca="1">IFERROR(__xludf.DUMMYFUNCTION("IMPORTRANGE(""https://docs.google.com/spreadsheets/d/1jkqa6GXxSacMcY1eN8AHjMNJ_7dDXMJVRLDlaFSOdPM/edit?usp=sharing"",""ตราด!I88"")"),0)</f>
        <v>0</v>
      </c>
      <c r="AG58" s="88">
        <f ca="1">IFERROR(__xludf.DUMMYFUNCTION("IMPORTRANGE(""https://docs.google.com/spreadsheets/d/1jkqa6GXxSacMcY1eN8AHjMNJ_7dDXMJVRLDlaFSOdPM/edit?usp=sharing"",""ตราด!I89"")"),0)</f>
        <v>0</v>
      </c>
      <c r="AH58" s="92">
        <f ca="1">IFERROR(__xludf.DUMMYFUNCTION("IMPORTRANGE(""https://docs.google.com/spreadsheets/d/1jkqa6GXxSacMcY1eN8AHjMNJ_7dDXMJVRLDlaFSOdPM/edit?usp=sharing"",""ตราด!J88"")"),0)</f>
        <v>0</v>
      </c>
      <c r="AI58" s="92">
        <f ca="1">IFERROR(__xludf.DUMMYFUNCTION("IMPORTRANGE(""https://docs.google.com/spreadsheets/d/1jkqa6GXxSacMcY1eN8AHjMNJ_7dDXMJVRLDlaFSOdPM/edit?usp=sharing"",""ตราด!J89"")"),0)</f>
        <v>0</v>
      </c>
      <c r="AJ58" s="88">
        <f ca="1">IFERROR(__xludf.DUMMYFUNCTION("IMPORTRANGE(""https://docs.google.com/spreadsheets/d/1jkqa6GXxSacMcY1eN8AHjMNJ_7dDXMJVRLDlaFSOdPM/edit?usp=sharing"",""ตราด!I90"")"),0)</f>
        <v>0</v>
      </c>
      <c r="AK58" s="92">
        <f ca="1">IFERROR(__xludf.DUMMYFUNCTION("IMPORTRANGE(""https://docs.google.com/spreadsheets/d/1jkqa6GXxSacMcY1eN8AHjMNJ_7dDXMJVRLDlaFSOdPM/edit?usp=sharing"",""ตราด!J90"")"),0)</f>
        <v>0</v>
      </c>
      <c r="AL58" s="90">
        <f t="shared" ca="1" si="36"/>
        <v>0</v>
      </c>
    </row>
    <row r="59" spans="1:38" ht="21" customHeight="1" x14ac:dyDescent="0.2">
      <c r="A59" s="84">
        <v>7</v>
      </c>
      <c r="B59" s="85" t="s">
        <v>81</v>
      </c>
      <c r="C59" s="86">
        <f t="shared" ca="1" si="23"/>
        <v>0</v>
      </c>
      <c r="D59" s="87">
        <f t="shared" ca="1" si="47"/>
        <v>0</v>
      </c>
      <c r="E59" s="88">
        <f ca="1">IFERROR(__xludf.DUMMYFUNCTION("IMPORTRANGE(""https://docs.google.com/spreadsheets/d/1-uDff_7J0KD5mKrp0Vvzr7lt3OU09vwQwhkpOPPYv2Y/edit?usp=sharing"",""งบพรบ!AN59"")"),0)</f>
        <v>0</v>
      </c>
      <c r="F59" s="88">
        <f ca="1">IFERROR(__xludf.DUMMYFUNCTION("IMPORTRANGE(""https://docs.google.com/spreadsheets/d/1-uDff_7J0KD5mKrp0Vvzr7lt3OU09vwQwhkpOPPYv2Y/edit?usp=sharing"",""งบพรบ!AO59"")"),0)</f>
        <v>0</v>
      </c>
      <c r="G59" s="88">
        <f ca="1">IFERROR(__xludf.DUMMYFUNCTION("IMPORTRANGE(""https://docs.google.com/spreadsheets/d/1-uDff_7J0KD5mKrp0Vvzr7lt3OU09vwQwhkpOPPYv2Y/edit?usp=sharing"",""งบพรบ!AP59"")"),0)</f>
        <v>0</v>
      </c>
      <c r="H59" s="88">
        <f ca="1">IFERROR(__xludf.DUMMYFUNCTION("IMPORTRANGE(""https://docs.google.com/spreadsheets/d/1-uDff_7J0KD5mKrp0Vvzr7lt3OU09vwQwhkpOPPYv2Y/edit?usp=sharing"",""งบพรบ!AR59"")"),0)</f>
        <v>0</v>
      </c>
      <c r="I59" s="88">
        <f ca="1">IFERROR(__xludf.DUMMYFUNCTION("IMPORTRANGE(""https://docs.google.com/spreadsheets/d/1-uDff_7J0KD5mKrp0Vvzr7lt3OU09vwQwhkpOPPYv2Y/edit?usp=sharing"",""งบพรบ!AS59"")"),0)</f>
        <v>0</v>
      </c>
      <c r="J59" s="88">
        <f t="shared" ca="1" si="25"/>
        <v>0</v>
      </c>
      <c r="K59" s="89">
        <f t="shared" ca="1" si="26"/>
        <v>0</v>
      </c>
      <c r="L59" s="88">
        <f ca="1">IFERROR(__xludf.DUMMYFUNCTION("IMPORTRANGE(""https://docs.google.com/spreadsheets/d/1-uDff_7J0KD5mKrp0Vvzr7lt3OU09vwQwhkpOPPYv2Y/edit?usp=sharing"",""งบพรบ!AT59"")"),0)</f>
        <v>0</v>
      </c>
      <c r="M59" s="90">
        <f t="shared" ca="1" si="27"/>
        <v>0</v>
      </c>
      <c r="N59" s="90">
        <f t="shared" ca="1" si="28"/>
        <v>0</v>
      </c>
      <c r="O59" s="91">
        <f ca="1">IFERROR(__xludf.DUMMYFUNCTION("IMPORTRANGE(""https://docs.google.com/spreadsheets/d/1-uDff_7J0KD5mKrp0Vvzr7lt3OU09vwQwhkpOPPYv2Y/edit?usp=sharing"",""งบพรบ!AU59"")"),0)</f>
        <v>0</v>
      </c>
      <c r="P59" s="91">
        <f t="shared" ca="1" si="29"/>
        <v>0</v>
      </c>
      <c r="Q59" s="90">
        <f t="shared" ca="1" si="30"/>
        <v>0</v>
      </c>
      <c r="R59" s="92">
        <f t="shared" ca="1" si="31"/>
        <v>0</v>
      </c>
      <c r="S59" s="92">
        <f t="shared" ca="1" si="32"/>
        <v>0</v>
      </c>
      <c r="T59" s="92">
        <f t="shared" ca="1" si="48"/>
        <v>0</v>
      </c>
      <c r="U59" s="93">
        <f t="shared" ca="1" si="33"/>
        <v>0</v>
      </c>
      <c r="V59" s="92">
        <f t="shared" ca="1" si="49"/>
        <v>0</v>
      </c>
      <c r="W59" s="93">
        <f t="shared" ca="1" si="34"/>
        <v>0</v>
      </c>
      <c r="X59" s="88">
        <f ca="1">IFERROR(__xludf.DUMMYFUNCTION("IMPORTRANGE(""https://docs.google.com/spreadsheets/d/18hSgUJ3VwClqi_qtULmmW3cLr0oe3OKaSYoKzdpTsYQ/edit?usp=sharing"",""นครนายก!I84"")"),0)</f>
        <v>0</v>
      </c>
      <c r="Y59" s="88">
        <f ca="1">IFERROR(__xludf.DUMMYFUNCTION("IMPORTRANGE(""https://docs.google.com/spreadsheets/d/18hSgUJ3VwClqi_qtULmmW3cLr0oe3OKaSYoKzdpTsYQ/edit?usp=sharing"",""นครนายก!I85"")"),0)</f>
        <v>0</v>
      </c>
      <c r="Z59" s="92">
        <f ca="1">IFERROR(__xludf.DUMMYFUNCTION("IMPORTRANGE(""https://docs.google.com/spreadsheets/d/18hSgUJ3VwClqi_qtULmmW3cLr0oe3OKaSYoKzdpTsYQ/edit?usp=sharing"",""นครนายก!J84"")"),0)</f>
        <v>0</v>
      </c>
      <c r="AA59" s="92">
        <f ca="1">IFERROR(__xludf.DUMMYFUNCTION("IMPORTRANGE(""https://docs.google.com/spreadsheets/d/18hSgUJ3VwClqi_qtULmmW3cLr0oe3OKaSYoKzdpTsYQ/edit?usp=sharing"",""นครนายก!J85"")"),0)</f>
        <v>0</v>
      </c>
      <c r="AB59" s="88">
        <f ca="1">IFERROR(__xludf.DUMMYFUNCTION("IMPORTRANGE(""https://docs.google.com/spreadsheets/d/18hSgUJ3VwClqi_qtULmmW3cLr0oe3OKaSYoKzdpTsYQ/edit?usp=sharing"",""นครนายก!I86"")"),0)</f>
        <v>0</v>
      </c>
      <c r="AC59" s="88">
        <f ca="1">IFERROR(__xludf.DUMMYFUNCTION("IMPORTRANGE(""https://docs.google.com/spreadsheets/d/18hSgUJ3VwClqi_qtULmmW3cLr0oe3OKaSYoKzdpTsYQ/edit?usp=sharing"",""นครนายก!I87"")"),0)</f>
        <v>0</v>
      </c>
      <c r="AD59" s="92">
        <f ca="1">IFERROR(__xludf.DUMMYFUNCTION("IMPORTRANGE(""https://docs.google.com/spreadsheets/d/18hSgUJ3VwClqi_qtULmmW3cLr0oe3OKaSYoKzdpTsYQ/edit?usp=sharing"",""นครนายก!J86"")"),0)</f>
        <v>0</v>
      </c>
      <c r="AE59" s="92">
        <f ca="1">IFERROR(__xludf.DUMMYFUNCTION("IMPORTRANGE(""https://docs.google.com/spreadsheets/d/18hSgUJ3VwClqi_qtULmmW3cLr0oe3OKaSYoKzdpTsYQ/edit?usp=sharing"",""นครนายก!J87"")"),0)</f>
        <v>0</v>
      </c>
      <c r="AF59" s="88">
        <f ca="1">IFERROR(__xludf.DUMMYFUNCTION("IMPORTRANGE(""https://docs.google.com/spreadsheets/d/18hSgUJ3VwClqi_qtULmmW3cLr0oe3OKaSYoKzdpTsYQ/edit?usp=sharing"",""นครนายก!I88"")"),0)</f>
        <v>0</v>
      </c>
      <c r="AG59" s="88">
        <f ca="1">IFERROR(__xludf.DUMMYFUNCTION("IMPORTRANGE(""https://docs.google.com/spreadsheets/d/18hSgUJ3VwClqi_qtULmmW3cLr0oe3OKaSYoKzdpTsYQ/edit?usp=sharing"",""นครนายก!I89"")"),0)</f>
        <v>0</v>
      </c>
      <c r="AH59" s="92">
        <f ca="1">IFERROR(__xludf.DUMMYFUNCTION("IMPORTRANGE(""https://docs.google.com/spreadsheets/d/18hSgUJ3VwClqi_qtULmmW3cLr0oe3OKaSYoKzdpTsYQ/edit?usp=sharing"",""นครนายก!J88"")"),0)</f>
        <v>0</v>
      </c>
      <c r="AI59" s="92">
        <f ca="1">IFERROR(__xludf.DUMMYFUNCTION("IMPORTRANGE(""https://docs.google.com/spreadsheets/d/18hSgUJ3VwClqi_qtULmmW3cLr0oe3OKaSYoKzdpTsYQ/edit?usp=sharing"",""นครนายก!J89"")"),0)</f>
        <v>0</v>
      </c>
      <c r="AJ59" s="88">
        <f ca="1">IFERROR(__xludf.DUMMYFUNCTION("IMPORTRANGE(""https://docs.google.com/spreadsheets/d/18hSgUJ3VwClqi_qtULmmW3cLr0oe3OKaSYoKzdpTsYQ/edit?usp=sharing"",""นครนายก!I90"")"),0)</f>
        <v>0</v>
      </c>
      <c r="AK59" s="92">
        <f ca="1">IFERROR(__xludf.DUMMYFUNCTION("IMPORTRANGE(""https://docs.google.com/spreadsheets/d/18hSgUJ3VwClqi_qtULmmW3cLr0oe3OKaSYoKzdpTsYQ/edit?usp=sharing"",""นครนายก!J90"")"),0)</f>
        <v>0</v>
      </c>
      <c r="AL59" s="90">
        <f t="shared" ca="1" si="36"/>
        <v>0</v>
      </c>
    </row>
    <row r="60" spans="1:38" ht="21" customHeight="1" x14ac:dyDescent="0.2">
      <c r="A60" s="84">
        <v>8</v>
      </c>
      <c r="B60" s="85" t="s">
        <v>82</v>
      </c>
      <c r="C60" s="86">
        <f t="shared" ca="1" si="23"/>
        <v>0</v>
      </c>
      <c r="D60" s="87">
        <f t="shared" ca="1" si="47"/>
        <v>0</v>
      </c>
      <c r="E60" s="88">
        <f ca="1">IFERROR(__xludf.DUMMYFUNCTION("IMPORTRANGE(""https://docs.google.com/spreadsheets/d/1-uDff_7J0KD5mKrp0Vvzr7lt3OU09vwQwhkpOPPYv2Y/edit?usp=sharing"",""งบพรบ!AN60"")"),0)</f>
        <v>0</v>
      </c>
      <c r="F60" s="88">
        <f ca="1">IFERROR(__xludf.DUMMYFUNCTION("IMPORTRANGE(""https://docs.google.com/spreadsheets/d/1-uDff_7J0KD5mKrp0Vvzr7lt3OU09vwQwhkpOPPYv2Y/edit?usp=sharing"",""งบพรบ!AO60"")"),0)</f>
        <v>0</v>
      </c>
      <c r="G60" s="88">
        <f ca="1">IFERROR(__xludf.DUMMYFUNCTION("IMPORTRANGE(""https://docs.google.com/spreadsheets/d/1-uDff_7J0KD5mKrp0Vvzr7lt3OU09vwQwhkpOPPYv2Y/edit?usp=sharing"",""งบพรบ!AP60"")"),0)</f>
        <v>0</v>
      </c>
      <c r="H60" s="88">
        <f ca="1">IFERROR(__xludf.DUMMYFUNCTION("IMPORTRANGE(""https://docs.google.com/spreadsheets/d/1-uDff_7J0KD5mKrp0Vvzr7lt3OU09vwQwhkpOPPYv2Y/edit?usp=sharing"",""งบพรบ!AR60"")"),0)</f>
        <v>0</v>
      </c>
      <c r="I60" s="88">
        <f ca="1">IFERROR(__xludf.DUMMYFUNCTION("IMPORTRANGE(""https://docs.google.com/spreadsheets/d/1-uDff_7J0KD5mKrp0Vvzr7lt3OU09vwQwhkpOPPYv2Y/edit?usp=sharing"",""งบพรบ!AS60"")"),0)</f>
        <v>0</v>
      </c>
      <c r="J60" s="88">
        <f t="shared" ca="1" si="25"/>
        <v>0</v>
      </c>
      <c r="K60" s="89">
        <f t="shared" ca="1" si="26"/>
        <v>0</v>
      </c>
      <c r="L60" s="88">
        <f ca="1">IFERROR(__xludf.DUMMYFUNCTION("IMPORTRANGE(""https://docs.google.com/spreadsheets/d/1-uDff_7J0KD5mKrp0Vvzr7lt3OU09vwQwhkpOPPYv2Y/edit?usp=sharing"",""งบพรบ!AT60"")"),0)</f>
        <v>0</v>
      </c>
      <c r="M60" s="90">
        <f t="shared" ca="1" si="27"/>
        <v>0</v>
      </c>
      <c r="N60" s="90">
        <f t="shared" ca="1" si="28"/>
        <v>0</v>
      </c>
      <c r="O60" s="91">
        <f ca="1">IFERROR(__xludf.DUMMYFUNCTION("IMPORTRANGE(""https://docs.google.com/spreadsheets/d/1-uDff_7J0KD5mKrp0Vvzr7lt3OU09vwQwhkpOPPYv2Y/edit?usp=sharing"",""งบพรบ!AU60"")"),0)</f>
        <v>0</v>
      </c>
      <c r="P60" s="91">
        <f t="shared" ca="1" si="29"/>
        <v>0</v>
      </c>
      <c r="Q60" s="90">
        <f t="shared" ca="1" si="30"/>
        <v>0</v>
      </c>
      <c r="R60" s="92">
        <f t="shared" ca="1" si="31"/>
        <v>0</v>
      </c>
      <c r="S60" s="92">
        <f t="shared" ca="1" si="32"/>
        <v>0</v>
      </c>
      <c r="T60" s="92">
        <f t="shared" ca="1" si="48"/>
        <v>0</v>
      </c>
      <c r="U60" s="93">
        <f t="shared" ca="1" si="33"/>
        <v>0</v>
      </c>
      <c r="V60" s="92">
        <f t="shared" ca="1" si="49"/>
        <v>0</v>
      </c>
      <c r="W60" s="93">
        <f t="shared" ca="1" si="34"/>
        <v>0</v>
      </c>
      <c r="X60" s="88">
        <f ca="1">IFERROR(__xludf.DUMMYFUNCTION("IMPORTRANGE(""https://docs.google.com/spreadsheets/d/1YTZo6WM2dQ6Ix6FSdnL5P7uVnVKu40sxZu975tgG10E/edit?usp=sharing"",""นครปฐม!I84"")"),0)</f>
        <v>0</v>
      </c>
      <c r="Y60" s="88">
        <f ca="1">IFERROR(__xludf.DUMMYFUNCTION("IMPORTRANGE(""https://docs.google.com/spreadsheets/d/1YTZo6WM2dQ6Ix6FSdnL5P7uVnVKu40sxZu975tgG10E/edit?usp=sharing"",""นครปฐม!I85"")"),0)</f>
        <v>0</v>
      </c>
      <c r="Z60" s="92">
        <f ca="1">IFERROR(__xludf.DUMMYFUNCTION("IMPORTRANGE(""https://docs.google.com/spreadsheets/d/1YTZo6WM2dQ6Ix6FSdnL5P7uVnVKu40sxZu975tgG10E/edit?usp=sharing"",""นครปฐม!J84"")"),0)</f>
        <v>0</v>
      </c>
      <c r="AA60" s="92">
        <f ca="1">IFERROR(__xludf.DUMMYFUNCTION("IMPORTRANGE(""https://docs.google.com/spreadsheets/d/1YTZo6WM2dQ6Ix6FSdnL5P7uVnVKu40sxZu975tgG10E/edit?usp=sharing"",""นครปฐม!J85"")"),0)</f>
        <v>0</v>
      </c>
      <c r="AB60" s="88">
        <f ca="1">IFERROR(__xludf.DUMMYFUNCTION("IMPORTRANGE(""https://docs.google.com/spreadsheets/d/1YTZo6WM2dQ6Ix6FSdnL5P7uVnVKu40sxZu975tgG10E/edit?usp=sharing"",""นครปฐม!I86"")"),0)</f>
        <v>0</v>
      </c>
      <c r="AC60" s="88">
        <f ca="1">IFERROR(__xludf.DUMMYFUNCTION("IMPORTRANGE(""https://docs.google.com/spreadsheets/d/1YTZo6WM2dQ6Ix6FSdnL5P7uVnVKu40sxZu975tgG10E/edit?usp=sharing"",""นครปฐม!I87"")"),0)</f>
        <v>0</v>
      </c>
      <c r="AD60" s="92">
        <f ca="1">IFERROR(__xludf.DUMMYFUNCTION("IMPORTRANGE(""https://docs.google.com/spreadsheets/d/1YTZo6WM2dQ6Ix6FSdnL5P7uVnVKu40sxZu975tgG10E/edit?usp=sharing"",""นครปฐม!J86"")"),0)</f>
        <v>0</v>
      </c>
      <c r="AE60" s="92">
        <f ca="1">IFERROR(__xludf.DUMMYFUNCTION("IMPORTRANGE(""https://docs.google.com/spreadsheets/d/1YTZo6WM2dQ6Ix6FSdnL5P7uVnVKu40sxZu975tgG10E/edit?usp=sharing"",""นครปฐม!J87"")"),0)</f>
        <v>0</v>
      </c>
      <c r="AF60" s="88">
        <f ca="1">IFERROR(__xludf.DUMMYFUNCTION("IMPORTRANGE(""https://docs.google.com/spreadsheets/d/1YTZo6WM2dQ6Ix6FSdnL5P7uVnVKu40sxZu975tgG10E/edit?usp=sharing"",""นครปฐม!I88"")"),0)</f>
        <v>0</v>
      </c>
      <c r="AG60" s="88">
        <f ca="1">IFERROR(__xludf.DUMMYFUNCTION("IMPORTRANGE(""https://docs.google.com/spreadsheets/d/1YTZo6WM2dQ6Ix6FSdnL5P7uVnVKu40sxZu975tgG10E/edit?usp=sharing"",""นครปฐม!I89"")"),0)</f>
        <v>0</v>
      </c>
      <c r="AH60" s="92">
        <f ca="1">IFERROR(__xludf.DUMMYFUNCTION("IMPORTRANGE(""https://docs.google.com/spreadsheets/d/1YTZo6WM2dQ6Ix6FSdnL5P7uVnVKu40sxZu975tgG10E/edit?usp=sharing"",""นครปฐม!J88"")"),0)</f>
        <v>0</v>
      </c>
      <c r="AI60" s="92">
        <f ca="1">IFERROR(__xludf.DUMMYFUNCTION("IMPORTRANGE(""https://docs.google.com/spreadsheets/d/1YTZo6WM2dQ6Ix6FSdnL5P7uVnVKu40sxZu975tgG10E/edit?usp=sharing"",""นครปฐม!J89"")"),0)</f>
        <v>0</v>
      </c>
      <c r="AJ60" s="88">
        <f ca="1">IFERROR(__xludf.DUMMYFUNCTION("IMPORTRANGE(""https://docs.google.com/spreadsheets/d/1YTZo6WM2dQ6Ix6FSdnL5P7uVnVKu40sxZu975tgG10E/edit?usp=sharing"",""นครปฐม!I90"")"),0)</f>
        <v>0</v>
      </c>
      <c r="AK60" s="92">
        <f ca="1">IFERROR(__xludf.DUMMYFUNCTION("IMPORTRANGE(""https://docs.google.com/spreadsheets/d/1YTZo6WM2dQ6Ix6FSdnL5P7uVnVKu40sxZu975tgG10E/edit?usp=sharing"",""นครปฐม!J90"")"),0)</f>
        <v>0</v>
      </c>
      <c r="AL60" s="90">
        <f t="shared" ca="1" si="36"/>
        <v>0</v>
      </c>
    </row>
    <row r="61" spans="1:38" ht="21" customHeight="1" x14ac:dyDescent="0.2">
      <c r="A61" s="84">
        <v>9</v>
      </c>
      <c r="B61" s="85" t="s">
        <v>83</v>
      </c>
      <c r="C61" s="86">
        <f t="shared" ca="1" si="23"/>
        <v>0</v>
      </c>
      <c r="D61" s="87">
        <f t="shared" ca="1" si="47"/>
        <v>0</v>
      </c>
      <c r="E61" s="88">
        <f ca="1">IFERROR(__xludf.DUMMYFUNCTION("IMPORTRANGE(""https://docs.google.com/spreadsheets/d/1-uDff_7J0KD5mKrp0Vvzr7lt3OU09vwQwhkpOPPYv2Y/edit?usp=sharing"",""งบพรบ!AN61"")"),0)</f>
        <v>0</v>
      </c>
      <c r="F61" s="88">
        <f ca="1">IFERROR(__xludf.DUMMYFUNCTION("IMPORTRANGE(""https://docs.google.com/spreadsheets/d/1-uDff_7J0KD5mKrp0Vvzr7lt3OU09vwQwhkpOPPYv2Y/edit?usp=sharing"",""งบพรบ!AO61"")"),0)</f>
        <v>0</v>
      </c>
      <c r="G61" s="88">
        <f ca="1">IFERROR(__xludf.DUMMYFUNCTION("IMPORTRANGE(""https://docs.google.com/spreadsheets/d/1-uDff_7J0KD5mKrp0Vvzr7lt3OU09vwQwhkpOPPYv2Y/edit?usp=sharing"",""งบพรบ!AP61"")"),0)</f>
        <v>0</v>
      </c>
      <c r="H61" s="88">
        <f ca="1">IFERROR(__xludf.DUMMYFUNCTION("IMPORTRANGE(""https://docs.google.com/spreadsheets/d/1-uDff_7J0KD5mKrp0Vvzr7lt3OU09vwQwhkpOPPYv2Y/edit?usp=sharing"",""งบพรบ!AR61"")"),0)</f>
        <v>0</v>
      </c>
      <c r="I61" s="88">
        <f ca="1">IFERROR(__xludf.DUMMYFUNCTION("IMPORTRANGE(""https://docs.google.com/spreadsheets/d/1-uDff_7J0KD5mKrp0Vvzr7lt3OU09vwQwhkpOPPYv2Y/edit?usp=sharing"",""งบพรบ!AS61"")"),0)</f>
        <v>0</v>
      </c>
      <c r="J61" s="88">
        <f t="shared" ca="1" si="25"/>
        <v>0</v>
      </c>
      <c r="K61" s="89">
        <f t="shared" ca="1" si="26"/>
        <v>0</v>
      </c>
      <c r="L61" s="88">
        <f ca="1">IFERROR(__xludf.DUMMYFUNCTION("IMPORTRANGE(""https://docs.google.com/spreadsheets/d/1-uDff_7J0KD5mKrp0Vvzr7lt3OU09vwQwhkpOPPYv2Y/edit?usp=sharing"",""งบพรบ!AT61"")"),0)</f>
        <v>0</v>
      </c>
      <c r="M61" s="90">
        <f t="shared" ca="1" si="27"/>
        <v>0</v>
      </c>
      <c r="N61" s="90">
        <f t="shared" ca="1" si="28"/>
        <v>0</v>
      </c>
      <c r="O61" s="91">
        <f ca="1">IFERROR(__xludf.DUMMYFUNCTION("IMPORTRANGE(""https://docs.google.com/spreadsheets/d/1-uDff_7J0KD5mKrp0Vvzr7lt3OU09vwQwhkpOPPYv2Y/edit?usp=sharing"",""งบพรบ!AU61"")"),0)</f>
        <v>0</v>
      </c>
      <c r="P61" s="91">
        <f t="shared" ca="1" si="29"/>
        <v>0</v>
      </c>
      <c r="Q61" s="90">
        <f t="shared" ca="1" si="30"/>
        <v>0</v>
      </c>
      <c r="R61" s="92">
        <f t="shared" ca="1" si="31"/>
        <v>0</v>
      </c>
      <c r="S61" s="92">
        <f t="shared" ca="1" si="32"/>
        <v>0</v>
      </c>
      <c r="T61" s="92">
        <f t="shared" ca="1" si="48"/>
        <v>0</v>
      </c>
      <c r="U61" s="93">
        <f t="shared" ca="1" si="33"/>
        <v>0</v>
      </c>
      <c r="V61" s="92">
        <f t="shared" ca="1" si="49"/>
        <v>0</v>
      </c>
      <c r="W61" s="93">
        <f t="shared" ca="1" si="34"/>
        <v>0</v>
      </c>
      <c r="X61" s="88">
        <f ca="1">IFERROR(__xludf.DUMMYFUNCTION("IMPORTRANGE(""https://docs.google.com/spreadsheets/d/1OYoGg4WDg5RIzwGeB10padOxJF9E_Vljuvvct_M7RDo/edit?usp=sharing"",""ปทุมธานี!I84"")"),0)</f>
        <v>0</v>
      </c>
      <c r="Y61" s="88">
        <f ca="1">IFERROR(__xludf.DUMMYFUNCTION("IMPORTRANGE(""https://docs.google.com/spreadsheets/d/1OYoGg4WDg5RIzwGeB10padOxJF9E_Vljuvvct_M7RDo/edit?usp=sharing"",""ปทุมธานี!I85"")"),0)</f>
        <v>0</v>
      </c>
      <c r="Z61" s="92">
        <f ca="1">IFERROR(__xludf.DUMMYFUNCTION("IMPORTRANGE(""https://docs.google.com/spreadsheets/d/1OYoGg4WDg5RIzwGeB10padOxJF9E_Vljuvvct_M7RDo/edit?usp=sharing"",""ปทุมธานี!J84"")"),0)</f>
        <v>0</v>
      </c>
      <c r="AA61" s="92">
        <f ca="1">IFERROR(__xludf.DUMMYFUNCTION("IMPORTRANGE(""https://docs.google.com/spreadsheets/d/1OYoGg4WDg5RIzwGeB10padOxJF9E_Vljuvvct_M7RDo/edit?usp=sharing"",""ปทุมธานี!J85"")"),0)</f>
        <v>0</v>
      </c>
      <c r="AB61" s="88">
        <f ca="1">IFERROR(__xludf.DUMMYFUNCTION("IMPORTRANGE(""https://docs.google.com/spreadsheets/d/1OYoGg4WDg5RIzwGeB10padOxJF9E_Vljuvvct_M7RDo/edit?usp=sharing"",""ปทุมธานี!I86"")"),0)</f>
        <v>0</v>
      </c>
      <c r="AC61" s="88">
        <f ca="1">IFERROR(__xludf.DUMMYFUNCTION("IMPORTRANGE(""https://docs.google.com/spreadsheets/d/1OYoGg4WDg5RIzwGeB10padOxJF9E_Vljuvvct_M7RDo/edit?usp=sharing"",""ปทุมธานี!I87"")"),0)</f>
        <v>0</v>
      </c>
      <c r="AD61" s="92">
        <f ca="1">IFERROR(__xludf.DUMMYFUNCTION("IMPORTRANGE(""https://docs.google.com/spreadsheets/d/1OYoGg4WDg5RIzwGeB10padOxJF9E_Vljuvvct_M7RDo/edit?usp=sharing"",""ปทุมธานี!J86"")"),0)</f>
        <v>0</v>
      </c>
      <c r="AE61" s="92">
        <f ca="1">IFERROR(__xludf.DUMMYFUNCTION("IMPORTRANGE(""https://docs.google.com/spreadsheets/d/1OYoGg4WDg5RIzwGeB10padOxJF9E_Vljuvvct_M7RDo/edit?usp=sharing"",""ปทุมธานี!J87"")"),0)</f>
        <v>0</v>
      </c>
      <c r="AF61" s="88">
        <f ca="1">IFERROR(__xludf.DUMMYFUNCTION("IMPORTRANGE(""https://docs.google.com/spreadsheets/d/1OYoGg4WDg5RIzwGeB10padOxJF9E_Vljuvvct_M7RDo/edit?usp=sharing"",""ปทุมธานี!I88"")"),0)</f>
        <v>0</v>
      </c>
      <c r="AG61" s="88">
        <f ca="1">IFERROR(__xludf.DUMMYFUNCTION("IMPORTRANGE(""https://docs.google.com/spreadsheets/d/1OYoGg4WDg5RIzwGeB10padOxJF9E_Vljuvvct_M7RDo/edit?usp=sharing"",""ปทุมธานี!I89"")"),0)</f>
        <v>0</v>
      </c>
      <c r="AH61" s="92">
        <f ca="1">IFERROR(__xludf.DUMMYFUNCTION("IMPORTRANGE(""https://docs.google.com/spreadsheets/d/1OYoGg4WDg5RIzwGeB10padOxJF9E_Vljuvvct_M7RDo/edit?usp=sharing"",""ปทุมธานี!J88"")"),0)</f>
        <v>0</v>
      </c>
      <c r="AI61" s="92">
        <f ca="1">IFERROR(__xludf.DUMMYFUNCTION("IMPORTRANGE(""https://docs.google.com/spreadsheets/d/1OYoGg4WDg5RIzwGeB10padOxJF9E_Vljuvvct_M7RDo/edit?usp=sharing"",""ปทุมธานี!J89"")"),0)</f>
        <v>0</v>
      </c>
      <c r="AJ61" s="88">
        <f ca="1">IFERROR(__xludf.DUMMYFUNCTION("IMPORTRANGE(""https://docs.google.com/spreadsheets/d/1OYoGg4WDg5RIzwGeB10padOxJF9E_Vljuvvct_M7RDo/edit?usp=sharing"",""ปทุมธานี!I90"")"),0)</f>
        <v>0</v>
      </c>
      <c r="AK61" s="92">
        <f ca="1">IFERROR(__xludf.DUMMYFUNCTION("IMPORTRANGE(""https://docs.google.com/spreadsheets/d/1OYoGg4WDg5RIzwGeB10padOxJF9E_Vljuvvct_M7RDo/edit?usp=sharing"",""ปทุมธานี!J90"")"),0)</f>
        <v>0</v>
      </c>
      <c r="AL61" s="90">
        <f t="shared" ca="1" si="36"/>
        <v>0</v>
      </c>
    </row>
    <row r="62" spans="1:38" ht="21" customHeight="1" x14ac:dyDescent="0.2">
      <c r="A62" s="84">
        <v>10</v>
      </c>
      <c r="B62" s="85" t="s">
        <v>84</v>
      </c>
      <c r="C62" s="86">
        <f t="shared" ca="1" si="23"/>
        <v>0</v>
      </c>
      <c r="D62" s="87">
        <f t="shared" ca="1" si="47"/>
        <v>0</v>
      </c>
      <c r="E62" s="88">
        <f ca="1">IFERROR(__xludf.DUMMYFUNCTION("IMPORTRANGE(""https://docs.google.com/spreadsheets/d/1-uDff_7J0KD5mKrp0Vvzr7lt3OU09vwQwhkpOPPYv2Y/edit?usp=sharing"",""งบพรบ!AN62"")"),0)</f>
        <v>0</v>
      </c>
      <c r="F62" s="88">
        <f ca="1">IFERROR(__xludf.DUMMYFUNCTION("IMPORTRANGE(""https://docs.google.com/spreadsheets/d/1-uDff_7J0KD5mKrp0Vvzr7lt3OU09vwQwhkpOPPYv2Y/edit?usp=sharing"",""งบพรบ!AO62"")"),0)</f>
        <v>0</v>
      </c>
      <c r="G62" s="88">
        <f ca="1">IFERROR(__xludf.DUMMYFUNCTION("IMPORTRANGE(""https://docs.google.com/spreadsheets/d/1-uDff_7J0KD5mKrp0Vvzr7lt3OU09vwQwhkpOPPYv2Y/edit?usp=sharing"",""งบพรบ!AP62"")"),0)</f>
        <v>0</v>
      </c>
      <c r="H62" s="88">
        <f ca="1">IFERROR(__xludf.DUMMYFUNCTION("IMPORTRANGE(""https://docs.google.com/spreadsheets/d/1-uDff_7J0KD5mKrp0Vvzr7lt3OU09vwQwhkpOPPYv2Y/edit?usp=sharing"",""งบพรบ!AR62"")"),0)</f>
        <v>0</v>
      </c>
      <c r="I62" s="88">
        <f ca="1">IFERROR(__xludf.DUMMYFUNCTION("IMPORTRANGE(""https://docs.google.com/spreadsheets/d/1-uDff_7J0KD5mKrp0Vvzr7lt3OU09vwQwhkpOPPYv2Y/edit?usp=sharing"",""งบพรบ!AS62"")"),0)</f>
        <v>0</v>
      </c>
      <c r="J62" s="88">
        <f t="shared" ca="1" si="25"/>
        <v>0</v>
      </c>
      <c r="K62" s="89">
        <f t="shared" ca="1" si="26"/>
        <v>0</v>
      </c>
      <c r="L62" s="88">
        <f ca="1">IFERROR(__xludf.DUMMYFUNCTION("IMPORTRANGE(""https://docs.google.com/spreadsheets/d/1-uDff_7J0KD5mKrp0Vvzr7lt3OU09vwQwhkpOPPYv2Y/edit?usp=sharing"",""งบพรบ!AT62"")"),0)</f>
        <v>0</v>
      </c>
      <c r="M62" s="90">
        <f t="shared" ca="1" si="27"/>
        <v>0</v>
      </c>
      <c r="N62" s="90">
        <f t="shared" ca="1" si="28"/>
        <v>0</v>
      </c>
      <c r="O62" s="91">
        <f ca="1">IFERROR(__xludf.DUMMYFUNCTION("IMPORTRANGE(""https://docs.google.com/spreadsheets/d/1-uDff_7J0KD5mKrp0Vvzr7lt3OU09vwQwhkpOPPYv2Y/edit?usp=sharing"",""งบพรบ!AU62"")"),0)</f>
        <v>0</v>
      </c>
      <c r="P62" s="91">
        <f t="shared" ca="1" si="29"/>
        <v>0</v>
      </c>
      <c r="Q62" s="90">
        <f t="shared" ca="1" si="30"/>
        <v>0</v>
      </c>
      <c r="R62" s="92">
        <f t="shared" ca="1" si="31"/>
        <v>0</v>
      </c>
      <c r="S62" s="92">
        <f t="shared" ca="1" si="32"/>
        <v>0</v>
      </c>
      <c r="T62" s="92">
        <f t="shared" ca="1" si="48"/>
        <v>0</v>
      </c>
      <c r="U62" s="93">
        <f t="shared" ca="1" si="33"/>
        <v>0</v>
      </c>
      <c r="V62" s="92">
        <f t="shared" ca="1" si="49"/>
        <v>0</v>
      </c>
      <c r="W62" s="93">
        <f t="shared" ca="1" si="34"/>
        <v>0</v>
      </c>
      <c r="X62" s="88">
        <f ca="1">IFERROR(__xludf.DUMMYFUNCTION("IMPORTRANGE(""https://docs.google.com/spreadsheets/d/1GbCIE4D4wk9FUozzqk7SxfDMxDVBwVmI5zcaVUSzKAc/edit?usp=sharing"",""ประจวบคีรีขันธ์!I84"")"),0)</f>
        <v>0</v>
      </c>
      <c r="Y62" s="88">
        <f ca="1">IFERROR(__xludf.DUMMYFUNCTION("IMPORTRANGE(""https://docs.google.com/spreadsheets/d/1GbCIE4D4wk9FUozzqk7SxfDMxDVBwVmI5zcaVUSzKAc/edit?usp=sharing"",""ประจวบคีรีขันธ์!I85"")"),0)</f>
        <v>0</v>
      </c>
      <c r="Z62" s="92">
        <f ca="1">IFERROR(__xludf.DUMMYFUNCTION("IMPORTRANGE(""https://docs.google.com/spreadsheets/d/1GbCIE4D4wk9FUozzqk7SxfDMxDVBwVmI5zcaVUSzKAc/edit?usp=sharing"",""ประจวบคีรีขันธ์!J84"")"),0)</f>
        <v>0</v>
      </c>
      <c r="AA62" s="92">
        <f ca="1">IFERROR(__xludf.DUMMYFUNCTION("IMPORTRANGE(""https://docs.google.com/spreadsheets/d/1GbCIE4D4wk9FUozzqk7SxfDMxDVBwVmI5zcaVUSzKAc/edit?usp=sharing"",""ประจวบคีรีขันธ์!J85"")"),0)</f>
        <v>0</v>
      </c>
      <c r="AB62" s="88">
        <f ca="1">IFERROR(__xludf.DUMMYFUNCTION("IMPORTRANGE(""https://docs.google.com/spreadsheets/d/1GbCIE4D4wk9FUozzqk7SxfDMxDVBwVmI5zcaVUSzKAc/edit?usp=sharing"",""ประจวบคีรีขันธ์!I86"")"),0)</f>
        <v>0</v>
      </c>
      <c r="AC62" s="88">
        <f ca="1">IFERROR(__xludf.DUMMYFUNCTION("IMPORTRANGE(""https://docs.google.com/spreadsheets/d/1GbCIE4D4wk9FUozzqk7SxfDMxDVBwVmI5zcaVUSzKAc/edit?usp=sharing"",""ประจวบคีรีขันธ์!I87"")"),0)</f>
        <v>0</v>
      </c>
      <c r="AD62" s="92">
        <f ca="1">IFERROR(__xludf.DUMMYFUNCTION("IMPORTRANGE(""https://docs.google.com/spreadsheets/d/1GbCIE4D4wk9FUozzqk7SxfDMxDVBwVmI5zcaVUSzKAc/edit?usp=sharing"",""ประจวบคีรีขันธ์!J86"")"),0)</f>
        <v>0</v>
      </c>
      <c r="AE62" s="92">
        <f ca="1">IFERROR(__xludf.DUMMYFUNCTION("IMPORTRANGE(""https://docs.google.com/spreadsheets/d/1GbCIE4D4wk9FUozzqk7SxfDMxDVBwVmI5zcaVUSzKAc/edit?usp=sharing"",""ประจวบคีรีขันธ์!J87"")"),0)</f>
        <v>0</v>
      </c>
      <c r="AF62" s="88">
        <f ca="1">IFERROR(__xludf.DUMMYFUNCTION("IMPORTRANGE(""https://docs.google.com/spreadsheets/d/1GbCIE4D4wk9FUozzqk7SxfDMxDVBwVmI5zcaVUSzKAc/edit?usp=sharing"",""ประจวบคีรีขันธ์!I88"")"),0)</f>
        <v>0</v>
      </c>
      <c r="AG62" s="88">
        <f ca="1">IFERROR(__xludf.DUMMYFUNCTION("IMPORTRANGE(""https://docs.google.com/spreadsheets/d/1GbCIE4D4wk9FUozzqk7SxfDMxDVBwVmI5zcaVUSzKAc/edit?usp=sharing"",""ประจวบคีรีขันธ์!I89"")"),0)</f>
        <v>0</v>
      </c>
      <c r="AH62" s="92">
        <f ca="1">IFERROR(__xludf.DUMMYFUNCTION("IMPORTRANGE(""https://docs.google.com/spreadsheets/d/1GbCIE4D4wk9FUozzqk7SxfDMxDVBwVmI5zcaVUSzKAc/edit?usp=sharing"",""ประจวบคีรีขันธ์!J88"")"),0)</f>
        <v>0</v>
      </c>
      <c r="AI62" s="92">
        <f ca="1">IFERROR(__xludf.DUMMYFUNCTION("IMPORTRANGE(""https://docs.google.com/spreadsheets/d/1GbCIE4D4wk9FUozzqk7SxfDMxDVBwVmI5zcaVUSzKAc/edit?usp=sharing"",""ประจวบคีรีขันธ์!J89"")"),0)</f>
        <v>0</v>
      </c>
      <c r="AJ62" s="88">
        <f ca="1">IFERROR(__xludf.DUMMYFUNCTION("IMPORTRANGE(""https://docs.google.com/spreadsheets/d/1GbCIE4D4wk9FUozzqk7SxfDMxDVBwVmI5zcaVUSzKAc/edit?usp=sharing"",""ประจวบคีรีขันธ์!I90"")"),0)</f>
        <v>0</v>
      </c>
      <c r="AK62" s="92">
        <f ca="1">IFERROR(__xludf.DUMMYFUNCTION("IMPORTRANGE(""https://docs.google.com/spreadsheets/d/1GbCIE4D4wk9FUozzqk7SxfDMxDVBwVmI5zcaVUSzKAc/edit?usp=sharing"",""ประจวบคีรีขันธ์!J90"")"),0)</f>
        <v>0</v>
      </c>
      <c r="AL62" s="90">
        <f t="shared" ca="1" si="36"/>
        <v>0</v>
      </c>
    </row>
    <row r="63" spans="1:38" ht="21" customHeight="1" x14ac:dyDescent="0.2">
      <c r="A63" s="84">
        <v>11</v>
      </c>
      <c r="B63" s="85" t="s">
        <v>85</v>
      </c>
      <c r="C63" s="86">
        <f t="shared" ca="1" si="23"/>
        <v>0</v>
      </c>
      <c r="D63" s="87">
        <f t="shared" ca="1" si="47"/>
        <v>0</v>
      </c>
      <c r="E63" s="88">
        <f ca="1">IFERROR(__xludf.DUMMYFUNCTION("IMPORTRANGE(""https://docs.google.com/spreadsheets/d/1-uDff_7J0KD5mKrp0Vvzr7lt3OU09vwQwhkpOPPYv2Y/edit?usp=sharing"",""งบพรบ!AN63"")"),0)</f>
        <v>0</v>
      </c>
      <c r="F63" s="88">
        <f ca="1">IFERROR(__xludf.DUMMYFUNCTION("IMPORTRANGE(""https://docs.google.com/spreadsheets/d/1-uDff_7J0KD5mKrp0Vvzr7lt3OU09vwQwhkpOPPYv2Y/edit?usp=sharing"",""งบพรบ!AO63"")"),0)</f>
        <v>0</v>
      </c>
      <c r="G63" s="88">
        <f ca="1">IFERROR(__xludf.DUMMYFUNCTION("IMPORTRANGE(""https://docs.google.com/spreadsheets/d/1-uDff_7J0KD5mKrp0Vvzr7lt3OU09vwQwhkpOPPYv2Y/edit?usp=sharing"",""งบพรบ!AP63"")"),0)</f>
        <v>0</v>
      </c>
      <c r="H63" s="88">
        <f ca="1">IFERROR(__xludf.DUMMYFUNCTION("IMPORTRANGE(""https://docs.google.com/spreadsheets/d/1-uDff_7J0KD5mKrp0Vvzr7lt3OU09vwQwhkpOPPYv2Y/edit?usp=sharing"",""งบพรบ!AR63"")"),0)</f>
        <v>0</v>
      </c>
      <c r="I63" s="88">
        <f ca="1">IFERROR(__xludf.DUMMYFUNCTION("IMPORTRANGE(""https://docs.google.com/spreadsheets/d/1-uDff_7J0KD5mKrp0Vvzr7lt3OU09vwQwhkpOPPYv2Y/edit?usp=sharing"",""งบพรบ!AS63"")"),0)</f>
        <v>0</v>
      </c>
      <c r="J63" s="88">
        <f t="shared" ca="1" si="25"/>
        <v>0</v>
      </c>
      <c r="K63" s="89">
        <f t="shared" ca="1" si="26"/>
        <v>0</v>
      </c>
      <c r="L63" s="88">
        <f ca="1">IFERROR(__xludf.DUMMYFUNCTION("IMPORTRANGE(""https://docs.google.com/spreadsheets/d/1-uDff_7J0KD5mKrp0Vvzr7lt3OU09vwQwhkpOPPYv2Y/edit?usp=sharing"",""งบพรบ!AT63"")"),0)</f>
        <v>0</v>
      </c>
      <c r="M63" s="90">
        <f t="shared" ca="1" si="27"/>
        <v>0</v>
      </c>
      <c r="N63" s="90">
        <f t="shared" ca="1" si="28"/>
        <v>0</v>
      </c>
      <c r="O63" s="91">
        <f ca="1">IFERROR(__xludf.DUMMYFUNCTION("IMPORTRANGE(""https://docs.google.com/spreadsheets/d/1-uDff_7J0KD5mKrp0Vvzr7lt3OU09vwQwhkpOPPYv2Y/edit?usp=sharing"",""งบพรบ!AU63"")"),0)</f>
        <v>0</v>
      </c>
      <c r="P63" s="91">
        <f t="shared" ca="1" si="29"/>
        <v>0</v>
      </c>
      <c r="Q63" s="90">
        <f t="shared" ca="1" si="30"/>
        <v>0</v>
      </c>
      <c r="R63" s="92">
        <f t="shared" ca="1" si="31"/>
        <v>0</v>
      </c>
      <c r="S63" s="92">
        <f t="shared" ca="1" si="32"/>
        <v>0</v>
      </c>
      <c r="T63" s="92">
        <f t="shared" ca="1" si="48"/>
        <v>0</v>
      </c>
      <c r="U63" s="93">
        <f t="shared" ca="1" si="33"/>
        <v>0</v>
      </c>
      <c r="V63" s="92">
        <f t="shared" ca="1" si="49"/>
        <v>0</v>
      </c>
      <c r="W63" s="93">
        <f t="shared" ca="1" si="34"/>
        <v>0</v>
      </c>
      <c r="X63" s="88">
        <f ca="1">IFERROR(__xludf.DUMMYFUNCTION("IMPORTRANGE(""https://docs.google.com/spreadsheets/d/1vVf6wykvW_lAyu7Yo9L4hUTqHqIeP_qcVuxCtosJEbg/edit?usp=sharing"",""ปราจีนบุรี!I84"")"),0)</f>
        <v>0</v>
      </c>
      <c r="Y63" s="88">
        <f ca="1">IFERROR(__xludf.DUMMYFUNCTION("IMPORTRANGE(""https://docs.google.com/spreadsheets/d/1vVf6wykvW_lAyu7Yo9L4hUTqHqIeP_qcVuxCtosJEbg/edit?usp=sharing"",""ปราจีนบุรี!I85"")"),0)</f>
        <v>0</v>
      </c>
      <c r="Z63" s="92">
        <f ca="1">IFERROR(__xludf.DUMMYFUNCTION("IMPORTRANGE(""https://docs.google.com/spreadsheets/d/1vVf6wykvW_lAyu7Yo9L4hUTqHqIeP_qcVuxCtosJEbg/edit?usp=sharing"",""ปราจีนบุรี!J84"")"),0)</f>
        <v>0</v>
      </c>
      <c r="AA63" s="92">
        <f ca="1">IFERROR(__xludf.DUMMYFUNCTION("IMPORTRANGE(""https://docs.google.com/spreadsheets/d/1vVf6wykvW_lAyu7Yo9L4hUTqHqIeP_qcVuxCtosJEbg/edit?usp=sharing"",""ปราจีนบุรี!J85"")"),0)</f>
        <v>0</v>
      </c>
      <c r="AB63" s="88">
        <f ca="1">IFERROR(__xludf.DUMMYFUNCTION("IMPORTRANGE(""https://docs.google.com/spreadsheets/d/1vVf6wykvW_lAyu7Yo9L4hUTqHqIeP_qcVuxCtosJEbg/edit?usp=sharing"",""ปราจีนบุรี!I86"")"),0)</f>
        <v>0</v>
      </c>
      <c r="AC63" s="88">
        <f ca="1">IFERROR(__xludf.DUMMYFUNCTION("IMPORTRANGE(""https://docs.google.com/spreadsheets/d/1vVf6wykvW_lAyu7Yo9L4hUTqHqIeP_qcVuxCtosJEbg/edit?usp=sharing"",""ปราจีนบุรี!I87"")"),0)</f>
        <v>0</v>
      </c>
      <c r="AD63" s="92">
        <f ca="1">IFERROR(__xludf.DUMMYFUNCTION("IMPORTRANGE(""https://docs.google.com/spreadsheets/d/1vVf6wykvW_lAyu7Yo9L4hUTqHqIeP_qcVuxCtosJEbg/edit?usp=sharing"",""ปราจีนบุรี!J86"")"),0)</f>
        <v>0</v>
      </c>
      <c r="AE63" s="92">
        <f ca="1">IFERROR(__xludf.DUMMYFUNCTION("IMPORTRANGE(""https://docs.google.com/spreadsheets/d/1vVf6wykvW_lAyu7Yo9L4hUTqHqIeP_qcVuxCtosJEbg/edit?usp=sharing"",""ปราจีนบุรี!J87"")"),0)</f>
        <v>0</v>
      </c>
      <c r="AF63" s="88">
        <f ca="1">IFERROR(__xludf.DUMMYFUNCTION("IMPORTRANGE(""https://docs.google.com/spreadsheets/d/1vVf6wykvW_lAyu7Yo9L4hUTqHqIeP_qcVuxCtosJEbg/edit?usp=sharing"",""ปราจีนบุรี!I88"")"),0)</f>
        <v>0</v>
      </c>
      <c r="AG63" s="88">
        <f ca="1">IFERROR(__xludf.DUMMYFUNCTION("IMPORTRANGE(""https://docs.google.com/spreadsheets/d/1vVf6wykvW_lAyu7Yo9L4hUTqHqIeP_qcVuxCtosJEbg/edit?usp=sharing"",""ปราจีนบุรี!I89"")"),0)</f>
        <v>0</v>
      </c>
      <c r="AH63" s="92">
        <f ca="1">IFERROR(__xludf.DUMMYFUNCTION("IMPORTRANGE(""https://docs.google.com/spreadsheets/d/1vVf6wykvW_lAyu7Yo9L4hUTqHqIeP_qcVuxCtosJEbg/edit?usp=sharing"",""ปราจีนบุรี!J88"")"),0)</f>
        <v>0</v>
      </c>
      <c r="AI63" s="92">
        <f ca="1">IFERROR(__xludf.DUMMYFUNCTION("IMPORTRANGE(""https://docs.google.com/spreadsheets/d/1vVf6wykvW_lAyu7Yo9L4hUTqHqIeP_qcVuxCtosJEbg/edit?usp=sharing"",""ปราจีนบุรี!J89"")"),0)</f>
        <v>0</v>
      </c>
      <c r="AJ63" s="88">
        <f ca="1">IFERROR(__xludf.DUMMYFUNCTION("IMPORTRANGE(""https://docs.google.com/spreadsheets/d/1vVf6wykvW_lAyu7Yo9L4hUTqHqIeP_qcVuxCtosJEbg/edit?usp=sharing"",""ปราจีนบุรี!I90"")"),0)</f>
        <v>0</v>
      </c>
      <c r="AK63" s="92">
        <f ca="1">IFERROR(__xludf.DUMMYFUNCTION("IMPORTRANGE(""https://docs.google.com/spreadsheets/d/1vVf6wykvW_lAyu7Yo9L4hUTqHqIeP_qcVuxCtosJEbg/edit?usp=sharing"",""ปราจีนบุรี!J90"")"),0)</f>
        <v>0</v>
      </c>
      <c r="AL63" s="90">
        <f t="shared" ca="1" si="36"/>
        <v>0</v>
      </c>
    </row>
    <row r="64" spans="1:38" ht="21" customHeight="1" x14ac:dyDescent="0.2">
      <c r="A64" s="84">
        <v>12</v>
      </c>
      <c r="B64" s="85" t="s">
        <v>86</v>
      </c>
      <c r="C64" s="86">
        <f t="shared" ca="1" si="23"/>
        <v>0</v>
      </c>
      <c r="D64" s="87">
        <f t="shared" ca="1" si="47"/>
        <v>0</v>
      </c>
      <c r="E64" s="88">
        <f ca="1">IFERROR(__xludf.DUMMYFUNCTION("IMPORTRANGE(""https://docs.google.com/spreadsheets/d/1-uDff_7J0KD5mKrp0Vvzr7lt3OU09vwQwhkpOPPYv2Y/edit?usp=sharing"",""งบพรบ!AN64"")"),0)</f>
        <v>0</v>
      </c>
      <c r="F64" s="88">
        <f ca="1">IFERROR(__xludf.DUMMYFUNCTION("IMPORTRANGE(""https://docs.google.com/spreadsheets/d/1-uDff_7J0KD5mKrp0Vvzr7lt3OU09vwQwhkpOPPYv2Y/edit?usp=sharing"",""งบพรบ!AO64"")"),0)</f>
        <v>0</v>
      </c>
      <c r="G64" s="88">
        <f ca="1">IFERROR(__xludf.DUMMYFUNCTION("IMPORTRANGE(""https://docs.google.com/spreadsheets/d/1-uDff_7J0KD5mKrp0Vvzr7lt3OU09vwQwhkpOPPYv2Y/edit?usp=sharing"",""งบพรบ!AP64"")"),0)</f>
        <v>0</v>
      </c>
      <c r="H64" s="88">
        <f ca="1">IFERROR(__xludf.DUMMYFUNCTION("IMPORTRANGE(""https://docs.google.com/spreadsheets/d/1-uDff_7J0KD5mKrp0Vvzr7lt3OU09vwQwhkpOPPYv2Y/edit?usp=sharing"",""งบพรบ!AR64"")"),0)</f>
        <v>0</v>
      </c>
      <c r="I64" s="88">
        <f ca="1">IFERROR(__xludf.DUMMYFUNCTION("IMPORTRANGE(""https://docs.google.com/spreadsheets/d/1-uDff_7J0KD5mKrp0Vvzr7lt3OU09vwQwhkpOPPYv2Y/edit?usp=sharing"",""งบพรบ!AS64"")"),0)</f>
        <v>0</v>
      </c>
      <c r="J64" s="88">
        <f t="shared" ca="1" si="25"/>
        <v>0</v>
      </c>
      <c r="K64" s="89">
        <f t="shared" ca="1" si="26"/>
        <v>0</v>
      </c>
      <c r="L64" s="88">
        <f ca="1">IFERROR(__xludf.DUMMYFUNCTION("IMPORTRANGE(""https://docs.google.com/spreadsheets/d/1-uDff_7J0KD5mKrp0Vvzr7lt3OU09vwQwhkpOPPYv2Y/edit?usp=sharing"",""งบพรบ!AT64"")"),0)</f>
        <v>0</v>
      </c>
      <c r="M64" s="90">
        <f t="shared" ca="1" si="27"/>
        <v>0</v>
      </c>
      <c r="N64" s="90">
        <f t="shared" ca="1" si="28"/>
        <v>0</v>
      </c>
      <c r="O64" s="91">
        <f ca="1">IFERROR(__xludf.DUMMYFUNCTION("IMPORTRANGE(""https://docs.google.com/spreadsheets/d/1-uDff_7J0KD5mKrp0Vvzr7lt3OU09vwQwhkpOPPYv2Y/edit?usp=sharing"",""งบพรบ!AU64"")"),0)</f>
        <v>0</v>
      </c>
      <c r="P64" s="91">
        <f t="shared" ca="1" si="29"/>
        <v>0</v>
      </c>
      <c r="Q64" s="90">
        <f t="shared" ca="1" si="30"/>
        <v>0</v>
      </c>
      <c r="R64" s="92">
        <f t="shared" ca="1" si="31"/>
        <v>0</v>
      </c>
      <c r="S64" s="92">
        <f t="shared" ca="1" si="32"/>
        <v>0</v>
      </c>
      <c r="T64" s="92">
        <f t="shared" ca="1" si="48"/>
        <v>0</v>
      </c>
      <c r="U64" s="93">
        <f t="shared" ca="1" si="33"/>
        <v>0</v>
      </c>
      <c r="V64" s="92">
        <f t="shared" ca="1" si="49"/>
        <v>0</v>
      </c>
      <c r="W64" s="93">
        <f t="shared" ca="1" si="34"/>
        <v>0</v>
      </c>
      <c r="X64" s="88">
        <f ca="1">IFERROR(__xludf.DUMMYFUNCTION("IMPORTRANGE(""https://docs.google.com/spreadsheets/d/1BIDqLLg5jk3v59G8NlR8rk5xfQDKne0sAvZHSj7TI6I/edit?usp=sharing"",""พระนครศรีอยุธยา!I84"")"),0)</f>
        <v>0</v>
      </c>
      <c r="Y64" s="88">
        <f ca="1">IFERROR(__xludf.DUMMYFUNCTION("IMPORTRANGE(""https://docs.google.com/spreadsheets/d/1BIDqLLg5jk3v59G8NlR8rk5xfQDKne0sAvZHSj7TI6I/edit?usp=sharing"",""พระนครศรีอยุธยา!I85"")"),0)</f>
        <v>0</v>
      </c>
      <c r="Z64" s="92">
        <f ca="1">IFERROR(__xludf.DUMMYFUNCTION("IMPORTRANGE(""https://docs.google.com/spreadsheets/d/1BIDqLLg5jk3v59G8NlR8rk5xfQDKne0sAvZHSj7TI6I/edit?usp=sharing"",""พระนครศรีอยุธยา!J84"")"),0)</f>
        <v>0</v>
      </c>
      <c r="AA64" s="92">
        <f ca="1">IFERROR(__xludf.DUMMYFUNCTION("IMPORTRANGE(""https://docs.google.com/spreadsheets/d/1BIDqLLg5jk3v59G8NlR8rk5xfQDKne0sAvZHSj7TI6I/edit?usp=sharing"",""พระนครศรีอยุธยา!J85"")"),0)</f>
        <v>0</v>
      </c>
      <c r="AB64" s="88">
        <f ca="1">IFERROR(__xludf.DUMMYFUNCTION("IMPORTRANGE(""https://docs.google.com/spreadsheets/d/1BIDqLLg5jk3v59G8NlR8rk5xfQDKne0sAvZHSj7TI6I/edit?usp=sharing"",""พระนครศรีอยุธยา!I86"")"),0)</f>
        <v>0</v>
      </c>
      <c r="AC64" s="88">
        <f ca="1">IFERROR(__xludf.DUMMYFUNCTION("IMPORTRANGE(""https://docs.google.com/spreadsheets/d/1BIDqLLg5jk3v59G8NlR8rk5xfQDKne0sAvZHSj7TI6I/edit?usp=sharing"",""พระนครศรีอยุธยา!I87"")"),0)</f>
        <v>0</v>
      </c>
      <c r="AD64" s="92">
        <f ca="1">IFERROR(__xludf.DUMMYFUNCTION("IMPORTRANGE(""https://docs.google.com/spreadsheets/d/1BIDqLLg5jk3v59G8NlR8rk5xfQDKne0sAvZHSj7TI6I/edit?usp=sharing"",""พระนครศรีอยุธยา!J86"")"),0)</f>
        <v>0</v>
      </c>
      <c r="AE64" s="92">
        <f ca="1">IFERROR(__xludf.DUMMYFUNCTION("IMPORTRANGE(""https://docs.google.com/spreadsheets/d/1BIDqLLg5jk3v59G8NlR8rk5xfQDKne0sAvZHSj7TI6I/edit?usp=sharing"",""พระนครศรีอยุธยา!J87"")"),0)</f>
        <v>0</v>
      </c>
      <c r="AF64" s="88">
        <f ca="1">IFERROR(__xludf.DUMMYFUNCTION("IMPORTRANGE(""https://docs.google.com/spreadsheets/d/1BIDqLLg5jk3v59G8NlR8rk5xfQDKne0sAvZHSj7TI6I/edit?usp=sharing"",""พระนครศรีอยุธยา!I88"")"),0)</f>
        <v>0</v>
      </c>
      <c r="AG64" s="88">
        <f ca="1">IFERROR(__xludf.DUMMYFUNCTION("IMPORTRANGE(""https://docs.google.com/spreadsheets/d/1BIDqLLg5jk3v59G8NlR8rk5xfQDKne0sAvZHSj7TI6I/edit?usp=sharing"",""พระนครศรีอยุธยา!I89"")"),0)</f>
        <v>0</v>
      </c>
      <c r="AH64" s="92">
        <f ca="1">IFERROR(__xludf.DUMMYFUNCTION("IMPORTRANGE(""https://docs.google.com/spreadsheets/d/1BIDqLLg5jk3v59G8NlR8rk5xfQDKne0sAvZHSj7TI6I/edit?usp=sharing"",""พระนครศรีอยุธยา!J88"")"),0)</f>
        <v>0</v>
      </c>
      <c r="AI64" s="92">
        <f ca="1">IFERROR(__xludf.DUMMYFUNCTION("IMPORTRANGE(""https://docs.google.com/spreadsheets/d/1BIDqLLg5jk3v59G8NlR8rk5xfQDKne0sAvZHSj7TI6I/edit?usp=sharing"",""พระนครศรีอยุธยา!J89"")"),0)</f>
        <v>0</v>
      </c>
      <c r="AJ64" s="88">
        <f ca="1">IFERROR(__xludf.DUMMYFUNCTION("IMPORTRANGE(""https://docs.google.com/spreadsheets/d/1BIDqLLg5jk3v59G8NlR8rk5xfQDKne0sAvZHSj7TI6I/edit?usp=sharing"",""พระนครศรีอยุธยา!I90"")"),0)</f>
        <v>0</v>
      </c>
      <c r="AK64" s="92">
        <f ca="1">IFERROR(__xludf.DUMMYFUNCTION("IMPORTRANGE(""https://docs.google.com/spreadsheets/d/1BIDqLLg5jk3v59G8NlR8rk5xfQDKne0sAvZHSj7TI6I/edit?usp=sharing"",""พระนครศรีอยุธยา!J90"")"),0)</f>
        <v>0</v>
      </c>
      <c r="AL64" s="90">
        <f t="shared" ca="1" si="36"/>
        <v>0</v>
      </c>
    </row>
    <row r="65" spans="1:38" ht="21" customHeight="1" x14ac:dyDescent="0.2">
      <c r="A65" s="84">
        <v>13</v>
      </c>
      <c r="B65" s="85" t="s">
        <v>87</v>
      </c>
      <c r="C65" s="86">
        <f t="shared" ca="1" si="23"/>
        <v>0</v>
      </c>
      <c r="D65" s="87">
        <f t="shared" ca="1" si="47"/>
        <v>0</v>
      </c>
      <c r="E65" s="88">
        <f ca="1">IFERROR(__xludf.DUMMYFUNCTION("IMPORTRANGE(""https://docs.google.com/spreadsheets/d/1-uDff_7J0KD5mKrp0Vvzr7lt3OU09vwQwhkpOPPYv2Y/edit?usp=sharing"",""งบพรบ!AN65"")"),0)</f>
        <v>0</v>
      </c>
      <c r="F65" s="88">
        <f ca="1">IFERROR(__xludf.DUMMYFUNCTION("IMPORTRANGE(""https://docs.google.com/spreadsheets/d/1-uDff_7J0KD5mKrp0Vvzr7lt3OU09vwQwhkpOPPYv2Y/edit?usp=sharing"",""งบพรบ!AO65"")"),0)</f>
        <v>0</v>
      </c>
      <c r="G65" s="88">
        <f ca="1">IFERROR(__xludf.DUMMYFUNCTION("IMPORTRANGE(""https://docs.google.com/spreadsheets/d/1-uDff_7J0KD5mKrp0Vvzr7lt3OU09vwQwhkpOPPYv2Y/edit?usp=sharing"",""งบพรบ!AP65"")"),0)</f>
        <v>0</v>
      </c>
      <c r="H65" s="88">
        <f ca="1">IFERROR(__xludf.DUMMYFUNCTION("IMPORTRANGE(""https://docs.google.com/spreadsheets/d/1-uDff_7J0KD5mKrp0Vvzr7lt3OU09vwQwhkpOPPYv2Y/edit?usp=sharing"",""งบพรบ!AR65"")"),0)</f>
        <v>0</v>
      </c>
      <c r="I65" s="88">
        <f ca="1">IFERROR(__xludf.DUMMYFUNCTION("IMPORTRANGE(""https://docs.google.com/spreadsheets/d/1-uDff_7J0KD5mKrp0Vvzr7lt3OU09vwQwhkpOPPYv2Y/edit?usp=sharing"",""งบพรบ!AS65"")"),0)</f>
        <v>0</v>
      </c>
      <c r="J65" s="88">
        <f t="shared" ca="1" si="25"/>
        <v>0</v>
      </c>
      <c r="K65" s="89">
        <f t="shared" ca="1" si="26"/>
        <v>0</v>
      </c>
      <c r="L65" s="88">
        <f ca="1">IFERROR(__xludf.DUMMYFUNCTION("IMPORTRANGE(""https://docs.google.com/spreadsheets/d/1-uDff_7J0KD5mKrp0Vvzr7lt3OU09vwQwhkpOPPYv2Y/edit?usp=sharing"",""งบพรบ!AT65"")"),0)</f>
        <v>0</v>
      </c>
      <c r="M65" s="90">
        <f t="shared" ca="1" si="27"/>
        <v>0</v>
      </c>
      <c r="N65" s="90">
        <f t="shared" ca="1" si="28"/>
        <v>0</v>
      </c>
      <c r="O65" s="91">
        <f ca="1">IFERROR(__xludf.DUMMYFUNCTION("IMPORTRANGE(""https://docs.google.com/spreadsheets/d/1-uDff_7J0KD5mKrp0Vvzr7lt3OU09vwQwhkpOPPYv2Y/edit?usp=sharing"",""งบพรบ!AU65"")"),0)</f>
        <v>0</v>
      </c>
      <c r="P65" s="91">
        <f t="shared" ca="1" si="29"/>
        <v>0</v>
      </c>
      <c r="Q65" s="90">
        <f t="shared" ca="1" si="30"/>
        <v>0</v>
      </c>
      <c r="R65" s="92">
        <f t="shared" ca="1" si="31"/>
        <v>0</v>
      </c>
      <c r="S65" s="92">
        <f t="shared" ca="1" si="32"/>
        <v>0</v>
      </c>
      <c r="T65" s="92">
        <f t="shared" ca="1" si="48"/>
        <v>0</v>
      </c>
      <c r="U65" s="93">
        <f t="shared" ca="1" si="33"/>
        <v>0</v>
      </c>
      <c r="V65" s="92">
        <f t="shared" ca="1" si="49"/>
        <v>0</v>
      </c>
      <c r="W65" s="93">
        <f t="shared" ca="1" si="34"/>
        <v>0</v>
      </c>
      <c r="X65" s="88">
        <f ca="1">IFERROR(__xludf.DUMMYFUNCTION("IMPORTRANGE(""https://docs.google.com/spreadsheets/d/1YXvxf8Yu6_rV4hTBrwMqAcAnv6DfhUxh5emyM3CJp_w/edit?usp=sharing"",""เพชรบุรี!I84"")"),0)</f>
        <v>0</v>
      </c>
      <c r="Y65" s="88">
        <f ca="1">IFERROR(__xludf.DUMMYFUNCTION("IMPORTRANGE(""https://docs.google.com/spreadsheets/d/1YXvxf8Yu6_rV4hTBrwMqAcAnv6DfhUxh5emyM3CJp_w/edit?usp=sharing"",""เพชรบุรี!I85"")"),0)</f>
        <v>0</v>
      </c>
      <c r="Z65" s="92">
        <f ca="1">IFERROR(__xludf.DUMMYFUNCTION("IMPORTRANGE(""https://docs.google.com/spreadsheets/d/1YXvxf8Yu6_rV4hTBrwMqAcAnv6DfhUxh5emyM3CJp_w/edit?usp=sharing"",""เพชรบุรี!J84"")"),0)</f>
        <v>0</v>
      </c>
      <c r="AA65" s="92">
        <f ca="1">IFERROR(__xludf.DUMMYFUNCTION("IMPORTRANGE(""https://docs.google.com/spreadsheets/d/1YXvxf8Yu6_rV4hTBrwMqAcAnv6DfhUxh5emyM3CJp_w/edit?usp=sharing"",""เพชรบุรี!J85"")"),0)</f>
        <v>0</v>
      </c>
      <c r="AB65" s="88">
        <f ca="1">IFERROR(__xludf.DUMMYFUNCTION("IMPORTRANGE(""https://docs.google.com/spreadsheets/d/1YXvxf8Yu6_rV4hTBrwMqAcAnv6DfhUxh5emyM3CJp_w/edit?usp=sharing"",""เพชรบุรี!I86"")"),0)</f>
        <v>0</v>
      </c>
      <c r="AC65" s="88">
        <f ca="1">IFERROR(__xludf.DUMMYFUNCTION("IMPORTRANGE(""https://docs.google.com/spreadsheets/d/1YXvxf8Yu6_rV4hTBrwMqAcAnv6DfhUxh5emyM3CJp_w/edit?usp=sharing"",""เพชรบุรี!I87"")"),0)</f>
        <v>0</v>
      </c>
      <c r="AD65" s="92">
        <f ca="1">IFERROR(__xludf.DUMMYFUNCTION("IMPORTRANGE(""https://docs.google.com/spreadsheets/d/1YXvxf8Yu6_rV4hTBrwMqAcAnv6DfhUxh5emyM3CJp_w/edit?usp=sharing"",""เพชรบุรี!J86"")"),0)</f>
        <v>0</v>
      </c>
      <c r="AE65" s="92">
        <f ca="1">IFERROR(__xludf.DUMMYFUNCTION("IMPORTRANGE(""https://docs.google.com/spreadsheets/d/1YXvxf8Yu6_rV4hTBrwMqAcAnv6DfhUxh5emyM3CJp_w/edit?usp=sharing"",""เพชรบุรี!J87"")"),0)</f>
        <v>0</v>
      </c>
      <c r="AF65" s="88">
        <f ca="1">IFERROR(__xludf.DUMMYFUNCTION("IMPORTRANGE(""https://docs.google.com/spreadsheets/d/1YXvxf8Yu6_rV4hTBrwMqAcAnv6DfhUxh5emyM3CJp_w/edit?usp=sharing"",""เพชรบุรี!I88"")"),0)</f>
        <v>0</v>
      </c>
      <c r="AG65" s="88">
        <f ca="1">IFERROR(__xludf.DUMMYFUNCTION("IMPORTRANGE(""https://docs.google.com/spreadsheets/d/1YXvxf8Yu6_rV4hTBrwMqAcAnv6DfhUxh5emyM3CJp_w/edit?usp=sharing"",""เพชรบุรี!I89"")"),0)</f>
        <v>0</v>
      </c>
      <c r="AH65" s="92">
        <f ca="1">IFERROR(__xludf.DUMMYFUNCTION("IMPORTRANGE(""https://docs.google.com/spreadsheets/d/1YXvxf8Yu6_rV4hTBrwMqAcAnv6DfhUxh5emyM3CJp_w/edit?usp=sharing"",""เพชรบุรี!J88"")"),0)</f>
        <v>0</v>
      </c>
      <c r="AI65" s="92">
        <f ca="1">IFERROR(__xludf.DUMMYFUNCTION("IMPORTRANGE(""https://docs.google.com/spreadsheets/d/1YXvxf8Yu6_rV4hTBrwMqAcAnv6DfhUxh5emyM3CJp_w/edit?usp=sharing"",""เพชรบุรี!J89"")"),0)</f>
        <v>0</v>
      </c>
      <c r="AJ65" s="88">
        <f ca="1">IFERROR(__xludf.DUMMYFUNCTION("IMPORTRANGE(""https://docs.google.com/spreadsheets/d/1YXvxf8Yu6_rV4hTBrwMqAcAnv6DfhUxh5emyM3CJp_w/edit?usp=sharing"",""เพชรบุรี!I90"")"),0)</f>
        <v>0</v>
      </c>
      <c r="AK65" s="92">
        <f ca="1">IFERROR(__xludf.DUMMYFUNCTION("IMPORTRANGE(""https://docs.google.com/spreadsheets/d/1YXvxf8Yu6_rV4hTBrwMqAcAnv6DfhUxh5emyM3CJp_w/edit?usp=sharing"",""เพชรบุรี!J90"")"),0)</f>
        <v>0</v>
      </c>
      <c r="AL65" s="90">
        <f t="shared" ca="1" si="36"/>
        <v>0</v>
      </c>
    </row>
    <row r="66" spans="1:38" ht="21" customHeight="1" x14ac:dyDescent="0.2">
      <c r="A66" s="84">
        <v>14</v>
      </c>
      <c r="B66" s="85" t="s">
        <v>88</v>
      </c>
      <c r="C66" s="86">
        <f t="shared" ca="1" si="23"/>
        <v>0</v>
      </c>
      <c r="D66" s="87">
        <f t="shared" ca="1" si="47"/>
        <v>0</v>
      </c>
      <c r="E66" s="88">
        <f ca="1">IFERROR(__xludf.DUMMYFUNCTION("IMPORTRANGE(""https://docs.google.com/spreadsheets/d/1-uDff_7J0KD5mKrp0Vvzr7lt3OU09vwQwhkpOPPYv2Y/edit?usp=sharing"",""งบพรบ!AN66"")"),0)</f>
        <v>0</v>
      </c>
      <c r="F66" s="88">
        <f ca="1">IFERROR(__xludf.DUMMYFUNCTION("IMPORTRANGE(""https://docs.google.com/spreadsheets/d/1-uDff_7J0KD5mKrp0Vvzr7lt3OU09vwQwhkpOPPYv2Y/edit?usp=sharing"",""งบพรบ!AO66"")"),0)</f>
        <v>0</v>
      </c>
      <c r="G66" s="88">
        <f ca="1">IFERROR(__xludf.DUMMYFUNCTION("IMPORTRANGE(""https://docs.google.com/spreadsheets/d/1-uDff_7J0KD5mKrp0Vvzr7lt3OU09vwQwhkpOPPYv2Y/edit?usp=sharing"",""งบพรบ!AP66"")"),0)</f>
        <v>0</v>
      </c>
      <c r="H66" s="88">
        <f ca="1">IFERROR(__xludf.DUMMYFUNCTION("IMPORTRANGE(""https://docs.google.com/spreadsheets/d/1-uDff_7J0KD5mKrp0Vvzr7lt3OU09vwQwhkpOPPYv2Y/edit?usp=sharing"",""งบพรบ!AR66"")"),0)</f>
        <v>0</v>
      </c>
      <c r="I66" s="88">
        <f ca="1">IFERROR(__xludf.DUMMYFUNCTION("IMPORTRANGE(""https://docs.google.com/spreadsheets/d/1-uDff_7J0KD5mKrp0Vvzr7lt3OU09vwQwhkpOPPYv2Y/edit?usp=sharing"",""งบพรบ!AS66"")"),0)</f>
        <v>0</v>
      </c>
      <c r="J66" s="88">
        <f t="shared" ca="1" si="25"/>
        <v>0</v>
      </c>
      <c r="K66" s="89">
        <f t="shared" ca="1" si="26"/>
        <v>0</v>
      </c>
      <c r="L66" s="88">
        <f ca="1">IFERROR(__xludf.DUMMYFUNCTION("IMPORTRANGE(""https://docs.google.com/spreadsheets/d/1-uDff_7J0KD5mKrp0Vvzr7lt3OU09vwQwhkpOPPYv2Y/edit?usp=sharing"",""งบพรบ!AT66"")"),0)</f>
        <v>0</v>
      </c>
      <c r="M66" s="90">
        <f t="shared" ca="1" si="27"/>
        <v>0</v>
      </c>
      <c r="N66" s="90">
        <f t="shared" ca="1" si="28"/>
        <v>0</v>
      </c>
      <c r="O66" s="91">
        <f ca="1">IFERROR(__xludf.DUMMYFUNCTION("IMPORTRANGE(""https://docs.google.com/spreadsheets/d/1-uDff_7J0KD5mKrp0Vvzr7lt3OU09vwQwhkpOPPYv2Y/edit?usp=sharing"",""งบพรบ!AU66"")"),0)</f>
        <v>0</v>
      </c>
      <c r="P66" s="91">
        <f t="shared" ca="1" si="29"/>
        <v>0</v>
      </c>
      <c r="Q66" s="90">
        <f t="shared" ca="1" si="30"/>
        <v>0</v>
      </c>
      <c r="R66" s="92">
        <f t="shared" ca="1" si="31"/>
        <v>0</v>
      </c>
      <c r="S66" s="92">
        <f t="shared" ca="1" si="32"/>
        <v>0</v>
      </c>
      <c r="T66" s="92">
        <f t="shared" ca="1" si="48"/>
        <v>0</v>
      </c>
      <c r="U66" s="93">
        <f t="shared" ca="1" si="33"/>
        <v>0</v>
      </c>
      <c r="V66" s="92">
        <f t="shared" ca="1" si="49"/>
        <v>0</v>
      </c>
      <c r="W66" s="93">
        <f t="shared" ca="1" si="34"/>
        <v>0</v>
      </c>
      <c r="X66" s="88">
        <f ca="1">IFERROR(__xludf.DUMMYFUNCTION("IMPORTRANGE(""https://docs.google.com/spreadsheets/d/19KBlQQs7uwvsao6t2n-KvW3Ax8J8uRRfZPq1zPbXgKc/edit?usp=sharing"",""ระยอง!I84"")"),0)</f>
        <v>0</v>
      </c>
      <c r="Y66" s="88">
        <f ca="1">IFERROR(__xludf.DUMMYFUNCTION("IMPORTRANGE(""https://docs.google.com/spreadsheets/d/19KBlQQs7uwvsao6t2n-KvW3Ax8J8uRRfZPq1zPbXgKc/edit?usp=sharing"",""ระยอง!I85"")"),0)</f>
        <v>0</v>
      </c>
      <c r="Z66" s="92">
        <f ca="1">IFERROR(__xludf.DUMMYFUNCTION("IMPORTRANGE(""https://docs.google.com/spreadsheets/d/19KBlQQs7uwvsao6t2n-KvW3Ax8J8uRRfZPq1zPbXgKc/edit?usp=sharing"",""ระยอง!J84"")"),0)</f>
        <v>0</v>
      </c>
      <c r="AA66" s="92">
        <f ca="1">IFERROR(__xludf.DUMMYFUNCTION("IMPORTRANGE(""https://docs.google.com/spreadsheets/d/19KBlQQs7uwvsao6t2n-KvW3Ax8J8uRRfZPq1zPbXgKc/edit?usp=sharing"",""ระยอง!J85"")"),0)</f>
        <v>0</v>
      </c>
      <c r="AB66" s="88">
        <f ca="1">IFERROR(__xludf.DUMMYFUNCTION("IMPORTRANGE(""https://docs.google.com/spreadsheets/d/19KBlQQs7uwvsao6t2n-KvW3Ax8J8uRRfZPq1zPbXgKc/edit?usp=sharing"",""ระยอง!I86"")"),0)</f>
        <v>0</v>
      </c>
      <c r="AC66" s="88">
        <f ca="1">IFERROR(__xludf.DUMMYFUNCTION("IMPORTRANGE(""https://docs.google.com/spreadsheets/d/19KBlQQs7uwvsao6t2n-KvW3Ax8J8uRRfZPq1zPbXgKc/edit?usp=sharing"",""ระยอง!I87"")"),0)</f>
        <v>0</v>
      </c>
      <c r="AD66" s="92">
        <f ca="1">IFERROR(__xludf.DUMMYFUNCTION("IMPORTRANGE(""https://docs.google.com/spreadsheets/d/19KBlQQs7uwvsao6t2n-KvW3Ax8J8uRRfZPq1zPbXgKc/edit?usp=sharing"",""ระยอง!J86"")"),0)</f>
        <v>0</v>
      </c>
      <c r="AE66" s="92">
        <f ca="1">IFERROR(__xludf.DUMMYFUNCTION("IMPORTRANGE(""https://docs.google.com/spreadsheets/d/19KBlQQs7uwvsao6t2n-KvW3Ax8J8uRRfZPq1zPbXgKc/edit?usp=sharing"",""ระยอง!J87"")"),0)</f>
        <v>0</v>
      </c>
      <c r="AF66" s="88">
        <f ca="1">IFERROR(__xludf.DUMMYFUNCTION("IMPORTRANGE(""https://docs.google.com/spreadsheets/d/19KBlQQs7uwvsao6t2n-KvW3Ax8J8uRRfZPq1zPbXgKc/edit?usp=sharing"",""ระยอง!I88"")"),0)</f>
        <v>0</v>
      </c>
      <c r="AG66" s="88">
        <f ca="1">IFERROR(__xludf.DUMMYFUNCTION("IMPORTRANGE(""https://docs.google.com/spreadsheets/d/19KBlQQs7uwvsao6t2n-KvW3Ax8J8uRRfZPq1zPbXgKc/edit?usp=sharing"",""ระยอง!I89"")"),0)</f>
        <v>0</v>
      </c>
      <c r="AH66" s="92">
        <f ca="1">IFERROR(__xludf.DUMMYFUNCTION("IMPORTRANGE(""https://docs.google.com/spreadsheets/d/19KBlQQs7uwvsao6t2n-KvW3Ax8J8uRRfZPq1zPbXgKc/edit?usp=sharing"",""ระยอง!J88"")"),0)</f>
        <v>0</v>
      </c>
      <c r="AI66" s="92">
        <f ca="1">IFERROR(__xludf.DUMMYFUNCTION("IMPORTRANGE(""https://docs.google.com/spreadsheets/d/19KBlQQs7uwvsao6t2n-KvW3Ax8J8uRRfZPq1zPbXgKc/edit?usp=sharing"",""ระยอง!J89"")"),0)</f>
        <v>0</v>
      </c>
      <c r="AJ66" s="88">
        <f ca="1">IFERROR(__xludf.DUMMYFUNCTION("IMPORTRANGE(""https://docs.google.com/spreadsheets/d/19KBlQQs7uwvsao6t2n-KvW3Ax8J8uRRfZPq1zPbXgKc/edit?usp=sharing"",""ระยอง!I90"")"),0)</f>
        <v>0</v>
      </c>
      <c r="AK66" s="92">
        <f ca="1">IFERROR(__xludf.DUMMYFUNCTION("IMPORTRANGE(""https://docs.google.com/spreadsheets/d/19KBlQQs7uwvsao6t2n-KvW3Ax8J8uRRfZPq1zPbXgKc/edit?usp=sharing"",""ระยอง!J90"")"),0)</f>
        <v>0</v>
      </c>
      <c r="AL66" s="90">
        <f t="shared" ca="1" si="36"/>
        <v>0</v>
      </c>
    </row>
    <row r="67" spans="1:38" ht="21" customHeight="1" x14ac:dyDescent="0.2">
      <c r="A67" s="84">
        <v>15</v>
      </c>
      <c r="B67" s="85" t="s">
        <v>89</v>
      </c>
      <c r="C67" s="86">
        <f t="shared" ca="1" si="23"/>
        <v>0</v>
      </c>
      <c r="D67" s="87">
        <f t="shared" ca="1" si="47"/>
        <v>0</v>
      </c>
      <c r="E67" s="88">
        <f ca="1">IFERROR(__xludf.DUMMYFUNCTION("IMPORTRANGE(""https://docs.google.com/spreadsheets/d/1-uDff_7J0KD5mKrp0Vvzr7lt3OU09vwQwhkpOPPYv2Y/edit?usp=sharing"",""งบพรบ!AN67"")"),0)</f>
        <v>0</v>
      </c>
      <c r="F67" s="88">
        <f ca="1">IFERROR(__xludf.DUMMYFUNCTION("IMPORTRANGE(""https://docs.google.com/spreadsheets/d/1-uDff_7J0KD5mKrp0Vvzr7lt3OU09vwQwhkpOPPYv2Y/edit?usp=sharing"",""งบพรบ!AO67"")"),0)</f>
        <v>0</v>
      </c>
      <c r="G67" s="88">
        <f ca="1">IFERROR(__xludf.DUMMYFUNCTION("IMPORTRANGE(""https://docs.google.com/spreadsheets/d/1-uDff_7J0KD5mKrp0Vvzr7lt3OU09vwQwhkpOPPYv2Y/edit?usp=sharing"",""งบพรบ!AP67"")"),0)</f>
        <v>0</v>
      </c>
      <c r="H67" s="88">
        <f ca="1">IFERROR(__xludf.DUMMYFUNCTION("IMPORTRANGE(""https://docs.google.com/spreadsheets/d/1-uDff_7J0KD5mKrp0Vvzr7lt3OU09vwQwhkpOPPYv2Y/edit?usp=sharing"",""งบพรบ!AR67"")"),0)</f>
        <v>0</v>
      </c>
      <c r="I67" s="88">
        <f ca="1">IFERROR(__xludf.DUMMYFUNCTION("IMPORTRANGE(""https://docs.google.com/spreadsheets/d/1-uDff_7J0KD5mKrp0Vvzr7lt3OU09vwQwhkpOPPYv2Y/edit?usp=sharing"",""งบพรบ!AS67"")"),0)</f>
        <v>0</v>
      </c>
      <c r="J67" s="88">
        <f t="shared" ca="1" si="25"/>
        <v>0</v>
      </c>
      <c r="K67" s="89">
        <f t="shared" ca="1" si="26"/>
        <v>0</v>
      </c>
      <c r="L67" s="88">
        <f ca="1">IFERROR(__xludf.DUMMYFUNCTION("IMPORTRANGE(""https://docs.google.com/spreadsheets/d/1-uDff_7J0KD5mKrp0Vvzr7lt3OU09vwQwhkpOPPYv2Y/edit?usp=sharing"",""งบพรบ!AT67"")"),0)</f>
        <v>0</v>
      </c>
      <c r="M67" s="90">
        <f t="shared" ca="1" si="27"/>
        <v>0</v>
      </c>
      <c r="N67" s="90">
        <f t="shared" ca="1" si="28"/>
        <v>0</v>
      </c>
      <c r="O67" s="91">
        <f ca="1">IFERROR(__xludf.DUMMYFUNCTION("IMPORTRANGE(""https://docs.google.com/spreadsheets/d/1-uDff_7J0KD5mKrp0Vvzr7lt3OU09vwQwhkpOPPYv2Y/edit?usp=sharing"",""งบพรบ!AU67"")"),0)</f>
        <v>0</v>
      </c>
      <c r="P67" s="91">
        <f t="shared" ca="1" si="29"/>
        <v>0</v>
      </c>
      <c r="Q67" s="90">
        <f t="shared" ca="1" si="30"/>
        <v>0</v>
      </c>
      <c r="R67" s="92">
        <f t="shared" ca="1" si="31"/>
        <v>0</v>
      </c>
      <c r="S67" s="92">
        <f t="shared" ca="1" si="32"/>
        <v>0</v>
      </c>
      <c r="T67" s="92">
        <f t="shared" ca="1" si="48"/>
        <v>0</v>
      </c>
      <c r="U67" s="93">
        <f t="shared" ca="1" si="33"/>
        <v>0</v>
      </c>
      <c r="V67" s="92">
        <f t="shared" ca="1" si="49"/>
        <v>0</v>
      </c>
      <c r="W67" s="93">
        <f t="shared" ca="1" si="34"/>
        <v>0</v>
      </c>
      <c r="X67" s="88">
        <f ca="1">IFERROR(__xludf.DUMMYFUNCTION("IMPORTRANGE(""https://docs.google.com/spreadsheets/d/1jQ6P4QcrGM89YfqcC_PxOHGCMq5ezhucwJd8ci-NHng/edit?usp=sharing"",""ราชบุรี!I84"")"),0)</f>
        <v>0</v>
      </c>
      <c r="Y67" s="88">
        <f ca="1">IFERROR(__xludf.DUMMYFUNCTION("IMPORTRANGE(""https://docs.google.com/spreadsheets/d/1jQ6P4QcrGM89YfqcC_PxOHGCMq5ezhucwJd8ci-NHng/edit?usp=sharing"",""ราชบุรี!I85"")"),0)</f>
        <v>0</v>
      </c>
      <c r="Z67" s="92">
        <f ca="1">IFERROR(__xludf.DUMMYFUNCTION("IMPORTRANGE(""https://docs.google.com/spreadsheets/d/1jQ6P4QcrGM89YfqcC_PxOHGCMq5ezhucwJd8ci-NHng/edit?usp=sharing"",""ราชบุรี!J84"")"),0)</f>
        <v>0</v>
      </c>
      <c r="AA67" s="92">
        <f ca="1">IFERROR(__xludf.DUMMYFUNCTION("IMPORTRANGE(""https://docs.google.com/spreadsheets/d/1jQ6P4QcrGM89YfqcC_PxOHGCMq5ezhucwJd8ci-NHng/edit?usp=sharing"",""ราชบุรี!J85"")"),0)</f>
        <v>0</v>
      </c>
      <c r="AB67" s="88">
        <f ca="1">IFERROR(__xludf.DUMMYFUNCTION("IMPORTRANGE(""https://docs.google.com/spreadsheets/d/1jQ6P4QcrGM89YfqcC_PxOHGCMq5ezhucwJd8ci-NHng/edit?usp=sharing"",""ราชบุรี!I86"")"),0)</f>
        <v>0</v>
      </c>
      <c r="AC67" s="88">
        <f ca="1">IFERROR(__xludf.DUMMYFUNCTION("IMPORTRANGE(""https://docs.google.com/spreadsheets/d/1jQ6P4QcrGM89YfqcC_PxOHGCMq5ezhucwJd8ci-NHng/edit?usp=sharing"",""ราชบุรี!I87"")"),0)</f>
        <v>0</v>
      </c>
      <c r="AD67" s="92">
        <f ca="1">IFERROR(__xludf.DUMMYFUNCTION("IMPORTRANGE(""https://docs.google.com/spreadsheets/d/1jQ6P4QcrGM89YfqcC_PxOHGCMq5ezhucwJd8ci-NHng/edit?usp=sharing"",""ราชบุรี!J86"")"),0)</f>
        <v>0</v>
      </c>
      <c r="AE67" s="92">
        <f ca="1">IFERROR(__xludf.DUMMYFUNCTION("IMPORTRANGE(""https://docs.google.com/spreadsheets/d/1jQ6P4QcrGM89YfqcC_PxOHGCMq5ezhucwJd8ci-NHng/edit?usp=sharing"",""ราชบุรี!J87"")"),0)</f>
        <v>0</v>
      </c>
      <c r="AF67" s="88">
        <f ca="1">IFERROR(__xludf.DUMMYFUNCTION("IMPORTRANGE(""https://docs.google.com/spreadsheets/d/1jQ6P4QcrGM89YfqcC_PxOHGCMq5ezhucwJd8ci-NHng/edit?usp=sharing"",""ราชบุรี!I88"")"),0)</f>
        <v>0</v>
      </c>
      <c r="AG67" s="88">
        <f ca="1">IFERROR(__xludf.DUMMYFUNCTION("IMPORTRANGE(""https://docs.google.com/spreadsheets/d/1jQ6P4QcrGM89YfqcC_PxOHGCMq5ezhucwJd8ci-NHng/edit?usp=sharing"",""ราชบุรี!I89"")"),0)</f>
        <v>0</v>
      </c>
      <c r="AH67" s="92">
        <f ca="1">IFERROR(__xludf.DUMMYFUNCTION("IMPORTRANGE(""https://docs.google.com/spreadsheets/d/1jQ6P4QcrGM89YfqcC_PxOHGCMq5ezhucwJd8ci-NHng/edit?usp=sharing"",""ราชบุรี!J88"")"),0)</f>
        <v>0</v>
      </c>
      <c r="AI67" s="92">
        <f ca="1">IFERROR(__xludf.DUMMYFUNCTION("IMPORTRANGE(""https://docs.google.com/spreadsheets/d/1jQ6P4QcrGM89YfqcC_PxOHGCMq5ezhucwJd8ci-NHng/edit?usp=sharing"",""ราชบุรี!J89"")"),0)</f>
        <v>0</v>
      </c>
      <c r="AJ67" s="88">
        <f ca="1">IFERROR(__xludf.DUMMYFUNCTION("IMPORTRANGE(""https://docs.google.com/spreadsheets/d/1jQ6P4QcrGM89YfqcC_PxOHGCMq5ezhucwJd8ci-NHng/edit?usp=sharing"",""ราชบุรี!I90"")"),0)</f>
        <v>0</v>
      </c>
      <c r="AK67" s="92">
        <f ca="1">IFERROR(__xludf.DUMMYFUNCTION("IMPORTRANGE(""https://docs.google.com/spreadsheets/d/1jQ6P4QcrGM89YfqcC_PxOHGCMq5ezhucwJd8ci-NHng/edit?usp=sharing"",""ราชบุรี!J90"")"),0)</f>
        <v>0</v>
      </c>
      <c r="AL67" s="90">
        <f t="shared" ca="1" si="36"/>
        <v>0</v>
      </c>
    </row>
    <row r="68" spans="1:38" ht="24" customHeight="1" x14ac:dyDescent="0.2">
      <c r="A68" s="84">
        <v>16</v>
      </c>
      <c r="B68" s="85" t="s">
        <v>90</v>
      </c>
      <c r="C68" s="86">
        <f t="shared" ca="1" si="23"/>
        <v>556000</v>
      </c>
      <c r="D68" s="87">
        <f t="shared" ca="1" si="47"/>
        <v>556000</v>
      </c>
      <c r="E68" s="88">
        <f ca="1">IFERROR(__xludf.DUMMYFUNCTION("IMPORTRANGE(""https://docs.google.com/spreadsheets/d/1-uDff_7J0KD5mKrp0Vvzr7lt3OU09vwQwhkpOPPYv2Y/edit?usp=sharing"",""งบพรบ!AN68"")"),259200)</f>
        <v>259200</v>
      </c>
      <c r="F68" s="88">
        <f ca="1">IFERROR(__xludf.DUMMYFUNCTION("IMPORTRANGE(""https://docs.google.com/spreadsheets/d/1-uDff_7J0KD5mKrp0Vvzr7lt3OU09vwQwhkpOPPYv2Y/edit?usp=sharing"",""งบพรบ!AO68"")"),296800)</f>
        <v>296800</v>
      </c>
      <c r="G68" s="88">
        <f ca="1">IFERROR(__xludf.DUMMYFUNCTION("IMPORTRANGE(""https://docs.google.com/spreadsheets/d/1-uDff_7J0KD5mKrp0Vvzr7lt3OU09vwQwhkpOPPYv2Y/edit?usp=sharing"",""งบพรบ!AP68"")"),0)</f>
        <v>0</v>
      </c>
      <c r="H68" s="88">
        <f ca="1">IFERROR(__xludf.DUMMYFUNCTION("IMPORTRANGE(""https://docs.google.com/spreadsheets/d/1-uDff_7J0KD5mKrp0Vvzr7lt3OU09vwQwhkpOPPYv2Y/edit?usp=sharing"",""งบพรบ!AR68"")"),482300)</f>
        <v>482300</v>
      </c>
      <c r="I68" s="88">
        <f ca="1">IFERROR(__xludf.DUMMYFUNCTION("IMPORTRANGE(""https://docs.google.com/spreadsheets/d/1-uDff_7J0KD5mKrp0Vvzr7lt3OU09vwQwhkpOPPYv2Y/edit?usp=sharing"",""งบพรบ!AS68"")"),0)</f>
        <v>0</v>
      </c>
      <c r="J68" s="88">
        <f t="shared" ca="1" si="25"/>
        <v>98543.65</v>
      </c>
      <c r="K68" s="89">
        <f t="shared" ca="1" si="26"/>
        <v>17.723678057553958</v>
      </c>
      <c r="L68" s="88">
        <f ca="1">IFERROR(__xludf.DUMMYFUNCTION("IMPORTRANGE(""https://docs.google.com/spreadsheets/d/1-uDff_7J0KD5mKrp0Vvzr7lt3OU09vwQwhkpOPPYv2Y/edit?usp=sharing"",""งบพรบ!AT68"")"),98543.65)</f>
        <v>98543.65</v>
      </c>
      <c r="M68" s="90">
        <f t="shared" ca="1" si="27"/>
        <v>17.723678057553958</v>
      </c>
      <c r="N68" s="90">
        <f t="shared" ca="1" si="28"/>
        <v>20.432023636740617</v>
      </c>
      <c r="O68" s="91">
        <f ca="1">IFERROR(__xludf.DUMMYFUNCTION("IMPORTRANGE(""https://docs.google.com/spreadsheets/d/1-uDff_7J0KD5mKrp0Vvzr7lt3OU09vwQwhkpOPPYv2Y/edit?usp=sharing"",""งบพรบ!AU68"")"),0)</f>
        <v>0</v>
      </c>
      <c r="P68" s="91">
        <f t="shared" ca="1" si="29"/>
        <v>0</v>
      </c>
      <c r="Q68" s="90">
        <f t="shared" ca="1" si="30"/>
        <v>0</v>
      </c>
      <c r="R68" s="92">
        <f t="shared" ca="1" si="31"/>
        <v>1</v>
      </c>
      <c r="S68" s="92">
        <f t="shared" ca="1" si="32"/>
        <v>51</v>
      </c>
      <c r="T68" s="92">
        <f t="shared" ca="1" si="48"/>
        <v>0</v>
      </c>
      <c r="U68" s="93">
        <f t="shared" ca="1" si="33"/>
        <v>0</v>
      </c>
      <c r="V68" s="92">
        <f t="shared" ca="1" si="49"/>
        <v>0</v>
      </c>
      <c r="W68" s="93">
        <f t="shared" ca="1" si="34"/>
        <v>0</v>
      </c>
      <c r="X68" s="92">
        <f ca="1">IFERROR(__xludf.DUMMYFUNCTION("IMPORTRANGE(""https://docs.google.com/spreadsheets/d/1lufeA2cfFqM-elVq2hznhDzC6Pr7wkJ9ZG_sYNGCMCU/edit?usp=sharing"",""ลพบุรี!I84"")"),0)</f>
        <v>0</v>
      </c>
      <c r="Y68" s="92">
        <f ca="1">IFERROR(__xludf.DUMMYFUNCTION("IMPORTRANGE(""https://docs.google.com/spreadsheets/d/1lufeA2cfFqM-elVq2hznhDzC6Pr7wkJ9ZG_sYNGCMCU/edit?usp=sharing"",""ลพบุรี!I85"")"),0)</f>
        <v>0</v>
      </c>
      <c r="Z68" s="92">
        <f ca="1">IFERROR(__xludf.DUMMYFUNCTION("IMPORTRANGE(""https://docs.google.com/spreadsheets/d/1lufeA2cfFqM-elVq2hznhDzC6Pr7wkJ9ZG_sYNGCMCU/edit?usp=sharing"",""ลพบุรี!J84"")"),0)</f>
        <v>0</v>
      </c>
      <c r="AA68" s="92">
        <f ca="1">IFERROR(__xludf.DUMMYFUNCTION("IMPORTRANGE(""https://docs.google.com/spreadsheets/d/1lufeA2cfFqM-elVq2hznhDzC6Pr7wkJ9ZG_sYNGCMCU/edit?usp=sharing"",""ลพบุรี!J85"")"),0)</f>
        <v>0</v>
      </c>
      <c r="AB68" s="92">
        <f ca="1">IFERROR(__xludf.DUMMYFUNCTION("IMPORTRANGE(""https://docs.google.com/spreadsheets/d/1lufeA2cfFqM-elVq2hznhDzC6Pr7wkJ9ZG_sYNGCMCU/edit?usp=sharing"",""ลพบุรี!I86"")"),0)</f>
        <v>0</v>
      </c>
      <c r="AC68" s="92">
        <f ca="1">IFERROR(__xludf.DUMMYFUNCTION("IMPORTRANGE(""https://docs.google.com/spreadsheets/d/1lufeA2cfFqM-elVq2hznhDzC6Pr7wkJ9ZG_sYNGCMCU/edit?usp=sharing"",""ลพบุรี!I87"")"),0)</f>
        <v>0</v>
      </c>
      <c r="AD68" s="92">
        <f ca="1">IFERROR(__xludf.DUMMYFUNCTION("IMPORTRANGE(""https://docs.google.com/spreadsheets/d/1lufeA2cfFqM-elVq2hznhDzC6Pr7wkJ9ZG_sYNGCMCU/edit?usp=sharing"",""ลพบุรี!J86"")"),0)</f>
        <v>0</v>
      </c>
      <c r="AE68" s="92">
        <f ca="1">IFERROR(__xludf.DUMMYFUNCTION("IMPORTRANGE(""https://docs.google.com/spreadsheets/d/1lufeA2cfFqM-elVq2hznhDzC6Pr7wkJ9ZG_sYNGCMCU/edit?usp=sharing"",""ลพบุรี!J87"")"),0)</f>
        <v>0</v>
      </c>
      <c r="AF68" s="88">
        <f ca="1">IFERROR(__xludf.DUMMYFUNCTION("IMPORTRANGE(""https://docs.google.com/spreadsheets/d/1lufeA2cfFqM-elVq2hznhDzC6Pr7wkJ9ZG_sYNGCMCU/edit?usp=sharing"",""ลพบุรี!I88"")"),1)</f>
        <v>1</v>
      </c>
      <c r="AG68" s="88">
        <f ca="1">IFERROR(__xludf.DUMMYFUNCTION("IMPORTRANGE(""https://docs.google.com/spreadsheets/d/1lufeA2cfFqM-elVq2hznhDzC6Pr7wkJ9ZG_sYNGCMCU/edit?usp=sharing"",""ลพบุรี!I89"")"),51)</f>
        <v>51</v>
      </c>
      <c r="AH68" s="92">
        <f ca="1">IFERROR(__xludf.DUMMYFUNCTION("IMPORTRANGE(""https://docs.google.com/spreadsheets/d/1lufeA2cfFqM-elVq2hznhDzC6Pr7wkJ9ZG_sYNGCMCU/edit?usp=sharing"",""ลพบุรี!J88"")"),0)</f>
        <v>0</v>
      </c>
      <c r="AI68" s="92">
        <f ca="1">IFERROR(__xludf.DUMMYFUNCTION("IMPORTRANGE(""https://docs.google.com/spreadsheets/d/1lufeA2cfFqM-elVq2hznhDzC6Pr7wkJ9ZG_sYNGCMCU/edit?usp=sharing"",""ลพบุรี!J89"")"),0)</f>
        <v>0</v>
      </c>
      <c r="AJ68" s="92">
        <f ca="1">IFERROR(__xludf.DUMMYFUNCTION("IMPORTRANGE(""https://docs.google.com/spreadsheets/d/1lufeA2cfFqM-elVq2hznhDzC6Pr7wkJ9ZG_sYNGCMCU/edit?usp=sharing"",""ลพบุรี!I90"")"),1)</f>
        <v>1</v>
      </c>
      <c r="AK68" s="92">
        <f ca="1">IFERROR(__xludf.DUMMYFUNCTION("IMPORTRANGE(""https://docs.google.com/spreadsheets/d/1lufeA2cfFqM-elVq2hznhDzC6Pr7wkJ9ZG_sYNGCMCU/edit?usp=sharing"",""ลพบุรี!J90"")"),0)</f>
        <v>0</v>
      </c>
      <c r="AL68" s="93">
        <f t="shared" ca="1" si="36"/>
        <v>0</v>
      </c>
    </row>
    <row r="69" spans="1:38" ht="21" customHeight="1" x14ac:dyDescent="0.2">
      <c r="A69" s="84">
        <v>17</v>
      </c>
      <c r="B69" s="85" t="s">
        <v>91</v>
      </c>
      <c r="C69" s="86">
        <f t="shared" ca="1" si="23"/>
        <v>650300</v>
      </c>
      <c r="D69" s="87">
        <f t="shared" ca="1" si="47"/>
        <v>650300</v>
      </c>
      <c r="E69" s="88">
        <f ca="1">IFERROR(__xludf.DUMMYFUNCTION("IMPORTRANGE(""https://docs.google.com/spreadsheets/d/1-uDff_7J0KD5mKrp0Vvzr7lt3OU09vwQwhkpOPPYv2Y/edit?usp=sharing"",""งบพรบ!AN69"")"),303100)</f>
        <v>303100</v>
      </c>
      <c r="F69" s="88">
        <f ca="1">IFERROR(__xludf.DUMMYFUNCTION("IMPORTRANGE(""https://docs.google.com/spreadsheets/d/1-uDff_7J0KD5mKrp0Vvzr7lt3OU09vwQwhkpOPPYv2Y/edit?usp=sharing"",""งบพรบ!AO69"")"),347200)</f>
        <v>347200</v>
      </c>
      <c r="G69" s="88">
        <f ca="1">IFERROR(__xludf.DUMMYFUNCTION("IMPORTRANGE(""https://docs.google.com/spreadsheets/d/1-uDff_7J0KD5mKrp0Vvzr7lt3OU09vwQwhkpOPPYv2Y/edit?usp=sharing"",""งบพรบ!AP69"")"),0)</f>
        <v>0</v>
      </c>
      <c r="H69" s="88">
        <f ca="1">IFERROR(__xludf.DUMMYFUNCTION("IMPORTRANGE(""https://docs.google.com/spreadsheets/d/1-uDff_7J0KD5mKrp0Vvzr7lt3OU09vwQwhkpOPPYv2Y/edit?usp=sharing"",""งบพรบ!AR69"")"),563700)</f>
        <v>563700</v>
      </c>
      <c r="I69" s="88">
        <f ca="1">IFERROR(__xludf.DUMMYFUNCTION("IMPORTRANGE(""https://docs.google.com/spreadsheets/d/1-uDff_7J0KD5mKrp0Vvzr7lt3OU09vwQwhkpOPPYv2Y/edit?usp=sharing"",""งบพรบ!AS69"")"),0)</f>
        <v>0</v>
      </c>
      <c r="J69" s="88">
        <f t="shared" ca="1" si="25"/>
        <v>112123.81</v>
      </c>
      <c r="K69" s="89">
        <f t="shared" ca="1" si="26"/>
        <v>17.241859141934491</v>
      </c>
      <c r="L69" s="88">
        <f ca="1">IFERROR(__xludf.DUMMYFUNCTION("IMPORTRANGE(""https://docs.google.com/spreadsheets/d/1-uDff_7J0KD5mKrp0Vvzr7lt3OU09vwQwhkpOPPYv2Y/edit?usp=sharing"",""งบพรบ!AT69"")"),112123.81)</f>
        <v>112123.81</v>
      </c>
      <c r="M69" s="90">
        <f t="shared" ca="1" si="27"/>
        <v>17.241859141934491</v>
      </c>
      <c r="N69" s="90">
        <f t="shared" ca="1" si="28"/>
        <v>19.890688309384423</v>
      </c>
      <c r="O69" s="91">
        <f ca="1">IFERROR(__xludf.DUMMYFUNCTION("IMPORTRANGE(""https://docs.google.com/spreadsheets/d/1-uDff_7J0KD5mKrp0Vvzr7lt3OU09vwQwhkpOPPYv2Y/edit?usp=sharing"",""งบพรบ!AU69"")"),0)</f>
        <v>0</v>
      </c>
      <c r="P69" s="91">
        <f t="shared" ca="1" si="29"/>
        <v>0</v>
      </c>
      <c r="Q69" s="90">
        <f t="shared" ca="1" si="30"/>
        <v>0</v>
      </c>
      <c r="R69" s="92">
        <f t="shared" ca="1" si="31"/>
        <v>1</v>
      </c>
      <c r="S69" s="92">
        <f t="shared" ca="1" si="32"/>
        <v>69</v>
      </c>
      <c r="T69" s="92">
        <f t="shared" ca="1" si="48"/>
        <v>0</v>
      </c>
      <c r="U69" s="93">
        <f t="shared" ca="1" si="33"/>
        <v>0</v>
      </c>
      <c r="V69" s="92">
        <f t="shared" ca="1" si="49"/>
        <v>0</v>
      </c>
      <c r="W69" s="93">
        <f t="shared" ca="1" si="34"/>
        <v>0</v>
      </c>
      <c r="X69" s="88">
        <f ca="1">IFERROR(__xludf.DUMMYFUNCTION("IMPORTRANGE(""https://docs.google.com/spreadsheets/d/10oOiF7loTyfsTkbd4MpaIm0HQ9SwB7IYHdIUvt-U1Uc/edit?usp=sharing"",""สระแก้ว!I84"")"),0)</f>
        <v>0</v>
      </c>
      <c r="Y69" s="88">
        <f ca="1">IFERROR(__xludf.DUMMYFUNCTION("IMPORTRANGE(""https://docs.google.com/spreadsheets/d/10oOiF7loTyfsTkbd4MpaIm0HQ9SwB7IYHdIUvt-U1Uc/edit?usp=sharing"",""สระแก้ว!I85"")"),0)</f>
        <v>0</v>
      </c>
      <c r="Z69" s="92">
        <f ca="1">IFERROR(__xludf.DUMMYFUNCTION("IMPORTRANGE(""https://docs.google.com/spreadsheets/d/10oOiF7loTyfsTkbd4MpaIm0HQ9SwB7IYHdIUvt-U1Uc/edit?usp=sharing"",""สระแก้ว!J84"")"),0)</f>
        <v>0</v>
      </c>
      <c r="AA69" s="92">
        <f ca="1">IFERROR(__xludf.DUMMYFUNCTION("IMPORTRANGE(""https://docs.google.com/spreadsheets/d/10oOiF7loTyfsTkbd4MpaIm0HQ9SwB7IYHdIUvt-U1Uc/edit?usp=sharing"",""สระแก้ว!J85"")"),0)</f>
        <v>0</v>
      </c>
      <c r="AB69" s="88">
        <f ca="1">IFERROR(__xludf.DUMMYFUNCTION("IMPORTRANGE(""https://docs.google.com/spreadsheets/d/10oOiF7loTyfsTkbd4MpaIm0HQ9SwB7IYHdIUvt-U1Uc/edit?usp=sharing"",""สระแก้ว!I86"")"),0)</f>
        <v>0</v>
      </c>
      <c r="AC69" s="88">
        <f ca="1">IFERROR(__xludf.DUMMYFUNCTION("IMPORTRANGE(""https://docs.google.com/spreadsheets/d/10oOiF7loTyfsTkbd4MpaIm0HQ9SwB7IYHdIUvt-U1Uc/edit?usp=sharing"",""สระแก้ว!I87"")"),0)</f>
        <v>0</v>
      </c>
      <c r="AD69" s="92">
        <f ca="1">IFERROR(__xludf.DUMMYFUNCTION("IMPORTRANGE(""https://docs.google.com/spreadsheets/d/10oOiF7loTyfsTkbd4MpaIm0HQ9SwB7IYHdIUvt-U1Uc/edit?usp=sharing"",""สระแก้ว!J86"")"),0)</f>
        <v>0</v>
      </c>
      <c r="AE69" s="92">
        <f ca="1">IFERROR(__xludf.DUMMYFUNCTION("IMPORTRANGE(""https://docs.google.com/spreadsheets/d/10oOiF7loTyfsTkbd4MpaIm0HQ9SwB7IYHdIUvt-U1Uc/edit?usp=sharing"",""สระแก้ว!J87"")"),0)</f>
        <v>0</v>
      </c>
      <c r="AF69" s="88">
        <f ca="1">IFERROR(__xludf.DUMMYFUNCTION("IMPORTRANGE(""https://docs.google.com/spreadsheets/d/10oOiF7loTyfsTkbd4MpaIm0HQ9SwB7IYHdIUvt-U1Uc/edit?usp=sharing"",""สระแก้ว!I88"")"),1)</f>
        <v>1</v>
      </c>
      <c r="AG69" s="88">
        <f ca="1">IFERROR(__xludf.DUMMYFUNCTION("IMPORTRANGE(""https://docs.google.com/spreadsheets/d/10oOiF7loTyfsTkbd4MpaIm0HQ9SwB7IYHdIUvt-U1Uc/edit?usp=sharing"",""สระแก้ว!I89"")"),69)</f>
        <v>69</v>
      </c>
      <c r="AH69" s="92">
        <f ca="1">IFERROR(__xludf.DUMMYFUNCTION("IMPORTRANGE(""https://docs.google.com/spreadsheets/d/10oOiF7loTyfsTkbd4MpaIm0HQ9SwB7IYHdIUvt-U1Uc/edit?usp=sharing"",""สระแก้ว!J88"")"),0)</f>
        <v>0</v>
      </c>
      <c r="AI69" s="92">
        <f ca="1">IFERROR(__xludf.DUMMYFUNCTION("IMPORTRANGE(""https://docs.google.com/spreadsheets/d/10oOiF7loTyfsTkbd4MpaIm0HQ9SwB7IYHdIUvt-U1Uc/edit?usp=sharing"",""สระแก้ว!J89"")"),0)</f>
        <v>0</v>
      </c>
      <c r="AJ69" s="88">
        <f ca="1">IFERROR(__xludf.DUMMYFUNCTION("IMPORTRANGE(""https://docs.google.com/spreadsheets/d/10oOiF7loTyfsTkbd4MpaIm0HQ9SwB7IYHdIUvt-U1Uc/edit?usp=sharing"",""สระแก้ว!I90"")"),1)</f>
        <v>1</v>
      </c>
      <c r="AK69" s="92">
        <f ca="1">IFERROR(__xludf.DUMMYFUNCTION("IMPORTRANGE(""https://docs.google.com/spreadsheets/d/10oOiF7loTyfsTkbd4MpaIm0HQ9SwB7IYHdIUvt-U1Uc/edit?usp=sharing"",""สระแก้ว!J90"")"),0)</f>
        <v>0</v>
      </c>
      <c r="AL69" s="90">
        <f t="shared" ca="1" si="36"/>
        <v>0</v>
      </c>
    </row>
    <row r="70" spans="1:38" ht="21" customHeight="1" x14ac:dyDescent="0.2">
      <c r="A70" s="84">
        <v>18</v>
      </c>
      <c r="B70" s="85" t="s">
        <v>92</v>
      </c>
      <c r="C70" s="86">
        <f t="shared" ca="1" si="23"/>
        <v>0</v>
      </c>
      <c r="D70" s="87">
        <f t="shared" ca="1" si="47"/>
        <v>0</v>
      </c>
      <c r="E70" s="88">
        <f ca="1">IFERROR(__xludf.DUMMYFUNCTION("IMPORTRANGE(""https://docs.google.com/spreadsheets/d/1-uDff_7J0KD5mKrp0Vvzr7lt3OU09vwQwhkpOPPYv2Y/edit?usp=sharing"",""งบพรบ!AN70"")"),0)</f>
        <v>0</v>
      </c>
      <c r="F70" s="88">
        <f ca="1">IFERROR(__xludf.DUMMYFUNCTION("IMPORTRANGE(""https://docs.google.com/spreadsheets/d/1-uDff_7J0KD5mKrp0Vvzr7lt3OU09vwQwhkpOPPYv2Y/edit?usp=sharing"",""งบพรบ!AO70"")"),0)</f>
        <v>0</v>
      </c>
      <c r="G70" s="88">
        <f ca="1">IFERROR(__xludf.DUMMYFUNCTION("IMPORTRANGE(""https://docs.google.com/spreadsheets/d/1-uDff_7J0KD5mKrp0Vvzr7lt3OU09vwQwhkpOPPYv2Y/edit?usp=sharing"",""งบพรบ!AP70"")"),0)</f>
        <v>0</v>
      </c>
      <c r="H70" s="88">
        <f ca="1">IFERROR(__xludf.DUMMYFUNCTION("IMPORTRANGE(""https://docs.google.com/spreadsheets/d/1-uDff_7J0KD5mKrp0Vvzr7lt3OU09vwQwhkpOPPYv2Y/edit?usp=sharing"",""งบพรบ!AR70"")"),0)</f>
        <v>0</v>
      </c>
      <c r="I70" s="88">
        <f ca="1">IFERROR(__xludf.DUMMYFUNCTION("IMPORTRANGE(""https://docs.google.com/spreadsheets/d/1-uDff_7J0KD5mKrp0Vvzr7lt3OU09vwQwhkpOPPYv2Y/edit?usp=sharing"",""งบพรบ!AS70"")"),0)</f>
        <v>0</v>
      </c>
      <c r="J70" s="88">
        <f t="shared" ca="1" si="25"/>
        <v>0</v>
      </c>
      <c r="K70" s="89">
        <f t="shared" ca="1" si="26"/>
        <v>0</v>
      </c>
      <c r="L70" s="88">
        <f ca="1">IFERROR(__xludf.DUMMYFUNCTION("IMPORTRANGE(""https://docs.google.com/spreadsheets/d/1-uDff_7J0KD5mKrp0Vvzr7lt3OU09vwQwhkpOPPYv2Y/edit?usp=sharing"",""งบพรบ!AT70"")"),0)</f>
        <v>0</v>
      </c>
      <c r="M70" s="90">
        <f t="shared" ca="1" si="27"/>
        <v>0</v>
      </c>
      <c r="N70" s="90">
        <f t="shared" ca="1" si="28"/>
        <v>0</v>
      </c>
      <c r="O70" s="91">
        <f ca="1">IFERROR(__xludf.DUMMYFUNCTION("IMPORTRANGE(""https://docs.google.com/spreadsheets/d/1-uDff_7J0KD5mKrp0Vvzr7lt3OU09vwQwhkpOPPYv2Y/edit?usp=sharing"",""งบพรบ!AU70"")"),0)</f>
        <v>0</v>
      </c>
      <c r="P70" s="91">
        <f t="shared" ca="1" si="29"/>
        <v>0</v>
      </c>
      <c r="Q70" s="90">
        <f t="shared" ca="1" si="30"/>
        <v>0</v>
      </c>
      <c r="R70" s="92">
        <f t="shared" ca="1" si="31"/>
        <v>0</v>
      </c>
      <c r="S70" s="92">
        <f t="shared" ca="1" si="32"/>
        <v>0</v>
      </c>
      <c r="T70" s="92">
        <f t="shared" ca="1" si="48"/>
        <v>0</v>
      </c>
      <c r="U70" s="93">
        <f t="shared" ca="1" si="33"/>
        <v>0</v>
      </c>
      <c r="V70" s="92">
        <f t="shared" ca="1" si="49"/>
        <v>0</v>
      </c>
      <c r="W70" s="93">
        <f t="shared" ca="1" si="34"/>
        <v>0</v>
      </c>
      <c r="X70" s="88">
        <f ca="1">IFERROR(__xludf.DUMMYFUNCTION("IMPORTRANGE(""https://docs.google.com/spreadsheets/d/1xmPlrr1QbdSIKvl1dWUl9K4PjAfSL9oeMr_37QVzcxc/edit?usp=sharing"",""สระบุรี!I84"")"),0)</f>
        <v>0</v>
      </c>
      <c r="Y70" s="88">
        <f ca="1">IFERROR(__xludf.DUMMYFUNCTION("IMPORTRANGE(""https://docs.google.com/spreadsheets/d/1xmPlrr1QbdSIKvl1dWUl9K4PjAfSL9oeMr_37QVzcxc/edit?usp=sharing"",""สระบุรี!I85"")"),0)</f>
        <v>0</v>
      </c>
      <c r="Z70" s="92">
        <f ca="1">IFERROR(__xludf.DUMMYFUNCTION("IMPORTRANGE(""https://docs.google.com/spreadsheets/d/1xmPlrr1QbdSIKvl1dWUl9K4PjAfSL9oeMr_37QVzcxc/edit?usp=sharing"",""สระบุรี!J84"")"),0)</f>
        <v>0</v>
      </c>
      <c r="AA70" s="92">
        <f ca="1">IFERROR(__xludf.DUMMYFUNCTION("IMPORTRANGE(""https://docs.google.com/spreadsheets/d/1xmPlrr1QbdSIKvl1dWUl9K4PjAfSL9oeMr_37QVzcxc/edit?usp=sharing"",""สระบุรี!J85"")"),0)</f>
        <v>0</v>
      </c>
      <c r="AB70" s="88">
        <f ca="1">IFERROR(__xludf.DUMMYFUNCTION("IMPORTRANGE(""https://docs.google.com/spreadsheets/d/1xmPlrr1QbdSIKvl1dWUl9K4PjAfSL9oeMr_37QVzcxc/edit?usp=sharing"",""สระบุรี!I86"")"),0)</f>
        <v>0</v>
      </c>
      <c r="AC70" s="88">
        <f ca="1">IFERROR(__xludf.DUMMYFUNCTION("IMPORTRANGE(""https://docs.google.com/spreadsheets/d/1xmPlrr1QbdSIKvl1dWUl9K4PjAfSL9oeMr_37QVzcxc/edit?usp=sharing"",""สระบุรี!I87"")"),0)</f>
        <v>0</v>
      </c>
      <c r="AD70" s="92">
        <f ca="1">IFERROR(__xludf.DUMMYFUNCTION("IMPORTRANGE(""https://docs.google.com/spreadsheets/d/1xmPlrr1QbdSIKvl1dWUl9K4PjAfSL9oeMr_37QVzcxc/edit?usp=sharing"",""สระบุรี!J86"")"),0)</f>
        <v>0</v>
      </c>
      <c r="AE70" s="92">
        <f ca="1">IFERROR(__xludf.DUMMYFUNCTION("IMPORTRANGE(""https://docs.google.com/spreadsheets/d/1xmPlrr1QbdSIKvl1dWUl9K4PjAfSL9oeMr_37QVzcxc/edit?usp=sharing"",""สระบุรี!J87"")"),0)</f>
        <v>0</v>
      </c>
      <c r="AF70" s="88">
        <f ca="1">IFERROR(__xludf.DUMMYFUNCTION("IMPORTRANGE(""https://docs.google.com/spreadsheets/d/1xmPlrr1QbdSIKvl1dWUl9K4PjAfSL9oeMr_37QVzcxc/edit?usp=sharing"",""สระบุรี!I88"")"),0)</f>
        <v>0</v>
      </c>
      <c r="AG70" s="88">
        <f ca="1">IFERROR(__xludf.DUMMYFUNCTION("IMPORTRANGE(""https://docs.google.com/spreadsheets/d/1xmPlrr1QbdSIKvl1dWUl9K4PjAfSL9oeMr_37QVzcxc/edit?usp=sharing"",""สระบุรี!I89"")"),0)</f>
        <v>0</v>
      </c>
      <c r="AH70" s="92">
        <f ca="1">IFERROR(__xludf.DUMMYFUNCTION("IMPORTRANGE(""https://docs.google.com/spreadsheets/d/1xmPlrr1QbdSIKvl1dWUl9K4PjAfSL9oeMr_37QVzcxc/edit?usp=sharing"",""สระบุรี!J88"")"),0)</f>
        <v>0</v>
      </c>
      <c r="AI70" s="92">
        <f ca="1">IFERROR(__xludf.DUMMYFUNCTION("IMPORTRANGE(""https://docs.google.com/spreadsheets/d/1xmPlrr1QbdSIKvl1dWUl9K4PjAfSL9oeMr_37QVzcxc/edit?usp=sharing"",""สระบุรี!J89"")"),0)</f>
        <v>0</v>
      </c>
      <c r="AJ70" s="88">
        <f ca="1">IFERROR(__xludf.DUMMYFUNCTION("IMPORTRANGE(""https://docs.google.com/spreadsheets/d/1xmPlrr1QbdSIKvl1dWUl9K4PjAfSL9oeMr_37QVzcxc/edit?usp=sharing"",""สระบุรี!I90"")"),0)</f>
        <v>0</v>
      </c>
      <c r="AK70" s="92">
        <f ca="1">IFERROR(__xludf.DUMMYFUNCTION("IMPORTRANGE(""https://docs.google.com/spreadsheets/d/1xmPlrr1QbdSIKvl1dWUl9K4PjAfSL9oeMr_37QVzcxc/edit?usp=sharing"",""สระบุรี!J90"")"),0)</f>
        <v>0</v>
      </c>
      <c r="AL70" s="90">
        <f t="shared" ca="1" si="36"/>
        <v>0</v>
      </c>
    </row>
    <row r="71" spans="1:38" ht="21" customHeight="1" x14ac:dyDescent="0.2">
      <c r="A71" s="84">
        <v>19</v>
      </c>
      <c r="B71" s="85" t="s">
        <v>93</v>
      </c>
      <c r="C71" s="86">
        <f t="shared" ca="1" si="23"/>
        <v>0</v>
      </c>
      <c r="D71" s="87">
        <f t="shared" ca="1" si="47"/>
        <v>0</v>
      </c>
      <c r="E71" s="88">
        <f ca="1">IFERROR(__xludf.DUMMYFUNCTION("IMPORTRANGE(""https://docs.google.com/spreadsheets/d/1-uDff_7J0KD5mKrp0Vvzr7lt3OU09vwQwhkpOPPYv2Y/edit?usp=sharing"",""งบพรบ!AN71"")"),0)</f>
        <v>0</v>
      </c>
      <c r="F71" s="88">
        <f ca="1">IFERROR(__xludf.DUMMYFUNCTION("IMPORTRANGE(""https://docs.google.com/spreadsheets/d/1-uDff_7J0KD5mKrp0Vvzr7lt3OU09vwQwhkpOPPYv2Y/edit?usp=sharing"",""งบพรบ!AO71"")"),0)</f>
        <v>0</v>
      </c>
      <c r="G71" s="88">
        <f ca="1">IFERROR(__xludf.DUMMYFUNCTION("IMPORTRANGE(""https://docs.google.com/spreadsheets/d/1-uDff_7J0KD5mKrp0Vvzr7lt3OU09vwQwhkpOPPYv2Y/edit?usp=sharing"",""งบพรบ!AP71"")"),0)</f>
        <v>0</v>
      </c>
      <c r="H71" s="88">
        <f ca="1">IFERROR(__xludf.DUMMYFUNCTION("IMPORTRANGE(""https://docs.google.com/spreadsheets/d/1-uDff_7J0KD5mKrp0Vvzr7lt3OU09vwQwhkpOPPYv2Y/edit?usp=sharing"",""งบพรบ!AR71"")"),0)</f>
        <v>0</v>
      </c>
      <c r="I71" s="88">
        <f ca="1">IFERROR(__xludf.DUMMYFUNCTION("IMPORTRANGE(""https://docs.google.com/spreadsheets/d/1-uDff_7J0KD5mKrp0Vvzr7lt3OU09vwQwhkpOPPYv2Y/edit?usp=sharing"",""งบพรบ!AS71"")"),0)</f>
        <v>0</v>
      </c>
      <c r="J71" s="88">
        <f t="shared" ca="1" si="25"/>
        <v>0</v>
      </c>
      <c r="K71" s="89">
        <f t="shared" ca="1" si="26"/>
        <v>0</v>
      </c>
      <c r="L71" s="88">
        <f ca="1">IFERROR(__xludf.DUMMYFUNCTION("IMPORTRANGE(""https://docs.google.com/spreadsheets/d/1-uDff_7J0KD5mKrp0Vvzr7lt3OU09vwQwhkpOPPYv2Y/edit?usp=sharing"",""งบพรบ!AT71"")"),0)</f>
        <v>0</v>
      </c>
      <c r="M71" s="90">
        <f t="shared" ca="1" si="27"/>
        <v>0</v>
      </c>
      <c r="N71" s="90">
        <f t="shared" ca="1" si="28"/>
        <v>0</v>
      </c>
      <c r="O71" s="91">
        <f ca="1">IFERROR(__xludf.DUMMYFUNCTION("IMPORTRANGE(""https://docs.google.com/spreadsheets/d/1-uDff_7J0KD5mKrp0Vvzr7lt3OU09vwQwhkpOPPYv2Y/edit?usp=sharing"",""งบพรบ!AU71"")"),0)</f>
        <v>0</v>
      </c>
      <c r="P71" s="91">
        <f t="shared" ca="1" si="29"/>
        <v>0</v>
      </c>
      <c r="Q71" s="90">
        <f t="shared" ca="1" si="30"/>
        <v>0</v>
      </c>
      <c r="R71" s="92">
        <f t="shared" ca="1" si="31"/>
        <v>0</v>
      </c>
      <c r="S71" s="92">
        <f t="shared" ca="1" si="32"/>
        <v>0</v>
      </c>
      <c r="T71" s="92">
        <f t="shared" ca="1" si="48"/>
        <v>0</v>
      </c>
      <c r="U71" s="93">
        <f t="shared" ca="1" si="33"/>
        <v>0</v>
      </c>
      <c r="V71" s="92">
        <f t="shared" ca="1" si="49"/>
        <v>0</v>
      </c>
      <c r="W71" s="93">
        <f t="shared" ca="1" si="34"/>
        <v>0</v>
      </c>
      <c r="X71" s="88">
        <f ca="1">IFERROR(__xludf.DUMMYFUNCTION("IMPORTRANGE(""https://docs.google.com/spreadsheets/d/1j51vR6CYVGhABJpv6tkstgok82RLpXieLzW1yOY5rHw/edit?usp=sharing"",""สิงห์บุรี!I84"")"),0)</f>
        <v>0</v>
      </c>
      <c r="Y71" s="88">
        <f ca="1">IFERROR(__xludf.DUMMYFUNCTION("IMPORTRANGE(""https://docs.google.com/spreadsheets/d/1j51vR6CYVGhABJpv6tkstgok82RLpXieLzW1yOY5rHw/edit?usp=sharing"",""สิงห์บุรี!I85"")"),0)</f>
        <v>0</v>
      </c>
      <c r="Z71" s="92">
        <f ca="1">IFERROR(__xludf.DUMMYFUNCTION("IMPORTRANGE(""https://docs.google.com/spreadsheets/d/1j51vR6CYVGhABJpv6tkstgok82RLpXieLzW1yOY5rHw/edit?usp=sharing"",""สิงห์บุรี!J84"")"),0)</f>
        <v>0</v>
      </c>
      <c r="AA71" s="92">
        <f ca="1">IFERROR(__xludf.DUMMYFUNCTION("IMPORTRANGE(""https://docs.google.com/spreadsheets/d/1j51vR6CYVGhABJpv6tkstgok82RLpXieLzW1yOY5rHw/edit?usp=sharing"",""สิงห์บุรี!J85"")"),0)</f>
        <v>0</v>
      </c>
      <c r="AB71" s="88">
        <f ca="1">IFERROR(__xludf.DUMMYFUNCTION("IMPORTRANGE(""https://docs.google.com/spreadsheets/d/1j51vR6CYVGhABJpv6tkstgok82RLpXieLzW1yOY5rHw/edit?usp=sharing"",""สิงห์บุรี!I86"")"),0)</f>
        <v>0</v>
      </c>
      <c r="AC71" s="88">
        <f ca="1">IFERROR(__xludf.DUMMYFUNCTION("IMPORTRANGE(""https://docs.google.com/spreadsheets/d/1j51vR6CYVGhABJpv6tkstgok82RLpXieLzW1yOY5rHw/edit?usp=sharing"",""สิงห์บุรี!I87"")"),0)</f>
        <v>0</v>
      </c>
      <c r="AD71" s="92">
        <f ca="1">IFERROR(__xludf.DUMMYFUNCTION("IMPORTRANGE(""https://docs.google.com/spreadsheets/d/1j51vR6CYVGhABJpv6tkstgok82RLpXieLzW1yOY5rHw/edit?usp=sharing"",""สิงห์บุรี!J86"")"),0)</f>
        <v>0</v>
      </c>
      <c r="AE71" s="92">
        <f ca="1">IFERROR(__xludf.DUMMYFUNCTION("IMPORTRANGE(""https://docs.google.com/spreadsheets/d/1j51vR6CYVGhABJpv6tkstgok82RLpXieLzW1yOY5rHw/edit?usp=sharing"",""สิงห์บุรี!J87"")"),0)</f>
        <v>0</v>
      </c>
      <c r="AF71" s="88">
        <f ca="1">IFERROR(__xludf.DUMMYFUNCTION("IMPORTRANGE(""https://docs.google.com/spreadsheets/d/1j51vR6CYVGhABJpv6tkstgok82RLpXieLzW1yOY5rHw/edit?usp=sharing"",""สิงห์บุรี!I88"")"),0)</f>
        <v>0</v>
      </c>
      <c r="AG71" s="88">
        <f ca="1">IFERROR(__xludf.DUMMYFUNCTION("IMPORTRANGE(""https://docs.google.com/spreadsheets/d/1j51vR6CYVGhABJpv6tkstgok82RLpXieLzW1yOY5rHw/edit?usp=sharing"",""สิงห์บุรี!I89"")"),0)</f>
        <v>0</v>
      </c>
      <c r="AH71" s="92">
        <f ca="1">IFERROR(__xludf.DUMMYFUNCTION("IMPORTRANGE(""https://docs.google.com/spreadsheets/d/1j51vR6CYVGhABJpv6tkstgok82RLpXieLzW1yOY5rHw/edit?usp=sharing"",""สิงห์บุรี!J88"")"),0)</f>
        <v>0</v>
      </c>
      <c r="AI71" s="92">
        <f ca="1">IFERROR(__xludf.DUMMYFUNCTION("IMPORTRANGE(""https://docs.google.com/spreadsheets/d/1j51vR6CYVGhABJpv6tkstgok82RLpXieLzW1yOY5rHw/edit?usp=sharing"",""สิงห์บุรี!J89"")"),0)</f>
        <v>0</v>
      </c>
      <c r="AJ71" s="88">
        <f ca="1">IFERROR(__xludf.DUMMYFUNCTION("IMPORTRANGE(""https://docs.google.com/spreadsheets/d/1j51vR6CYVGhABJpv6tkstgok82RLpXieLzW1yOY5rHw/edit?usp=sharing"",""สิงห์บุรี!I90"")"),0)</f>
        <v>0</v>
      </c>
      <c r="AK71" s="92">
        <f ca="1">IFERROR(__xludf.DUMMYFUNCTION("IMPORTRANGE(""https://docs.google.com/spreadsheets/d/1j51vR6CYVGhABJpv6tkstgok82RLpXieLzW1yOY5rHw/edit?usp=sharing"",""สิงห์บุรี!J90"")"),0)</f>
        <v>0</v>
      </c>
      <c r="AL71" s="90">
        <f t="shared" ca="1" si="36"/>
        <v>0</v>
      </c>
    </row>
    <row r="72" spans="1:38" ht="21" customHeight="1" x14ac:dyDescent="0.2">
      <c r="A72" s="84">
        <v>20</v>
      </c>
      <c r="B72" s="85" t="s">
        <v>94</v>
      </c>
      <c r="C72" s="86">
        <f t="shared" ca="1" si="23"/>
        <v>0</v>
      </c>
      <c r="D72" s="87">
        <f t="shared" ca="1" si="47"/>
        <v>0</v>
      </c>
      <c r="E72" s="88">
        <f ca="1">IFERROR(__xludf.DUMMYFUNCTION("IMPORTRANGE(""https://docs.google.com/spreadsheets/d/1-uDff_7J0KD5mKrp0Vvzr7lt3OU09vwQwhkpOPPYv2Y/edit?usp=sharing"",""งบพรบ!AN72"")"),0)</f>
        <v>0</v>
      </c>
      <c r="F72" s="88">
        <f ca="1">IFERROR(__xludf.DUMMYFUNCTION("IMPORTRANGE(""https://docs.google.com/spreadsheets/d/1-uDff_7J0KD5mKrp0Vvzr7lt3OU09vwQwhkpOPPYv2Y/edit?usp=sharing"",""งบพรบ!AO72"")"),0)</f>
        <v>0</v>
      </c>
      <c r="G72" s="88">
        <f ca="1">IFERROR(__xludf.DUMMYFUNCTION("IMPORTRANGE(""https://docs.google.com/spreadsheets/d/1-uDff_7J0KD5mKrp0Vvzr7lt3OU09vwQwhkpOPPYv2Y/edit?usp=sharing"",""งบพรบ!AP72"")"),0)</f>
        <v>0</v>
      </c>
      <c r="H72" s="88">
        <f ca="1">IFERROR(__xludf.DUMMYFUNCTION("IMPORTRANGE(""https://docs.google.com/spreadsheets/d/1-uDff_7J0KD5mKrp0Vvzr7lt3OU09vwQwhkpOPPYv2Y/edit?usp=sharing"",""งบพรบ!AR72"")"),0)</f>
        <v>0</v>
      </c>
      <c r="I72" s="88">
        <f ca="1">IFERROR(__xludf.DUMMYFUNCTION("IMPORTRANGE(""https://docs.google.com/spreadsheets/d/1-uDff_7J0KD5mKrp0Vvzr7lt3OU09vwQwhkpOPPYv2Y/edit?usp=sharing"",""งบพรบ!AS72"")"),0)</f>
        <v>0</v>
      </c>
      <c r="J72" s="88">
        <f t="shared" ca="1" si="25"/>
        <v>0</v>
      </c>
      <c r="K72" s="89">
        <f t="shared" ca="1" si="26"/>
        <v>0</v>
      </c>
      <c r="L72" s="88">
        <f ca="1">IFERROR(__xludf.DUMMYFUNCTION("IMPORTRANGE(""https://docs.google.com/spreadsheets/d/1-uDff_7J0KD5mKrp0Vvzr7lt3OU09vwQwhkpOPPYv2Y/edit?usp=sharing"",""งบพรบ!AT72"")"),0)</f>
        <v>0</v>
      </c>
      <c r="M72" s="90">
        <f t="shared" ca="1" si="27"/>
        <v>0</v>
      </c>
      <c r="N72" s="90">
        <f t="shared" ca="1" si="28"/>
        <v>0</v>
      </c>
      <c r="O72" s="91">
        <f ca="1">IFERROR(__xludf.DUMMYFUNCTION("IMPORTRANGE(""https://docs.google.com/spreadsheets/d/1-uDff_7J0KD5mKrp0Vvzr7lt3OU09vwQwhkpOPPYv2Y/edit?usp=sharing"",""งบพรบ!AU72"")"),0)</f>
        <v>0</v>
      </c>
      <c r="P72" s="91">
        <f t="shared" ca="1" si="29"/>
        <v>0</v>
      </c>
      <c r="Q72" s="90">
        <f t="shared" ca="1" si="30"/>
        <v>0</v>
      </c>
      <c r="R72" s="92">
        <f t="shared" ca="1" si="31"/>
        <v>0</v>
      </c>
      <c r="S72" s="92">
        <f t="shared" ca="1" si="32"/>
        <v>0</v>
      </c>
      <c r="T72" s="92">
        <f t="shared" ca="1" si="48"/>
        <v>0</v>
      </c>
      <c r="U72" s="93">
        <f t="shared" ca="1" si="33"/>
        <v>0</v>
      </c>
      <c r="V72" s="92">
        <f t="shared" ca="1" si="49"/>
        <v>0</v>
      </c>
      <c r="W72" s="93">
        <f t="shared" ca="1" si="34"/>
        <v>0</v>
      </c>
      <c r="X72" s="88">
        <f ca="1">IFERROR(__xludf.DUMMYFUNCTION("IMPORTRANGE(""https://docs.google.com/spreadsheets/d/1H1EalTWKUSzO4Z1-1CwzoDUaVffgrThEBe2sl74kKG0/edit?usp=sharing"",""สุพรรณบุรี!I84"")"),0)</f>
        <v>0</v>
      </c>
      <c r="Y72" s="88">
        <f ca="1">IFERROR(__xludf.DUMMYFUNCTION("IMPORTRANGE(""https://docs.google.com/spreadsheets/d/1H1EalTWKUSzO4Z1-1CwzoDUaVffgrThEBe2sl74kKG0/edit?usp=sharing"",""สุพรรณบุรี!I85"")"),0)</f>
        <v>0</v>
      </c>
      <c r="Z72" s="92">
        <f ca="1">IFERROR(__xludf.DUMMYFUNCTION("IMPORTRANGE(""https://docs.google.com/spreadsheets/d/1H1EalTWKUSzO4Z1-1CwzoDUaVffgrThEBe2sl74kKG0/edit?usp=sharing"",""สุพรรณบุรี!J84"")"),0)</f>
        <v>0</v>
      </c>
      <c r="AA72" s="92">
        <f ca="1">IFERROR(__xludf.DUMMYFUNCTION("IMPORTRANGE(""https://docs.google.com/spreadsheets/d/1H1EalTWKUSzO4Z1-1CwzoDUaVffgrThEBe2sl74kKG0/edit?usp=sharing"",""สุพรรณบุรี!J85"")"),0)</f>
        <v>0</v>
      </c>
      <c r="AB72" s="88">
        <f ca="1">IFERROR(__xludf.DUMMYFUNCTION("IMPORTRANGE(""https://docs.google.com/spreadsheets/d/1H1EalTWKUSzO4Z1-1CwzoDUaVffgrThEBe2sl74kKG0/edit?usp=sharing"",""สุพรรณบุรี!I86"")"),0)</f>
        <v>0</v>
      </c>
      <c r="AC72" s="88">
        <f ca="1">IFERROR(__xludf.DUMMYFUNCTION("IMPORTRANGE(""https://docs.google.com/spreadsheets/d/1H1EalTWKUSzO4Z1-1CwzoDUaVffgrThEBe2sl74kKG0/edit?usp=sharing"",""สุพรรณบุรี!I87"")"),0)</f>
        <v>0</v>
      </c>
      <c r="AD72" s="92">
        <f ca="1">IFERROR(__xludf.DUMMYFUNCTION("IMPORTRANGE(""https://docs.google.com/spreadsheets/d/1H1EalTWKUSzO4Z1-1CwzoDUaVffgrThEBe2sl74kKG0/edit?usp=sharing"",""สุพรรณบุรี!J86"")"),0)</f>
        <v>0</v>
      </c>
      <c r="AE72" s="92">
        <f ca="1">IFERROR(__xludf.DUMMYFUNCTION("IMPORTRANGE(""https://docs.google.com/spreadsheets/d/1H1EalTWKUSzO4Z1-1CwzoDUaVffgrThEBe2sl74kKG0/edit?usp=sharing"",""สุพรรณบุรี!J87"")"),0)</f>
        <v>0</v>
      </c>
      <c r="AF72" s="88">
        <f ca="1">IFERROR(__xludf.DUMMYFUNCTION("IMPORTRANGE(""https://docs.google.com/spreadsheets/d/1H1EalTWKUSzO4Z1-1CwzoDUaVffgrThEBe2sl74kKG0/edit?usp=sharing"",""สุพรรณบุรี!I88"")"),0)</f>
        <v>0</v>
      </c>
      <c r="AG72" s="88">
        <f ca="1">IFERROR(__xludf.DUMMYFUNCTION("IMPORTRANGE(""https://docs.google.com/spreadsheets/d/1H1EalTWKUSzO4Z1-1CwzoDUaVffgrThEBe2sl74kKG0/edit?usp=sharing"",""สุพรรณบุรี!I89"")"),0)</f>
        <v>0</v>
      </c>
      <c r="AH72" s="92">
        <f ca="1">IFERROR(__xludf.DUMMYFUNCTION("IMPORTRANGE(""https://docs.google.com/spreadsheets/d/1H1EalTWKUSzO4Z1-1CwzoDUaVffgrThEBe2sl74kKG0/edit?usp=sharing"",""สุพรรณบุรี!J88"")"),0)</f>
        <v>0</v>
      </c>
      <c r="AI72" s="92">
        <f ca="1">IFERROR(__xludf.DUMMYFUNCTION("IMPORTRANGE(""https://docs.google.com/spreadsheets/d/1H1EalTWKUSzO4Z1-1CwzoDUaVffgrThEBe2sl74kKG0/edit?usp=sharing"",""สุพรรณบุรี!J89"")"),0)</f>
        <v>0</v>
      </c>
      <c r="AJ72" s="88">
        <f ca="1">IFERROR(__xludf.DUMMYFUNCTION("IMPORTRANGE(""https://docs.google.com/spreadsheets/d/1H1EalTWKUSzO4Z1-1CwzoDUaVffgrThEBe2sl74kKG0/edit?usp=sharing"",""สุพรรณบุรี!I90"")"),0)</f>
        <v>0</v>
      </c>
      <c r="AK72" s="92">
        <f ca="1">IFERROR(__xludf.DUMMYFUNCTION("IMPORTRANGE(""https://docs.google.com/spreadsheets/d/1H1EalTWKUSzO4Z1-1CwzoDUaVffgrThEBe2sl74kKG0/edit?usp=sharing"",""สุพรรณบุรี!J90"")"),0)</f>
        <v>0</v>
      </c>
      <c r="AL72" s="90">
        <f t="shared" ca="1" si="36"/>
        <v>0</v>
      </c>
    </row>
    <row r="73" spans="1:38" ht="21" customHeight="1" x14ac:dyDescent="0.2">
      <c r="A73" s="95">
        <v>21</v>
      </c>
      <c r="B73" s="96" t="s">
        <v>95</v>
      </c>
      <c r="C73" s="97">
        <f t="shared" ca="1" si="23"/>
        <v>0</v>
      </c>
      <c r="D73" s="98">
        <f t="shared" ca="1" si="47"/>
        <v>0</v>
      </c>
      <c r="E73" s="99">
        <f ca="1">IFERROR(__xludf.DUMMYFUNCTION("IMPORTRANGE(""https://docs.google.com/spreadsheets/d/1-uDff_7J0KD5mKrp0Vvzr7lt3OU09vwQwhkpOPPYv2Y/edit?usp=sharing"",""งบพรบ!AN73"")"),0)</f>
        <v>0</v>
      </c>
      <c r="F73" s="99">
        <f ca="1">IFERROR(__xludf.DUMMYFUNCTION("IMPORTRANGE(""https://docs.google.com/spreadsheets/d/1-uDff_7J0KD5mKrp0Vvzr7lt3OU09vwQwhkpOPPYv2Y/edit?usp=sharing"",""งบพรบ!AO73"")"),0)</f>
        <v>0</v>
      </c>
      <c r="G73" s="99">
        <f ca="1">IFERROR(__xludf.DUMMYFUNCTION("IMPORTRANGE(""https://docs.google.com/spreadsheets/d/1-uDff_7J0KD5mKrp0Vvzr7lt3OU09vwQwhkpOPPYv2Y/edit?usp=sharing"",""งบพรบ!AP73"")"),0)</f>
        <v>0</v>
      </c>
      <c r="H73" s="99">
        <f ca="1">IFERROR(__xludf.DUMMYFUNCTION("IMPORTRANGE(""https://docs.google.com/spreadsheets/d/1-uDff_7J0KD5mKrp0Vvzr7lt3OU09vwQwhkpOPPYv2Y/edit?usp=sharing"",""งบพรบ!AR73"")"),0)</f>
        <v>0</v>
      </c>
      <c r="I73" s="99">
        <f ca="1">IFERROR(__xludf.DUMMYFUNCTION("IMPORTRANGE(""https://docs.google.com/spreadsheets/d/1-uDff_7J0KD5mKrp0Vvzr7lt3OU09vwQwhkpOPPYv2Y/edit?usp=sharing"",""งบพรบ!AS73"")"),0)</f>
        <v>0</v>
      </c>
      <c r="J73" s="99">
        <f t="shared" ca="1" si="25"/>
        <v>0</v>
      </c>
      <c r="K73" s="100">
        <f t="shared" ca="1" si="26"/>
        <v>0</v>
      </c>
      <c r="L73" s="99">
        <f ca="1">IFERROR(__xludf.DUMMYFUNCTION("IMPORTRANGE(""https://docs.google.com/spreadsheets/d/1-uDff_7J0KD5mKrp0Vvzr7lt3OU09vwQwhkpOPPYv2Y/edit?usp=sharing"",""งบพรบ!AT73"")"),0)</f>
        <v>0</v>
      </c>
      <c r="M73" s="101">
        <f t="shared" ca="1" si="27"/>
        <v>0</v>
      </c>
      <c r="N73" s="101">
        <f t="shared" ca="1" si="28"/>
        <v>0</v>
      </c>
      <c r="O73" s="102">
        <f ca="1">IFERROR(__xludf.DUMMYFUNCTION("IMPORTRANGE(""https://docs.google.com/spreadsheets/d/1-uDff_7J0KD5mKrp0Vvzr7lt3OU09vwQwhkpOPPYv2Y/edit?usp=sharing"",""งบพรบ!AU73"")"),0)</f>
        <v>0</v>
      </c>
      <c r="P73" s="102">
        <f t="shared" ca="1" si="29"/>
        <v>0</v>
      </c>
      <c r="Q73" s="101">
        <f t="shared" ca="1" si="30"/>
        <v>0</v>
      </c>
      <c r="R73" s="103">
        <f t="shared" ca="1" si="31"/>
        <v>0</v>
      </c>
      <c r="S73" s="103">
        <f t="shared" ca="1" si="32"/>
        <v>0</v>
      </c>
      <c r="T73" s="103">
        <f t="shared" ca="1" si="48"/>
        <v>0</v>
      </c>
      <c r="U73" s="104">
        <f t="shared" ca="1" si="33"/>
        <v>0</v>
      </c>
      <c r="V73" s="103">
        <f t="shared" ca="1" si="49"/>
        <v>0</v>
      </c>
      <c r="W73" s="104">
        <f t="shared" ca="1" si="34"/>
        <v>0</v>
      </c>
      <c r="X73" s="99">
        <f ca="1">IFERROR(__xludf.DUMMYFUNCTION("IMPORTRANGE(""https://docs.google.com/spreadsheets/d/1BmIruG_sIrJLYao_Pdr7zVArWsfoBt2692TMi6x_854/edit?usp=sharing"",""อ่างทอง!I84"")"),0)</f>
        <v>0</v>
      </c>
      <c r="Y73" s="99">
        <f ca="1">IFERROR(__xludf.DUMMYFUNCTION("IMPORTRANGE(""https://docs.google.com/spreadsheets/d/1BmIruG_sIrJLYao_Pdr7zVArWsfoBt2692TMi6x_854/edit?usp=sharing"",""อ่างทอง!I85"")"),0)</f>
        <v>0</v>
      </c>
      <c r="Z73" s="103">
        <f ca="1">IFERROR(__xludf.DUMMYFUNCTION("IMPORTRANGE(""https://docs.google.com/spreadsheets/d/1BmIruG_sIrJLYao_Pdr7zVArWsfoBt2692TMi6x_854/edit?usp=sharing"",""อ่างทอง!J84"")"),0)</f>
        <v>0</v>
      </c>
      <c r="AA73" s="103">
        <f ca="1">IFERROR(__xludf.DUMMYFUNCTION("IMPORTRANGE(""https://docs.google.com/spreadsheets/d/1BmIruG_sIrJLYao_Pdr7zVArWsfoBt2692TMi6x_854/edit?usp=sharing"",""อ่างทอง!J85"")"),0)</f>
        <v>0</v>
      </c>
      <c r="AB73" s="99">
        <f ca="1">IFERROR(__xludf.DUMMYFUNCTION("IMPORTRANGE(""https://docs.google.com/spreadsheets/d/1BmIruG_sIrJLYao_Pdr7zVArWsfoBt2692TMi6x_854/edit?usp=sharing"",""อ่างทอง!I86"")"),0)</f>
        <v>0</v>
      </c>
      <c r="AC73" s="99">
        <f ca="1">IFERROR(__xludf.DUMMYFUNCTION("IMPORTRANGE(""https://docs.google.com/spreadsheets/d/1BmIruG_sIrJLYao_Pdr7zVArWsfoBt2692TMi6x_854/edit?usp=sharing"",""อ่างทอง!I87"")"),0)</f>
        <v>0</v>
      </c>
      <c r="AD73" s="103">
        <f ca="1">IFERROR(__xludf.DUMMYFUNCTION("IMPORTRANGE(""https://docs.google.com/spreadsheets/d/1BmIruG_sIrJLYao_Pdr7zVArWsfoBt2692TMi6x_854/edit?usp=sharing"",""อ่างทอง!J86"")"),0)</f>
        <v>0</v>
      </c>
      <c r="AE73" s="103">
        <f ca="1">IFERROR(__xludf.DUMMYFUNCTION("IMPORTRANGE(""https://docs.google.com/spreadsheets/d/1BmIruG_sIrJLYao_Pdr7zVArWsfoBt2692TMi6x_854/edit?usp=sharing"",""อ่างทอง!J87"")"),0)</f>
        <v>0</v>
      </c>
      <c r="AF73" s="99">
        <f ca="1">IFERROR(__xludf.DUMMYFUNCTION("IMPORTRANGE(""https://docs.google.com/spreadsheets/d/1BmIruG_sIrJLYao_Pdr7zVArWsfoBt2692TMi6x_854/edit?usp=sharing"",""อ่างทอง!I88"")"),0)</f>
        <v>0</v>
      </c>
      <c r="AG73" s="99">
        <f ca="1">IFERROR(__xludf.DUMMYFUNCTION("IMPORTRANGE(""https://docs.google.com/spreadsheets/d/1BmIruG_sIrJLYao_Pdr7zVArWsfoBt2692TMi6x_854/edit?usp=sharing"",""อ่างทอง!I89"")"),0)</f>
        <v>0</v>
      </c>
      <c r="AH73" s="103">
        <f ca="1">IFERROR(__xludf.DUMMYFUNCTION("IMPORTRANGE(""https://docs.google.com/spreadsheets/d/1BmIruG_sIrJLYao_Pdr7zVArWsfoBt2692TMi6x_854/edit?usp=sharing"",""อ่างทอง!J88"")"),0)</f>
        <v>0</v>
      </c>
      <c r="AI73" s="103">
        <f ca="1">IFERROR(__xludf.DUMMYFUNCTION("IMPORTRANGE(""https://docs.google.com/spreadsheets/d/1BmIruG_sIrJLYao_Pdr7zVArWsfoBt2692TMi6x_854/edit?usp=sharing"",""อ่างทอง!J89"")"),0)</f>
        <v>0</v>
      </c>
      <c r="AJ73" s="99">
        <f ca="1">IFERROR(__xludf.DUMMYFUNCTION("IMPORTRANGE(""https://docs.google.com/spreadsheets/d/1BmIruG_sIrJLYao_Pdr7zVArWsfoBt2692TMi6x_854/edit?usp=sharing"",""อ่างทอง!I90"")"),0)</f>
        <v>0</v>
      </c>
      <c r="AK73" s="103">
        <f ca="1">IFERROR(__xludf.DUMMYFUNCTION("IMPORTRANGE(""https://docs.google.com/spreadsheets/d/1BmIruG_sIrJLYao_Pdr7zVArWsfoBt2692TMi6x_854/edit?usp=sharing"",""อ่างทอง!J90"")"),0)</f>
        <v>0</v>
      </c>
      <c r="AL73" s="101">
        <f t="shared" ca="1" si="36"/>
        <v>0</v>
      </c>
    </row>
    <row r="74" spans="1:38" ht="21" customHeight="1" x14ac:dyDescent="0.2">
      <c r="A74" s="394" t="s">
        <v>96</v>
      </c>
      <c r="B74" s="374"/>
      <c r="C74" s="110">
        <f t="shared" ca="1" si="23"/>
        <v>544900</v>
      </c>
      <c r="D74" s="68">
        <f t="shared" ref="D74:I74" ca="1" si="50">SUM(D75:D88)</f>
        <v>544900</v>
      </c>
      <c r="E74" s="68">
        <f t="shared" ca="1" si="50"/>
        <v>306900</v>
      </c>
      <c r="F74" s="68">
        <f t="shared" ca="1" si="50"/>
        <v>238000</v>
      </c>
      <c r="G74" s="68">
        <f t="shared" ca="1" si="50"/>
        <v>0</v>
      </c>
      <c r="H74" s="68">
        <f t="shared" ca="1" si="50"/>
        <v>457500</v>
      </c>
      <c r="I74" s="68">
        <f t="shared" ca="1" si="50"/>
        <v>0</v>
      </c>
      <c r="J74" s="68">
        <f t="shared" ca="1" si="25"/>
        <v>137584.78</v>
      </c>
      <c r="K74" s="106">
        <f t="shared" ca="1" si="26"/>
        <v>25.249546705817583</v>
      </c>
      <c r="L74" s="68">
        <f ca="1">SUM(L75:L88)</f>
        <v>137584.78</v>
      </c>
      <c r="M74" s="107">
        <f t="shared" ca="1" si="27"/>
        <v>25.249546705817583</v>
      </c>
      <c r="N74" s="107">
        <f t="shared" ca="1" si="28"/>
        <v>30.073175956284153</v>
      </c>
      <c r="O74" s="108">
        <f ca="1">SUM(O75:O88)</f>
        <v>0</v>
      </c>
      <c r="P74" s="108">
        <f t="shared" ca="1" si="29"/>
        <v>0</v>
      </c>
      <c r="Q74" s="107">
        <f t="shared" ca="1" si="30"/>
        <v>0</v>
      </c>
      <c r="R74" s="68">
        <f t="shared" ca="1" si="31"/>
        <v>1</v>
      </c>
      <c r="S74" s="68">
        <f t="shared" ca="1" si="32"/>
        <v>30</v>
      </c>
      <c r="T74" s="68">
        <f ca="1">SUM(T75:T88)</f>
        <v>0</v>
      </c>
      <c r="U74" s="107">
        <f t="shared" ca="1" si="33"/>
        <v>0</v>
      </c>
      <c r="V74" s="68">
        <f ca="1">SUM(V75:V88)</f>
        <v>0</v>
      </c>
      <c r="W74" s="107">
        <f t="shared" ca="1" si="34"/>
        <v>0</v>
      </c>
      <c r="X74" s="68">
        <f t="shared" ref="X74:AK74" ca="1" si="51">SUM(X75:X88)</f>
        <v>0</v>
      </c>
      <c r="Y74" s="68">
        <f t="shared" ca="1" si="51"/>
        <v>0</v>
      </c>
      <c r="Z74" s="68">
        <f t="shared" ca="1" si="51"/>
        <v>0</v>
      </c>
      <c r="AA74" s="68">
        <f t="shared" ca="1" si="51"/>
        <v>0</v>
      </c>
      <c r="AB74" s="68">
        <f t="shared" ca="1" si="51"/>
        <v>0</v>
      </c>
      <c r="AC74" s="68">
        <f t="shared" ca="1" si="51"/>
        <v>0</v>
      </c>
      <c r="AD74" s="68">
        <f t="shared" ca="1" si="51"/>
        <v>0</v>
      </c>
      <c r="AE74" s="68">
        <f t="shared" ca="1" si="51"/>
        <v>0</v>
      </c>
      <c r="AF74" s="68">
        <f t="shared" ca="1" si="51"/>
        <v>1</v>
      </c>
      <c r="AG74" s="68">
        <f t="shared" ca="1" si="51"/>
        <v>30</v>
      </c>
      <c r="AH74" s="68">
        <f t="shared" ca="1" si="51"/>
        <v>0</v>
      </c>
      <c r="AI74" s="68">
        <f t="shared" ca="1" si="51"/>
        <v>0</v>
      </c>
      <c r="AJ74" s="68">
        <f t="shared" ca="1" si="51"/>
        <v>1</v>
      </c>
      <c r="AK74" s="68">
        <f t="shared" ca="1" si="51"/>
        <v>0</v>
      </c>
      <c r="AL74" s="107">
        <f t="shared" ca="1" si="36"/>
        <v>0</v>
      </c>
    </row>
    <row r="75" spans="1:38" ht="21" customHeight="1" x14ac:dyDescent="0.2">
      <c r="A75" s="74">
        <v>1</v>
      </c>
      <c r="B75" s="75" t="s">
        <v>97</v>
      </c>
      <c r="C75" s="109">
        <f t="shared" ca="1" si="23"/>
        <v>0</v>
      </c>
      <c r="D75" s="77">
        <f t="shared" ref="D75:D88" ca="1" si="52">+E75+F75</f>
        <v>0</v>
      </c>
      <c r="E75" s="78">
        <f ca="1">IFERROR(__xludf.DUMMYFUNCTION("IMPORTRANGE(""https://docs.google.com/spreadsheets/d/1-uDff_7J0KD5mKrp0Vvzr7lt3OU09vwQwhkpOPPYv2Y/edit?usp=sharing"",""งบพรบ!AN75"")"),0)</f>
        <v>0</v>
      </c>
      <c r="F75" s="78">
        <f ca="1">IFERROR(__xludf.DUMMYFUNCTION("IMPORTRANGE(""https://docs.google.com/spreadsheets/d/1-uDff_7J0KD5mKrp0Vvzr7lt3OU09vwQwhkpOPPYv2Y/edit?usp=sharing"",""งบพรบ!AO75"")"),0)</f>
        <v>0</v>
      </c>
      <c r="G75" s="111">
        <f ca="1">IFERROR(__xludf.DUMMYFUNCTION("IMPORTRANGE(""https://docs.google.com/spreadsheets/d/1-uDff_7J0KD5mKrp0Vvzr7lt3OU09vwQwhkpOPPYv2Y/edit?usp=sharing"",""งบพรบ!AP75"")"),0)</f>
        <v>0</v>
      </c>
      <c r="H75" s="111">
        <f ca="1">IFERROR(__xludf.DUMMYFUNCTION("IMPORTRANGE(""https://docs.google.com/spreadsheets/d/1-uDff_7J0KD5mKrp0Vvzr7lt3OU09vwQwhkpOPPYv2Y/edit?usp=sharing"",""งบพรบ!AR75"")"),0)</f>
        <v>0</v>
      </c>
      <c r="I75" s="111">
        <f ca="1">IFERROR(__xludf.DUMMYFUNCTION("IMPORTRANGE(""https://docs.google.com/spreadsheets/d/1-uDff_7J0KD5mKrp0Vvzr7lt3OU09vwQwhkpOPPYv2Y/edit?usp=sharing"",""งบพรบ!AS75"")"),0)</f>
        <v>0</v>
      </c>
      <c r="J75" s="111">
        <f t="shared" ca="1" si="25"/>
        <v>0</v>
      </c>
      <c r="K75" s="112">
        <f t="shared" ca="1" si="26"/>
        <v>0</v>
      </c>
      <c r="L75" s="88">
        <f ca="1">IFERROR(__xludf.DUMMYFUNCTION("IMPORTRANGE(""https://docs.google.com/spreadsheets/d/1-uDff_7J0KD5mKrp0Vvzr7lt3OU09vwQwhkpOPPYv2Y/edit?usp=sharing"",""งบพรบ!AT75"")"),0)</f>
        <v>0</v>
      </c>
      <c r="M75" s="81">
        <f t="shared" ca="1" si="27"/>
        <v>0</v>
      </c>
      <c r="N75" s="81">
        <f t="shared" ca="1" si="28"/>
        <v>0</v>
      </c>
      <c r="O75" s="82">
        <f ca="1">IFERROR(__xludf.DUMMYFUNCTION("IMPORTRANGE(""https://docs.google.com/spreadsheets/d/1-uDff_7J0KD5mKrp0Vvzr7lt3OU09vwQwhkpOPPYv2Y/edit?usp=sharing"",""งบพรบ!AU75"")"),0)</f>
        <v>0</v>
      </c>
      <c r="P75" s="82">
        <f t="shared" ca="1" si="29"/>
        <v>0</v>
      </c>
      <c r="Q75" s="81">
        <f t="shared" ca="1" si="30"/>
        <v>0</v>
      </c>
      <c r="R75" s="79">
        <f t="shared" ca="1" si="31"/>
        <v>0</v>
      </c>
      <c r="S75" s="79">
        <f t="shared" ca="1" si="32"/>
        <v>0</v>
      </c>
      <c r="T75" s="79">
        <f t="shared" ref="T75:T88" ca="1" si="53">Z75+AD75+AH75</f>
        <v>0</v>
      </c>
      <c r="U75" s="83">
        <f t="shared" ca="1" si="33"/>
        <v>0</v>
      </c>
      <c r="V75" s="79">
        <f t="shared" ref="V75:V88" ca="1" si="54">AA75+AE75+AI75</f>
        <v>0</v>
      </c>
      <c r="W75" s="83">
        <f t="shared" ca="1" si="34"/>
        <v>0</v>
      </c>
      <c r="X75" s="78">
        <f ca="1">IFERROR(__xludf.DUMMYFUNCTION("IMPORTRANGE(""https://docs.google.com/spreadsheets/d/1kKUcYdkIfrgTSj8iHHHB2MD2FAtwyyocFgqGQn6ADyI/edit?usp=sharing"",""กระบี่!I84"")"),0)</f>
        <v>0</v>
      </c>
      <c r="Y75" s="78">
        <f ca="1">IFERROR(__xludf.DUMMYFUNCTION("IMPORTRANGE(""https://docs.google.com/spreadsheets/d/1kKUcYdkIfrgTSj8iHHHB2MD2FAtwyyocFgqGQn6ADyI/edit?usp=sharing"",""กระบี่!I85"")"),0)</f>
        <v>0</v>
      </c>
      <c r="Z75" s="79">
        <f ca="1">IFERROR(__xludf.DUMMYFUNCTION("IMPORTRANGE(""https://docs.google.com/spreadsheets/d/1kKUcYdkIfrgTSj8iHHHB2MD2FAtwyyocFgqGQn6ADyI/edit?usp=sharing"",""กระบี่!J84"")"),0)</f>
        <v>0</v>
      </c>
      <c r="AA75" s="79">
        <f ca="1">IFERROR(__xludf.DUMMYFUNCTION("IMPORTRANGE(""https://docs.google.com/spreadsheets/d/1kKUcYdkIfrgTSj8iHHHB2MD2FAtwyyocFgqGQn6ADyI/edit?usp=sharing"",""กระบี่!J85"")"),0)</f>
        <v>0</v>
      </c>
      <c r="AB75" s="78">
        <f ca="1">IFERROR(__xludf.DUMMYFUNCTION("IMPORTRANGE(""https://docs.google.com/spreadsheets/d/1kKUcYdkIfrgTSj8iHHHB2MD2FAtwyyocFgqGQn6ADyI/edit?usp=sharing"",""กระบี่!I86"")"),0)</f>
        <v>0</v>
      </c>
      <c r="AC75" s="78">
        <f ca="1">IFERROR(__xludf.DUMMYFUNCTION("IMPORTRANGE(""https://docs.google.com/spreadsheets/d/1kKUcYdkIfrgTSj8iHHHB2MD2FAtwyyocFgqGQn6ADyI/edit?usp=sharing"",""กระบี่!I87"")"),0)</f>
        <v>0</v>
      </c>
      <c r="AD75" s="79">
        <f ca="1">IFERROR(__xludf.DUMMYFUNCTION("IMPORTRANGE(""https://docs.google.com/spreadsheets/d/1kKUcYdkIfrgTSj8iHHHB2MD2FAtwyyocFgqGQn6ADyI/edit?usp=sharing"",""กระบี่!J86"")"),0)</f>
        <v>0</v>
      </c>
      <c r="AE75" s="79">
        <f ca="1">IFERROR(__xludf.DUMMYFUNCTION("IMPORTRANGE(""https://docs.google.com/spreadsheets/d/1kKUcYdkIfrgTSj8iHHHB2MD2FAtwyyocFgqGQn6ADyI/edit?usp=sharing"",""กระบี่!J87"")"),0)</f>
        <v>0</v>
      </c>
      <c r="AF75" s="78">
        <f ca="1">IFERROR(__xludf.DUMMYFUNCTION("IMPORTRANGE(""https://docs.google.com/spreadsheets/d/1kKUcYdkIfrgTSj8iHHHB2MD2FAtwyyocFgqGQn6ADyI/edit?usp=sharing"",""กระบี่!I88"")"),0)</f>
        <v>0</v>
      </c>
      <c r="AG75" s="78">
        <f ca="1">IFERROR(__xludf.DUMMYFUNCTION("IMPORTRANGE(""https://docs.google.com/spreadsheets/d/1kKUcYdkIfrgTSj8iHHHB2MD2FAtwyyocFgqGQn6ADyI/edit?usp=sharing"",""กระบี่!I89"")"),0)</f>
        <v>0</v>
      </c>
      <c r="AH75" s="79">
        <f ca="1">IFERROR(__xludf.DUMMYFUNCTION("IMPORTRANGE(""https://docs.google.com/spreadsheets/d/1kKUcYdkIfrgTSj8iHHHB2MD2FAtwyyocFgqGQn6ADyI/edit?usp=sharing"",""กระบี่!J88"")"),0)</f>
        <v>0</v>
      </c>
      <c r="AI75" s="79">
        <f ca="1">IFERROR(__xludf.DUMMYFUNCTION("IMPORTRANGE(""https://docs.google.com/spreadsheets/d/1kKUcYdkIfrgTSj8iHHHB2MD2FAtwyyocFgqGQn6ADyI/edit?usp=sharing"",""กระบี่!J89"")"),0)</f>
        <v>0</v>
      </c>
      <c r="AJ75" s="78">
        <f ca="1">IFERROR(__xludf.DUMMYFUNCTION("IMPORTRANGE(""https://docs.google.com/spreadsheets/d/1kKUcYdkIfrgTSj8iHHHB2MD2FAtwyyocFgqGQn6ADyI/edit?usp=sharing"",""กระบี่!I90"")"),0)</f>
        <v>0</v>
      </c>
      <c r="AK75" s="79">
        <f ca="1">IFERROR(__xludf.DUMMYFUNCTION("IMPORTRANGE(""https://docs.google.com/spreadsheets/d/1kKUcYdkIfrgTSj8iHHHB2MD2FAtwyyocFgqGQn6ADyI/edit?usp=sharing"",""กระบี่!J90"")"),0)</f>
        <v>0</v>
      </c>
      <c r="AL75" s="81">
        <f t="shared" ca="1" si="36"/>
        <v>0</v>
      </c>
    </row>
    <row r="76" spans="1:38" ht="21" customHeight="1" x14ac:dyDescent="0.2">
      <c r="A76" s="84">
        <v>2</v>
      </c>
      <c r="B76" s="85" t="s">
        <v>98</v>
      </c>
      <c r="C76" s="86">
        <f t="shared" ca="1" si="23"/>
        <v>0</v>
      </c>
      <c r="D76" s="87">
        <f t="shared" ca="1" si="52"/>
        <v>0</v>
      </c>
      <c r="E76" s="88">
        <f ca="1">IFERROR(__xludf.DUMMYFUNCTION("IMPORTRANGE(""https://docs.google.com/spreadsheets/d/1-uDff_7J0KD5mKrp0Vvzr7lt3OU09vwQwhkpOPPYv2Y/edit?usp=sharing"",""งบพรบ!AN76"")"),0)</f>
        <v>0</v>
      </c>
      <c r="F76" s="88">
        <f ca="1">IFERROR(__xludf.DUMMYFUNCTION("IMPORTRANGE(""https://docs.google.com/spreadsheets/d/1-uDff_7J0KD5mKrp0Vvzr7lt3OU09vwQwhkpOPPYv2Y/edit?usp=sharing"",""งบพรบ!AO76"")"),0)</f>
        <v>0</v>
      </c>
      <c r="G76" s="88">
        <f ca="1">IFERROR(__xludf.DUMMYFUNCTION("IMPORTRANGE(""https://docs.google.com/spreadsheets/d/1-uDff_7J0KD5mKrp0Vvzr7lt3OU09vwQwhkpOPPYv2Y/edit?usp=sharing"",""งบพรบ!AP76"")"),0)</f>
        <v>0</v>
      </c>
      <c r="H76" s="88">
        <f ca="1">IFERROR(__xludf.DUMMYFUNCTION("IMPORTRANGE(""https://docs.google.com/spreadsheets/d/1-uDff_7J0KD5mKrp0Vvzr7lt3OU09vwQwhkpOPPYv2Y/edit?usp=sharing"",""งบพรบ!AR76"")"),0)</f>
        <v>0</v>
      </c>
      <c r="I76" s="88">
        <f ca="1">IFERROR(__xludf.DUMMYFUNCTION("IMPORTRANGE(""https://docs.google.com/spreadsheets/d/1-uDff_7J0KD5mKrp0Vvzr7lt3OU09vwQwhkpOPPYv2Y/edit?usp=sharing"",""งบพรบ!AS76"")"),0)</f>
        <v>0</v>
      </c>
      <c r="J76" s="88">
        <f t="shared" ca="1" si="25"/>
        <v>0</v>
      </c>
      <c r="K76" s="89">
        <f t="shared" ca="1" si="26"/>
        <v>0</v>
      </c>
      <c r="L76" s="88">
        <f ca="1">IFERROR(__xludf.DUMMYFUNCTION("IMPORTRANGE(""https://docs.google.com/spreadsheets/d/1-uDff_7J0KD5mKrp0Vvzr7lt3OU09vwQwhkpOPPYv2Y/edit?usp=sharing"",""งบพรบ!AT76"")"),0)</f>
        <v>0</v>
      </c>
      <c r="M76" s="90">
        <f t="shared" ca="1" si="27"/>
        <v>0</v>
      </c>
      <c r="N76" s="90">
        <f t="shared" ca="1" si="28"/>
        <v>0</v>
      </c>
      <c r="O76" s="91">
        <f ca="1">IFERROR(__xludf.DUMMYFUNCTION("IMPORTRANGE(""https://docs.google.com/spreadsheets/d/1-uDff_7J0KD5mKrp0Vvzr7lt3OU09vwQwhkpOPPYv2Y/edit?usp=sharing"",""งบพรบ!AU76"")"),0)</f>
        <v>0</v>
      </c>
      <c r="P76" s="91">
        <f t="shared" ca="1" si="29"/>
        <v>0</v>
      </c>
      <c r="Q76" s="90">
        <f t="shared" ca="1" si="30"/>
        <v>0</v>
      </c>
      <c r="R76" s="92">
        <f t="shared" ca="1" si="31"/>
        <v>0</v>
      </c>
      <c r="S76" s="92">
        <f t="shared" ca="1" si="32"/>
        <v>0</v>
      </c>
      <c r="T76" s="92">
        <f t="shared" ca="1" si="53"/>
        <v>0</v>
      </c>
      <c r="U76" s="93">
        <f t="shared" ca="1" si="33"/>
        <v>0</v>
      </c>
      <c r="V76" s="92">
        <f t="shared" ca="1" si="54"/>
        <v>0</v>
      </c>
      <c r="W76" s="93">
        <f t="shared" ca="1" si="34"/>
        <v>0</v>
      </c>
      <c r="X76" s="88">
        <f ca="1">IFERROR(__xludf.DUMMYFUNCTION("IMPORTRANGE(""https://docs.google.com/spreadsheets/d/1GwtLaSlNZkLk7iDqcyZz22giiy40b_usZZBXYciEN1U/edit?usp=sharing"",""ชุมพร!I84"")"),0)</f>
        <v>0</v>
      </c>
      <c r="Y76" s="88">
        <f ca="1">IFERROR(__xludf.DUMMYFUNCTION("IMPORTRANGE(""https://docs.google.com/spreadsheets/d/1GwtLaSlNZkLk7iDqcyZz22giiy40b_usZZBXYciEN1U/edit?usp=sharing"",""ชุมพร!I85"")"),0)</f>
        <v>0</v>
      </c>
      <c r="Z76" s="92">
        <f ca="1">IFERROR(__xludf.DUMMYFUNCTION("IMPORTRANGE(""https://docs.google.com/spreadsheets/d/1GwtLaSlNZkLk7iDqcyZz22giiy40b_usZZBXYciEN1U/edit?usp=sharing"",""ชุมพร!J84"")"),0)</f>
        <v>0</v>
      </c>
      <c r="AA76" s="92">
        <f ca="1">IFERROR(__xludf.DUMMYFUNCTION("IMPORTRANGE(""https://docs.google.com/spreadsheets/d/1GwtLaSlNZkLk7iDqcyZz22giiy40b_usZZBXYciEN1U/edit?usp=sharing"",""ชุมพร!J85"")"),0)</f>
        <v>0</v>
      </c>
      <c r="AB76" s="88">
        <f ca="1">IFERROR(__xludf.DUMMYFUNCTION("IMPORTRANGE(""https://docs.google.com/spreadsheets/d/1GwtLaSlNZkLk7iDqcyZz22giiy40b_usZZBXYciEN1U/edit?usp=sharing"",""ชุมพร!I86"")"),0)</f>
        <v>0</v>
      </c>
      <c r="AC76" s="88">
        <f ca="1">IFERROR(__xludf.DUMMYFUNCTION("IMPORTRANGE(""https://docs.google.com/spreadsheets/d/1GwtLaSlNZkLk7iDqcyZz22giiy40b_usZZBXYciEN1U/edit?usp=sharing"",""ชุมพร!I87"")"),0)</f>
        <v>0</v>
      </c>
      <c r="AD76" s="92">
        <f ca="1">IFERROR(__xludf.DUMMYFUNCTION("IMPORTRANGE(""https://docs.google.com/spreadsheets/d/1GwtLaSlNZkLk7iDqcyZz22giiy40b_usZZBXYciEN1U/edit?usp=sharing"",""ชุมพร!J86"")"),0)</f>
        <v>0</v>
      </c>
      <c r="AE76" s="92">
        <f ca="1">IFERROR(__xludf.DUMMYFUNCTION("IMPORTRANGE(""https://docs.google.com/spreadsheets/d/1GwtLaSlNZkLk7iDqcyZz22giiy40b_usZZBXYciEN1U/edit?usp=sharing"",""ชุมพร!J87"")"),0)</f>
        <v>0</v>
      </c>
      <c r="AF76" s="88">
        <f ca="1">IFERROR(__xludf.DUMMYFUNCTION("IMPORTRANGE(""https://docs.google.com/spreadsheets/d/1GwtLaSlNZkLk7iDqcyZz22giiy40b_usZZBXYciEN1U/edit?usp=sharing"",""ชุมพร!I88"")"),0)</f>
        <v>0</v>
      </c>
      <c r="AG76" s="88">
        <f ca="1">IFERROR(__xludf.DUMMYFUNCTION("IMPORTRANGE(""https://docs.google.com/spreadsheets/d/1GwtLaSlNZkLk7iDqcyZz22giiy40b_usZZBXYciEN1U/edit?usp=sharing"",""ชุมพร!I89"")"),0)</f>
        <v>0</v>
      </c>
      <c r="AH76" s="92">
        <f ca="1">IFERROR(__xludf.DUMMYFUNCTION("IMPORTRANGE(""https://docs.google.com/spreadsheets/d/1GwtLaSlNZkLk7iDqcyZz22giiy40b_usZZBXYciEN1U/edit?usp=sharing"",""ชุมพร!J88"")"),0)</f>
        <v>0</v>
      </c>
      <c r="AI76" s="92">
        <f ca="1">IFERROR(__xludf.DUMMYFUNCTION("IMPORTRANGE(""https://docs.google.com/spreadsheets/d/1GwtLaSlNZkLk7iDqcyZz22giiy40b_usZZBXYciEN1U/edit?usp=sharing"",""ชุมพร!J89"")"),0)</f>
        <v>0</v>
      </c>
      <c r="AJ76" s="88">
        <f ca="1">IFERROR(__xludf.DUMMYFUNCTION("IMPORTRANGE(""https://docs.google.com/spreadsheets/d/1GwtLaSlNZkLk7iDqcyZz22giiy40b_usZZBXYciEN1U/edit?usp=sharing"",""ชุมพร!I90"")"),0)</f>
        <v>0</v>
      </c>
      <c r="AK76" s="92">
        <f ca="1">IFERROR(__xludf.DUMMYFUNCTION("IMPORTRANGE(""https://docs.google.com/spreadsheets/d/1GwtLaSlNZkLk7iDqcyZz22giiy40b_usZZBXYciEN1U/edit?usp=sharing"",""ชุมพร!J90"")"),0)</f>
        <v>0</v>
      </c>
      <c r="AL76" s="90">
        <f t="shared" ca="1" si="36"/>
        <v>0</v>
      </c>
    </row>
    <row r="77" spans="1:38" ht="21" customHeight="1" x14ac:dyDescent="0.2">
      <c r="A77" s="84">
        <v>3</v>
      </c>
      <c r="B77" s="85" t="s">
        <v>99</v>
      </c>
      <c r="C77" s="86">
        <f t="shared" ca="1" si="23"/>
        <v>0</v>
      </c>
      <c r="D77" s="87">
        <f t="shared" ca="1" si="52"/>
        <v>0</v>
      </c>
      <c r="E77" s="88">
        <f ca="1">IFERROR(__xludf.DUMMYFUNCTION("IMPORTRANGE(""https://docs.google.com/spreadsheets/d/1-uDff_7J0KD5mKrp0Vvzr7lt3OU09vwQwhkpOPPYv2Y/edit?usp=sharing"",""งบพรบ!AN77"")"),0)</f>
        <v>0</v>
      </c>
      <c r="F77" s="88">
        <f ca="1">IFERROR(__xludf.DUMMYFUNCTION("IMPORTRANGE(""https://docs.google.com/spreadsheets/d/1-uDff_7J0KD5mKrp0Vvzr7lt3OU09vwQwhkpOPPYv2Y/edit?usp=sharing"",""งบพรบ!AO77"")"),0)</f>
        <v>0</v>
      </c>
      <c r="G77" s="88">
        <f ca="1">IFERROR(__xludf.DUMMYFUNCTION("IMPORTRANGE(""https://docs.google.com/spreadsheets/d/1-uDff_7J0KD5mKrp0Vvzr7lt3OU09vwQwhkpOPPYv2Y/edit?usp=sharing"",""งบพรบ!AP77"")"),0)</f>
        <v>0</v>
      </c>
      <c r="H77" s="88">
        <f ca="1">IFERROR(__xludf.DUMMYFUNCTION("IMPORTRANGE(""https://docs.google.com/spreadsheets/d/1-uDff_7J0KD5mKrp0Vvzr7lt3OU09vwQwhkpOPPYv2Y/edit?usp=sharing"",""งบพรบ!AR77"")"),0)</f>
        <v>0</v>
      </c>
      <c r="I77" s="88">
        <f ca="1">IFERROR(__xludf.DUMMYFUNCTION("IMPORTRANGE(""https://docs.google.com/spreadsheets/d/1-uDff_7J0KD5mKrp0Vvzr7lt3OU09vwQwhkpOPPYv2Y/edit?usp=sharing"",""งบพรบ!AS77"")"),0)</f>
        <v>0</v>
      </c>
      <c r="J77" s="88">
        <f t="shared" ca="1" si="25"/>
        <v>0</v>
      </c>
      <c r="K77" s="89">
        <f t="shared" ca="1" si="26"/>
        <v>0</v>
      </c>
      <c r="L77" s="88">
        <f ca="1">IFERROR(__xludf.DUMMYFUNCTION("IMPORTRANGE(""https://docs.google.com/spreadsheets/d/1-uDff_7J0KD5mKrp0Vvzr7lt3OU09vwQwhkpOPPYv2Y/edit?usp=sharing"",""งบพรบ!AT77"")"),0)</f>
        <v>0</v>
      </c>
      <c r="M77" s="90">
        <f t="shared" ca="1" si="27"/>
        <v>0</v>
      </c>
      <c r="N77" s="90">
        <f t="shared" ca="1" si="28"/>
        <v>0</v>
      </c>
      <c r="O77" s="91">
        <f ca="1">IFERROR(__xludf.DUMMYFUNCTION("IMPORTRANGE(""https://docs.google.com/spreadsheets/d/1-uDff_7J0KD5mKrp0Vvzr7lt3OU09vwQwhkpOPPYv2Y/edit?usp=sharing"",""งบพรบ!AU77"")"),0)</f>
        <v>0</v>
      </c>
      <c r="P77" s="91">
        <f t="shared" ca="1" si="29"/>
        <v>0</v>
      </c>
      <c r="Q77" s="90">
        <f t="shared" ca="1" si="30"/>
        <v>0</v>
      </c>
      <c r="R77" s="92">
        <f t="shared" ca="1" si="31"/>
        <v>0</v>
      </c>
      <c r="S77" s="92">
        <f t="shared" ca="1" si="32"/>
        <v>0</v>
      </c>
      <c r="T77" s="92">
        <f t="shared" ca="1" si="53"/>
        <v>0</v>
      </c>
      <c r="U77" s="93">
        <f t="shared" ca="1" si="33"/>
        <v>0</v>
      </c>
      <c r="V77" s="92">
        <f t="shared" ca="1" si="54"/>
        <v>0</v>
      </c>
      <c r="W77" s="93">
        <f t="shared" ca="1" si="34"/>
        <v>0</v>
      </c>
      <c r="X77" s="88">
        <f ca="1">IFERROR(__xludf.DUMMYFUNCTION("IMPORTRANGE(""https://docs.google.com/spreadsheets/d/16pAz3pOhQEZBhvFNMa5KGgZS6iKWpsKX0pg6tQmwFpo/edit?usp=sharing"",""ตรัง!I84"")"),0)</f>
        <v>0</v>
      </c>
      <c r="Y77" s="88">
        <f ca="1">IFERROR(__xludf.DUMMYFUNCTION("IMPORTRANGE(""https://docs.google.com/spreadsheets/d/16pAz3pOhQEZBhvFNMa5KGgZS6iKWpsKX0pg6tQmwFpo/edit?usp=sharing"",""ตรัง!I85"")"),0)</f>
        <v>0</v>
      </c>
      <c r="Z77" s="92">
        <f ca="1">IFERROR(__xludf.DUMMYFUNCTION("IMPORTRANGE(""https://docs.google.com/spreadsheets/d/16pAz3pOhQEZBhvFNMa5KGgZS6iKWpsKX0pg6tQmwFpo/edit?usp=sharing"",""ตรัง!J84"")"),0)</f>
        <v>0</v>
      </c>
      <c r="AA77" s="92">
        <f ca="1">IFERROR(__xludf.DUMMYFUNCTION("IMPORTRANGE(""https://docs.google.com/spreadsheets/d/16pAz3pOhQEZBhvFNMa5KGgZS6iKWpsKX0pg6tQmwFpo/edit?usp=sharing"",""ตรัง!J85"")"),0)</f>
        <v>0</v>
      </c>
      <c r="AB77" s="88">
        <f ca="1">IFERROR(__xludf.DUMMYFUNCTION("IMPORTRANGE(""https://docs.google.com/spreadsheets/d/16pAz3pOhQEZBhvFNMa5KGgZS6iKWpsKX0pg6tQmwFpo/edit?usp=sharing"",""ตรัง!I86"")"),0)</f>
        <v>0</v>
      </c>
      <c r="AC77" s="88">
        <f ca="1">IFERROR(__xludf.DUMMYFUNCTION("IMPORTRANGE(""https://docs.google.com/spreadsheets/d/16pAz3pOhQEZBhvFNMa5KGgZS6iKWpsKX0pg6tQmwFpo/edit?usp=sharing"",""ตรัง!I87"")"),0)</f>
        <v>0</v>
      </c>
      <c r="AD77" s="92">
        <f ca="1">IFERROR(__xludf.DUMMYFUNCTION("IMPORTRANGE(""https://docs.google.com/spreadsheets/d/16pAz3pOhQEZBhvFNMa5KGgZS6iKWpsKX0pg6tQmwFpo/edit?usp=sharing"",""ตรัง!J86"")"),0)</f>
        <v>0</v>
      </c>
      <c r="AE77" s="92">
        <f ca="1">IFERROR(__xludf.DUMMYFUNCTION("IMPORTRANGE(""https://docs.google.com/spreadsheets/d/16pAz3pOhQEZBhvFNMa5KGgZS6iKWpsKX0pg6tQmwFpo/edit?usp=sharing"",""ตรัง!J87"")"),0)</f>
        <v>0</v>
      </c>
      <c r="AF77" s="88">
        <f ca="1">IFERROR(__xludf.DUMMYFUNCTION("IMPORTRANGE(""https://docs.google.com/spreadsheets/d/16pAz3pOhQEZBhvFNMa5KGgZS6iKWpsKX0pg6tQmwFpo/edit?usp=sharing"",""ตรัง!I88"")"),0)</f>
        <v>0</v>
      </c>
      <c r="AG77" s="88">
        <f ca="1">IFERROR(__xludf.DUMMYFUNCTION("IMPORTRANGE(""https://docs.google.com/spreadsheets/d/16pAz3pOhQEZBhvFNMa5KGgZS6iKWpsKX0pg6tQmwFpo/edit?usp=sharing"",""ตรัง!I89"")"),0)</f>
        <v>0</v>
      </c>
      <c r="AH77" s="92">
        <f ca="1">IFERROR(__xludf.DUMMYFUNCTION("IMPORTRANGE(""https://docs.google.com/spreadsheets/d/16pAz3pOhQEZBhvFNMa5KGgZS6iKWpsKX0pg6tQmwFpo/edit?usp=sharing"",""ตรัง!J88"")"),0)</f>
        <v>0</v>
      </c>
      <c r="AI77" s="92">
        <f ca="1">IFERROR(__xludf.DUMMYFUNCTION("IMPORTRANGE(""https://docs.google.com/spreadsheets/d/16pAz3pOhQEZBhvFNMa5KGgZS6iKWpsKX0pg6tQmwFpo/edit?usp=sharing"",""ตรัง!J89"")"),0)</f>
        <v>0</v>
      </c>
      <c r="AJ77" s="88">
        <f ca="1">IFERROR(__xludf.DUMMYFUNCTION("IMPORTRANGE(""https://docs.google.com/spreadsheets/d/16pAz3pOhQEZBhvFNMa5KGgZS6iKWpsKX0pg6tQmwFpo/edit?usp=sharing"",""ตรัง!I90"")"),0)</f>
        <v>0</v>
      </c>
      <c r="AK77" s="92">
        <f ca="1">IFERROR(__xludf.DUMMYFUNCTION("IMPORTRANGE(""https://docs.google.com/spreadsheets/d/16pAz3pOhQEZBhvFNMa5KGgZS6iKWpsKX0pg6tQmwFpo/edit?usp=sharing"",""ตรัง!J90"")"),0)</f>
        <v>0</v>
      </c>
      <c r="AL77" s="90">
        <f t="shared" ca="1" si="36"/>
        <v>0</v>
      </c>
    </row>
    <row r="78" spans="1:38" ht="21" customHeight="1" x14ac:dyDescent="0.2">
      <c r="A78" s="84">
        <v>4</v>
      </c>
      <c r="B78" s="85" t="s">
        <v>100</v>
      </c>
      <c r="C78" s="86">
        <f t="shared" ca="1" si="23"/>
        <v>0</v>
      </c>
      <c r="D78" s="87">
        <f t="shared" ca="1" si="52"/>
        <v>0</v>
      </c>
      <c r="E78" s="88">
        <f ca="1">IFERROR(__xludf.DUMMYFUNCTION("IMPORTRANGE(""https://docs.google.com/spreadsheets/d/1-uDff_7J0KD5mKrp0Vvzr7lt3OU09vwQwhkpOPPYv2Y/edit?usp=sharing"",""งบพรบ!AN78"")"),0)</f>
        <v>0</v>
      </c>
      <c r="F78" s="88">
        <f ca="1">IFERROR(__xludf.DUMMYFUNCTION("IMPORTRANGE(""https://docs.google.com/spreadsheets/d/1-uDff_7J0KD5mKrp0Vvzr7lt3OU09vwQwhkpOPPYv2Y/edit?usp=sharing"",""งบพรบ!AO78"")"),0)</f>
        <v>0</v>
      </c>
      <c r="G78" s="88">
        <f ca="1">IFERROR(__xludf.DUMMYFUNCTION("IMPORTRANGE(""https://docs.google.com/spreadsheets/d/1-uDff_7J0KD5mKrp0Vvzr7lt3OU09vwQwhkpOPPYv2Y/edit?usp=sharing"",""งบพรบ!AP78"")"),0)</f>
        <v>0</v>
      </c>
      <c r="H78" s="88">
        <f ca="1">IFERROR(__xludf.DUMMYFUNCTION("IMPORTRANGE(""https://docs.google.com/spreadsheets/d/1-uDff_7J0KD5mKrp0Vvzr7lt3OU09vwQwhkpOPPYv2Y/edit?usp=sharing"",""งบพรบ!AR78"")"),0)</f>
        <v>0</v>
      </c>
      <c r="I78" s="88">
        <f ca="1">IFERROR(__xludf.DUMMYFUNCTION("IMPORTRANGE(""https://docs.google.com/spreadsheets/d/1-uDff_7J0KD5mKrp0Vvzr7lt3OU09vwQwhkpOPPYv2Y/edit?usp=sharing"",""งบพรบ!AS78"")"),0)</f>
        <v>0</v>
      </c>
      <c r="J78" s="88">
        <f t="shared" ca="1" si="25"/>
        <v>0</v>
      </c>
      <c r="K78" s="89">
        <f t="shared" ca="1" si="26"/>
        <v>0</v>
      </c>
      <c r="L78" s="88">
        <f ca="1">IFERROR(__xludf.DUMMYFUNCTION("IMPORTRANGE(""https://docs.google.com/spreadsheets/d/1-uDff_7J0KD5mKrp0Vvzr7lt3OU09vwQwhkpOPPYv2Y/edit?usp=sharing"",""งบพรบ!AT78"")"),0)</f>
        <v>0</v>
      </c>
      <c r="M78" s="90">
        <f t="shared" ca="1" si="27"/>
        <v>0</v>
      </c>
      <c r="N78" s="90">
        <f t="shared" ca="1" si="28"/>
        <v>0</v>
      </c>
      <c r="O78" s="91">
        <f ca="1">IFERROR(__xludf.DUMMYFUNCTION("IMPORTRANGE(""https://docs.google.com/spreadsheets/d/1-uDff_7J0KD5mKrp0Vvzr7lt3OU09vwQwhkpOPPYv2Y/edit?usp=sharing"",""งบพรบ!AU78"")"),0)</f>
        <v>0</v>
      </c>
      <c r="P78" s="91">
        <f t="shared" ca="1" si="29"/>
        <v>0</v>
      </c>
      <c r="Q78" s="90">
        <f t="shared" ca="1" si="30"/>
        <v>0</v>
      </c>
      <c r="R78" s="92">
        <f t="shared" ca="1" si="31"/>
        <v>0</v>
      </c>
      <c r="S78" s="92">
        <f t="shared" ca="1" si="32"/>
        <v>0</v>
      </c>
      <c r="T78" s="92">
        <f t="shared" ca="1" si="53"/>
        <v>0</v>
      </c>
      <c r="U78" s="93">
        <f t="shared" ca="1" si="33"/>
        <v>0</v>
      </c>
      <c r="V78" s="92">
        <f t="shared" ca="1" si="54"/>
        <v>0</v>
      </c>
      <c r="W78" s="93">
        <f t="shared" ca="1" si="34"/>
        <v>0</v>
      </c>
      <c r="X78" s="88">
        <f ca="1">IFERROR(__xludf.DUMMYFUNCTION("IMPORTRANGE(""https://docs.google.com/spreadsheets/d/1Dj4jcHCTV9JXKCaMoheSXS52JE63kDKyG7bPXnFogHk/edit?usp=sharing"",""นครศรีธรรมราช!I84"")"),0)</f>
        <v>0</v>
      </c>
      <c r="Y78" s="88">
        <f ca="1">IFERROR(__xludf.DUMMYFUNCTION("IMPORTRANGE(""https://docs.google.com/spreadsheets/d/1Dj4jcHCTV9JXKCaMoheSXS52JE63kDKyG7bPXnFogHk/edit?usp=sharing"",""นครศรีธรรมราช!I85"")"),0)</f>
        <v>0</v>
      </c>
      <c r="Z78" s="92">
        <f ca="1">IFERROR(__xludf.DUMMYFUNCTION("IMPORTRANGE(""https://docs.google.com/spreadsheets/d/1Dj4jcHCTV9JXKCaMoheSXS52JE63kDKyG7bPXnFogHk/edit?usp=sharing"",""นครศรีธรรมราช!J84"")"),0)</f>
        <v>0</v>
      </c>
      <c r="AA78" s="92">
        <f ca="1">IFERROR(__xludf.DUMMYFUNCTION("IMPORTRANGE(""https://docs.google.com/spreadsheets/d/1Dj4jcHCTV9JXKCaMoheSXS52JE63kDKyG7bPXnFogHk/edit?usp=sharing"",""นครศรีธรรมราช!J85"")"),0)</f>
        <v>0</v>
      </c>
      <c r="AB78" s="88">
        <f ca="1">IFERROR(__xludf.DUMMYFUNCTION("IMPORTRANGE(""https://docs.google.com/spreadsheets/d/1Dj4jcHCTV9JXKCaMoheSXS52JE63kDKyG7bPXnFogHk/edit?usp=sharing"",""นครศรีธรรมราช!I86"")"),0)</f>
        <v>0</v>
      </c>
      <c r="AC78" s="88">
        <f ca="1">IFERROR(__xludf.DUMMYFUNCTION("IMPORTRANGE(""https://docs.google.com/spreadsheets/d/1Dj4jcHCTV9JXKCaMoheSXS52JE63kDKyG7bPXnFogHk/edit?usp=sharing"",""นครศรีธรรมราช!I87"")"),0)</f>
        <v>0</v>
      </c>
      <c r="AD78" s="92">
        <f ca="1">IFERROR(__xludf.DUMMYFUNCTION("IMPORTRANGE(""https://docs.google.com/spreadsheets/d/1Dj4jcHCTV9JXKCaMoheSXS52JE63kDKyG7bPXnFogHk/edit?usp=sharing"",""นครศรีธรรมราช!J86"")"),0)</f>
        <v>0</v>
      </c>
      <c r="AE78" s="92">
        <f ca="1">IFERROR(__xludf.DUMMYFUNCTION("IMPORTRANGE(""https://docs.google.com/spreadsheets/d/1Dj4jcHCTV9JXKCaMoheSXS52JE63kDKyG7bPXnFogHk/edit?usp=sharing"",""นครศรีธรรมราช!J87"")"),0)</f>
        <v>0</v>
      </c>
      <c r="AF78" s="88">
        <f ca="1">IFERROR(__xludf.DUMMYFUNCTION("IMPORTRANGE(""https://docs.google.com/spreadsheets/d/1Dj4jcHCTV9JXKCaMoheSXS52JE63kDKyG7bPXnFogHk/edit?usp=sharing"",""นครศรีธรรมราช!I88"")"),0)</f>
        <v>0</v>
      </c>
      <c r="AG78" s="88">
        <f ca="1">IFERROR(__xludf.DUMMYFUNCTION("IMPORTRANGE(""https://docs.google.com/spreadsheets/d/1Dj4jcHCTV9JXKCaMoheSXS52JE63kDKyG7bPXnFogHk/edit?usp=sharing"",""นครศรีธรรมราช!I89"")"),0)</f>
        <v>0</v>
      </c>
      <c r="AH78" s="92">
        <f ca="1">IFERROR(__xludf.DUMMYFUNCTION("IMPORTRANGE(""https://docs.google.com/spreadsheets/d/1Dj4jcHCTV9JXKCaMoheSXS52JE63kDKyG7bPXnFogHk/edit?usp=sharing"",""นครศรีธรรมราช!J88"")"),0)</f>
        <v>0</v>
      </c>
      <c r="AI78" s="92">
        <f ca="1">IFERROR(__xludf.DUMMYFUNCTION("IMPORTRANGE(""https://docs.google.com/spreadsheets/d/1Dj4jcHCTV9JXKCaMoheSXS52JE63kDKyG7bPXnFogHk/edit?usp=sharing"",""นครศรีธรรมราช!J89"")"),0)</f>
        <v>0</v>
      </c>
      <c r="AJ78" s="88">
        <f ca="1">IFERROR(__xludf.DUMMYFUNCTION("IMPORTRANGE(""https://docs.google.com/spreadsheets/d/1Dj4jcHCTV9JXKCaMoheSXS52JE63kDKyG7bPXnFogHk/edit?usp=sharing"",""นครศรีธรรมราช!I90"")"),0)</f>
        <v>0</v>
      </c>
      <c r="AK78" s="92">
        <f ca="1">IFERROR(__xludf.DUMMYFUNCTION("IMPORTRANGE(""https://docs.google.com/spreadsheets/d/1Dj4jcHCTV9JXKCaMoheSXS52JE63kDKyG7bPXnFogHk/edit?usp=sharing"",""นครศรีธรรมราช!J90"")"),0)</f>
        <v>0</v>
      </c>
      <c r="AL78" s="90">
        <f t="shared" ca="1" si="36"/>
        <v>0</v>
      </c>
    </row>
    <row r="79" spans="1:38" ht="21" customHeight="1" x14ac:dyDescent="0.2">
      <c r="A79" s="84">
        <v>5</v>
      </c>
      <c r="B79" s="85" t="s">
        <v>101</v>
      </c>
      <c r="C79" s="86">
        <f t="shared" ca="1" si="23"/>
        <v>0</v>
      </c>
      <c r="D79" s="87">
        <f t="shared" ca="1" si="52"/>
        <v>0</v>
      </c>
      <c r="E79" s="88">
        <f ca="1">IFERROR(__xludf.DUMMYFUNCTION("IMPORTRANGE(""https://docs.google.com/spreadsheets/d/1-uDff_7J0KD5mKrp0Vvzr7lt3OU09vwQwhkpOPPYv2Y/edit?usp=sharing"",""งบพรบ!AN79"")"),0)</f>
        <v>0</v>
      </c>
      <c r="F79" s="88">
        <f ca="1">IFERROR(__xludf.DUMMYFUNCTION("IMPORTRANGE(""https://docs.google.com/spreadsheets/d/1-uDff_7J0KD5mKrp0Vvzr7lt3OU09vwQwhkpOPPYv2Y/edit?usp=sharing"",""งบพรบ!AO79"")"),0)</f>
        <v>0</v>
      </c>
      <c r="G79" s="88">
        <f ca="1">IFERROR(__xludf.DUMMYFUNCTION("IMPORTRANGE(""https://docs.google.com/spreadsheets/d/1-uDff_7J0KD5mKrp0Vvzr7lt3OU09vwQwhkpOPPYv2Y/edit?usp=sharing"",""งบพรบ!AP79"")"),0)</f>
        <v>0</v>
      </c>
      <c r="H79" s="88">
        <f ca="1">IFERROR(__xludf.DUMMYFUNCTION("IMPORTRANGE(""https://docs.google.com/spreadsheets/d/1-uDff_7J0KD5mKrp0Vvzr7lt3OU09vwQwhkpOPPYv2Y/edit?usp=sharing"",""งบพรบ!AR79"")"),0)</f>
        <v>0</v>
      </c>
      <c r="I79" s="88">
        <f ca="1">IFERROR(__xludf.DUMMYFUNCTION("IMPORTRANGE(""https://docs.google.com/spreadsheets/d/1-uDff_7J0KD5mKrp0Vvzr7lt3OU09vwQwhkpOPPYv2Y/edit?usp=sharing"",""งบพรบ!AS79"")"),0)</f>
        <v>0</v>
      </c>
      <c r="J79" s="88">
        <f t="shared" ca="1" si="25"/>
        <v>0</v>
      </c>
      <c r="K79" s="89">
        <f t="shared" ca="1" si="26"/>
        <v>0</v>
      </c>
      <c r="L79" s="88">
        <f ca="1">IFERROR(__xludf.DUMMYFUNCTION("IMPORTRANGE(""https://docs.google.com/spreadsheets/d/1-uDff_7J0KD5mKrp0Vvzr7lt3OU09vwQwhkpOPPYv2Y/edit?usp=sharing"",""งบพรบ!AT79"")"),0)</f>
        <v>0</v>
      </c>
      <c r="M79" s="90">
        <f t="shared" ca="1" si="27"/>
        <v>0</v>
      </c>
      <c r="N79" s="90">
        <f t="shared" ca="1" si="28"/>
        <v>0</v>
      </c>
      <c r="O79" s="91">
        <f ca="1">IFERROR(__xludf.DUMMYFUNCTION("IMPORTRANGE(""https://docs.google.com/spreadsheets/d/1-uDff_7J0KD5mKrp0Vvzr7lt3OU09vwQwhkpOPPYv2Y/edit?usp=sharing"",""งบพรบ!AU79"")"),0)</f>
        <v>0</v>
      </c>
      <c r="P79" s="91">
        <f t="shared" ca="1" si="29"/>
        <v>0</v>
      </c>
      <c r="Q79" s="90">
        <f t="shared" ca="1" si="30"/>
        <v>0</v>
      </c>
      <c r="R79" s="92">
        <f t="shared" ca="1" si="31"/>
        <v>0</v>
      </c>
      <c r="S79" s="92">
        <f t="shared" ca="1" si="32"/>
        <v>0</v>
      </c>
      <c r="T79" s="92">
        <f t="shared" ca="1" si="53"/>
        <v>0</v>
      </c>
      <c r="U79" s="93">
        <f t="shared" ca="1" si="33"/>
        <v>0</v>
      </c>
      <c r="V79" s="92">
        <f t="shared" ca="1" si="54"/>
        <v>0</v>
      </c>
      <c r="W79" s="93">
        <f t="shared" ca="1" si="34"/>
        <v>0</v>
      </c>
      <c r="X79" s="88">
        <f ca="1">IFERROR(__xludf.DUMMYFUNCTION("IMPORTRANGE(""https://docs.google.com/spreadsheets/d/1iodCdmuK2GR3jzUwk8tpccY2JHQQA-87DLOtJP-ooyU/edit?usp=sharing"",""นราธิวาส!I84"")"),0)</f>
        <v>0</v>
      </c>
      <c r="Y79" s="88">
        <f ca="1">IFERROR(__xludf.DUMMYFUNCTION("IMPORTRANGE(""https://docs.google.com/spreadsheets/d/1iodCdmuK2GR3jzUwk8tpccY2JHQQA-87DLOtJP-ooyU/edit?usp=sharing"",""นราธิวาส!I85"")"),0)</f>
        <v>0</v>
      </c>
      <c r="Z79" s="92">
        <f ca="1">IFERROR(__xludf.DUMMYFUNCTION("IMPORTRANGE(""https://docs.google.com/spreadsheets/d/1iodCdmuK2GR3jzUwk8tpccY2JHQQA-87DLOtJP-ooyU/edit?usp=sharing"",""นราธิวาส!J84"")"),0)</f>
        <v>0</v>
      </c>
      <c r="AA79" s="92">
        <f ca="1">IFERROR(__xludf.DUMMYFUNCTION("IMPORTRANGE(""https://docs.google.com/spreadsheets/d/1iodCdmuK2GR3jzUwk8tpccY2JHQQA-87DLOtJP-ooyU/edit?usp=sharing"",""นราธิวาส!J85"")"),0)</f>
        <v>0</v>
      </c>
      <c r="AB79" s="88">
        <f ca="1">IFERROR(__xludf.DUMMYFUNCTION("IMPORTRANGE(""https://docs.google.com/spreadsheets/d/1iodCdmuK2GR3jzUwk8tpccY2JHQQA-87DLOtJP-ooyU/edit?usp=sharing"",""นราธิวาส!I86"")"),0)</f>
        <v>0</v>
      </c>
      <c r="AC79" s="88">
        <f ca="1">IFERROR(__xludf.DUMMYFUNCTION("IMPORTRANGE(""https://docs.google.com/spreadsheets/d/1iodCdmuK2GR3jzUwk8tpccY2JHQQA-87DLOtJP-ooyU/edit?usp=sharing"",""นราธิวาส!I87"")"),0)</f>
        <v>0</v>
      </c>
      <c r="AD79" s="92">
        <f ca="1">IFERROR(__xludf.DUMMYFUNCTION("IMPORTRANGE(""https://docs.google.com/spreadsheets/d/1iodCdmuK2GR3jzUwk8tpccY2JHQQA-87DLOtJP-ooyU/edit?usp=sharing"",""นราธิวาส!J86"")"),0)</f>
        <v>0</v>
      </c>
      <c r="AE79" s="92">
        <f ca="1">IFERROR(__xludf.DUMMYFUNCTION("IMPORTRANGE(""https://docs.google.com/spreadsheets/d/1iodCdmuK2GR3jzUwk8tpccY2JHQQA-87DLOtJP-ooyU/edit?usp=sharing"",""นราธิวาส!J87"")"),0)</f>
        <v>0</v>
      </c>
      <c r="AF79" s="88">
        <f ca="1">IFERROR(__xludf.DUMMYFUNCTION("IMPORTRANGE(""https://docs.google.com/spreadsheets/d/1iodCdmuK2GR3jzUwk8tpccY2JHQQA-87DLOtJP-ooyU/edit?usp=sharing"",""นราธิวาส!I88"")"),0)</f>
        <v>0</v>
      </c>
      <c r="AG79" s="88">
        <f ca="1">IFERROR(__xludf.DUMMYFUNCTION("IMPORTRANGE(""https://docs.google.com/spreadsheets/d/1iodCdmuK2GR3jzUwk8tpccY2JHQQA-87DLOtJP-ooyU/edit?usp=sharing"",""นราธิวาส!I89"")"),0)</f>
        <v>0</v>
      </c>
      <c r="AH79" s="92">
        <f ca="1">IFERROR(__xludf.DUMMYFUNCTION("IMPORTRANGE(""https://docs.google.com/spreadsheets/d/1iodCdmuK2GR3jzUwk8tpccY2JHQQA-87DLOtJP-ooyU/edit?usp=sharing"",""นราธิวาส!J88"")"),0)</f>
        <v>0</v>
      </c>
      <c r="AI79" s="92">
        <f ca="1">IFERROR(__xludf.DUMMYFUNCTION("IMPORTRANGE(""https://docs.google.com/spreadsheets/d/1iodCdmuK2GR3jzUwk8tpccY2JHQQA-87DLOtJP-ooyU/edit?usp=sharing"",""นราธิวาส!J89"")"),0)</f>
        <v>0</v>
      </c>
      <c r="AJ79" s="88">
        <f ca="1">IFERROR(__xludf.DUMMYFUNCTION("IMPORTRANGE(""https://docs.google.com/spreadsheets/d/1iodCdmuK2GR3jzUwk8tpccY2JHQQA-87DLOtJP-ooyU/edit?usp=sharing"",""นราธิวาส!I90"")"),0)</f>
        <v>0</v>
      </c>
      <c r="AK79" s="92">
        <f ca="1">IFERROR(__xludf.DUMMYFUNCTION("IMPORTRANGE(""https://docs.google.com/spreadsheets/d/1iodCdmuK2GR3jzUwk8tpccY2JHQQA-87DLOtJP-ooyU/edit?usp=sharing"",""นราธิวาส!J90"")"),0)</f>
        <v>0</v>
      </c>
      <c r="AL79" s="90">
        <f t="shared" ca="1" si="36"/>
        <v>0</v>
      </c>
    </row>
    <row r="80" spans="1:38" ht="21" customHeight="1" x14ac:dyDescent="0.2">
      <c r="A80" s="84">
        <v>6</v>
      </c>
      <c r="B80" s="85" t="s">
        <v>102</v>
      </c>
      <c r="C80" s="86">
        <f t="shared" ca="1" si="23"/>
        <v>0</v>
      </c>
      <c r="D80" s="87">
        <f t="shared" ca="1" si="52"/>
        <v>0</v>
      </c>
      <c r="E80" s="88">
        <f ca="1">IFERROR(__xludf.DUMMYFUNCTION("IMPORTRANGE(""https://docs.google.com/spreadsheets/d/1-uDff_7J0KD5mKrp0Vvzr7lt3OU09vwQwhkpOPPYv2Y/edit?usp=sharing"",""งบพรบ!AN80"")"),0)</f>
        <v>0</v>
      </c>
      <c r="F80" s="88">
        <f ca="1">IFERROR(__xludf.DUMMYFUNCTION("IMPORTRANGE(""https://docs.google.com/spreadsheets/d/1-uDff_7J0KD5mKrp0Vvzr7lt3OU09vwQwhkpOPPYv2Y/edit?usp=sharing"",""งบพรบ!AO80"")"),0)</f>
        <v>0</v>
      </c>
      <c r="G80" s="88">
        <f ca="1">IFERROR(__xludf.DUMMYFUNCTION("IMPORTRANGE(""https://docs.google.com/spreadsheets/d/1-uDff_7J0KD5mKrp0Vvzr7lt3OU09vwQwhkpOPPYv2Y/edit?usp=sharing"",""งบพรบ!AP80"")"),0)</f>
        <v>0</v>
      </c>
      <c r="H80" s="88">
        <f ca="1">IFERROR(__xludf.DUMMYFUNCTION("IMPORTRANGE(""https://docs.google.com/spreadsheets/d/1-uDff_7J0KD5mKrp0Vvzr7lt3OU09vwQwhkpOPPYv2Y/edit?usp=sharing"",""งบพรบ!AR80"")"),0)</f>
        <v>0</v>
      </c>
      <c r="I80" s="88">
        <f ca="1">IFERROR(__xludf.DUMMYFUNCTION("IMPORTRANGE(""https://docs.google.com/spreadsheets/d/1-uDff_7J0KD5mKrp0Vvzr7lt3OU09vwQwhkpOPPYv2Y/edit?usp=sharing"",""งบพรบ!AS80"")"),0)</f>
        <v>0</v>
      </c>
      <c r="J80" s="88">
        <f t="shared" ca="1" si="25"/>
        <v>0</v>
      </c>
      <c r="K80" s="89">
        <f t="shared" ca="1" si="26"/>
        <v>0</v>
      </c>
      <c r="L80" s="88">
        <f ca="1">IFERROR(__xludf.DUMMYFUNCTION("IMPORTRANGE(""https://docs.google.com/spreadsheets/d/1-uDff_7J0KD5mKrp0Vvzr7lt3OU09vwQwhkpOPPYv2Y/edit?usp=sharing"",""งบพรบ!AT80"")"),0)</f>
        <v>0</v>
      </c>
      <c r="M80" s="90">
        <f t="shared" ca="1" si="27"/>
        <v>0</v>
      </c>
      <c r="N80" s="90">
        <f t="shared" ca="1" si="28"/>
        <v>0</v>
      </c>
      <c r="O80" s="91">
        <f ca="1">IFERROR(__xludf.DUMMYFUNCTION("IMPORTRANGE(""https://docs.google.com/spreadsheets/d/1-uDff_7J0KD5mKrp0Vvzr7lt3OU09vwQwhkpOPPYv2Y/edit?usp=sharing"",""งบพรบ!AU80"")"),0)</f>
        <v>0</v>
      </c>
      <c r="P80" s="91">
        <f t="shared" ca="1" si="29"/>
        <v>0</v>
      </c>
      <c r="Q80" s="90">
        <f t="shared" ca="1" si="30"/>
        <v>0</v>
      </c>
      <c r="R80" s="92">
        <f t="shared" ca="1" si="31"/>
        <v>0</v>
      </c>
      <c r="S80" s="92">
        <f t="shared" ca="1" si="32"/>
        <v>0</v>
      </c>
      <c r="T80" s="92">
        <f t="shared" ca="1" si="53"/>
        <v>0</v>
      </c>
      <c r="U80" s="93">
        <f t="shared" ca="1" si="33"/>
        <v>0</v>
      </c>
      <c r="V80" s="92">
        <f t="shared" ca="1" si="54"/>
        <v>0</v>
      </c>
      <c r="W80" s="93">
        <f t="shared" ca="1" si="34"/>
        <v>0</v>
      </c>
      <c r="X80" s="88">
        <f ca="1">IFERROR(__xludf.DUMMYFUNCTION("IMPORTRANGE(""https://docs.google.com/spreadsheets/d/1SDNX3JhDdYRuIOsj0Wh2M-Qa_eaXl0NbWmhAOTbfQAs/edit?usp=sharing"",""ปัตตานี!I84"")"),0)</f>
        <v>0</v>
      </c>
      <c r="Y80" s="88">
        <f ca="1">IFERROR(__xludf.DUMMYFUNCTION("IMPORTRANGE(""https://docs.google.com/spreadsheets/d/1SDNX3JhDdYRuIOsj0Wh2M-Qa_eaXl0NbWmhAOTbfQAs/edit?usp=sharing"",""ปัตตานี!I85"")"),0)</f>
        <v>0</v>
      </c>
      <c r="Z80" s="92">
        <f ca="1">IFERROR(__xludf.DUMMYFUNCTION("IMPORTRANGE(""https://docs.google.com/spreadsheets/d/1SDNX3JhDdYRuIOsj0Wh2M-Qa_eaXl0NbWmhAOTbfQAs/edit?usp=sharing"",""ปัตตานี!J84"")"),0)</f>
        <v>0</v>
      </c>
      <c r="AA80" s="92">
        <f ca="1">IFERROR(__xludf.DUMMYFUNCTION("IMPORTRANGE(""https://docs.google.com/spreadsheets/d/1SDNX3JhDdYRuIOsj0Wh2M-Qa_eaXl0NbWmhAOTbfQAs/edit?usp=sharing"",""ปัตตานี!J85"")"),0)</f>
        <v>0</v>
      </c>
      <c r="AB80" s="88">
        <f ca="1">IFERROR(__xludf.DUMMYFUNCTION("IMPORTRANGE(""https://docs.google.com/spreadsheets/d/1SDNX3JhDdYRuIOsj0Wh2M-Qa_eaXl0NbWmhAOTbfQAs/edit?usp=sharing"",""ปัตตานี!I86"")"),0)</f>
        <v>0</v>
      </c>
      <c r="AC80" s="88">
        <f ca="1">IFERROR(__xludf.DUMMYFUNCTION("IMPORTRANGE(""https://docs.google.com/spreadsheets/d/1SDNX3JhDdYRuIOsj0Wh2M-Qa_eaXl0NbWmhAOTbfQAs/edit?usp=sharing"",""ปัตตานี!I87"")"),0)</f>
        <v>0</v>
      </c>
      <c r="AD80" s="92">
        <f ca="1">IFERROR(__xludf.DUMMYFUNCTION("IMPORTRANGE(""https://docs.google.com/spreadsheets/d/1SDNX3JhDdYRuIOsj0Wh2M-Qa_eaXl0NbWmhAOTbfQAs/edit?usp=sharing"",""ปัตตานี!J86"")"),0)</f>
        <v>0</v>
      </c>
      <c r="AE80" s="92">
        <f ca="1">IFERROR(__xludf.DUMMYFUNCTION("IMPORTRANGE(""https://docs.google.com/spreadsheets/d/1SDNX3JhDdYRuIOsj0Wh2M-Qa_eaXl0NbWmhAOTbfQAs/edit?usp=sharing"",""ปัตตานี!J87"")"),0)</f>
        <v>0</v>
      </c>
      <c r="AF80" s="88">
        <f ca="1">IFERROR(__xludf.DUMMYFUNCTION("IMPORTRANGE(""https://docs.google.com/spreadsheets/d/1SDNX3JhDdYRuIOsj0Wh2M-Qa_eaXl0NbWmhAOTbfQAs/edit?usp=sharing"",""ปัตตานี!I88"")"),0)</f>
        <v>0</v>
      </c>
      <c r="AG80" s="88">
        <f ca="1">IFERROR(__xludf.DUMMYFUNCTION("IMPORTRANGE(""https://docs.google.com/spreadsheets/d/1SDNX3JhDdYRuIOsj0Wh2M-Qa_eaXl0NbWmhAOTbfQAs/edit?usp=sharing"",""ปัตตานี!I89"")"),0)</f>
        <v>0</v>
      </c>
      <c r="AH80" s="92">
        <f ca="1">IFERROR(__xludf.DUMMYFUNCTION("IMPORTRANGE(""https://docs.google.com/spreadsheets/d/1SDNX3JhDdYRuIOsj0Wh2M-Qa_eaXl0NbWmhAOTbfQAs/edit?usp=sharing"",""ปัตตานี!J88"")"),0)</f>
        <v>0</v>
      </c>
      <c r="AI80" s="92">
        <f ca="1">IFERROR(__xludf.DUMMYFUNCTION("IMPORTRANGE(""https://docs.google.com/spreadsheets/d/1SDNX3JhDdYRuIOsj0Wh2M-Qa_eaXl0NbWmhAOTbfQAs/edit?usp=sharing"",""ปัตตานี!J89"")"),0)</f>
        <v>0</v>
      </c>
      <c r="AJ80" s="88">
        <f ca="1">IFERROR(__xludf.DUMMYFUNCTION("IMPORTRANGE(""https://docs.google.com/spreadsheets/d/1SDNX3JhDdYRuIOsj0Wh2M-Qa_eaXl0NbWmhAOTbfQAs/edit?usp=sharing"",""ปัตตานี!I90"")"),0)</f>
        <v>0</v>
      </c>
      <c r="AK80" s="92">
        <f ca="1">IFERROR(__xludf.DUMMYFUNCTION("IMPORTRANGE(""https://docs.google.com/spreadsheets/d/1SDNX3JhDdYRuIOsj0Wh2M-Qa_eaXl0NbWmhAOTbfQAs/edit?usp=sharing"",""ปัตตานี!J90"")"),0)</f>
        <v>0</v>
      </c>
      <c r="AL80" s="90">
        <f t="shared" ca="1" si="36"/>
        <v>0</v>
      </c>
    </row>
    <row r="81" spans="1:38" ht="21" customHeight="1" x14ac:dyDescent="0.2">
      <c r="A81" s="84">
        <v>7</v>
      </c>
      <c r="B81" s="85" t="s">
        <v>103</v>
      </c>
      <c r="C81" s="86">
        <f t="shared" ca="1" si="23"/>
        <v>0</v>
      </c>
      <c r="D81" s="87">
        <f t="shared" ca="1" si="52"/>
        <v>0</v>
      </c>
      <c r="E81" s="88">
        <f ca="1">IFERROR(__xludf.DUMMYFUNCTION("IMPORTRANGE(""https://docs.google.com/spreadsheets/d/1-uDff_7J0KD5mKrp0Vvzr7lt3OU09vwQwhkpOPPYv2Y/edit?usp=sharing"",""งบพรบ!AN81"")"),0)</f>
        <v>0</v>
      </c>
      <c r="F81" s="88">
        <f ca="1">IFERROR(__xludf.DUMMYFUNCTION("IMPORTRANGE(""https://docs.google.com/spreadsheets/d/1-uDff_7J0KD5mKrp0Vvzr7lt3OU09vwQwhkpOPPYv2Y/edit?usp=sharing"",""งบพรบ!AO81"")"),0)</f>
        <v>0</v>
      </c>
      <c r="G81" s="88">
        <f ca="1">IFERROR(__xludf.DUMMYFUNCTION("IMPORTRANGE(""https://docs.google.com/spreadsheets/d/1-uDff_7J0KD5mKrp0Vvzr7lt3OU09vwQwhkpOPPYv2Y/edit?usp=sharing"",""งบพรบ!AP81"")"),0)</f>
        <v>0</v>
      </c>
      <c r="H81" s="88">
        <f ca="1">IFERROR(__xludf.DUMMYFUNCTION("IMPORTRANGE(""https://docs.google.com/spreadsheets/d/1-uDff_7J0KD5mKrp0Vvzr7lt3OU09vwQwhkpOPPYv2Y/edit?usp=sharing"",""งบพรบ!AR81"")"),0)</f>
        <v>0</v>
      </c>
      <c r="I81" s="88">
        <f ca="1">IFERROR(__xludf.DUMMYFUNCTION("IMPORTRANGE(""https://docs.google.com/spreadsheets/d/1-uDff_7J0KD5mKrp0Vvzr7lt3OU09vwQwhkpOPPYv2Y/edit?usp=sharing"",""งบพรบ!AS81"")"),0)</f>
        <v>0</v>
      </c>
      <c r="J81" s="88">
        <f t="shared" ca="1" si="25"/>
        <v>0</v>
      </c>
      <c r="K81" s="89">
        <f t="shared" ca="1" si="26"/>
        <v>0</v>
      </c>
      <c r="L81" s="88">
        <f ca="1">IFERROR(__xludf.DUMMYFUNCTION("IMPORTRANGE(""https://docs.google.com/spreadsheets/d/1-uDff_7J0KD5mKrp0Vvzr7lt3OU09vwQwhkpOPPYv2Y/edit?usp=sharing"",""งบพรบ!AT81"")"),0)</f>
        <v>0</v>
      </c>
      <c r="M81" s="90">
        <f t="shared" ca="1" si="27"/>
        <v>0</v>
      </c>
      <c r="N81" s="90">
        <f t="shared" ca="1" si="28"/>
        <v>0</v>
      </c>
      <c r="O81" s="91">
        <f ca="1">IFERROR(__xludf.DUMMYFUNCTION("IMPORTRANGE(""https://docs.google.com/spreadsheets/d/1-uDff_7J0KD5mKrp0Vvzr7lt3OU09vwQwhkpOPPYv2Y/edit?usp=sharing"",""งบพรบ!AU81"")"),0)</f>
        <v>0</v>
      </c>
      <c r="P81" s="91">
        <f t="shared" ca="1" si="29"/>
        <v>0</v>
      </c>
      <c r="Q81" s="90">
        <f t="shared" ca="1" si="30"/>
        <v>0</v>
      </c>
      <c r="R81" s="92">
        <f t="shared" ca="1" si="31"/>
        <v>0</v>
      </c>
      <c r="S81" s="92">
        <f t="shared" ca="1" si="32"/>
        <v>0</v>
      </c>
      <c r="T81" s="92">
        <f t="shared" ca="1" si="53"/>
        <v>0</v>
      </c>
      <c r="U81" s="93">
        <f t="shared" ca="1" si="33"/>
        <v>0</v>
      </c>
      <c r="V81" s="92">
        <f t="shared" ca="1" si="54"/>
        <v>0</v>
      </c>
      <c r="W81" s="93">
        <f t="shared" ca="1" si="34"/>
        <v>0</v>
      </c>
      <c r="X81" s="88">
        <f ca="1">IFERROR(__xludf.DUMMYFUNCTION("IMPORTRANGE(""https://docs.google.com/spreadsheets/d/16JDLGguT8s5DsGCND1KcwHP_AWR_zDMTqLHPLJUKhaU/edit?usp=sharing"",""พังงา!I84"")"),0)</f>
        <v>0</v>
      </c>
      <c r="Y81" s="88">
        <f ca="1">IFERROR(__xludf.DUMMYFUNCTION("IMPORTRANGE(""https://docs.google.com/spreadsheets/d/16JDLGguT8s5DsGCND1KcwHP_AWR_zDMTqLHPLJUKhaU/edit?usp=sharing"",""พังงา!I85"")"),0)</f>
        <v>0</v>
      </c>
      <c r="Z81" s="92">
        <f ca="1">IFERROR(__xludf.DUMMYFUNCTION("IMPORTRANGE(""https://docs.google.com/spreadsheets/d/16JDLGguT8s5DsGCND1KcwHP_AWR_zDMTqLHPLJUKhaU/edit?usp=sharing"",""พังงา!J84"")"),0)</f>
        <v>0</v>
      </c>
      <c r="AA81" s="92">
        <f ca="1">IFERROR(__xludf.DUMMYFUNCTION("IMPORTRANGE(""https://docs.google.com/spreadsheets/d/16JDLGguT8s5DsGCND1KcwHP_AWR_zDMTqLHPLJUKhaU/edit?usp=sharing"",""พังงา!J85"")"),0)</f>
        <v>0</v>
      </c>
      <c r="AB81" s="88">
        <f ca="1">IFERROR(__xludf.DUMMYFUNCTION("IMPORTRANGE(""https://docs.google.com/spreadsheets/d/16JDLGguT8s5DsGCND1KcwHP_AWR_zDMTqLHPLJUKhaU/edit?usp=sharing"",""พังงา!I86"")"),0)</f>
        <v>0</v>
      </c>
      <c r="AC81" s="88">
        <f ca="1">IFERROR(__xludf.DUMMYFUNCTION("IMPORTRANGE(""https://docs.google.com/spreadsheets/d/16JDLGguT8s5DsGCND1KcwHP_AWR_zDMTqLHPLJUKhaU/edit?usp=sharing"",""พังงา!I87"")"),0)</f>
        <v>0</v>
      </c>
      <c r="AD81" s="92">
        <f ca="1">IFERROR(__xludf.DUMMYFUNCTION("IMPORTRANGE(""https://docs.google.com/spreadsheets/d/16JDLGguT8s5DsGCND1KcwHP_AWR_zDMTqLHPLJUKhaU/edit?usp=sharing"",""พังงา!J86"")"),0)</f>
        <v>0</v>
      </c>
      <c r="AE81" s="92">
        <f ca="1">IFERROR(__xludf.DUMMYFUNCTION("IMPORTRANGE(""https://docs.google.com/spreadsheets/d/16JDLGguT8s5DsGCND1KcwHP_AWR_zDMTqLHPLJUKhaU/edit?usp=sharing"",""พังงา!J87"")"),0)</f>
        <v>0</v>
      </c>
      <c r="AF81" s="88">
        <f ca="1">IFERROR(__xludf.DUMMYFUNCTION("IMPORTRANGE(""https://docs.google.com/spreadsheets/d/16JDLGguT8s5DsGCND1KcwHP_AWR_zDMTqLHPLJUKhaU/edit?usp=sharing"",""พังงา!I88"")"),0)</f>
        <v>0</v>
      </c>
      <c r="AG81" s="88">
        <f ca="1">IFERROR(__xludf.DUMMYFUNCTION("IMPORTRANGE(""https://docs.google.com/spreadsheets/d/16JDLGguT8s5DsGCND1KcwHP_AWR_zDMTqLHPLJUKhaU/edit?usp=sharing"",""พังงา!I89"")"),0)</f>
        <v>0</v>
      </c>
      <c r="AH81" s="92">
        <f ca="1">IFERROR(__xludf.DUMMYFUNCTION("IMPORTRANGE(""https://docs.google.com/spreadsheets/d/16JDLGguT8s5DsGCND1KcwHP_AWR_zDMTqLHPLJUKhaU/edit?usp=sharing"",""พังงา!J88"")"),0)</f>
        <v>0</v>
      </c>
      <c r="AI81" s="92">
        <f ca="1">IFERROR(__xludf.DUMMYFUNCTION("IMPORTRANGE(""https://docs.google.com/spreadsheets/d/16JDLGguT8s5DsGCND1KcwHP_AWR_zDMTqLHPLJUKhaU/edit?usp=sharing"",""พังงา!J89"")"),0)</f>
        <v>0</v>
      </c>
      <c r="AJ81" s="88">
        <f ca="1">IFERROR(__xludf.DUMMYFUNCTION("IMPORTRANGE(""https://docs.google.com/spreadsheets/d/16JDLGguT8s5DsGCND1KcwHP_AWR_zDMTqLHPLJUKhaU/edit?usp=sharing"",""พังงา!I90"")"),0)</f>
        <v>0</v>
      </c>
      <c r="AK81" s="92">
        <f ca="1">IFERROR(__xludf.DUMMYFUNCTION("IMPORTRANGE(""https://docs.google.com/spreadsheets/d/16JDLGguT8s5DsGCND1KcwHP_AWR_zDMTqLHPLJUKhaU/edit?usp=sharing"",""พังงา!J90"")"),0)</f>
        <v>0</v>
      </c>
      <c r="AL81" s="90">
        <f t="shared" ca="1" si="36"/>
        <v>0</v>
      </c>
    </row>
    <row r="82" spans="1:38" ht="21" customHeight="1" x14ac:dyDescent="0.2">
      <c r="A82" s="84">
        <v>8</v>
      </c>
      <c r="B82" s="85" t="s">
        <v>104</v>
      </c>
      <c r="C82" s="86">
        <f t="shared" ca="1" si="23"/>
        <v>544900</v>
      </c>
      <c r="D82" s="87">
        <f t="shared" ca="1" si="52"/>
        <v>544900</v>
      </c>
      <c r="E82" s="88">
        <f ca="1">IFERROR(__xludf.DUMMYFUNCTION("IMPORTRANGE(""https://docs.google.com/spreadsheets/d/1-uDff_7J0KD5mKrp0Vvzr7lt3OU09vwQwhkpOPPYv2Y/edit?usp=sharing"",""งบพรบ!AN82"")"),306900)</f>
        <v>306900</v>
      </c>
      <c r="F82" s="88">
        <f ca="1">IFERROR(__xludf.DUMMYFUNCTION("IMPORTRANGE(""https://docs.google.com/spreadsheets/d/1-uDff_7J0KD5mKrp0Vvzr7lt3OU09vwQwhkpOPPYv2Y/edit?usp=sharing"",""งบพรบ!AO82"")"),238000)</f>
        <v>238000</v>
      </c>
      <c r="G82" s="88">
        <f ca="1">IFERROR(__xludf.DUMMYFUNCTION("IMPORTRANGE(""https://docs.google.com/spreadsheets/d/1-uDff_7J0KD5mKrp0Vvzr7lt3OU09vwQwhkpOPPYv2Y/edit?usp=sharing"",""งบพรบ!AP82"")"),0)</f>
        <v>0</v>
      </c>
      <c r="H82" s="88">
        <f ca="1">IFERROR(__xludf.DUMMYFUNCTION("IMPORTRANGE(""https://docs.google.com/spreadsheets/d/1-uDff_7J0KD5mKrp0Vvzr7lt3OU09vwQwhkpOPPYv2Y/edit?usp=sharing"",""งบพรบ!AR82"")"),457500)</f>
        <v>457500</v>
      </c>
      <c r="I82" s="88">
        <f ca="1">IFERROR(__xludf.DUMMYFUNCTION("IMPORTRANGE(""https://docs.google.com/spreadsheets/d/1-uDff_7J0KD5mKrp0Vvzr7lt3OU09vwQwhkpOPPYv2Y/edit?usp=sharing"",""งบพรบ!AS82"")"),0)</f>
        <v>0</v>
      </c>
      <c r="J82" s="88">
        <f t="shared" ca="1" si="25"/>
        <v>137584.78</v>
      </c>
      <c r="K82" s="89">
        <f t="shared" ca="1" si="26"/>
        <v>25.249546705817583</v>
      </c>
      <c r="L82" s="88">
        <f ca="1">IFERROR(__xludf.DUMMYFUNCTION("IMPORTRANGE(""https://docs.google.com/spreadsheets/d/1-uDff_7J0KD5mKrp0Vvzr7lt3OU09vwQwhkpOPPYv2Y/edit?usp=sharing"",""งบพรบ!AT82"")"),137584.78)</f>
        <v>137584.78</v>
      </c>
      <c r="M82" s="90">
        <f t="shared" ca="1" si="27"/>
        <v>25.249546705817583</v>
      </c>
      <c r="N82" s="90">
        <f t="shared" ca="1" si="28"/>
        <v>30.073175956284153</v>
      </c>
      <c r="O82" s="91">
        <f ca="1">IFERROR(__xludf.DUMMYFUNCTION("IMPORTRANGE(""https://docs.google.com/spreadsheets/d/1-uDff_7J0KD5mKrp0Vvzr7lt3OU09vwQwhkpOPPYv2Y/edit?usp=sharing"",""งบพรบ!AU82"")"),0)</f>
        <v>0</v>
      </c>
      <c r="P82" s="91">
        <f t="shared" ca="1" si="29"/>
        <v>0</v>
      </c>
      <c r="Q82" s="90">
        <f t="shared" ca="1" si="30"/>
        <v>0</v>
      </c>
      <c r="R82" s="92">
        <f t="shared" ca="1" si="31"/>
        <v>1</v>
      </c>
      <c r="S82" s="92">
        <f t="shared" ca="1" si="32"/>
        <v>30</v>
      </c>
      <c r="T82" s="92">
        <f t="shared" ca="1" si="53"/>
        <v>0</v>
      </c>
      <c r="U82" s="93">
        <f t="shared" ca="1" si="33"/>
        <v>0</v>
      </c>
      <c r="V82" s="92">
        <f t="shared" ca="1" si="54"/>
        <v>0</v>
      </c>
      <c r="W82" s="93">
        <f t="shared" ca="1" si="34"/>
        <v>0</v>
      </c>
      <c r="X82" s="88">
        <f ca="1">IFERROR(__xludf.DUMMYFUNCTION("IMPORTRANGE(""https://docs.google.com/spreadsheets/d/17ht0gPKzzT3PObBL1XJkeRmntBXI7wGjpLV7QorqlTk/edit?usp=sharing"",""พัทลุง!I84"")"),0)</f>
        <v>0</v>
      </c>
      <c r="Y82" s="88">
        <f ca="1">IFERROR(__xludf.DUMMYFUNCTION("IMPORTRANGE(""https://docs.google.com/spreadsheets/d/17ht0gPKzzT3PObBL1XJkeRmntBXI7wGjpLV7QorqlTk/edit?usp=sharing"",""พัทลุง!I85"")"),0)</f>
        <v>0</v>
      </c>
      <c r="Z82" s="92">
        <f ca="1">IFERROR(__xludf.DUMMYFUNCTION("IMPORTRANGE(""https://docs.google.com/spreadsheets/d/17ht0gPKzzT3PObBL1XJkeRmntBXI7wGjpLV7QorqlTk/edit?usp=sharing"",""พัทลุง!J84"")"),0)</f>
        <v>0</v>
      </c>
      <c r="AA82" s="92">
        <f ca="1">IFERROR(__xludf.DUMMYFUNCTION("IMPORTRANGE(""https://docs.google.com/spreadsheets/d/17ht0gPKzzT3PObBL1XJkeRmntBXI7wGjpLV7QorqlTk/edit?usp=sharing"",""พัทลุง!J85"")"),0)</f>
        <v>0</v>
      </c>
      <c r="AB82" s="88">
        <f ca="1">IFERROR(__xludf.DUMMYFUNCTION("IMPORTRANGE(""https://docs.google.com/spreadsheets/d/17ht0gPKzzT3PObBL1XJkeRmntBXI7wGjpLV7QorqlTk/edit?usp=sharing"",""พัทลุง!I86"")"),0)</f>
        <v>0</v>
      </c>
      <c r="AC82" s="88">
        <f ca="1">IFERROR(__xludf.DUMMYFUNCTION("IMPORTRANGE(""https://docs.google.com/spreadsheets/d/17ht0gPKzzT3PObBL1XJkeRmntBXI7wGjpLV7QorqlTk/edit?usp=sharing"",""พัทลุง!I87"")"),0)</f>
        <v>0</v>
      </c>
      <c r="AD82" s="92">
        <f ca="1">IFERROR(__xludf.DUMMYFUNCTION("IMPORTRANGE(""https://docs.google.com/spreadsheets/d/17ht0gPKzzT3PObBL1XJkeRmntBXI7wGjpLV7QorqlTk/edit?usp=sharing"",""พัทลุง!J86"")"),0)</f>
        <v>0</v>
      </c>
      <c r="AE82" s="92">
        <f ca="1">IFERROR(__xludf.DUMMYFUNCTION("IMPORTRANGE(""https://docs.google.com/spreadsheets/d/17ht0gPKzzT3PObBL1XJkeRmntBXI7wGjpLV7QorqlTk/edit?usp=sharing"",""พัทลุง!J87"")"),0)</f>
        <v>0</v>
      </c>
      <c r="AF82" s="88">
        <f ca="1">IFERROR(__xludf.DUMMYFUNCTION("IMPORTRANGE(""https://docs.google.com/spreadsheets/d/17ht0gPKzzT3PObBL1XJkeRmntBXI7wGjpLV7QorqlTk/edit?usp=sharing"",""พัทลุง!I88"")"),1)</f>
        <v>1</v>
      </c>
      <c r="AG82" s="88">
        <f ca="1">IFERROR(__xludf.DUMMYFUNCTION("IMPORTRANGE(""https://docs.google.com/spreadsheets/d/17ht0gPKzzT3PObBL1XJkeRmntBXI7wGjpLV7QorqlTk/edit?usp=sharing"",""พัทลุง!I89"")"),30)</f>
        <v>30</v>
      </c>
      <c r="AH82" s="92">
        <f ca="1">IFERROR(__xludf.DUMMYFUNCTION("IMPORTRANGE(""https://docs.google.com/spreadsheets/d/17ht0gPKzzT3PObBL1XJkeRmntBXI7wGjpLV7QorqlTk/edit?usp=sharing"",""พัทลุง!J88"")"),0)</f>
        <v>0</v>
      </c>
      <c r="AI82" s="92">
        <f ca="1">IFERROR(__xludf.DUMMYFUNCTION("IMPORTRANGE(""https://docs.google.com/spreadsheets/d/17ht0gPKzzT3PObBL1XJkeRmntBXI7wGjpLV7QorqlTk/edit?usp=sharing"",""พัทลุง!J89"")"),0)</f>
        <v>0</v>
      </c>
      <c r="AJ82" s="88">
        <f ca="1">IFERROR(__xludf.DUMMYFUNCTION("IMPORTRANGE(""https://docs.google.com/spreadsheets/d/17ht0gPKzzT3PObBL1XJkeRmntBXI7wGjpLV7QorqlTk/edit?usp=sharing"",""พัทลุง!I90"")"),1)</f>
        <v>1</v>
      </c>
      <c r="AK82" s="92">
        <f ca="1">IFERROR(__xludf.DUMMYFUNCTION("IMPORTRANGE(""https://docs.google.com/spreadsheets/d/17ht0gPKzzT3PObBL1XJkeRmntBXI7wGjpLV7QorqlTk/edit?usp=sharing"",""พัทลุง!J90"")"),0)</f>
        <v>0</v>
      </c>
      <c r="AL82" s="90">
        <f t="shared" ca="1" si="36"/>
        <v>0</v>
      </c>
    </row>
    <row r="83" spans="1:38" ht="21" customHeight="1" x14ac:dyDescent="0.2">
      <c r="A83" s="84">
        <v>9</v>
      </c>
      <c r="B83" s="85" t="s">
        <v>105</v>
      </c>
      <c r="C83" s="86">
        <f t="shared" ca="1" si="23"/>
        <v>0</v>
      </c>
      <c r="D83" s="87">
        <f t="shared" ca="1" si="52"/>
        <v>0</v>
      </c>
      <c r="E83" s="88">
        <f ca="1">IFERROR(__xludf.DUMMYFUNCTION("IMPORTRANGE(""https://docs.google.com/spreadsheets/d/1-uDff_7J0KD5mKrp0Vvzr7lt3OU09vwQwhkpOPPYv2Y/edit?usp=sharing"",""งบพรบ!AN83"")"),0)</f>
        <v>0</v>
      </c>
      <c r="F83" s="88">
        <f ca="1">IFERROR(__xludf.DUMMYFUNCTION("IMPORTRANGE(""https://docs.google.com/spreadsheets/d/1-uDff_7J0KD5mKrp0Vvzr7lt3OU09vwQwhkpOPPYv2Y/edit?usp=sharing"",""งบพรบ!AO83"")"),0)</f>
        <v>0</v>
      </c>
      <c r="G83" s="88">
        <f ca="1">IFERROR(__xludf.DUMMYFUNCTION("IMPORTRANGE(""https://docs.google.com/spreadsheets/d/1-uDff_7J0KD5mKrp0Vvzr7lt3OU09vwQwhkpOPPYv2Y/edit?usp=sharing"",""งบพรบ!AP83"")"),0)</f>
        <v>0</v>
      </c>
      <c r="H83" s="88">
        <f ca="1">IFERROR(__xludf.DUMMYFUNCTION("IMPORTRANGE(""https://docs.google.com/spreadsheets/d/1-uDff_7J0KD5mKrp0Vvzr7lt3OU09vwQwhkpOPPYv2Y/edit?usp=sharing"",""งบพรบ!AR83"")"),0)</f>
        <v>0</v>
      </c>
      <c r="I83" s="88">
        <f ca="1">IFERROR(__xludf.DUMMYFUNCTION("IMPORTRANGE(""https://docs.google.com/spreadsheets/d/1-uDff_7J0KD5mKrp0Vvzr7lt3OU09vwQwhkpOPPYv2Y/edit?usp=sharing"",""งบพรบ!AS83"")"),0)</f>
        <v>0</v>
      </c>
      <c r="J83" s="88">
        <f t="shared" ca="1" si="25"/>
        <v>0</v>
      </c>
      <c r="K83" s="89">
        <f t="shared" ca="1" si="26"/>
        <v>0</v>
      </c>
      <c r="L83" s="88">
        <f ca="1">IFERROR(__xludf.DUMMYFUNCTION("IMPORTRANGE(""https://docs.google.com/spreadsheets/d/1-uDff_7J0KD5mKrp0Vvzr7lt3OU09vwQwhkpOPPYv2Y/edit?usp=sharing"",""งบพรบ!AT83"")"),0)</f>
        <v>0</v>
      </c>
      <c r="M83" s="90">
        <f t="shared" ca="1" si="27"/>
        <v>0</v>
      </c>
      <c r="N83" s="90">
        <f t="shared" ca="1" si="28"/>
        <v>0</v>
      </c>
      <c r="O83" s="91">
        <f ca="1">IFERROR(__xludf.DUMMYFUNCTION("IMPORTRANGE(""https://docs.google.com/spreadsheets/d/1-uDff_7J0KD5mKrp0Vvzr7lt3OU09vwQwhkpOPPYv2Y/edit?usp=sharing"",""งบพรบ!AU83"")"),0)</f>
        <v>0</v>
      </c>
      <c r="P83" s="91">
        <f t="shared" ca="1" si="29"/>
        <v>0</v>
      </c>
      <c r="Q83" s="90">
        <f t="shared" ca="1" si="30"/>
        <v>0</v>
      </c>
      <c r="R83" s="92">
        <f t="shared" ca="1" si="31"/>
        <v>0</v>
      </c>
      <c r="S83" s="92">
        <f t="shared" ca="1" si="32"/>
        <v>0</v>
      </c>
      <c r="T83" s="92">
        <f t="shared" ca="1" si="53"/>
        <v>0</v>
      </c>
      <c r="U83" s="93">
        <f t="shared" ca="1" si="33"/>
        <v>0</v>
      </c>
      <c r="V83" s="92">
        <f t="shared" ca="1" si="54"/>
        <v>0</v>
      </c>
      <c r="W83" s="93">
        <f t="shared" ca="1" si="34"/>
        <v>0</v>
      </c>
      <c r="X83" s="88">
        <f ca="1">IFERROR(__xludf.DUMMYFUNCTION("IMPORTRANGE(""https://docs.google.com/spreadsheets/d/1rd4qoM1q_hsgaolqNGfrim9gbsoLxQsda4-vOz5x_BM/edit?usp=sharing"",""ภูเก็ต!I84"")"),0)</f>
        <v>0</v>
      </c>
      <c r="Y83" s="88">
        <f ca="1">IFERROR(__xludf.DUMMYFUNCTION("IMPORTRANGE(""https://docs.google.com/spreadsheets/d/1rd4qoM1q_hsgaolqNGfrim9gbsoLxQsda4-vOz5x_BM/edit?usp=sharing"",""ภูเก็ต!I85"")"),0)</f>
        <v>0</v>
      </c>
      <c r="Z83" s="92">
        <f ca="1">IFERROR(__xludf.DUMMYFUNCTION("IMPORTRANGE(""https://docs.google.com/spreadsheets/d/1rd4qoM1q_hsgaolqNGfrim9gbsoLxQsda4-vOz5x_BM/edit?usp=sharing"",""ภูเก็ต!J84"")"),0)</f>
        <v>0</v>
      </c>
      <c r="AA83" s="92">
        <f ca="1">IFERROR(__xludf.DUMMYFUNCTION("IMPORTRANGE(""https://docs.google.com/spreadsheets/d/1rd4qoM1q_hsgaolqNGfrim9gbsoLxQsda4-vOz5x_BM/edit?usp=sharing"",""ภูเก็ต!J85"")"),0)</f>
        <v>0</v>
      </c>
      <c r="AB83" s="88">
        <f ca="1">IFERROR(__xludf.DUMMYFUNCTION("IMPORTRANGE(""https://docs.google.com/spreadsheets/d/1rd4qoM1q_hsgaolqNGfrim9gbsoLxQsda4-vOz5x_BM/edit?usp=sharing"",""ภูเก็ต!I86"")"),0)</f>
        <v>0</v>
      </c>
      <c r="AC83" s="88">
        <f ca="1">IFERROR(__xludf.DUMMYFUNCTION("IMPORTRANGE(""https://docs.google.com/spreadsheets/d/1rd4qoM1q_hsgaolqNGfrim9gbsoLxQsda4-vOz5x_BM/edit?usp=sharing"",""ภูเก็ต!I87"")"),0)</f>
        <v>0</v>
      </c>
      <c r="AD83" s="92">
        <f ca="1">IFERROR(__xludf.DUMMYFUNCTION("IMPORTRANGE(""https://docs.google.com/spreadsheets/d/1rd4qoM1q_hsgaolqNGfrim9gbsoLxQsda4-vOz5x_BM/edit?usp=sharing"",""ภูเก็ต!J86"")"),0)</f>
        <v>0</v>
      </c>
      <c r="AE83" s="92">
        <f ca="1">IFERROR(__xludf.DUMMYFUNCTION("IMPORTRANGE(""https://docs.google.com/spreadsheets/d/1rd4qoM1q_hsgaolqNGfrim9gbsoLxQsda4-vOz5x_BM/edit?usp=sharing"",""ภูเก็ต!J87"")"),0)</f>
        <v>0</v>
      </c>
      <c r="AF83" s="88">
        <f ca="1">IFERROR(__xludf.DUMMYFUNCTION("IMPORTRANGE(""https://docs.google.com/spreadsheets/d/1rd4qoM1q_hsgaolqNGfrim9gbsoLxQsda4-vOz5x_BM/edit?usp=sharing"",""ภูเก็ต!I88"")"),0)</f>
        <v>0</v>
      </c>
      <c r="AG83" s="88">
        <f ca="1">IFERROR(__xludf.DUMMYFUNCTION("IMPORTRANGE(""https://docs.google.com/spreadsheets/d/1rd4qoM1q_hsgaolqNGfrim9gbsoLxQsda4-vOz5x_BM/edit?usp=sharing"",""ภูเก็ต!I89"")"),0)</f>
        <v>0</v>
      </c>
      <c r="AH83" s="92">
        <f ca="1">IFERROR(__xludf.DUMMYFUNCTION("IMPORTRANGE(""https://docs.google.com/spreadsheets/d/1rd4qoM1q_hsgaolqNGfrim9gbsoLxQsda4-vOz5x_BM/edit?usp=sharing"",""ภูเก็ต!J88"")"),0)</f>
        <v>0</v>
      </c>
      <c r="AI83" s="92">
        <f ca="1">IFERROR(__xludf.DUMMYFUNCTION("IMPORTRANGE(""https://docs.google.com/spreadsheets/d/1rd4qoM1q_hsgaolqNGfrim9gbsoLxQsda4-vOz5x_BM/edit?usp=sharing"",""ภูเก็ต!J89"")"),0)</f>
        <v>0</v>
      </c>
      <c r="AJ83" s="88">
        <f ca="1">IFERROR(__xludf.DUMMYFUNCTION("IMPORTRANGE(""https://docs.google.com/spreadsheets/d/1rd4qoM1q_hsgaolqNGfrim9gbsoLxQsda4-vOz5x_BM/edit?usp=sharing"",""ภูเก็ต!I90"")"),0)</f>
        <v>0</v>
      </c>
      <c r="AK83" s="92">
        <f ca="1">IFERROR(__xludf.DUMMYFUNCTION("IMPORTRANGE(""https://docs.google.com/spreadsheets/d/1rd4qoM1q_hsgaolqNGfrim9gbsoLxQsda4-vOz5x_BM/edit?usp=sharing"",""ภูเก็ต!J90"")"),0)</f>
        <v>0</v>
      </c>
      <c r="AL83" s="90">
        <f t="shared" ca="1" si="36"/>
        <v>0</v>
      </c>
    </row>
    <row r="84" spans="1:38" ht="21" customHeight="1" x14ac:dyDescent="0.2">
      <c r="A84" s="84">
        <v>10</v>
      </c>
      <c r="B84" s="85" t="s">
        <v>106</v>
      </c>
      <c r="C84" s="86">
        <f t="shared" ca="1" si="23"/>
        <v>0</v>
      </c>
      <c r="D84" s="87">
        <f t="shared" ca="1" si="52"/>
        <v>0</v>
      </c>
      <c r="E84" s="88">
        <f ca="1">IFERROR(__xludf.DUMMYFUNCTION("IMPORTRANGE(""https://docs.google.com/spreadsheets/d/1-uDff_7J0KD5mKrp0Vvzr7lt3OU09vwQwhkpOPPYv2Y/edit?usp=sharing"",""งบพรบ!AN84"")"),0)</f>
        <v>0</v>
      </c>
      <c r="F84" s="88">
        <f ca="1">IFERROR(__xludf.DUMMYFUNCTION("IMPORTRANGE(""https://docs.google.com/spreadsheets/d/1-uDff_7J0KD5mKrp0Vvzr7lt3OU09vwQwhkpOPPYv2Y/edit?usp=sharing"",""งบพรบ!AO84"")"),0)</f>
        <v>0</v>
      </c>
      <c r="G84" s="88">
        <f ca="1">IFERROR(__xludf.DUMMYFUNCTION("IMPORTRANGE(""https://docs.google.com/spreadsheets/d/1-uDff_7J0KD5mKrp0Vvzr7lt3OU09vwQwhkpOPPYv2Y/edit?usp=sharing"",""งบพรบ!AP84"")"),0)</f>
        <v>0</v>
      </c>
      <c r="H84" s="88">
        <f ca="1">IFERROR(__xludf.DUMMYFUNCTION("IMPORTRANGE(""https://docs.google.com/spreadsheets/d/1-uDff_7J0KD5mKrp0Vvzr7lt3OU09vwQwhkpOPPYv2Y/edit?usp=sharing"",""งบพรบ!AR84"")"),0)</f>
        <v>0</v>
      </c>
      <c r="I84" s="88">
        <f ca="1">IFERROR(__xludf.DUMMYFUNCTION("IMPORTRANGE(""https://docs.google.com/spreadsheets/d/1-uDff_7J0KD5mKrp0Vvzr7lt3OU09vwQwhkpOPPYv2Y/edit?usp=sharing"",""งบพรบ!AS84"")"),0)</f>
        <v>0</v>
      </c>
      <c r="J84" s="88">
        <f t="shared" ca="1" si="25"/>
        <v>0</v>
      </c>
      <c r="K84" s="89">
        <f t="shared" ca="1" si="26"/>
        <v>0</v>
      </c>
      <c r="L84" s="88">
        <f ca="1">IFERROR(__xludf.DUMMYFUNCTION("IMPORTRANGE(""https://docs.google.com/spreadsheets/d/1-uDff_7J0KD5mKrp0Vvzr7lt3OU09vwQwhkpOPPYv2Y/edit?usp=sharing"",""งบพรบ!AT84"")"),0)</f>
        <v>0</v>
      </c>
      <c r="M84" s="90">
        <f t="shared" ca="1" si="27"/>
        <v>0</v>
      </c>
      <c r="N84" s="90">
        <f t="shared" ca="1" si="28"/>
        <v>0</v>
      </c>
      <c r="O84" s="91">
        <f ca="1">IFERROR(__xludf.DUMMYFUNCTION("IMPORTRANGE(""https://docs.google.com/spreadsheets/d/1-uDff_7J0KD5mKrp0Vvzr7lt3OU09vwQwhkpOPPYv2Y/edit?usp=sharing"",""งบพรบ!AU84"")"),0)</f>
        <v>0</v>
      </c>
      <c r="P84" s="91">
        <f t="shared" ca="1" si="29"/>
        <v>0</v>
      </c>
      <c r="Q84" s="90">
        <f t="shared" ca="1" si="30"/>
        <v>0</v>
      </c>
      <c r="R84" s="92">
        <f t="shared" ca="1" si="31"/>
        <v>0</v>
      </c>
      <c r="S84" s="92">
        <f t="shared" ca="1" si="32"/>
        <v>0</v>
      </c>
      <c r="T84" s="92">
        <f t="shared" ca="1" si="53"/>
        <v>0</v>
      </c>
      <c r="U84" s="93">
        <f t="shared" ca="1" si="33"/>
        <v>0</v>
      </c>
      <c r="V84" s="92">
        <f t="shared" ca="1" si="54"/>
        <v>0</v>
      </c>
      <c r="W84" s="93">
        <f t="shared" ca="1" si="34"/>
        <v>0</v>
      </c>
      <c r="X84" s="88">
        <f ca="1">IFERROR(__xludf.DUMMYFUNCTION("IMPORTRANGE(""https://docs.google.com/spreadsheets/d/1woKwKjgoLssDvPcPeVyezB5izizAn4X1JDrys69n6xI/edit?usp=sharing"",""ยะลา!I84"")"),0)</f>
        <v>0</v>
      </c>
      <c r="Y84" s="88">
        <f ca="1">IFERROR(__xludf.DUMMYFUNCTION("IMPORTRANGE(""https://docs.google.com/spreadsheets/d/1woKwKjgoLssDvPcPeVyezB5izizAn4X1JDrys69n6xI/edit?usp=sharing"",""ยะลา!I85"")"),0)</f>
        <v>0</v>
      </c>
      <c r="Z84" s="92">
        <f ca="1">IFERROR(__xludf.DUMMYFUNCTION("IMPORTRANGE(""https://docs.google.com/spreadsheets/d/1woKwKjgoLssDvPcPeVyezB5izizAn4X1JDrys69n6xI/edit?usp=sharing"",""ยะลา!J84"")"),0)</f>
        <v>0</v>
      </c>
      <c r="AA84" s="92">
        <f ca="1">IFERROR(__xludf.DUMMYFUNCTION("IMPORTRANGE(""https://docs.google.com/spreadsheets/d/1woKwKjgoLssDvPcPeVyezB5izizAn4X1JDrys69n6xI/edit?usp=sharing"",""ยะลา!J85"")"),0)</f>
        <v>0</v>
      </c>
      <c r="AB84" s="88">
        <f ca="1">IFERROR(__xludf.DUMMYFUNCTION("IMPORTRANGE(""https://docs.google.com/spreadsheets/d/1woKwKjgoLssDvPcPeVyezB5izizAn4X1JDrys69n6xI/edit?usp=sharing"",""ยะลา!I86"")"),0)</f>
        <v>0</v>
      </c>
      <c r="AC84" s="88">
        <f ca="1">IFERROR(__xludf.DUMMYFUNCTION("IMPORTRANGE(""https://docs.google.com/spreadsheets/d/1woKwKjgoLssDvPcPeVyezB5izizAn4X1JDrys69n6xI/edit?usp=sharing"",""ยะลา!I87"")"),0)</f>
        <v>0</v>
      </c>
      <c r="AD84" s="92">
        <f ca="1">IFERROR(__xludf.DUMMYFUNCTION("IMPORTRANGE(""https://docs.google.com/spreadsheets/d/1woKwKjgoLssDvPcPeVyezB5izizAn4X1JDrys69n6xI/edit?usp=sharing"",""ยะลา!J86"")"),0)</f>
        <v>0</v>
      </c>
      <c r="AE84" s="92">
        <f ca="1">IFERROR(__xludf.DUMMYFUNCTION("IMPORTRANGE(""https://docs.google.com/spreadsheets/d/1woKwKjgoLssDvPcPeVyezB5izizAn4X1JDrys69n6xI/edit?usp=sharing"",""ยะลา!J87"")"),0)</f>
        <v>0</v>
      </c>
      <c r="AF84" s="88">
        <f ca="1">IFERROR(__xludf.DUMMYFUNCTION("IMPORTRANGE(""https://docs.google.com/spreadsheets/d/1woKwKjgoLssDvPcPeVyezB5izizAn4X1JDrys69n6xI/edit?usp=sharing"",""ยะลา!I88"")"),0)</f>
        <v>0</v>
      </c>
      <c r="AG84" s="88">
        <f ca="1">IFERROR(__xludf.DUMMYFUNCTION("IMPORTRANGE(""https://docs.google.com/spreadsheets/d/1woKwKjgoLssDvPcPeVyezB5izizAn4X1JDrys69n6xI/edit?usp=sharing"",""ยะลา!I89"")"),0)</f>
        <v>0</v>
      </c>
      <c r="AH84" s="92">
        <f ca="1">IFERROR(__xludf.DUMMYFUNCTION("IMPORTRANGE(""https://docs.google.com/spreadsheets/d/1woKwKjgoLssDvPcPeVyezB5izizAn4X1JDrys69n6xI/edit?usp=sharing"",""ยะลา!J88"")"),0)</f>
        <v>0</v>
      </c>
      <c r="AI84" s="92">
        <f ca="1">IFERROR(__xludf.DUMMYFUNCTION("IMPORTRANGE(""https://docs.google.com/spreadsheets/d/1woKwKjgoLssDvPcPeVyezB5izizAn4X1JDrys69n6xI/edit?usp=sharing"",""ยะลา!J89"")"),0)</f>
        <v>0</v>
      </c>
      <c r="AJ84" s="88">
        <f ca="1">IFERROR(__xludf.DUMMYFUNCTION("IMPORTRANGE(""https://docs.google.com/spreadsheets/d/1woKwKjgoLssDvPcPeVyezB5izizAn4X1JDrys69n6xI/edit?usp=sharing"",""ยะลา!I90"")"),0)</f>
        <v>0</v>
      </c>
      <c r="AK84" s="92">
        <f ca="1">IFERROR(__xludf.DUMMYFUNCTION("IMPORTRANGE(""https://docs.google.com/spreadsheets/d/1woKwKjgoLssDvPcPeVyezB5izizAn4X1JDrys69n6xI/edit?usp=sharing"",""ยะลา!J90"")"),0)</f>
        <v>0</v>
      </c>
      <c r="AL84" s="90">
        <f t="shared" ca="1" si="36"/>
        <v>0</v>
      </c>
    </row>
    <row r="85" spans="1:38" ht="21" customHeight="1" x14ac:dyDescent="0.2">
      <c r="A85" s="84">
        <v>11</v>
      </c>
      <c r="B85" s="85" t="s">
        <v>107</v>
      </c>
      <c r="C85" s="86">
        <f t="shared" ca="1" si="23"/>
        <v>0</v>
      </c>
      <c r="D85" s="87">
        <f t="shared" ca="1" si="52"/>
        <v>0</v>
      </c>
      <c r="E85" s="88">
        <f ca="1">IFERROR(__xludf.DUMMYFUNCTION("IMPORTRANGE(""https://docs.google.com/spreadsheets/d/1-uDff_7J0KD5mKrp0Vvzr7lt3OU09vwQwhkpOPPYv2Y/edit?usp=sharing"",""งบพรบ!AN85"")"),0)</f>
        <v>0</v>
      </c>
      <c r="F85" s="88">
        <f ca="1">IFERROR(__xludf.DUMMYFUNCTION("IMPORTRANGE(""https://docs.google.com/spreadsheets/d/1-uDff_7J0KD5mKrp0Vvzr7lt3OU09vwQwhkpOPPYv2Y/edit?usp=sharing"",""งบพรบ!AO85"")"),0)</f>
        <v>0</v>
      </c>
      <c r="G85" s="88">
        <f ca="1">IFERROR(__xludf.DUMMYFUNCTION("IMPORTRANGE(""https://docs.google.com/spreadsheets/d/1-uDff_7J0KD5mKrp0Vvzr7lt3OU09vwQwhkpOPPYv2Y/edit?usp=sharing"",""งบพรบ!AP85"")"),0)</f>
        <v>0</v>
      </c>
      <c r="H85" s="88">
        <f ca="1">IFERROR(__xludf.DUMMYFUNCTION("IMPORTRANGE(""https://docs.google.com/spreadsheets/d/1-uDff_7J0KD5mKrp0Vvzr7lt3OU09vwQwhkpOPPYv2Y/edit?usp=sharing"",""งบพรบ!AR85"")"),0)</f>
        <v>0</v>
      </c>
      <c r="I85" s="88">
        <f ca="1">IFERROR(__xludf.DUMMYFUNCTION("IMPORTRANGE(""https://docs.google.com/spreadsheets/d/1-uDff_7J0KD5mKrp0Vvzr7lt3OU09vwQwhkpOPPYv2Y/edit?usp=sharing"",""งบพรบ!AS85"")"),0)</f>
        <v>0</v>
      </c>
      <c r="J85" s="88">
        <f t="shared" ca="1" si="25"/>
        <v>0</v>
      </c>
      <c r="K85" s="89">
        <f t="shared" ca="1" si="26"/>
        <v>0</v>
      </c>
      <c r="L85" s="88">
        <f ca="1">IFERROR(__xludf.DUMMYFUNCTION("IMPORTRANGE(""https://docs.google.com/spreadsheets/d/1-uDff_7J0KD5mKrp0Vvzr7lt3OU09vwQwhkpOPPYv2Y/edit?usp=sharing"",""งบพรบ!AT85"")"),0)</f>
        <v>0</v>
      </c>
      <c r="M85" s="90">
        <f t="shared" ca="1" si="27"/>
        <v>0</v>
      </c>
      <c r="N85" s="90">
        <f t="shared" ca="1" si="28"/>
        <v>0</v>
      </c>
      <c r="O85" s="91">
        <f ca="1">IFERROR(__xludf.DUMMYFUNCTION("IMPORTRANGE(""https://docs.google.com/spreadsheets/d/1-uDff_7J0KD5mKrp0Vvzr7lt3OU09vwQwhkpOPPYv2Y/edit?usp=sharing"",""งบพรบ!AU85"")"),0)</f>
        <v>0</v>
      </c>
      <c r="P85" s="91">
        <f t="shared" ca="1" si="29"/>
        <v>0</v>
      </c>
      <c r="Q85" s="90">
        <f t="shared" ca="1" si="30"/>
        <v>0</v>
      </c>
      <c r="R85" s="92">
        <f t="shared" ca="1" si="31"/>
        <v>0</v>
      </c>
      <c r="S85" s="92">
        <f t="shared" ca="1" si="32"/>
        <v>0</v>
      </c>
      <c r="T85" s="92">
        <f t="shared" ca="1" si="53"/>
        <v>0</v>
      </c>
      <c r="U85" s="93">
        <f t="shared" ca="1" si="33"/>
        <v>0</v>
      </c>
      <c r="V85" s="92">
        <f t="shared" ca="1" si="54"/>
        <v>0</v>
      </c>
      <c r="W85" s="93">
        <f t="shared" ca="1" si="34"/>
        <v>0</v>
      </c>
      <c r="X85" s="88">
        <f ca="1">IFERROR(__xludf.DUMMYFUNCTION("IMPORTRANGE(""https://docs.google.com/spreadsheets/d/1qfrKjzMhm2HJfxQ-qVlJlJQ25Hne1d0khsySbZyGtPA/edit?usp=sharing"",""ระนอง!I84"")"),0)</f>
        <v>0</v>
      </c>
      <c r="Y85" s="88">
        <f ca="1">IFERROR(__xludf.DUMMYFUNCTION("IMPORTRANGE(""https://docs.google.com/spreadsheets/d/1qfrKjzMhm2HJfxQ-qVlJlJQ25Hne1d0khsySbZyGtPA/edit?usp=sharing"",""ระนอง!I85"")"),0)</f>
        <v>0</v>
      </c>
      <c r="Z85" s="92">
        <f ca="1">IFERROR(__xludf.DUMMYFUNCTION("IMPORTRANGE(""https://docs.google.com/spreadsheets/d/1qfrKjzMhm2HJfxQ-qVlJlJQ25Hne1d0khsySbZyGtPA/edit?usp=sharing"",""ระนอง!J84"")"),0)</f>
        <v>0</v>
      </c>
      <c r="AA85" s="92">
        <f ca="1">IFERROR(__xludf.DUMMYFUNCTION("IMPORTRANGE(""https://docs.google.com/spreadsheets/d/1qfrKjzMhm2HJfxQ-qVlJlJQ25Hne1d0khsySbZyGtPA/edit?usp=sharing"",""ระนอง!J85"")"),0)</f>
        <v>0</v>
      </c>
      <c r="AB85" s="88">
        <f ca="1">IFERROR(__xludf.DUMMYFUNCTION("IMPORTRANGE(""https://docs.google.com/spreadsheets/d/1qfrKjzMhm2HJfxQ-qVlJlJQ25Hne1d0khsySbZyGtPA/edit?usp=sharing"",""ระนอง!I86"")"),0)</f>
        <v>0</v>
      </c>
      <c r="AC85" s="88">
        <f ca="1">IFERROR(__xludf.DUMMYFUNCTION("IMPORTRANGE(""https://docs.google.com/spreadsheets/d/1qfrKjzMhm2HJfxQ-qVlJlJQ25Hne1d0khsySbZyGtPA/edit?usp=sharing"",""ระนอง!I87"")"),0)</f>
        <v>0</v>
      </c>
      <c r="AD85" s="92">
        <f ca="1">IFERROR(__xludf.DUMMYFUNCTION("IMPORTRANGE(""https://docs.google.com/spreadsheets/d/1qfrKjzMhm2HJfxQ-qVlJlJQ25Hne1d0khsySbZyGtPA/edit?usp=sharing"",""ระนอง!J86"")"),0)</f>
        <v>0</v>
      </c>
      <c r="AE85" s="92">
        <f ca="1">IFERROR(__xludf.DUMMYFUNCTION("IMPORTRANGE(""https://docs.google.com/spreadsheets/d/1qfrKjzMhm2HJfxQ-qVlJlJQ25Hne1d0khsySbZyGtPA/edit?usp=sharing"",""ระนอง!J87"")"),0)</f>
        <v>0</v>
      </c>
      <c r="AF85" s="88">
        <f ca="1">IFERROR(__xludf.DUMMYFUNCTION("IMPORTRANGE(""https://docs.google.com/spreadsheets/d/1qfrKjzMhm2HJfxQ-qVlJlJQ25Hne1d0khsySbZyGtPA/edit?usp=sharing"",""ระนอง!I88"")"),0)</f>
        <v>0</v>
      </c>
      <c r="AG85" s="88">
        <f ca="1">IFERROR(__xludf.DUMMYFUNCTION("IMPORTRANGE(""https://docs.google.com/spreadsheets/d/1qfrKjzMhm2HJfxQ-qVlJlJQ25Hne1d0khsySbZyGtPA/edit?usp=sharing"",""ระนอง!I89"")"),0)</f>
        <v>0</v>
      </c>
      <c r="AH85" s="92">
        <f ca="1">IFERROR(__xludf.DUMMYFUNCTION("IMPORTRANGE(""https://docs.google.com/spreadsheets/d/1qfrKjzMhm2HJfxQ-qVlJlJQ25Hne1d0khsySbZyGtPA/edit?usp=sharing"",""ระนอง!J88"")"),0)</f>
        <v>0</v>
      </c>
      <c r="AI85" s="92">
        <f ca="1">IFERROR(__xludf.DUMMYFUNCTION("IMPORTRANGE(""https://docs.google.com/spreadsheets/d/1qfrKjzMhm2HJfxQ-qVlJlJQ25Hne1d0khsySbZyGtPA/edit?usp=sharing"",""ระนอง!J89"")"),0)</f>
        <v>0</v>
      </c>
      <c r="AJ85" s="88">
        <f ca="1">IFERROR(__xludf.DUMMYFUNCTION("IMPORTRANGE(""https://docs.google.com/spreadsheets/d/1qfrKjzMhm2HJfxQ-qVlJlJQ25Hne1d0khsySbZyGtPA/edit?usp=sharing"",""ระนอง!I90"")"),0)</f>
        <v>0</v>
      </c>
      <c r="AK85" s="92">
        <f ca="1">IFERROR(__xludf.DUMMYFUNCTION("IMPORTRANGE(""https://docs.google.com/spreadsheets/d/1qfrKjzMhm2HJfxQ-qVlJlJQ25Hne1d0khsySbZyGtPA/edit?usp=sharing"",""ระนอง!J90"")"),0)</f>
        <v>0</v>
      </c>
      <c r="AL85" s="90">
        <f t="shared" ca="1" si="36"/>
        <v>0</v>
      </c>
    </row>
    <row r="86" spans="1:38" ht="24" customHeight="1" x14ac:dyDescent="0.2">
      <c r="A86" s="84">
        <v>12</v>
      </c>
      <c r="B86" s="85" t="s">
        <v>108</v>
      </c>
      <c r="C86" s="86">
        <f t="shared" ca="1" si="23"/>
        <v>0</v>
      </c>
      <c r="D86" s="87">
        <f t="shared" ca="1" si="52"/>
        <v>0</v>
      </c>
      <c r="E86" s="88">
        <f ca="1">IFERROR(__xludf.DUMMYFUNCTION("IMPORTRANGE(""https://docs.google.com/spreadsheets/d/1-uDff_7J0KD5mKrp0Vvzr7lt3OU09vwQwhkpOPPYv2Y/edit?usp=sharing"",""งบพรบ!AN86"")"),0)</f>
        <v>0</v>
      </c>
      <c r="F86" s="88">
        <f ca="1">IFERROR(__xludf.DUMMYFUNCTION("IMPORTRANGE(""https://docs.google.com/spreadsheets/d/1-uDff_7J0KD5mKrp0Vvzr7lt3OU09vwQwhkpOPPYv2Y/edit?usp=sharing"",""งบพรบ!AO86"")"),0)</f>
        <v>0</v>
      </c>
      <c r="G86" s="88">
        <f ca="1">IFERROR(__xludf.DUMMYFUNCTION("IMPORTRANGE(""https://docs.google.com/spreadsheets/d/1-uDff_7J0KD5mKrp0Vvzr7lt3OU09vwQwhkpOPPYv2Y/edit?usp=sharing"",""งบพรบ!AP86"")"),0)</f>
        <v>0</v>
      </c>
      <c r="H86" s="88">
        <f ca="1">IFERROR(__xludf.DUMMYFUNCTION("IMPORTRANGE(""https://docs.google.com/spreadsheets/d/1-uDff_7J0KD5mKrp0Vvzr7lt3OU09vwQwhkpOPPYv2Y/edit?usp=sharing"",""งบพรบ!AR86"")"),0)</f>
        <v>0</v>
      </c>
      <c r="I86" s="88">
        <f ca="1">IFERROR(__xludf.DUMMYFUNCTION("IMPORTRANGE(""https://docs.google.com/spreadsheets/d/1-uDff_7J0KD5mKrp0Vvzr7lt3OU09vwQwhkpOPPYv2Y/edit?usp=sharing"",""งบพรบ!AS86"")"),0)</f>
        <v>0</v>
      </c>
      <c r="J86" s="88">
        <f t="shared" ca="1" si="25"/>
        <v>0</v>
      </c>
      <c r="K86" s="89">
        <f t="shared" ca="1" si="26"/>
        <v>0</v>
      </c>
      <c r="L86" s="88">
        <f ca="1">IFERROR(__xludf.DUMMYFUNCTION("IMPORTRANGE(""https://docs.google.com/spreadsheets/d/1-uDff_7J0KD5mKrp0Vvzr7lt3OU09vwQwhkpOPPYv2Y/edit?usp=sharing"",""งบพรบ!AT86"")"),0)</f>
        <v>0</v>
      </c>
      <c r="M86" s="90">
        <f t="shared" ca="1" si="27"/>
        <v>0</v>
      </c>
      <c r="N86" s="90">
        <f t="shared" ca="1" si="28"/>
        <v>0</v>
      </c>
      <c r="O86" s="91">
        <f ca="1">IFERROR(__xludf.DUMMYFUNCTION("IMPORTRANGE(""https://docs.google.com/spreadsheets/d/1-uDff_7J0KD5mKrp0Vvzr7lt3OU09vwQwhkpOPPYv2Y/edit?usp=sharing"",""งบพรบ!AU86"")"),0)</f>
        <v>0</v>
      </c>
      <c r="P86" s="91">
        <f t="shared" ca="1" si="29"/>
        <v>0</v>
      </c>
      <c r="Q86" s="90">
        <f t="shared" ca="1" si="30"/>
        <v>0</v>
      </c>
      <c r="R86" s="92">
        <f t="shared" ca="1" si="31"/>
        <v>0</v>
      </c>
      <c r="S86" s="92">
        <f t="shared" ca="1" si="32"/>
        <v>0</v>
      </c>
      <c r="T86" s="92">
        <f t="shared" ca="1" si="53"/>
        <v>0</v>
      </c>
      <c r="U86" s="93">
        <f t="shared" ca="1" si="33"/>
        <v>0</v>
      </c>
      <c r="V86" s="92">
        <f t="shared" ca="1" si="54"/>
        <v>0</v>
      </c>
      <c r="W86" s="93">
        <f t="shared" ca="1" si="34"/>
        <v>0</v>
      </c>
      <c r="X86" s="88">
        <f ca="1">IFERROR(__xludf.DUMMYFUNCTION("IMPORTRANGE(""https://docs.google.com/spreadsheets/d/1IbSCnFOKpZsnFogBHJnL_isstZVaOMnFiIN0fGTPZZw/edit?usp=sharing"",""สงขลา!I84"")"),0)</f>
        <v>0</v>
      </c>
      <c r="Y86" s="88">
        <f ca="1">IFERROR(__xludf.DUMMYFUNCTION("IMPORTRANGE(""https://docs.google.com/spreadsheets/d/1IbSCnFOKpZsnFogBHJnL_isstZVaOMnFiIN0fGTPZZw/edit?usp=sharing"",""สงขลา!I85"")"),0)</f>
        <v>0</v>
      </c>
      <c r="Z86" s="92">
        <f ca="1">IFERROR(__xludf.DUMMYFUNCTION("IMPORTRANGE(""https://docs.google.com/spreadsheets/d/1IbSCnFOKpZsnFogBHJnL_isstZVaOMnFiIN0fGTPZZw/edit?usp=sharing"",""สงขลา!J84"")"),0)</f>
        <v>0</v>
      </c>
      <c r="AA86" s="92">
        <f ca="1">IFERROR(__xludf.DUMMYFUNCTION("IMPORTRANGE(""https://docs.google.com/spreadsheets/d/1IbSCnFOKpZsnFogBHJnL_isstZVaOMnFiIN0fGTPZZw/edit?usp=sharing"",""สงขลา!J85"")"),0)</f>
        <v>0</v>
      </c>
      <c r="AB86" s="88">
        <f ca="1">IFERROR(__xludf.DUMMYFUNCTION("IMPORTRANGE(""https://docs.google.com/spreadsheets/d/1IbSCnFOKpZsnFogBHJnL_isstZVaOMnFiIN0fGTPZZw/edit?usp=sharing"",""สงขลา!I86"")"),0)</f>
        <v>0</v>
      </c>
      <c r="AC86" s="88">
        <f ca="1">IFERROR(__xludf.DUMMYFUNCTION("IMPORTRANGE(""https://docs.google.com/spreadsheets/d/1IbSCnFOKpZsnFogBHJnL_isstZVaOMnFiIN0fGTPZZw/edit?usp=sharing"",""สงขลา!I87"")"),0)</f>
        <v>0</v>
      </c>
      <c r="AD86" s="92">
        <f ca="1">IFERROR(__xludf.DUMMYFUNCTION("IMPORTRANGE(""https://docs.google.com/spreadsheets/d/1IbSCnFOKpZsnFogBHJnL_isstZVaOMnFiIN0fGTPZZw/edit?usp=sharing"",""สงขลา!J86"")"),0)</f>
        <v>0</v>
      </c>
      <c r="AE86" s="92">
        <f ca="1">IFERROR(__xludf.DUMMYFUNCTION("IMPORTRANGE(""https://docs.google.com/spreadsheets/d/1IbSCnFOKpZsnFogBHJnL_isstZVaOMnFiIN0fGTPZZw/edit?usp=sharing"",""สงขลา!J87"")"),0)</f>
        <v>0</v>
      </c>
      <c r="AF86" s="88">
        <f ca="1">IFERROR(__xludf.DUMMYFUNCTION("IMPORTRANGE(""https://docs.google.com/spreadsheets/d/1IbSCnFOKpZsnFogBHJnL_isstZVaOMnFiIN0fGTPZZw/edit?usp=sharing"",""สงขลา!I88"")"),0)</f>
        <v>0</v>
      </c>
      <c r="AG86" s="88">
        <f ca="1">IFERROR(__xludf.DUMMYFUNCTION("IMPORTRANGE(""https://docs.google.com/spreadsheets/d/1IbSCnFOKpZsnFogBHJnL_isstZVaOMnFiIN0fGTPZZw/edit?usp=sharing"",""สงขลา!I89"")"),0)</f>
        <v>0</v>
      </c>
      <c r="AH86" s="92">
        <f ca="1">IFERROR(__xludf.DUMMYFUNCTION("IMPORTRANGE(""https://docs.google.com/spreadsheets/d/1IbSCnFOKpZsnFogBHJnL_isstZVaOMnFiIN0fGTPZZw/edit?usp=sharing"",""สงขลา!J88"")"),0)</f>
        <v>0</v>
      </c>
      <c r="AI86" s="92">
        <f ca="1">IFERROR(__xludf.DUMMYFUNCTION("IMPORTRANGE(""https://docs.google.com/spreadsheets/d/1IbSCnFOKpZsnFogBHJnL_isstZVaOMnFiIN0fGTPZZw/edit?usp=sharing"",""สงขลา!J89"")"),0)</f>
        <v>0</v>
      </c>
      <c r="AJ86" s="88">
        <f ca="1">IFERROR(__xludf.DUMMYFUNCTION("IMPORTRANGE(""https://docs.google.com/spreadsheets/d/1IbSCnFOKpZsnFogBHJnL_isstZVaOMnFiIN0fGTPZZw/edit?usp=sharing"",""สงขลา!I90"")"),0)</f>
        <v>0</v>
      </c>
      <c r="AK86" s="92">
        <f ca="1">IFERROR(__xludf.DUMMYFUNCTION("IMPORTRANGE(""https://docs.google.com/spreadsheets/d/1IbSCnFOKpZsnFogBHJnL_isstZVaOMnFiIN0fGTPZZw/edit?usp=sharing"",""สงขลา!J90"")"),0)</f>
        <v>0</v>
      </c>
      <c r="AL86" s="90">
        <f t="shared" ca="1" si="36"/>
        <v>0</v>
      </c>
    </row>
    <row r="87" spans="1:38" ht="24" customHeight="1" x14ac:dyDescent="0.2">
      <c r="A87" s="84">
        <v>13</v>
      </c>
      <c r="B87" s="85" t="s">
        <v>109</v>
      </c>
      <c r="C87" s="86">
        <f t="shared" ca="1" si="23"/>
        <v>0</v>
      </c>
      <c r="D87" s="87">
        <f t="shared" ca="1" si="52"/>
        <v>0</v>
      </c>
      <c r="E87" s="88">
        <f ca="1">IFERROR(__xludf.DUMMYFUNCTION("IMPORTRANGE(""https://docs.google.com/spreadsheets/d/1-uDff_7J0KD5mKrp0Vvzr7lt3OU09vwQwhkpOPPYv2Y/edit?usp=sharing"",""งบพรบ!AN87"")"),0)</f>
        <v>0</v>
      </c>
      <c r="F87" s="88">
        <f ca="1">IFERROR(__xludf.DUMMYFUNCTION("IMPORTRANGE(""https://docs.google.com/spreadsheets/d/1-uDff_7J0KD5mKrp0Vvzr7lt3OU09vwQwhkpOPPYv2Y/edit?usp=sharing"",""งบพรบ!AO87"")"),0)</f>
        <v>0</v>
      </c>
      <c r="G87" s="88">
        <f ca="1">IFERROR(__xludf.DUMMYFUNCTION("IMPORTRANGE(""https://docs.google.com/spreadsheets/d/1-uDff_7J0KD5mKrp0Vvzr7lt3OU09vwQwhkpOPPYv2Y/edit?usp=sharing"",""งบพรบ!AP87"")"),0)</f>
        <v>0</v>
      </c>
      <c r="H87" s="88">
        <f ca="1">IFERROR(__xludf.DUMMYFUNCTION("IMPORTRANGE(""https://docs.google.com/spreadsheets/d/1-uDff_7J0KD5mKrp0Vvzr7lt3OU09vwQwhkpOPPYv2Y/edit?usp=sharing"",""งบพรบ!AR87"")"),0)</f>
        <v>0</v>
      </c>
      <c r="I87" s="88">
        <f ca="1">IFERROR(__xludf.DUMMYFUNCTION("IMPORTRANGE(""https://docs.google.com/spreadsheets/d/1-uDff_7J0KD5mKrp0Vvzr7lt3OU09vwQwhkpOPPYv2Y/edit?usp=sharing"",""งบพรบ!AS87"")"),0)</f>
        <v>0</v>
      </c>
      <c r="J87" s="88">
        <f t="shared" ca="1" si="25"/>
        <v>0</v>
      </c>
      <c r="K87" s="89">
        <f t="shared" ca="1" si="26"/>
        <v>0</v>
      </c>
      <c r="L87" s="88">
        <f ca="1">IFERROR(__xludf.DUMMYFUNCTION("IMPORTRANGE(""https://docs.google.com/spreadsheets/d/1-uDff_7J0KD5mKrp0Vvzr7lt3OU09vwQwhkpOPPYv2Y/edit?usp=sharing"",""งบพรบ!AT87"")"),0)</f>
        <v>0</v>
      </c>
      <c r="M87" s="90">
        <f t="shared" ca="1" si="27"/>
        <v>0</v>
      </c>
      <c r="N87" s="90">
        <f t="shared" ca="1" si="28"/>
        <v>0</v>
      </c>
      <c r="O87" s="91">
        <f ca="1">IFERROR(__xludf.DUMMYFUNCTION("IMPORTRANGE(""https://docs.google.com/spreadsheets/d/1-uDff_7J0KD5mKrp0Vvzr7lt3OU09vwQwhkpOPPYv2Y/edit?usp=sharing"",""งบพรบ!AU87"")"),0)</f>
        <v>0</v>
      </c>
      <c r="P87" s="91">
        <f t="shared" ca="1" si="29"/>
        <v>0</v>
      </c>
      <c r="Q87" s="90">
        <f t="shared" ca="1" si="30"/>
        <v>0</v>
      </c>
      <c r="R87" s="92">
        <f t="shared" ca="1" si="31"/>
        <v>0</v>
      </c>
      <c r="S87" s="92">
        <f t="shared" ca="1" si="32"/>
        <v>0</v>
      </c>
      <c r="T87" s="92">
        <f t="shared" ca="1" si="53"/>
        <v>0</v>
      </c>
      <c r="U87" s="93">
        <f t="shared" ca="1" si="33"/>
        <v>0</v>
      </c>
      <c r="V87" s="92">
        <f t="shared" ca="1" si="54"/>
        <v>0</v>
      </c>
      <c r="W87" s="93">
        <f t="shared" ca="1" si="34"/>
        <v>0</v>
      </c>
      <c r="X87" s="88">
        <f ca="1">IFERROR(__xludf.DUMMYFUNCTION("IMPORTRANGE(""https://docs.google.com/spreadsheets/d/1q9nWasZJ-K8bFGvbE9n0qSRuKGA4Toe3Y89cKCiVtCU/edit?usp=sharing"",""สตูล!I84"")"),0)</f>
        <v>0</v>
      </c>
      <c r="Y87" s="88">
        <f ca="1">IFERROR(__xludf.DUMMYFUNCTION("IMPORTRANGE(""https://docs.google.com/spreadsheets/d/1q9nWasZJ-K8bFGvbE9n0qSRuKGA4Toe3Y89cKCiVtCU/edit?usp=sharing"",""สตูล!I85"")"),0)</f>
        <v>0</v>
      </c>
      <c r="Z87" s="92">
        <f ca="1">IFERROR(__xludf.DUMMYFUNCTION("IMPORTRANGE(""https://docs.google.com/spreadsheets/d/1q9nWasZJ-K8bFGvbE9n0qSRuKGA4Toe3Y89cKCiVtCU/edit?usp=sharing"",""สตูล!J84"")"),0)</f>
        <v>0</v>
      </c>
      <c r="AA87" s="92">
        <f ca="1">IFERROR(__xludf.DUMMYFUNCTION("IMPORTRANGE(""https://docs.google.com/spreadsheets/d/1q9nWasZJ-K8bFGvbE9n0qSRuKGA4Toe3Y89cKCiVtCU/edit?usp=sharing"",""สตูล!J85"")"),0)</f>
        <v>0</v>
      </c>
      <c r="AB87" s="88">
        <f ca="1">IFERROR(__xludf.DUMMYFUNCTION("IMPORTRANGE(""https://docs.google.com/spreadsheets/d/1q9nWasZJ-K8bFGvbE9n0qSRuKGA4Toe3Y89cKCiVtCU/edit?usp=sharing"",""สตูล!I86"")"),0)</f>
        <v>0</v>
      </c>
      <c r="AC87" s="88">
        <f ca="1">IFERROR(__xludf.DUMMYFUNCTION("IMPORTRANGE(""https://docs.google.com/spreadsheets/d/1q9nWasZJ-K8bFGvbE9n0qSRuKGA4Toe3Y89cKCiVtCU/edit?usp=sharing"",""สตูล!I87"")"),0)</f>
        <v>0</v>
      </c>
      <c r="AD87" s="92">
        <f ca="1">IFERROR(__xludf.DUMMYFUNCTION("IMPORTRANGE(""https://docs.google.com/spreadsheets/d/1q9nWasZJ-K8bFGvbE9n0qSRuKGA4Toe3Y89cKCiVtCU/edit?usp=sharing"",""สตูล!J86"")"),0)</f>
        <v>0</v>
      </c>
      <c r="AE87" s="92">
        <f ca="1">IFERROR(__xludf.DUMMYFUNCTION("IMPORTRANGE(""https://docs.google.com/spreadsheets/d/1q9nWasZJ-K8bFGvbE9n0qSRuKGA4Toe3Y89cKCiVtCU/edit?usp=sharing"",""สตูล!J87"")"),0)</f>
        <v>0</v>
      </c>
      <c r="AF87" s="88">
        <f ca="1">IFERROR(__xludf.DUMMYFUNCTION("IMPORTRANGE(""https://docs.google.com/spreadsheets/d/1q9nWasZJ-K8bFGvbE9n0qSRuKGA4Toe3Y89cKCiVtCU/edit?usp=sharing"",""สตูล!I88"")"),0)</f>
        <v>0</v>
      </c>
      <c r="AG87" s="88">
        <f ca="1">IFERROR(__xludf.DUMMYFUNCTION("IMPORTRANGE(""https://docs.google.com/spreadsheets/d/1q9nWasZJ-K8bFGvbE9n0qSRuKGA4Toe3Y89cKCiVtCU/edit?usp=sharing"",""สตูล!I89"")"),0)</f>
        <v>0</v>
      </c>
      <c r="AH87" s="92">
        <f ca="1">IFERROR(__xludf.DUMMYFUNCTION("IMPORTRANGE(""https://docs.google.com/spreadsheets/d/1q9nWasZJ-K8bFGvbE9n0qSRuKGA4Toe3Y89cKCiVtCU/edit?usp=sharing"",""สตูล!J88"")"),0)</f>
        <v>0</v>
      </c>
      <c r="AI87" s="92">
        <f ca="1">IFERROR(__xludf.DUMMYFUNCTION("IMPORTRANGE(""https://docs.google.com/spreadsheets/d/1q9nWasZJ-K8bFGvbE9n0qSRuKGA4Toe3Y89cKCiVtCU/edit?usp=sharing"",""สตูล!J89"")"),0)</f>
        <v>0</v>
      </c>
      <c r="AJ87" s="88">
        <f ca="1">IFERROR(__xludf.DUMMYFUNCTION("IMPORTRANGE(""https://docs.google.com/spreadsheets/d/1q9nWasZJ-K8bFGvbE9n0qSRuKGA4Toe3Y89cKCiVtCU/edit?usp=sharing"",""สตูล!I90"")"),0)</f>
        <v>0</v>
      </c>
      <c r="AK87" s="92">
        <f ca="1">IFERROR(__xludf.DUMMYFUNCTION("IMPORTRANGE(""https://docs.google.com/spreadsheets/d/1q9nWasZJ-K8bFGvbE9n0qSRuKGA4Toe3Y89cKCiVtCU/edit?usp=sharing"",""สตูล!J90"")"),0)</f>
        <v>0</v>
      </c>
      <c r="AL87" s="90">
        <f t="shared" ca="1" si="36"/>
        <v>0</v>
      </c>
    </row>
    <row r="88" spans="1:38" ht="24" customHeight="1" x14ac:dyDescent="0.2">
      <c r="A88" s="95">
        <v>14</v>
      </c>
      <c r="B88" s="96" t="s">
        <v>110</v>
      </c>
      <c r="C88" s="97">
        <f t="shared" ca="1" si="23"/>
        <v>0</v>
      </c>
      <c r="D88" s="98">
        <f t="shared" ca="1" si="52"/>
        <v>0</v>
      </c>
      <c r="E88" s="99">
        <f ca="1">IFERROR(__xludf.DUMMYFUNCTION("IMPORTRANGE(""https://docs.google.com/spreadsheets/d/1-uDff_7J0KD5mKrp0Vvzr7lt3OU09vwQwhkpOPPYv2Y/edit?usp=sharing"",""งบพรบ!AN88"")"),0)</f>
        <v>0</v>
      </c>
      <c r="F88" s="99">
        <f ca="1">IFERROR(__xludf.DUMMYFUNCTION("IMPORTRANGE(""https://docs.google.com/spreadsheets/d/1-uDff_7J0KD5mKrp0Vvzr7lt3OU09vwQwhkpOPPYv2Y/edit?usp=sharing"",""งบพรบ!AO88"")"),0)</f>
        <v>0</v>
      </c>
      <c r="G88" s="99">
        <f ca="1">IFERROR(__xludf.DUMMYFUNCTION("IMPORTRANGE(""https://docs.google.com/spreadsheets/d/1-uDff_7J0KD5mKrp0Vvzr7lt3OU09vwQwhkpOPPYv2Y/edit?usp=sharing"",""งบพรบ!AP88"")"),0)</f>
        <v>0</v>
      </c>
      <c r="H88" s="99">
        <f ca="1">IFERROR(__xludf.DUMMYFUNCTION("IMPORTRANGE(""https://docs.google.com/spreadsheets/d/1-uDff_7J0KD5mKrp0Vvzr7lt3OU09vwQwhkpOPPYv2Y/edit?usp=sharing"",""งบพรบ!AR88"")"),0)</f>
        <v>0</v>
      </c>
      <c r="I88" s="99">
        <f ca="1">IFERROR(__xludf.DUMMYFUNCTION("IMPORTRANGE(""https://docs.google.com/spreadsheets/d/1-uDff_7J0KD5mKrp0Vvzr7lt3OU09vwQwhkpOPPYv2Y/edit?usp=sharing"",""งบพรบ!AS88"")"),0)</f>
        <v>0</v>
      </c>
      <c r="J88" s="99">
        <f t="shared" ca="1" si="25"/>
        <v>0</v>
      </c>
      <c r="K88" s="100">
        <f t="shared" ca="1" si="26"/>
        <v>0</v>
      </c>
      <c r="L88" s="99">
        <f ca="1">IFERROR(__xludf.DUMMYFUNCTION("IMPORTRANGE(""https://docs.google.com/spreadsheets/d/1-uDff_7J0KD5mKrp0Vvzr7lt3OU09vwQwhkpOPPYv2Y/edit?usp=sharing"",""งบพรบ!AT88"")"),0)</f>
        <v>0</v>
      </c>
      <c r="M88" s="101">
        <f t="shared" ca="1" si="27"/>
        <v>0</v>
      </c>
      <c r="N88" s="101">
        <f t="shared" ca="1" si="28"/>
        <v>0</v>
      </c>
      <c r="O88" s="102">
        <f ca="1">IFERROR(__xludf.DUMMYFUNCTION("IMPORTRANGE(""https://docs.google.com/spreadsheets/d/1-uDff_7J0KD5mKrp0Vvzr7lt3OU09vwQwhkpOPPYv2Y/edit?usp=sharing"",""งบพรบ!AU88"")"),0)</f>
        <v>0</v>
      </c>
      <c r="P88" s="102">
        <f t="shared" ca="1" si="29"/>
        <v>0</v>
      </c>
      <c r="Q88" s="101">
        <f t="shared" ca="1" si="30"/>
        <v>0</v>
      </c>
      <c r="R88" s="103">
        <f t="shared" ca="1" si="31"/>
        <v>0</v>
      </c>
      <c r="S88" s="103">
        <f t="shared" ca="1" si="32"/>
        <v>0</v>
      </c>
      <c r="T88" s="103">
        <f t="shared" ca="1" si="53"/>
        <v>0</v>
      </c>
      <c r="U88" s="104">
        <f t="shared" ca="1" si="33"/>
        <v>0</v>
      </c>
      <c r="V88" s="103">
        <f t="shared" ca="1" si="54"/>
        <v>0</v>
      </c>
      <c r="W88" s="104">
        <f t="shared" ca="1" si="34"/>
        <v>0</v>
      </c>
      <c r="X88" s="99">
        <f ca="1">IFERROR(__xludf.DUMMYFUNCTION("IMPORTRANGE(""https://docs.google.com/spreadsheets/d/18T20gbkS_WBjdscyTOV05cvq_JqvqQ17C81mpxf7Ncs/edit?usp=sharing"",""สุราษฎร์ธานี!I84"")"),0)</f>
        <v>0</v>
      </c>
      <c r="Y88" s="99">
        <f ca="1">IFERROR(__xludf.DUMMYFUNCTION("IMPORTRANGE(""https://docs.google.com/spreadsheets/d/18T20gbkS_WBjdscyTOV05cvq_JqvqQ17C81mpxf7Ncs/edit?usp=sharing"",""สุราษฎร์ธานี!I85"")"),0)</f>
        <v>0</v>
      </c>
      <c r="Z88" s="103">
        <f ca="1">IFERROR(__xludf.DUMMYFUNCTION("IMPORTRANGE(""https://docs.google.com/spreadsheets/d/18T20gbkS_WBjdscyTOV05cvq_JqvqQ17C81mpxf7Ncs/edit?usp=sharing"",""สุราษฎร์ธานี!J84"")"),0)</f>
        <v>0</v>
      </c>
      <c r="AA88" s="103">
        <f ca="1">IFERROR(__xludf.DUMMYFUNCTION("IMPORTRANGE(""https://docs.google.com/spreadsheets/d/18T20gbkS_WBjdscyTOV05cvq_JqvqQ17C81mpxf7Ncs/edit?usp=sharing"",""สุราษฎร์ธานี!J85"")"),0)</f>
        <v>0</v>
      </c>
      <c r="AB88" s="99">
        <f ca="1">IFERROR(__xludf.DUMMYFUNCTION("IMPORTRANGE(""https://docs.google.com/spreadsheets/d/18T20gbkS_WBjdscyTOV05cvq_JqvqQ17C81mpxf7Ncs/edit?usp=sharing"",""สุราษฎร์ธานี!I86"")"),0)</f>
        <v>0</v>
      </c>
      <c r="AC88" s="99">
        <f ca="1">IFERROR(__xludf.DUMMYFUNCTION("IMPORTRANGE(""https://docs.google.com/spreadsheets/d/18T20gbkS_WBjdscyTOV05cvq_JqvqQ17C81mpxf7Ncs/edit?usp=sharing"",""สุราษฎร์ธานี!I87"")"),0)</f>
        <v>0</v>
      </c>
      <c r="AD88" s="103">
        <f ca="1">IFERROR(__xludf.DUMMYFUNCTION("IMPORTRANGE(""https://docs.google.com/spreadsheets/d/18T20gbkS_WBjdscyTOV05cvq_JqvqQ17C81mpxf7Ncs/edit?usp=sharing"",""สุราษฎร์ธานี!J86"")"),0)</f>
        <v>0</v>
      </c>
      <c r="AE88" s="103">
        <f ca="1">IFERROR(__xludf.DUMMYFUNCTION("IMPORTRANGE(""https://docs.google.com/spreadsheets/d/18T20gbkS_WBjdscyTOV05cvq_JqvqQ17C81mpxf7Ncs/edit?usp=sharing"",""สุราษฎร์ธานี!J87"")"),0)</f>
        <v>0</v>
      </c>
      <c r="AF88" s="99">
        <f ca="1">IFERROR(__xludf.DUMMYFUNCTION("IMPORTRANGE(""https://docs.google.com/spreadsheets/d/18T20gbkS_WBjdscyTOV05cvq_JqvqQ17C81mpxf7Ncs/edit?usp=sharing"",""สุราษฎร์ธานี!I88"")"),0)</f>
        <v>0</v>
      </c>
      <c r="AG88" s="99">
        <f ca="1">IFERROR(__xludf.DUMMYFUNCTION("IMPORTRANGE(""https://docs.google.com/spreadsheets/d/18T20gbkS_WBjdscyTOV05cvq_JqvqQ17C81mpxf7Ncs/edit?usp=sharing"",""สุราษฎร์ธานี!I89"")"),0)</f>
        <v>0</v>
      </c>
      <c r="AH88" s="103">
        <f ca="1">IFERROR(__xludf.DUMMYFUNCTION("IMPORTRANGE(""https://docs.google.com/spreadsheets/d/18T20gbkS_WBjdscyTOV05cvq_JqvqQ17C81mpxf7Ncs/edit?usp=sharing"",""สุราษฎร์ธานี!J88"")"),0)</f>
        <v>0</v>
      </c>
      <c r="AI88" s="103">
        <f ca="1">IFERROR(__xludf.DUMMYFUNCTION("IMPORTRANGE(""https://docs.google.com/spreadsheets/d/18T20gbkS_WBjdscyTOV05cvq_JqvqQ17C81mpxf7Ncs/edit?usp=sharing"",""สุราษฎร์ธานี!J89"")"),0)</f>
        <v>0</v>
      </c>
      <c r="AJ88" s="99">
        <f ca="1">IFERROR(__xludf.DUMMYFUNCTION("IMPORTRANGE(""https://docs.google.com/spreadsheets/d/18T20gbkS_WBjdscyTOV05cvq_JqvqQ17C81mpxf7Ncs/edit?usp=sharing"",""สุราษฎร์ธานี!I90"")"),0)</f>
        <v>0</v>
      </c>
      <c r="AK88" s="103">
        <f ca="1">IFERROR(__xludf.DUMMYFUNCTION("IMPORTRANGE(""https://docs.google.com/spreadsheets/d/18T20gbkS_WBjdscyTOV05cvq_JqvqQ17C81mpxf7Ncs/edit?usp=sharing"",""สุราษฎร์ธานี!J90"")"),0)</f>
        <v>0</v>
      </c>
      <c r="AL88" s="101">
        <f t="shared" ca="1" si="36"/>
        <v>0</v>
      </c>
    </row>
    <row r="89" spans="1:38" ht="21" customHeight="1" x14ac:dyDescent="0.2">
      <c r="A89" s="398" t="s">
        <v>111</v>
      </c>
      <c r="B89" s="374"/>
      <c r="C89" s="46">
        <f t="shared" ref="C89:Q89" ca="1" si="55">SUM(C90:C106)</f>
        <v>4484200</v>
      </c>
      <c r="D89" s="46">
        <f t="shared" ca="1" si="55"/>
        <v>4484200</v>
      </c>
      <c r="E89" s="46">
        <f t="shared" ca="1" si="55"/>
        <v>1901600</v>
      </c>
      <c r="F89" s="46">
        <f t="shared" ca="1" si="55"/>
        <v>2582600</v>
      </c>
      <c r="G89" s="46">
        <f t="shared" ca="1" si="55"/>
        <v>0</v>
      </c>
      <c r="H89" s="46">
        <f t="shared" ca="1" si="55"/>
        <v>2760700</v>
      </c>
      <c r="I89" s="46">
        <f t="shared" ca="1" si="55"/>
        <v>0</v>
      </c>
      <c r="J89" s="46">
        <f t="shared" ca="1" si="55"/>
        <v>716791.8</v>
      </c>
      <c r="K89" s="48">
        <f t="shared" ca="1" si="55"/>
        <v>15.035054693462225</v>
      </c>
      <c r="L89" s="46">
        <f t="shared" ca="1" si="55"/>
        <v>716791.8</v>
      </c>
      <c r="M89" s="48">
        <f t="shared" ca="1" si="55"/>
        <v>15.035054693462225</v>
      </c>
      <c r="N89" s="48">
        <f t="shared" ca="1" si="55"/>
        <v>123.10628848297745</v>
      </c>
      <c r="O89" s="46">
        <f t="shared" ca="1" si="55"/>
        <v>0</v>
      </c>
      <c r="P89" s="46">
        <f t="shared" ca="1" si="55"/>
        <v>0</v>
      </c>
      <c r="Q89" s="46">
        <f t="shared" ca="1" si="55"/>
        <v>0</v>
      </c>
      <c r="R89" s="46"/>
      <c r="S89" s="46"/>
      <c r="T89" s="46"/>
      <c r="U89" s="49"/>
      <c r="V89" s="46"/>
      <c r="W89" s="49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9"/>
    </row>
    <row r="90" spans="1:38" ht="24" customHeight="1" x14ac:dyDescent="0.25">
      <c r="A90" s="113"/>
      <c r="B90" s="114" t="s">
        <v>112</v>
      </c>
      <c r="C90" s="109">
        <f t="shared" ref="C90:C106" ca="1" si="56">D90+G90</f>
        <v>0</v>
      </c>
      <c r="D90" s="77">
        <f t="shared" ref="D90:D106" ca="1" si="57">+E90+F90</f>
        <v>0</v>
      </c>
      <c r="E90" s="78">
        <f ca="1">IFERROR(__xludf.DUMMYFUNCTION("IMPORTRANGE(""https://docs.google.com/spreadsheets/d/1-uDff_7J0KD5mKrp0Vvzr7lt3OU09vwQwhkpOPPYv2Y/edit?usp=sharing"",""งบพรบ!AN90"")"),0)</f>
        <v>0</v>
      </c>
      <c r="F90" s="78">
        <f ca="1">IFERROR(__xludf.DUMMYFUNCTION("IMPORTRANGE(""https://docs.google.com/spreadsheets/d/1-uDff_7J0KD5mKrp0Vvzr7lt3OU09vwQwhkpOPPYv2Y/edit?usp=sharing"",""งบพรบ!AO90"")"),0)</f>
        <v>0</v>
      </c>
      <c r="G90" s="78">
        <f ca="1">IFERROR(__xludf.DUMMYFUNCTION("IMPORTRANGE(""https://docs.google.com/spreadsheets/d/1-uDff_7J0KD5mKrp0Vvzr7lt3OU09vwQwhkpOPPYv2Y/edit?usp=sharing"",""งบพรบ!AP90"")"),0)</f>
        <v>0</v>
      </c>
      <c r="H90" s="78">
        <f ca="1">IFERROR(__xludf.DUMMYFUNCTION("IMPORTRANGE(""https://docs.google.com/spreadsheets/d/1-uDff_7J0KD5mKrp0Vvzr7lt3OU09vwQwhkpOPPYv2Y/edit?usp=sharing"",""งบพรบ!AR90"")"),0)</f>
        <v>0</v>
      </c>
      <c r="I90" s="78">
        <f ca="1">IFERROR(__xludf.DUMMYFUNCTION("IMPORTRANGE(""https://docs.google.com/spreadsheets/d/1-uDff_7J0KD5mKrp0Vvzr7lt3OU09vwQwhkpOPPYv2Y/edit?usp=sharing"",""งบพรบ!AS90"")"),0)</f>
        <v>0</v>
      </c>
      <c r="J90" s="78">
        <f t="shared" ref="J90:J106" ca="1" si="58">L90+O90</f>
        <v>0</v>
      </c>
      <c r="K90" s="115">
        <f t="shared" ref="K90:K106" ca="1" si="59">IF(C90&gt;0,J90*100/C90,0)</f>
        <v>0</v>
      </c>
      <c r="L90" s="78">
        <f ca="1">IFERROR(__xludf.DUMMYFUNCTION("IMPORTRANGE(""https://docs.google.com/spreadsheets/d/1-uDff_7J0KD5mKrp0Vvzr7lt3OU09vwQwhkpOPPYv2Y/edit?usp=sharing"",""งบพรบ!AT90"")"),0)</f>
        <v>0</v>
      </c>
      <c r="M90" s="81">
        <f t="shared" ref="M90:M106" ca="1" si="60">IF(D90&gt;0,L90*100/D90,0)</f>
        <v>0</v>
      </c>
      <c r="N90" s="81">
        <f t="shared" ref="N90:N106" ca="1" si="61">IF(H90&gt;0,L90*100/H90,0)</f>
        <v>0</v>
      </c>
      <c r="O90" s="82">
        <f ca="1">IFERROR(__xludf.DUMMYFUNCTION("IMPORTRANGE(""https://docs.google.com/spreadsheets/d/1-uDff_7J0KD5mKrp0Vvzr7lt3OU09vwQwhkpOPPYv2Y/edit?usp=sharing"",""งบพรบ!AU90"")"),0)</f>
        <v>0</v>
      </c>
      <c r="P90" s="82">
        <f t="shared" ref="P90:P106" ca="1" si="62">IF(G90&gt;0,O90*100/G90,0)</f>
        <v>0</v>
      </c>
      <c r="Q90" s="81">
        <f t="shared" ref="Q90:Q106" ca="1" si="63">IF(I90&gt;0,O90*100/I90,0)</f>
        <v>0</v>
      </c>
      <c r="R90" s="78"/>
      <c r="S90" s="78"/>
      <c r="T90" s="78"/>
      <c r="U90" s="81"/>
      <c r="V90" s="78"/>
      <c r="W90" s="81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81"/>
    </row>
    <row r="91" spans="1:38" ht="24" customHeight="1" x14ac:dyDescent="0.25">
      <c r="A91" s="116"/>
      <c r="B91" s="117" t="s">
        <v>113</v>
      </c>
      <c r="C91" s="86">
        <f t="shared" ca="1" si="56"/>
        <v>0</v>
      </c>
      <c r="D91" s="87">
        <f t="shared" ca="1" si="57"/>
        <v>0</v>
      </c>
      <c r="E91" s="88">
        <f ca="1">IFERROR(__xludf.DUMMYFUNCTION("IMPORTRANGE(""https://docs.google.com/spreadsheets/d/1-uDff_7J0KD5mKrp0Vvzr7lt3OU09vwQwhkpOPPYv2Y/edit?usp=sharing"",""งบพรบ!AN91"")"),0)</f>
        <v>0</v>
      </c>
      <c r="F91" s="88">
        <f ca="1">IFERROR(__xludf.DUMMYFUNCTION("IMPORTRANGE(""https://docs.google.com/spreadsheets/d/1-uDff_7J0KD5mKrp0Vvzr7lt3OU09vwQwhkpOPPYv2Y/edit?usp=sharing"",""งบพรบ!AO91"")"),0)</f>
        <v>0</v>
      </c>
      <c r="G91" s="88">
        <f ca="1">IFERROR(__xludf.DUMMYFUNCTION("IMPORTRANGE(""https://docs.google.com/spreadsheets/d/1-uDff_7J0KD5mKrp0Vvzr7lt3OU09vwQwhkpOPPYv2Y/edit?usp=sharing"",""งบพรบ!AP91"")"),0)</f>
        <v>0</v>
      </c>
      <c r="H91" s="88">
        <f ca="1">IFERROR(__xludf.DUMMYFUNCTION("IMPORTRANGE(""https://docs.google.com/spreadsheets/d/1-uDff_7J0KD5mKrp0Vvzr7lt3OU09vwQwhkpOPPYv2Y/edit?usp=sharing"",""งบพรบ!AR91"")"),0)</f>
        <v>0</v>
      </c>
      <c r="I91" s="88">
        <f ca="1">IFERROR(__xludf.DUMMYFUNCTION("IMPORTRANGE(""https://docs.google.com/spreadsheets/d/1-uDff_7J0KD5mKrp0Vvzr7lt3OU09vwQwhkpOPPYv2Y/edit?usp=sharing"",""งบพรบ!AS91"")"),0)</f>
        <v>0</v>
      </c>
      <c r="J91" s="88">
        <f t="shared" ca="1" si="58"/>
        <v>0</v>
      </c>
      <c r="K91" s="89">
        <f t="shared" ca="1" si="59"/>
        <v>0</v>
      </c>
      <c r="L91" s="88">
        <f ca="1">IFERROR(__xludf.DUMMYFUNCTION("IMPORTRANGE(""https://docs.google.com/spreadsheets/d/1-uDff_7J0KD5mKrp0Vvzr7lt3OU09vwQwhkpOPPYv2Y/edit?usp=sharing"",""งบพรบ!AT91"")"),0)</f>
        <v>0</v>
      </c>
      <c r="M91" s="90">
        <f t="shared" ca="1" si="60"/>
        <v>0</v>
      </c>
      <c r="N91" s="90">
        <f t="shared" ca="1" si="61"/>
        <v>0</v>
      </c>
      <c r="O91" s="91">
        <f ca="1">IFERROR(__xludf.DUMMYFUNCTION("IMPORTRANGE(""https://docs.google.com/spreadsheets/d/1-uDff_7J0KD5mKrp0Vvzr7lt3OU09vwQwhkpOPPYv2Y/edit?usp=sharing"",""งบพรบ!AU91"")"),0)</f>
        <v>0</v>
      </c>
      <c r="P91" s="91">
        <f t="shared" ca="1" si="62"/>
        <v>0</v>
      </c>
      <c r="Q91" s="90">
        <f t="shared" ca="1" si="63"/>
        <v>0</v>
      </c>
      <c r="R91" s="88"/>
      <c r="S91" s="88"/>
      <c r="T91" s="88"/>
      <c r="U91" s="90"/>
      <c r="V91" s="88"/>
      <c r="W91" s="90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90"/>
    </row>
    <row r="92" spans="1:38" ht="24" customHeight="1" x14ac:dyDescent="0.25">
      <c r="A92" s="116"/>
      <c r="B92" s="117" t="s">
        <v>114</v>
      </c>
      <c r="C92" s="86">
        <f t="shared" ca="1" si="56"/>
        <v>0</v>
      </c>
      <c r="D92" s="87">
        <f t="shared" ca="1" si="57"/>
        <v>0</v>
      </c>
      <c r="E92" s="88">
        <f ca="1">IFERROR(__xludf.DUMMYFUNCTION("IMPORTRANGE(""https://docs.google.com/spreadsheets/d/1-uDff_7J0KD5mKrp0Vvzr7lt3OU09vwQwhkpOPPYv2Y/edit?usp=sharing"",""งบพรบ!AN92"")"),0)</f>
        <v>0</v>
      </c>
      <c r="F92" s="88">
        <f ca="1">IFERROR(__xludf.DUMMYFUNCTION("IMPORTRANGE(""https://docs.google.com/spreadsheets/d/1-uDff_7J0KD5mKrp0Vvzr7lt3OU09vwQwhkpOPPYv2Y/edit?usp=sharing"",""งบพรบ!AO92"")"),0)</f>
        <v>0</v>
      </c>
      <c r="G92" s="88">
        <f ca="1">IFERROR(__xludf.DUMMYFUNCTION("IMPORTRANGE(""https://docs.google.com/spreadsheets/d/1-uDff_7J0KD5mKrp0Vvzr7lt3OU09vwQwhkpOPPYv2Y/edit?usp=sharing"",""งบพรบ!AP92"")"),0)</f>
        <v>0</v>
      </c>
      <c r="H92" s="88">
        <f ca="1">IFERROR(__xludf.DUMMYFUNCTION("IMPORTRANGE(""https://docs.google.com/spreadsheets/d/1-uDff_7J0KD5mKrp0Vvzr7lt3OU09vwQwhkpOPPYv2Y/edit?usp=sharing"",""งบพรบ!AR92"")"),0)</f>
        <v>0</v>
      </c>
      <c r="I92" s="88">
        <f ca="1">IFERROR(__xludf.DUMMYFUNCTION("IMPORTRANGE(""https://docs.google.com/spreadsheets/d/1-uDff_7J0KD5mKrp0Vvzr7lt3OU09vwQwhkpOPPYv2Y/edit?usp=sharing"",""งบพรบ!AS92"")"),0)</f>
        <v>0</v>
      </c>
      <c r="J92" s="88">
        <f t="shared" ca="1" si="58"/>
        <v>0</v>
      </c>
      <c r="K92" s="89">
        <f t="shared" ca="1" si="59"/>
        <v>0</v>
      </c>
      <c r="L92" s="88">
        <f ca="1">IFERROR(__xludf.DUMMYFUNCTION("IMPORTRANGE(""https://docs.google.com/spreadsheets/d/1-uDff_7J0KD5mKrp0Vvzr7lt3OU09vwQwhkpOPPYv2Y/edit?usp=sharing"",""งบพรบ!AT92"")"),0)</f>
        <v>0</v>
      </c>
      <c r="M92" s="90">
        <f t="shared" ca="1" si="60"/>
        <v>0</v>
      </c>
      <c r="N92" s="90">
        <f t="shared" ca="1" si="61"/>
        <v>0</v>
      </c>
      <c r="O92" s="91">
        <f ca="1">IFERROR(__xludf.DUMMYFUNCTION("IMPORTRANGE(""https://docs.google.com/spreadsheets/d/1-uDff_7J0KD5mKrp0Vvzr7lt3OU09vwQwhkpOPPYv2Y/edit?usp=sharing"",""งบพรบ!AU92"")"),0)</f>
        <v>0</v>
      </c>
      <c r="P92" s="91">
        <f t="shared" ca="1" si="62"/>
        <v>0</v>
      </c>
      <c r="Q92" s="90">
        <f t="shared" ca="1" si="63"/>
        <v>0</v>
      </c>
      <c r="R92" s="88"/>
      <c r="S92" s="88"/>
      <c r="T92" s="88"/>
      <c r="U92" s="90"/>
      <c r="V92" s="88"/>
      <c r="W92" s="90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90"/>
    </row>
    <row r="93" spans="1:38" ht="24" customHeight="1" x14ac:dyDescent="0.25">
      <c r="A93" s="116"/>
      <c r="B93" s="117" t="s">
        <v>115</v>
      </c>
      <c r="C93" s="86">
        <f t="shared" ca="1" si="56"/>
        <v>0</v>
      </c>
      <c r="D93" s="87">
        <f t="shared" ca="1" si="57"/>
        <v>0</v>
      </c>
      <c r="E93" s="88">
        <f ca="1">IFERROR(__xludf.DUMMYFUNCTION("IMPORTRANGE(""https://docs.google.com/spreadsheets/d/1-uDff_7J0KD5mKrp0Vvzr7lt3OU09vwQwhkpOPPYv2Y/edit?usp=sharing"",""งบพรบ!AN93"")"),0)</f>
        <v>0</v>
      </c>
      <c r="F93" s="88">
        <f ca="1">IFERROR(__xludf.DUMMYFUNCTION("IMPORTRANGE(""https://docs.google.com/spreadsheets/d/1-uDff_7J0KD5mKrp0Vvzr7lt3OU09vwQwhkpOPPYv2Y/edit?usp=sharing"",""งบพรบ!AO93"")"),0)</f>
        <v>0</v>
      </c>
      <c r="G93" s="88">
        <f ca="1">IFERROR(__xludf.DUMMYFUNCTION("IMPORTRANGE(""https://docs.google.com/spreadsheets/d/1-uDff_7J0KD5mKrp0Vvzr7lt3OU09vwQwhkpOPPYv2Y/edit?usp=sharing"",""งบพรบ!AP93"")"),0)</f>
        <v>0</v>
      </c>
      <c r="H93" s="88">
        <f ca="1">IFERROR(__xludf.DUMMYFUNCTION("IMPORTRANGE(""https://docs.google.com/spreadsheets/d/1-uDff_7J0KD5mKrp0Vvzr7lt3OU09vwQwhkpOPPYv2Y/edit?usp=sharing"",""งบพรบ!AR93"")"),70000)</f>
        <v>70000</v>
      </c>
      <c r="I93" s="88">
        <f ca="1">IFERROR(__xludf.DUMMYFUNCTION("IMPORTRANGE(""https://docs.google.com/spreadsheets/d/1-uDff_7J0KD5mKrp0Vvzr7lt3OU09vwQwhkpOPPYv2Y/edit?usp=sharing"",""งบพรบ!AS93"")"),0)</f>
        <v>0</v>
      </c>
      <c r="J93" s="88">
        <f t="shared" ca="1" si="58"/>
        <v>66661</v>
      </c>
      <c r="K93" s="89">
        <f t="shared" ca="1" si="59"/>
        <v>0</v>
      </c>
      <c r="L93" s="88">
        <f ca="1">IFERROR(__xludf.DUMMYFUNCTION("IMPORTRANGE(""https://docs.google.com/spreadsheets/d/1-uDff_7J0KD5mKrp0Vvzr7lt3OU09vwQwhkpOPPYv2Y/edit?usp=sharing"",""งบพรบ!AT93"")"),66661)</f>
        <v>66661</v>
      </c>
      <c r="M93" s="90">
        <f t="shared" ca="1" si="60"/>
        <v>0</v>
      </c>
      <c r="N93" s="90">
        <f t="shared" ca="1" si="61"/>
        <v>95.23</v>
      </c>
      <c r="O93" s="91">
        <f ca="1">IFERROR(__xludf.DUMMYFUNCTION("IMPORTRANGE(""https://docs.google.com/spreadsheets/d/1-uDff_7J0KD5mKrp0Vvzr7lt3OU09vwQwhkpOPPYv2Y/edit?usp=sharing"",""งบพรบ!AU93"")"),0)</f>
        <v>0</v>
      </c>
      <c r="P93" s="91">
        <f t="shared" ca="1" si="62"/>
        <v>0</v>
      </c>
      <c r="Q93" s="90">
        <f t="shared" ca="1" si="63"/>
        <v>0</v>
      </c>
      <c r="R93" s="88"/>
      <c r="S93" s="88"/>
      <c r="T93" s="88"/>
      <c r="U93" s="90"/>
      <c r="V93" s="88"/>
      <c r="W93" s="90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90"/>
    </row>
    <row r="94" spans="1:38" ht="24" customHeight="1" x14ac:dyDescent="0.25">
      <c r="A94" s="116"/>
      <c r="B94" s="117" t="s">
        <v>116</v>
      </c>
      <c r="C94" s="86">
        <f t="shared" ca="1" si="56"/>
        <v>0</v>
      </c>
      <c r="D94" s="87">
        <f t="shared" ca="1" si="57"/>
        <v>0</v>
      </c>
      <c r="E94" s="88">
        <f ca="1">IFERROR(__xludf.DUMMYFUNCTION("IMPORTRANGE(""https://docs.google.com/spreadsheets/d/1-uDff_7J0KD5mKrp0Vvzr7lt3OU09vwQwhkpOPPYv2Y/edit?usp=sharing"",""งบพรบ!AN94"")"),0)</f>
        <v>0</v>
      </c>
      <c r="F94" s="88">
        <f ca="1">IFERROR(__xludf.DUMMYFUNCTION("IMPORTRANGE(""https://docs.google.com/spreadsheets/d/1-uDff_7J0KD5mKrp0Vvzr7lt3OU09vwQwhkpOPPYv2Y/edit?usp=sharing"",""งบพรบ!AO94"")"),0)</f>
        <v>0</v>
      </c>
      <c r="G94" s="88">
        <f ca="1">IFERROR(__xludf.DUMMYFUNCTION("IMPORTRANGE(""https://docs.google.com/spreadsheets/d/1-uDff_7J0KD5mKrp0Vvzr7lt3OU09vwQwhkpOPPYv2Y/edit?usp=sharing"",""งบพรบ!AP94"")"),0)</f>
        <v>0</v>
      </c>
      <c r="H94" s="88">
        <f ca="1">IFERROR(__xludf.DUMMYFUNCTION("IMPORTRANGE(""https://docs.google.com/spreadsheets/d/1-uDff_7J0KD5mKrp0Vvzr7lt3OU09vwQwhkpOPPYv2Y/edit?usp=sharing"",""งบพรบ!AR94"")"),0)</f>
        <v>0</v>
      </c>
      <c r="I94" s="88">
        <f ca="1">IFERROR(__xludf.DUMMYFUNCTION("IMPORTRANGE(""https://docs.google.com/spreadsheets/d/1-uDff_7J0KD5mKrp0Vvzr7lt3OU09vwQwhkpOPPYv2Y/edit?usp=sharing"",""งบพรบ!AS94"")"),0)</f>
        <v>0</v>
      </c>
      <c r="J94" s="88">
        <f t="shared" ca="1" si="58"/>
        <v>0</v>
      </c>
      <c r="K94" s="89">
        <f t="shared" ca="1" si="59"/>
        <v>0</v>
      </c>
      <c r="L94" s="88">
        <f ca="1">IFERROR(__xludf.DUMMYFUNCTION("IMPORTRANGE(""https://docs.google.com/spreadsheets/d/1-uDff_7J0KD5mKrp0Vvzr7lt3OU09vwQwhkpOPPYv2Y/edit?usp=sharing"",""งบพรบ!AT94"")"),0)</f>
        <v>0</v>
      </c>
      <c r="M94" s="90">
        <f t="shared" ca="1" si="60"/>
        <v>0</v>
      </c>
      <c r="N94" s="90">
        <f t="shared" ca="1" si="61"/>
        <v>0</v>
      </c>
      <c r="O94" s="91">
        <f ca="1">IFERROR(__xludf.DUMMYFUNCTION("IMPORTRANGE(""https://docs.google.com/spreadsheets/d/1-uDff_7J0KD5mKrp0Vvzr7lt3OU09vwQwhkpOPPYv2Y/edit?usp=sharing"",""งบพรบ!AU94"")"),0)</f>
        <v>0</v>
      </c>
      <c r="P94" s="91">
        <f t="shared" ca="1" si="62"/>
        <v>0</v>
      </c>
      <c r="Q94" s="90">
        <f t="shared" ca="1" si="63"/>
        <v>0</v>
      </c>
      <c r="R94" s="88"/>
      <c r="S94" s="88"/>
      <c r="T94" s="88"/>
      <c r="U94" s="90"/>
      <c r="V94" s="88"/>
      <c r="W94" s="90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90"/>
    </row>
    <row r="95" spans="1:38" ht="24" customHeight="1" x14ac:dyDescent="0.25">
      <c r="A95" s="116"/>
      <c r="B95" s="117" t="s">
        <v>117</v>
      </c>
      <c r="C95" s="86">
        <f t="shared" ca="1" si="56"/>
        <v>0</v>
      </c>
      <c r="D95" s="87">
        <f t="shared" ca="1" si="57"/>
        <v>0</v>
      </c>
      <c r="E95" s="88">
        <f ca="1">IFERROR(__xludf.DUMMYFUNCTION("IMPORTRANGE(""https://docs.google.com/spreadsheets/d/1-uDff_7J0KD5mKrp0Vvzr7lt3OU09vwQwhkpOPPYv2Y/edit?usp=sharing"",""งบพรบ!AN95"")"),0)</f>
        <v>0</v>
      </c>
      <c r="F95" s="88">
        <f ca="1">IFERROR(__xludf.DUMMYFUNCTION("IMPORTRANGE(""https://docs.google.com/spreadsheets/d/1-uDff_7J0KD5mKrp0Vvzr7lt3OU09vwQwhkpOPPYv2Y/edit?usp=sharing"",""งบพรบ!AO95"")"),0)</f>
        <v>0</v>
      </c>
      <c r="G95" s="88">
        <f ca="1">IFERROR(__xludf.DUMMYFUNCTION("IMPORTRANGE(""https://docs.google.com/spreadsheets/d/1-uDff_7J0KD5mKrp0Vvzr7lt3OU09vwQwhkpOPPYv2Y/edit?usp=sharing"",""งบพรบ!AP95"")"),0)</f>
        <v>0</v>
      </c>
      <c r="H95" s="88">
        <f ca="1">IFERROR(__xludf.DUMMYFUNCTION("IMPORTRANGE(""https://docs.google.com/spreadsheets/d/1-uDff_7J0KD5mKrp0Vvzr7lt3OU09vwQwhkpOPPYv2Y/edit?usp=sharing"",""งบพรบ!AR95"")"),0)</f>
        <v>0</v>
      </c>
      <c r="I95" s="88">
        <f ca="1">IFERROR(__xludf.DUMMYFUNCTION("IMPORTRANGE(""https://docs.google.com/spreadsheets/d/1-uDff_7J0KD5mKrp0Vvzr7lt3OU09vwQwhkpOPPYv2Y/edit?usp=sharing"",""งบพรบ!AS95"")"),0)</f>
        <v>0</v>
      </c>
      <c r="J95" s="88">
        <f t="shared" ca="1" si="58"/>
        <v>0</v>
      </c>
      <c r="K95" s="89">
        <f t="shared" ca="1" si="59"/>
        <v>0</v>
      </c>
      <c r="L95" s="88">
        <f ca="1">IFERROR(__xludf.DUMMYFUNCTION("IMPORTRANGE(""https://docs.google.com/spreadsheets/d/1-uDff_7J0KD5mKrp0Vvzr7lt3OU09vwQwhkpOPPYv2Y/edit?usp=sharing"",""งบพรบ!AT95"")"),0)</f>
        <v>0</v>
      </c>
      <c r="M95" s="90">
        <f t="shared" ca="1" si="60"/>
        <v>0</v>
      </c>
      <c r="N95" s="90">
        <f t="shared" ca="1" si="61"/>
        <v>0</v>
      </c>
      <c r="O95" s="91">
        <f ca="1">IFERROR(__xludf.DUMMYFUNCTION("IMPORTRANGE(""https://docs.google.com/spreadsheets/d/1-uDff_7J0KD5mKrp0Vvzr7lt3OU09vwQwhkpOPPYv2Y/edit?usp=sharing"",""งบพรบ!AU95"")"),0)</f>
        <v>0</v>
      </c>
      <c r="P95" s="91">
        <f t="shared" ca="1" si="62"/>
        <v>0</v>
      </c>
      <c r="Q95" s="90">
        <f t="shared" ca="1" si="63"/>
        <v>0</v>
      </c>
      <c r="R95" s="88"/>
      <c r="S95" s="88"/>
      <c r="T95" s="88"/>
      <c r="U95" s="90"/>
      <c r="V95" s="88"/>
      <c r="W95" s="90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90"/>
    </row>
    <row r="96" spans="1:38" ht="24" customHeight="1" x14ac:dyDescent="0.25">
      <c r="A96" s="116"/>
      <c r="B96" s="117" t="s">
        <v>118</v>
      </c>
      <c r="C96" s="86">
        <f t="shared" ca="1" si="56"/>
        <v>0</v>
      </c>
      <c r="D96" s="87">
        <f t="shared" ca="1" si="57"/>
        <v>0</v>
      </c>
      <c r="E96" s="88">
        <f ca="1">IFERROR(__xludf.DUMMYFUNCTION("IMPORTRANGE(""https://docs.google.com/spreadsheets/d/1-uDff_7J0KD5mKrp0Vvzr7lt3OU09vwQwhkpOPPYv2Y/edit?usp=sharing"",""งบพรบ!AN96"")"),0)</f>
        <v>0</v>
      </c>
      <c r="F96" s="88">
        <f ca="1">IFERROR(__xludf.DUMMYFUNCTION("IMPORTRANGE(""https://docs.google.com/spreadsheets/d/1-uDff_7J0KD5mKrp0Vvzr7lt3OU09vwQwhkpOPPYv2Y/edit?usp=sharing"",""งบพรบ!AO96"")"),0)</f>
        <v>0</v>
      </c>
      <c r="G96" s="88">
        <f ca="1">IFERROR(__xludf.DUMMYFUNCTION("IMPORTRANGE(""https://docs.google.com/spreadsheets/d/1-uDff_7J0KD5mKrp0Vvzr7lt3OU09vwQwhkpOPPYv2Y/edit?usp=sharing"",""งบพรบ!AP96"")"),0)</f>
        <v>0</v>
      </c>
      <c r="H96" s="88">
        <f ca="1">IFERROR(__xludf.DUMMYFUNCTION("IMPORTRANGE(""https://docs.google.com/spreadsheets/d/1-uDff_7J0KD5mKrp0Vvzr7lt3OU09vwQwhkpOPPYv2Y/edit?usp=sharing"",""งบพรบ!AR96"")"),0)</f>
        <v>0</v>
      </c>
      <c r="I96" s="88">
        <f ca="1">IFERROR(__xludf.DUMMYFUNCTION("IMPORTRANGE(""https://docs.google.com/spreadsheets/d/1-uDff_7J0KD5mKrp0Vvzr7lt3OU09vwQwhkpOPPYv2Y/edit?usp=sharing"",""งบพรบ!AS96"")"),0)</f>
        <v>0</v>
      </c>
      <c r="J96" s="88">
        <f t="shared" ca="1" si="58"/>
        <v>0</v>
      </c>
      <c r="K96" s="89">
        <f t="shared" ca="1" si="59"/>
        <v>0</v>
      </c>
      <c r="L96" s="88">
        <f ca="1">IFERROR(__xludf.DUMMYFUNCTION("IMPORTRANGE(""https://docs.google.com/spreadsheets/d/1-uDff_7J0KD5mKrp0Vvzr7lt3OU09vwQwhkpOPPYv2Y/edit?usp=sharing"",""งบพรบ!AT96"")"),0)</f>
        <v>0</v>
      </c>
      <c r="M96" s="90">
        <f t="shared" ca="1" si="60"/>
        <v>0</v>
      </c>
      <c r="N96" s="90">
        <f t="shared" ca="1" si="61"/>
        <v>0</v>
      </c>
      <c r="O96" s="91">
        <f ca="1">IFERROR(__xludf.DUMMYFUNCTION("IMPORTRANGE(""https://docs.google.com/spreadsheets/d/1-uDff_7J0KD5mKrp0Vvzr7lt3OU09vwQwhkpOPPYv2Y/edit?usp=sharing"",""งบพรบ!AU96"")"),0)</f>
        <v>0</v>
      </c>
      <c r="P96" s="91">
        <f t="shared" ca="1" si="62"/>
        <v>0</v>
      </c>
      <c r="Q96" s="90">
        <f t="shared" ca="1" si="63"/>
        <v>0</v>
      </c>
      <c r="R96" s="88"/>
      <c r="S96" s="88"/>
      <c r="T96" s="88"/>
      <c r="U96" s="90"/>
      <c r="V96" s="88"/>
      <c r="W96" s="90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90"/>
    </row>
    <row r="97" spans="1:38" ht="24" customHeight="1" x14ac:dyDescent="0.25">
      <c r="A97" s="116"/>
      <c r="B97" s="117" t="s">
        <v>119</v>
      </c>
      <c r="C97" s="86">
        <f t="shared" ca="1" si="56"/>
        <v>0</v>
      </c>
      <c r="D97" s="87">
        <f t="shared" ca="1" si="57"/>
        <v>0</v>
      </c>
      <c r="E97" s="88">
        <f ca="1">IFERROR(__xludf.DUMMYFUNCTION("IMPORTRANGE(""https://docs.google.com/spreadsheets/d/1-uDff_7J0KD5mKrp0Vvzr7lt3OU09vwQwhkpOPPYv2Y/edit?usp=sharing"",""งบพรบ!AN97"")"),0)</f>
        <v>0</v>
      </c>
      <c r="F97" s="88">
        <f ca="1">IFERROR(__xludf.DUMMYFUNCTION("IMPORTRANGE(""https://docs.google.com/spreadsheets/d/1-uDff_7J0KD5mKrp0Vvzr7lt3OU09vwQwhkpOPPYv2Y/edit?usp=sharing"",""งบพรบ!AO97"")"),0)</f>
        <v>0</v>
      </c>
      <c r="G97" s="88">
        <f ca="1">IFERROR(__xludf.DUMMYFUNCTION("IMPORTRANGE(""https://docs.google.com/spreadsheets/d/1-uDff_7J0KD5mKrp0Vvzr7lt3OU09vwQwhkpOPPYv2Y/edit?usp=sharing"",""งบพรบ!AP97"")"),0)</f>
        <v>0</v>
      </c>
      <c r="H97" s="88">
        <f ca="1">IFERROR(__xludf.DUMMYFUNCTION("IMPORTRANGE(""https://docs.google.com/spreadsheets/d/1-uDff_7J0KD5mKrp0Vvzr7lt3OU09vwQwhkpOPPYv2Y/edit?usp=sharing"",""งบพรบ!AR97"")"),0)</f>
        <v>0</v>
      </c>
      <c r="I97" s="88">
        <f ca="1">IFERROR(__xludf.DUMMYFUNCTION("IMPORTRANGE(""https://docs.google.com/spreadsheets/d/1-uDff_7J0KD5mKrp0Vvzr7lt3OU09vwQwhkpOPPYv2Y/edit?usp=sharing"",""งบพรบ!AS97"")"),0)</f>
        <v>0</v>
      </c>
      <c r="J97" s="88">
        <f t="shared" ca="1" si="58"/>
        <v>0</v>
      </c>
      <c r="K97" s="89">
        <f t="shared" ca="1" si="59"/>
        <v>0</v>
      </c>
      <c r="L97" s="88">
        <f ca="1">IFERROR(__xludf.DUMMYFUNCTION("IMPORTRANGE(""https://docs.google.com/spreadsheets/d/1-uDff_7J0KD5mKrp0Vvzr7lt3OU09vwQwhkpOPPYv2Y/edit?usp=sharing"",""งบพรบ!AT97"")"),0)</f>
        <v>0</v>
      </c>
      <c r="M97" s="90">
        <f t="shared" ca="1" si="60"/>
        <v>0</v>
      </c>
      <c r="N97" s="90">
        <f t="shared" ca="1" si="61"/>
        <v>0</v>
      </c>
      <c r="O97" s="91">
        <f ca="1">IFERROR(__xludf.DUMMYFUNCTION("IMPORTRANGE(""https://docs.google.com/spreadsheets/d/1-uDff_7J0KD5mKrp0Vvzr7lt3OU09vwQwhkpOPPYv2Y/edit?usp=sharing"",""งบพรบ!AU97"")"),0)</f>
        <v>0</v>
      </c>
      <c r="P97" s="91">
        <f t="shared" ca="1" si="62"/>
        <v>0</v>
      </c>
      <c r="Q97" s="90">
        <f t="shared" ca="1" si="63"/>
        <v>0</v>
      </c>
      <c r="R97" s="88"/>
      <c r="S97" s="88"/>
      <c r="T97" s="88"/>
      <c r="U97" s="90"/>
      <c r="V97" s="88"/>
      <c r="W97" s="90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90"/>
    </row>
    <row r="98" spans="1:38" ht="24" customHeight="1" x14ac:dyDescent="0.25">
      <c r="A98" s="116"/>
      <c r="B98" s="117" t="s">
        <v>120</v>
      </c>
      <c r="C98" s="86">
        <f t="shared" ca="1" si="56"/>
        <v>0</v>
      </c>
      <c r="D98" s="87">
        <f t="shared" ca="1" si="57"/>
        <v>0</v>
      </c>
      <c r="E98" s="88">
        <f ca="1">IFERROR(__xludf.DUMMYFUNCTION("IMPORTRANGE(""https://docs.google.com/spreadsheets/d/1-uDff_7J0KD5mKrp0Vvzr7lt3OU09vwQwhkpOPPYv2Y/edit?usp=sharing"",""งบพรบ!AN98"")"),0)</f>
        <v>0</v>
      </c>
      <c r="F98" s="88">
        <f ca="1">IFERROR(__xludf.DUMMYFUNCTION("IMPORTRANGE(""https://docs.google.com/spreadsheets/d/1-uDff_7J0KD5mKrp0Vvzr7lt3OU09vwQwhkpOPPYv2Y/edit?usp=sharing"",""งบพรบ!AO98"")"),0)</f>
        <v>0</v>
      </c>
      <c r="G98" s="88">
        <f ca="1">IFERROR(__xludf.DUMMYFUNCTION("IMPORTRANGE(""https://docs.google.com/spreadsheets/d/1-uDff_7J0KD5mKrp0Vvzr7lt3OU09vwQwhkpOPPYv2Y/edit?usp=sharing"",""งบพรบ!AP98"")"),0)</f>
        <v>0</v>
      </c>
      <c r="H98" s="88">
        <f ca="1">IFERROR(__xludf.DUMMYFUNCTION("IMPORTRANGE(""https://docs.google.com/spreadsheets/d/1-uDff_7J0KD5mKrp0Vvzr7lt3OU09vwQwhkpOPPYv2Y/edit?usp=sharing"",""งบพรบ!AR98"")"),0)</f>
        <v>0</v>
      </c>
      <c r="I98" s="88">
        <f ca="1">IFERROR(__xludf.DUMMYFUNCTION("IMPORTRANGE(""https://docs.google.com/spreadsheets/d/1-uDff_7J0KD5mKrp0Vvzr7lt3OU09vwQwhkpOPPYv2Y/edit?usp=sharing"",""งบพรบ!AS98"")"),0)</f>
        <v>0</v>
      </c>
      <c r="J98" s="88">
        <f t="shared" ca="1" si="58"/>
        <v>0</v>
      </c>
      <c r="K98" s="89">
        <f t="shared" ca="1" si="59"/>
        <v>0</v>
      </c>
      <c r="L98" s="88">
        <f ca="1">IFERROR(__xludf.DUMMYFUNCTION("IMPORTRANGE(""https://docs.google.com/spreadsheets/d/1-uDff_7J0KD5mKrp0Vvzr7lt3OU09vwQwhkpOPPYv2Y/edit?usp=sharing"",""งบพรบ!AT98"")"),0)</f>
        <v>0</v>
      </c>
      <c r="M98" s="90">
        <f t="shared" ca="1" si="60"/>
        <v>0</v>
      </c>
      <c r="N98" s="90">
        <f t="shared" ca="1" si="61"/>
        <v>0</v>
      </c>
      <c r="O98" s="91">
        <f ca="1">IFERROR(__xludf.DUMMYFUNCTION("IMPORTRANGE(""https://docs.google.com/spreadsheets/d/1-uDff_7J0KD5mKrp0Vvzr7lt3OU09vwQwhkpOPPYv2Y/edit?usp=sharing"",""งบพรบ!AU98"")"),0)</f>
        <v>0</v>
      </c>
      <c r="P98" s="91">
        <f t="shared" ca="1" si="62"/>
        <v>0</v>
      </c>
      <c r="Q98" s="90">
        <f t="shared" ca="1" si="63"/>
        <v>0</v>
      </c>
      <c r="R98" s="88"/>
      <c r="S98" s="88"/>
      <c r="T98" s="88"/>
      <c r="U98" s="90"/>
      <c r="V98" s="88"/>
      <c r="W98" s="90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90"/>
    </row>
    <row r="99" spans="1:38" ht="24" customHeight="1" x14ac:dyDescent="0.25">
      <c r="A99" s="116"/>
      <c r="B99" s="117" t="s">
        <v>121</v>
      </c>
      <c r="C99" s="86">
        <f t="shared" ca="1" si="56"/>
        <v>0</v>
      </c>
      <c r="D99" s="87">
        <f t="shared" ca="1" si="57"/>
        <v>0</v>
      </c>
      <c r="E99" s="88">
        <f ca="1">IFERROR(__xludf.DUMMYFUNCTION("IMPORTRANGE(""https://docs.google.com/spreadsheets/d/1-uDff_7J0KD5mKrp0Vvzr7lt3OU09vwQwhkpOPPYv2Y/edit?usp=sharing"",""งบพรบ!AN99"")"),0)</f>
        <v>0</v>
      </c>
      <c r="F99" s="88">
        <f ca="1">IFERROR(__xludf.DUMMYFUNCTION("IMPORTRANGE(""https://docs.google.com/spreadsheets/d/1-uDff_7J0KD5mKrp0Vvzr7lt3OU09vwQwhkpOPPYv2Y/edit?usp=sharing"",""งบพรบ!AO99"")"),0)</f>
        <v>0</v>
      </c>
      <c r="G99" s="88">
        <f ca="1">IFERROR(__xludf.DUMMYFUNCTION("IMPORTRANGE(""https://docs.google.com/spreadsheets/d/1-uDff_7J0KD5mKrp0Vvzr7lt3OU09vwQwhkpOPPYv2Y/edit?usp=sharing"",""งบพรบ!AP99"")"),0)</f>
        <v>0</v>
      </c>
      <c r="H99" s="88">
        <f ca="1">IFERROR(__xludf.DUMMYFUNCTION("IMPORTRANGE(""https://docs.google.com/spreadsheets/d/1-uDff_7J0KD5mKrp0Vvzr7lt3OU09vwQwhkpOPPYv2Y/edit?usp=sharing"",""งบพรบ!AR99"")"),0)</f>
        <v>0</v>
      </c>
      <c r="I99" s="88">
        <f ca="1">IFERROR(__xludf.DUMMYFUNCTION("IMPORTRANGE(""https://docs.google.com/spreadsheets/d/1-uDff_7J0KD5mKrp0Vvzr7lt3OU09vwQwhkpOPPYv2Y/edit?usp=sharing"",""งบพรบ!AS99"")"),0)</f>
        <v>0</v>
      </c>
      <c r="J99" s="88">
        <f t="shared" ca="1" si="58"/>
        <v>0</v>
      </c>
      <c r="K99" s="89">
        <f t="shared" ca="1" si="59"/>
        <v>0</v>
      </c>
      <c r="L99" s="88">
        <f ca="1">IFERROR(__xludf.DUMMYFUNCTION("IMPORTRANGE(""https://docs.google.com/spreadsheets/d/1-uDff_7J0KD5mKrp0Vvzr7lt3OU09vwQwhkpOPPYv2Y/edit?usp=sharing"",""งบพรบ!AT99"")"),0)</f>
        <v>0</v>
      </c>
      <c r="M99" s="90">
        <f t="shared" ca="1" si="60"/>
        <v>0</v>
      </c>
      <c r="N99" s="90">
        <f t="shared" ca="1" si="61"/>
        <v>0</v>
      </c>
      <c r="O99" s="91">
        <f ca="1">IFERROR(__xludf.DUMMYFUNCTION("IMPORTRANGE(""https://docs.google.com/spreadsheets/d/1-uDff_7J0KD5mKrp0Vvzr7lt3OU09vwQwhkpOPPYv2Y/edit?usp=sharing"",""งบพรบ!AU99"")"),0)</f>
        <v>0</v>
      </c>
      <c r="P99" s="91">
        <f t="shared" ca="1" si="62"/>
        <v>0</v>
      </c>
      <c r="Q99" s="90">
        <f t="shared" ca="1" si="63"/>
        <v>0</v>
      </c>
      <c r="R99" s="88"/>
      <c r="S99" s="88"/>
      <c r="T99" s="88"/>
      <c r="U99" s="90"/>
      <c r="V99" s="88"/>
      <c r="W99" s="90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90"/>
    </row>
    <row r="100" spans="1:38" ht="24" customHeight="1" x14ac:dyDescent="0.25">
      <c r="A100" s="116"/>
      <c r="B100" s="117" t="s">
        <v>122</v>
      </c>
      <c r="C100" s="86">
        <f t="shared" ca="1" si="56"/>
        <v>0</v>
      </c>
      <c r="D100" s="87">
        <f t="shared" ca="1" si="57"/>
        <v>0</v>
      </c>
      <c r="E100" s="88">
        <f ca="1">IFERROR(__xludf.DUMMYFUNCTION("IMPORTRANGE(""https://docs.google.com/spreadsheets/d/1-uDff_7J0KD5mKrp0Vvzr7lt3OU09vwQwhkpOPPYv2Y/edit?usp=sharing"",""งบพรบ!AN100"")"),0)</f>
        <v>0</v>
      </c>
      <c r="F100" s="88">
        <f ca="1">IFERROR(__xludf.DUMMYFUNCTION("IMPORTRANGE(""https://docs.google.com/spreadsheets/d/1-uDff_7J0KD5mKrp0Vvzr7lt3OU09vwQwhkpOPPYv2Y/edit?usp=sharing"",""งบพรบ!AO100"")"),0)</f>
        <v>0</v>
      </c>
      <c r="G100" s="88">
        <f ca="1">IFERROR(__xludf.DUMMYFUNCTION("IMPORTRANGE(""https://docs.google.com/spreadsheets/d/1-uDff_7J0KD5mKrp0Vvzr7lt3OU09vwQwhkpOPPYv2Y/edit?usp=sharing"",""งบพรบ!AP100"")"),0)</f>
        <v>0</v>
      </c>
      <c r="H100" s="88">
        <f ca="1">IFERROR(__xludf.DUMMYFUNCTION("IMPORTRANGE(""https://docs.google.com/spreadsheets/d/1-uDff_7J0KD5mKrp0Vvzr7lt3OU09vwQwhkpOPPYv2Y/edit?usp=sharing"",""งบพรบ!AR100"")"),0)</f>
        <v>0</v>
      </c>
      <c r="I100" s="88">
        <f ca="1">IFERROR(__xludf.DUMMYFUNCTION("IMPORTRANGE(""https://docs.google.com/spreadsheets/d/1-uDff_7J0KD5mKrp0Vvzr7lt3OU09vwQwhkpOPPYv2Y/edit?usp=sharing"",""งบพรบ!AS100"")"),0)</f>
        <v>0</v>
      </c>
      <c r="J100" s="88">
        <f t="shared" ca="1" si="58"/>
        <v>0</v>
      </c>
      <c r="K100" s="89">
        <f t="shared" ca="1" si="59"/>
        <v>0</v>
      </c>
      <c r="L100" s="88">
        <f ca="1">IFERROR(__xludf.DUMMYFUNCTION("IMPORTRANGE(""https://docs.google.com/spreadsheets/d/1-uDff_7J0KD5mKrp0Vvzr7lt3OU09vwQwhkpOPPYv2Y/edit?usp=sharing"",""งบพรบ!AT100"")"),0)</f>
        <v>0</v>
      </c>
      <c r="M100" s="90">
        <f t="shared" ca="1" si="60"/>
        <v>0</v>
      </c>
      <c r="N100" s="90">
        <f t="shared" ca="1" si="61"/>
        <v>0</v>
      </c>
      <c r="O100" s="91">
        <f ca="1">IFERROR(__xludf.DUMMYFUNCTION("IMPORTRANGE(""https://docs.google.com/spreadsheets/d/1-uDff_7J0KD5mKrp0Vvzr7lt3OU09vwQwhkpOPPYv2Y/edit?usp=sharing"",""งบพรบ!AU100"")"),0)</f>
        <v>0</v>
      </c>
      <c r="P100" s="91">
        <f t="shared" ca="1" si="62"/>
        <v>0</v>
      </c>
      <c r="Q100" s="90">
        <f t="shared" ca="1" si="63"/>
        <v>0</v>
      </c>
      <c r="R100" s="88"/>
      <c r="S100" s="88"/>
      <c r="T100" s="88"/>
      <c r="U100" s="90"/>
      <c r="V100" s="88"/>
      <c r="W100" s="90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90"/>
    </row>
    <row r="101" spans="1:38" ht="24" customHeight="1" x14ac:dyDescent="0.25">
      <c r="A101" s="116"/>
      <c r="B101" s="117" t="s">
        <v>123</v>
      </c>
      <c r="C101" s="86">
        <f t="shared" ca="1" si="56"/>
        <v>4324100</v>
      </c>
      <c r="D101" s="87">
        <f t="shared" ca="1" si="57"/>
        <v>4324100</v>
      </c>
      <c r="E101" s="88">
        <f ca="1">IFERROR(__xludf.DUMMYFUNCTION("IMPORTRANGE(""https://docs.google.com/spreadsheets/d/1-uDff_7J0KD5mKrp0Vvzr7lt3OU09vwQwhkpOPPYv2Y/edit?usp=sharing"",""งบพรบ!AN101"")"),1741500)</f>
        <v>1741500</v>
      </c>
      <c r="F101" s="88">
        <f ca="1">IFERROR(__xludf.DUMMYFUNCTION("IMPORTRANGE(""https://docs.google.com/spreadsheets/d/1-uDff_7J0KD5mKrp0Vvzr7lt3OU09vwQwhkpOPPYv2Y/edit?usp=sharing"",""งบพรบ!AO101"")"),2582600)</f>
        <v>2582600</v>
      </c>
      <c r="G101" s="88">
        <f ca="1">IFERROR(__xludf.DUMMYFUNCTION("IMPORTRANGE(""https://docs.google.com/spreadsheets/d/1-uDff_7J0KD5mKrp0Vvzr7lt3OU09vwQwhkpOPPYv2Y/edit?usp=sharing"",""งบพรบ!AP101"")"),0)</f>
        <v>0</v>
      </c>
      <c r="H101" s="88">
        <f ca="1">IFERROR(__xludf.DUMMYFUNCTION("IMPORTRANGE(""https://docs.google.com/spreadsheets/d/1-uDff_7J0KD5mKrp0Vvzr7lt3OU09vwQwhkpOPPYv2Y/edit?usp=sharing"",""งบพรบ!AR101"")"),2332200)</f>
        <v>2332200</v>
      </c>
      <c r="I101" s="88">
        <f ca="1">IFERROR(__xludf.DUMMYFUNCTION("IMPORTRANGE(""https://docs.google.com/spreadsheets/d/1-uDff_7J0KD5mKrp0Vvzr7lt3OU09vwQwhkpOPPYv2Y/edit?usp=sharing"",""งบพรบ!AS101"")"),0)</f>
        <v>0</v>
      </c>
      <c r="J101" s="88">
        <f t="shared" ca="1" si="58"/>
        <v>650130.80000000005</v>
      </c>
      <c r="K101" s="89">
        <f t="shared" ca="1" si="59"/>
        <v>15.035054693462225</v>
      </c>
      <c r="L101" s="88">
        <f ca="1">IFERROR(__xludf.DUMMYFUNCTION("IMPORTRANGE(""https://docs.google.com/spreadsheets/d/1-uDff_7J0KD5mKrp0Vvzr7lt3OU09vwQwhkpOPPYv2Y/edit?usp=sharing"",""งบพรบ!AT101"")"),650130.8)</f>
        <v>650130.80000000005</v>
      </c>
      <c r="M101" s="90">
        <f t="shared" ca="1" si="60"/>
        <v>15.035054693462225</v>
      </c>
      <c r="N101" s="90">
        <f t="shared" ca="1" si="61"/>
        <v>27.876288482977451</v>
      </c>
      <c r="O101" s="91">
        <f ca="1">IFERROR(__xludf.DUMMYFUNCTION("IMPORTRANGE(""https://docs.google.com/spreadsheets/d/1-uDff_7J0KD5mKrp0Vvzr7lt3OU09vwQwhkpOPPYv2Y/edit?usp=sharing"",""งบพรบ!AU101"")"),0)</f>
        <v>0</v>
      </c>
      <c r="P101" s="91">
        <f t="shared" ca="1" si="62"/>
        <v>0</v>
      </c>
      <c r="Q101" s="90">
        <f t="shared" ca="1" si="63"/>
        <v>0</v>
      </c>
      <c r="R101" s="88"/>
      <c r="S101" s="88"/>
      <c r="T101" s="88"/>
      <c r="U101" s="90"/>
      <c r="V101" s="88"/>
      <c r="W101" s="90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90"/>
    </row>
    <row r="102" spans="1:38" ht="24" customHeight="1" x14ac:dyDescent="0.25">
      <c r="A102" s="116"/>
      <c r="B102" s="117" t="s">
        <v>124</v>
      </c>
      <c r="C102" s="86">
        <f t="shared" ca="1" si="56"/>
        <v>0</v>
      </c>
      <c r="D102" s="87">
        <f t="shared" ca="1" si="57"/>
        <v>0</v>
      </c>
      <c r="E102" s="88">
        <f ca="1">IFERROR(__xludf.DUMMYFUNCTION("IMPORTRANGE(""https://docs.google.com/spreadsheets/d/1-uDff_7J0KD5mKrp0Vvzr7lt3OU09vwQwhkpOPPYv2Y/edit?usp=sharing"",""งบพรบ!AN102"")"),0)</f>
        <v>0</v>
      </c>
      <c r="F102" s="88">
        <f ca="1">IFERROR(__xludf.DUMMYFUNCTION("IMPORTRANGE(""https://docs.google.com/spreadsheets/d/1-uDff_7J0KD5mKrp0Vvzr7lt3OU09vwQwhkpOPPYv2Y/edit?usp=sharing"",""งบพรบ!AO102"")"),0)</f>
        <v>0</v>
      </c>
      <c r="G102" s="88">
        <f ca="1">IFERROR(__xludf.DUMMYFUNCTION("IMPORTRANGE(""https://docs.google.com/spreadsheets/d/1-uDff_7J0KD5mKrp0Vvzr7lt3OU09vwQwhkpOPPYv2Y/edit?usp=sharing"",""งบพรบ!AP102"")"),0)</f>
        <v>0</v>
      </c>
      <c r="H102" s="88">
        <f ca="1">IFERROR(__xludf.DUMMYFUNCTION("IMPORTRANGE(""https://docs.google.com/spreadsheets/d/1-uDff_7J0KD5mKrp0Vvzr7lt3OU09vwQwhkpOPPYv2Y/edit?usp=sharing"",""งบพรบ!AR102"")"),0)</f>
        <v>0</v>
      </c>
      <c r="I102" s="88">
        <f ca="1">IFERROR(__xludf.DUMMYFUNCTION("IMPORTRANGE(""https://docs.google.com/spreadsheets/d/1-uDff_7J0KD5mKrp0Vvzr7lt3OU09vwQwhkpOPPYv2Y/edit?usp=sharing"",""งบพรบ!AS102"")"),0)</f>
        <v>0</v>
      </c>
      <c r="J102" s="88">
        <f t="shared" ca="1" si="58"/>
        <v>0</v>
      </c>
      <c r="K102" s="89">
        <f t="shared" ca="1" si="59"/>
        <v>0</v>
      </c>
      <c r="L102" s="88">
        <f ca="1">IFERROR(__xludf.DUMMYFUNCTION("IMPORTRANGE(""https://docs.google.com/spreadsheets/d/1-uDff_7J0KD5mKrp0Vvzr7lt3OU09vwQwhkpOPPYv2Y/edit?usp=sharing"",""งบพรบ!AT102"")"),0)</f>
        <v>0</v>
      </c>
      <c r="M102" s="90">
        <f t="shared" ca="1" si="60"/>
        <v>0</v>
      </c>
      <c r="N102" s="90">
        <f t="shared" ca="1" si="61"/>
        <v>0</v>
      </c>
      <c r="O102" s="91">
        <f ca="1">IFERROR(__xludf.DUMMYFUNCTION("IMPORTRANGE(""https://docs.google.com/spreadsheets/d/1-uDff_7J0KD5mKrp0Vvzr7lt3OU09vwQwhkpOPPYv2Y/edit?usp=sharing"",""งบพรบ!AU102"")"),0)</f>
        <v>0</v>
      </c>
      <c r="P102" s="91">
        <f t="shared" ca="1" si="62"/>
        <v>0</v>
      </c>
      <c r="Q102" s="90">
        <f t="shared" ca="1" si="63"/>
        <v>0</v>
      </c>
      <c r="R102" s="88"/>
      <c r="S102" s="88"/>
      <c r="T102" s="88"/>
      <c r="U102" s="90"/>
      <c r="V102" s="88"/>
      <c r="W102" s="90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90"/>
    </row>
    <row r="103" spans="1:38" ht="24" customHeight="1" x14ac:dyDescent="0.25">
      <c r="A103" s="116"/>
      <c r="B103" s="117" t="s">
        <v>125</v>
      </c>
      <c r="C103" s="86">
        <f t="shared" ca="1" si="56"/>
        <v>0</v>
      </c>
      <c r="D103" s="87">
        <f t="shared" ca="1" si="57"/>
        <v>0</v>
      </c>
      <c r="E103" s="88">
        <f ca="1">IFERROR(__xludf.DUMMYFUNCTION("IMPORTRANGE(""https://docs.google.com/spreadsheets/d/1-uDff_7J0KD5mKrp0Vvzr7lt3OU09vwQwhkpOPPYv2Y/edit?usp=sharing"",""งบพรบ!AN103"")"),0)</f>
        <v>0</v>
      </c>
      <c r="F103" s="88">
        <f ca="1">IFERROR(__xludf.DUMMYFUNCTION("IMPORTRANGE(""https://docs.google.com/spreadsheets/d/1-uDff_7J0KD5mKrp0Vvzr7lt3OU09vwQwhkpOPPYv2Y/edit?usp=sharing"",""งบพรบ!AO103"")"),0)</f>
        <v>0</v>
      </c>
      <c r="G103" s="88">
        <f ca="1">IFERROR(__xludf.DUMMYFUNCTION("IMPORTRANGE(""https://docs.google.com/spreadsheets/d/1-uDff_7J0KD5mKrp0Vvzr7lt3OU09vwQwhkpOPPYv2Y/edit?usp=sharing"",""งบพรบ!AP103"")"),0)</f>
        <v>0</v>
      </c>
      <c r="H103" s="88">
        <f ca="1">IFERROR(__xludf.DUMMYFUNCTION("IMPORTRANGE(""https://docs.google.com/spreadsheets/d/1-uDff_7J0KD5mKrp0Vvzr7lt3OU09vwQwhkpOPPYv2Y/edit?usp=sharing"",""งบพรบ!AR103"")"),0)</f>
        <v>0</v>
      </c>
      <c r="I103" s="88">
        <f ca="1">IFERROR(__xludf.DUMMYFUNCTION("IMPORTRANGE(""https://docs.google.com/spreadsheets/d/1-uDff_7J0KD5mKrp0Vvzr7lt3OU09vwQwhkpOPPYv2Y/edit?usp=sharing"",""งบพรบ!AS103"")"),0)</f>
        <v>0</v>
      </c>
      <c r="J103" s="88">
        <f t="shared" ca="1" si="58"/>
        <v>0</v>
      </c>
      <c r="K103" s="89">
        <f t="shared" ca="1" si="59"/>
        <v>0</v>
      </c>
      <c r="L103" s="88">
        <f ca="1">IFERROR(__xludf.DUMMYFUNCTION("IMPORTRANGE(""https://docs.google.com/spreadsheets/d/1-uDff_7J0KD5mKrp0Vvzr7lt3OU09vwQwhkpOPPYv2Y/edit?usp=sharing"",""งบพรบ!AT103"")"),0)</f>
        <v>0</v>
      </c>
      <c r="M103" s="90">
        <f t="shared" ca="1" si="60"/>
        <v>0</v>
      </c>
      <c r="N103" s="90">
        <f t="shared" ca="1" si="61"/>
        <v>0</v>
      </c>
      <c r="O103" s="91">
        <f ca="1">IFERROR(__xludf.DUMMYFUNCTION("IMPORTRANGE(""https://docs.google.com/spreadsheets/d/1-uDff_7J0KD5mKrp0Vvzr7lt3OU09vwQwhkpOPPYv2Y/edit?usp=sharing"",""งบพรบ!AU103"")"),0)</f>
        <v>0</v>
      </c>
      <c r="P103" s="91">
        <f t="shared" ca="1" si="62"/>
        <v>0</v>
      </c>
      <c r="Q103" s="90">
        <f t="shared" ca="1" si="63"/>
        <v>0</v>
      </c>
      <c r="R103" s="88"/>
      <c r="S103" s="88"/>
      <c r="T103" s="88"/>
      <c r="U103" s="90"/>
      <c r="V103" s="88"/>
      <c r="W103" s="90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90"/>
    </row>
    <row r="104" spans="1:38" ht="24" customHeight="1" x14ac:dyDescent="0.25">
      <c r="A104" s="116"/>
      <c r="B104" s="117" t="s">
        <v>126</v>
      </c>
      <c r="C104" s="86">
        <f t="shared" ca="1" si="56"/>
        <v>160100</v>
      </c>
      <c r="D104" s="87">
        <f t="shared" ca="1" si="57"/>
        <v>160100</v>
      </c>
      <c r="E104" s="88">
        <f ca="1">IFERROR(__xludf.DUMMYFUNCTION("IMPORTRANGE(""https://docs.google.com/spreadsheets/d/1-uDff_7J0KD5mKrp0Vvzr7lt3OU09vwQwhkpOPPYv2Y/edit?usp=sharing"",""งบพรบ!AN104"")"),160100)</f>
        <v>160100</v>
      </c>
      <c r="F104" s="88">
        <f ca="1">IFERROR(__xludf.DUMMYFUNCTION("IMPORTRANGE(""https://docs.google.com/spreadsheets/d/1-uDff_7J0KD5mKrp0Vvzr7lt3OU09vwQwhkpOPPYv2Y/edit?usp=sharing"",""งบพรบ!AO104"")"),0)</f>
        <v>0</v>
      </c>
      <c r="G104" s="88">
        <f ca="1">IFERROR(__xludf.DUMMYFUNCTION("IMPORTRANGE(""https://docs.google.com/spreadsheets/d/1-uDff_7J0KD5mKrp0Vvzr7lt3OU09vwQwhkpOPPYv2Y/edit?usp=sharing"",""งบพรบ!AP104"")"),0)</f>
        <v>0</v>
      </c>
      <c r="H104" s="88">
        <f ca="1">IFERROR(__xludf.DUMMYFUNCTION("IMPORTRANGE(""https://docs.google.com/spreadsheets/d/1-uDff_7J0KD5mKrp0Vvzr7lt3OU09vwQwhkpOPPYv2Y/edit?usp=sharing"",""งบพรบ!AR104"")"),358500)</f>
        <v>358500</v>
      </c>
      <c r="I104" s="88">
        <f ca="1">IFERROR(__xludf.DUMMYFUNCTION("IMPORTRANGE(""https://docs.google.com/spreadsheets/d/1-uDff_7J0KD5mKrp0Vvzr7lt3OU09vwQwhkpOPPYv2Y/edit?usp=sharing"",""งบพรบ!AS104"")"),0)</f>
        <v>0</v>
      </c>
      <c r="J104" s="88">
        <f t="shared" ca="1" si="58"/>
        <v>0</v>
      </c>
      <c r="K104" s="89">
        <f t="shared" ca="1" si="59"/>
        <v>0</v>
      </c>
      <c r="L104" s="88">
        <f ca="1">IFERROR(__xludf.DUMMYFUNCTION("IMPORTRANGE(""https://docs.google.com/spreadsheets/d/1-uDff_7J0KD5mKrp0Vvzr7lt3OU09vwQwhkpOPPYv2Y/edit?usp=sharing"",""งบพรบ!AT104"")"),0)</f>
        <v>0</v>
      </c>
      <c r="M104" s="90">
        <f t="shared" ca="1" si="60"/>
        <v>0</v>
      </c>
      <c r="N104" s="90">
        <f t="shared" ca="1" si="61"/>
        <v>0</v>
      </c>
      <c r="O104" s="91">
        <f ca="1">IFERROR(__xludf.DUMMYFUNCTION("IMPORTRANGE(""https://docs.google.com/spreadsheets/d/1-uDff_7J0KD5mKrp0Vvzr7lt3OU09vwQwhkpOPPYv2Y/edit?usp=sharing"",""งบพรบ!AU104"")"),0)</f>
        <v>0</v>
      </c>
      <c r="P104" s="91">
        <f t="shared" ca="1" si="62"/>
        <v>0</v>
      </c>
      <c r="Q104" s="90">
        <f t="shared" ca="1" si="63"/>
        <v>0</v>
      </c>
      <c r="R104" s="88"/>
      <c r="S104" s="88"/>
      <c r="T104" s="88"/>
      <c r="U104" s="90"/>
      <c r="V104" s="88"/>
      <c r="W104" s="90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90"/>
    </row>
    <row r="105" spans="1:38" ht="24" customHeight="1" x14ac:dyDescent="0.25">
      <c r="A105" s="116"/>
      <c r="B105" s="118" t="s">
        <v>127</v>
      </c>
      <c r="C105" s="86">
        <f t="shared" ca="1" si="56"/>
        <v>0</v>
      </c>
      <c r="D105" s="87">
        <f t="shared" ca="1" si="57"/>
        <v>0</v>
      </c>
      <c r="E105" s="88">
        <f ca="1">IFERROR(__xludf.DUMMYFUNCTION("IMPORTRANGE(""https://docs.google.com/spreadsheets/d/1-uDff_7J0KD5mKrp0Vvzr7lt3OU09vwQwhkpOPPYv2Y/edit?usp=sharing"",""งบพรบ!AN105"")"),0)</f>
        <v>0</v>
      </c>
      <c r="F105" s="88">
        <f ca="1">IFERROR(__xludf.DUMMYFUNCTION("IMPORTRANGE(""https://docs.google.com/spreadsheets/d/1-uDff_7J0KD5mKrp0Vvzr7lt3OU09vwQwhkpOPPYv2Y/edit?usp=sharing"",""งบพรบ!AO105"")"),0)</f>
        <v>0</v>
      </c>
      <c r="G105" s="88">
        <f ca="1">IFERROR(__xludf.DUMMYFUNCTION("IMPORTRANGE(""https://docs.google.com/spreadsheets/d/1-uDff_7J0KD5mKrp0Vvzr7lt3OU09vwQwhkpOPPYv2Y/edit?usp=sharing"",""งบพรบ!AP105"")"),0)</f>
        <v>0</v>
      </c>
      <c r="H105" s="88">
        <f ca="1">IFERROR(__xludf.DUMMYFUNCTION("IMPORTRANGE(""https://docs.google.com/spreadsheets/d/1-uDff_7J0KD5mKrp0Vvzr7lt3OU09vwQwhkpOPPYv2Y/edit?usp=sharing"",""งบพรบ!AR105"")"),0)</f>
        <v>0</v>
      </c>
      <c r="I105" s="88">
        <f ca="1">IFERROR(__xludf.DUMMYFUNCTION("IMPORTRANGE(""https://docs.google.com/spreadsheets/d/1-uDff_7J0KD5mKrp0Vvzr7lt3OU09vwQwhkpOPPYv2Y/edit?usp=sharing"",""งบพรบ!AS105"")"),0)</f>
        <v>0</v>
      </c>
      <c r="J105" s="88">
        <f t="shared" ca="1" si="58"/>
        <v>0</v>
      </c>
      <c r="K105" s="89">
        <f t="shared" ca="1" si="59"/>
        <v>0</v>
      </c>
      <c r="L105" s="88">
        <f ca="1">IFERROR(__xludf.DUMMYFUNCTION("IMPORTRANGE(""https://docs.google.com/spreadsheets/d/1-uDff_7J0KD5mKrp0Vvzr7lt3OU09vwQwhkpOPPYv2Y/edit?usp=sharing"",""งบพรบ!AT105"")"),0)</f>
        <v>0</v>
      </c>
      <c r="M105" s="90">
        <f t="shared" ca="1" si="60"/>
        <v>0</v>
      </c>
      <c r="N105" s="90">
        <f t="shared" ca="1" si="61"/>
        <v>0</v>
      </c>
      <c r="O105" s="91">
        <f ca="1">IFERROR(__xludf.DUMMYFUNCTION("IMPORTRANGE(""https://docs.google.com/spreadsheets/d/1-uDff_7J0KD5mKrp0Vvzr7lt3OU09vwQwhkpOPPYv2Y/edit?usp=sharing"",""งบพรบ!AU105"")"),0)</f>
        <v>0</v>
      </c>
      <c r="P105" s="91">
        <f t="shared" ca="1" si="62"/>
        <v>0</v>
      </c>
      <c r="Q105" s="90">
        <f t="shared" ca="1" si="63"/>
        <v>0</v>
      </c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</row>
    <row r="106" spans="1:38" ht="24" customHeight="1" x14ac:dyDescent="0.25">
      <c r="A106" s="119"/>
      <c r="B106" s="120" t="s">
        <v>128</v>
      </c>
      <c r="C106" s="97">
        <f t="shared" ca="1" si="56"/>
        <v>0</v>
      </c>
      <c r="D106" s="98">
        <f t="shared" ca="1" si="57"/>
        <v>0</v>
      </c>
      <c r="E106" s="99">
        <f ca="1">IFERROR(__xludf.DUMMYFUNCTION("IMPORTRANGE(""https://docs.google.com/spreadsheets/d/1-uDff_7J0KD5mKrp0Vvzr7lt3OU09vwQwhkpOPPYv2Y/edit?usp=sharing"",""งบพรบ!AN106"")"),0)</f>
        <v>0</v>
      </c>
      <c r="F106" s="99">
        <f ca="1">IFERROR(__xludf.DUMMYFUNCTION("IMPORTRANGE(""https://docs.google.com/spreadsheets/d/1-uDff_7J0KD5mKrp0Vvzr7lt3OU09vwQwhkpOPPYv2Y/edit?usp=sharing"",""งบพรบ!AO106"")"),0)</f>
        <v>0</v>
      </c>
      <c r="G106" s="99">
        <f ca="1">IFERROR(__xludf.DUMMYFUNCTION("IMPORTRANGE(""https://docs.google.com/spreadsheets/d/1-uDff_7J0KD5mKrp0Vvzr7lt3OU09vwQwhkpOPPYv2Y/edit?usp=sharing"",""งบพรบ!AP106"")"),0)</f>
        <v>0</v>
      </c>
      <c r="H106" s="99">
        <f ca="1">IFERROR(__xludf.DUMMYFUNCTION("IMPORTRANGE(""https://docs.google.com/spreadsheets/d/1-uDff_7J0KD5mKrp0Vvzr7lt3OU09vwQwhkpOPPYv2Y/edit?usp=sharing"",""งบพรบ!AR106"")"),0)</f>
        <v>0</v>
      </c>
      <c r="I106" s="99">
        <f ca="1">IFERROR(__xludf.DUMMYFUNCTION("IMPORTRANGE(""https://docs.google.com/spreadsheets/d/1-uDff_7J0KD5mKrp0Vvzr7lt3OU09vwQwhkpOPPYv2Y/edit?usp=sharing"",""งบพรบ!AS106"")"),0)</f>
        <v>0</v>
      </c>
      <c r="J106" s="99">
        <f t="shared" ca="1" si="58"/>
        <v>0</v>
      </c>
      <c r="K106" s="100">
        <f t="shared" ca="1" si="59"/>
        <v>0</v>
      </c>
      <c r="L106" s="99">
        <f ca="1">IFERROR(__xludf.DUMMYFUNCTION("IMPORTRANGE(""https://docs.google.com/spreadsheets/d/1-uDff_7J0KD5mKrp0Vvzr7lt3OU09vwQwhkpOPPYv2Y/edit?usp=sharing"",""งบพรบ!AT106"")"),0)</f>
        <v>0</v>
      </c>
      <c r="M106" s="101">
        <f t="shared" ca="1" si="60"/>
        <v>0</v>
      </c>
      <c r="N106" s="101">
        <f t="shared" ca="1" si="61"/>
        <v>0</v>
      </c>
      <c r="O106" s="102">
        <f ca="1">IFERROR(__xludf.DUMMYFUNCTION("IMPORTRANGE(""https://docs.google.com/spreadsheets/d/1-uDff_7J0KD5mKrp0Vvzr7lt3OU09vwQwhkpOPPYv2Y/edit?usp=sharing"",""งบพรบ!AU106"")"),0)</f>
        <v>0</v>
      </c>
      <c r="P106" s="102">
        <f t="shared" ca="1" si="62"/>
        <v>0</v>
      </c>
      <c r="Q106" s="101">
        <f t="shared" ca="1" si="63"/>
        <v>0</v>
      </c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</row>
    <row r="107" spans="1:38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2"/>
      <c r="T107" s="2"/>
      <c r="U107" s="4"/>
      <c r="V107" s="2"/>
      <c r="W107" s="4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4"/>
    </row>
    <row r="108" spans="1:38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121"/>
      <c r="S108" s="122"/>
      <c r="T108" s="122"/>
      <c r="U108" s="4"/>
      <c r="V108" s="2"/>
      <c r="W108" s="4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4"/>
    </row>
    <row r="109" spans="1:38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2"/>
      <c r="T109" s="2"/>
      <c r="U109" s="4"/>
      <c r="V109" s="2"/>
      <c r="W109" s="4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4"/>
    </row>
    <row r="110" spans="1:38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2"/>
      <c r="T110" s="2"/>
      <c r="U110" s="4"/>
      <c r="V110" s="2"/>
      <c r="W110" s="4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4"/>
    </row>
    <row r="111" spans="1:38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2"/>
      <c r="T111" s="2"/>
      <c r="U111" s="4"/>
      <c r="V111" s="2"/>
      <c r="W111" s="4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4"/>
    </row>
    <row r="112" spans="1:38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2"/>
      <c r="T112" s="2"/>
      <c r="U112" s="4"/>
      <c r="V112" s="2"/>
      <c r="W112" s="4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4"/>
    </row>
    <row r="113" spans="1:38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2"/>
      <c r="T113" s="2"/>
      <c r="U113" s="4"/>
      <c r="V113" s="2"/>
      <c r="W113" s="4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4"/>
    </row>
    <row r="114" spans="1:38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2"/>
      <c r="T114" s="2"/>
      <c r="U114" s="4"/>
      <c r="V114" s="2"/>
      <c r="W114" s="4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4"/>
    </row>
    <row r="115" spans="1:38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2"/>
      <c r="T115" s="2"/>
      <c r="U115" s="4"/>
      <c r="V115" s="2"/>
      <c r="W115" s="4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4"/>
    </row>
    <row r="116" spans="1:38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2"/>
      <c r="T116" s="2"/>
      <c r="U116" s="4"/>
      <c r="V116" s="2"/>
      <c r="W116" s="4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4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123"/>
      <c r="T304" s="123"/>
      <c r="U304" s="124"/>
      <c r="V304" s="123"/>
      <c r="W304" s="124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4"/>
    </row>
    <row r="305" spans="1:38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123"/>
      <c r="T305" s="123"/>
      <c r="U305" s="124"/>
      <c r="V305" s="123"/>
      <c r="W305" s="124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4"/>
    </row>
    <row r="306" spans="1:38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123"/>
      <c r="T306" s="123"/>
      <c r="U306" s="124"/>
      <c r="V306" s="123"/>
      <c r="W306" s="124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4"/>
    </row>
    <row r="307" spans="1:38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123"/>
      <c r="T307" s="123"/>
      <c r="U307" s="124"/>
      <c r="V307" s="123"/>
      <c r="W307" s="124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4"/>
    </row>
    <row r="308" spans="1:38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123"/>
      <c r="T308" s="123"/>
      <c r="U308" s="124"/>
      <c r="V308" s="123"/>
      <c r="W308" s="124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4"/>
    </row>
    <row r="309" spans="1:38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123"/>
      <c r="T309" s="123"/>
      <c r="U309" s="124"/>
      <c r="V309" s="123"/>
      <c r="W309" s="124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4"/>
    </row>
    <row r="310" spans="1:38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123"/>
      <c r="T310" s="123"/>
      <c r="U310" s="124"/>
      <c r="V310" s="123"/>
      <c r="W310" s="124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4"/>
    </row>
    <row r="311" spans="1:38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123"/>
      <c r="T311" s="123"/>
      <c r="U311" s="124"/>
      <c r="V311" s="123"/>
      <c r="W311" s="124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4"/>
    </row>
    <row r="312" spans="1:38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123"/>
      <c r="T312" s="123"/>
      <c r="U312" s="124"/>
      <c r="V312" s="123"/>
      <c r="W312" s="124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4"/>
    </row>
    <row r="313" spans="1:38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123"/>
      <c r="T313" s="123"/>
      <c r="U313" s="124"/>
      <c r="V313" s="123"/>
      <c r="W313" s="124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4"/>
    </row>
    <row r="314" spans="1:38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123"/>
      <c r="T314" s="123"/>
      <c r="U314" s="124"/>
      <c r="V314" s="123"/>
      <c r="W314" s="124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4"/>
    </row>
    <row r="315" spans="1:38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123"/>
      <c r="T315" s="123"/>
      <c r="U315" s="124"/>
      <c r="V315" s="123"/>
      <c r="W315" s="124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4"/>
    </row>
    <row r="316" spans="1:38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123"/>
      <c r="T316" s="123"/>
      <c r="U316" s="124"/>
      <c r="V316" s="123"/>
      <c r="W316" s="124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4"/>
    </row>
    <row r="317" spans="1:38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123"/>
      <c r="T317" s="123"/>
      <c r="U317" s="124"/>
      <c r="V317" s="123"/>
      <c r="W317" s="124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4"/>
    </row>
    <row r="318" spans="1:38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123"/>
      <c r="T318" s="123"/>
      <c r="U318" s="124"/>
      <c r="V318" s="123"/>
      <c r="W318" s="124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4"/>
    </row>
    <row r="319" spans="1:38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123"/>
      <c r="T319" s="123"/>
      <c r="U319" s="124"/>
      <c r="V319" s="123"/>
      <c r="W319" s="124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4"/>
    </row>
    <row r="320" spans="1:38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123"/>
      <c r="T320" s="123"/>
      <c r="U320" s="124"/>
      <c r="V320" s="123"/>
      <c r="W320" s="124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4"/>
    </row>
    <row r="321" spans="1:38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123"/>
      <c r="T321" s="123"/>
      <c r="U321" s="124"/>
      <c r="V321" s="123"/>
      <c r="W321" s="124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4"/>
    </row>
    <row r="322" spans="1:38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123"/>
      <c r="T322" s="123"/>
      <c r="U322" s="124"/>
      <c r="V322" s="123"/>
      <c r="W322" s="124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4"/>
    </row>
    <row r="323" spans="1:38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123"/>
      <c r="T323" s="123"/>
      <c r="U323" s="124"/>
      <c r="V323" s="123"/>
      <c r="W323" s="124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4"/>
    </row>
    <row r="324" spans="1:38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123"/>
      <c r="T324" s="123"/>
      <c r="U324" s="124"/>
      <c r="V324" s="123"/>
      <c r="W324" s="124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4"/>
    </row>
    <row r="325" spans="1:38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123"/>
      <c r="T325" s="123"/>
      <c r="U325" s="124"/>
      <c r="V325" s="123"/>
      <c r="W325" s="124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4"/>
    </row>
    <row r="326" spans="1:38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123"/>
      <c r="T326" s="123"/>
      <c r="U326" s="124"/>
      <c r="V326" s="123"/>
      <c r="W326" s="124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4"/>
    </row>
    <row r="327" spans="1:38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123"/>
      <c r="T327" s="123"/>
      <c r="U327" s="124"/>
      <c r="V327" s="123"/>
      <c r="W327" s="124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4"/>
    </row>
    <row r="328" spans="1:38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123"/>
      <c r="T328" s="123"/>
      <c r="U328" s="124"/>
      <c r="V328" s="123"/>
      <c r="W328" s="124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4"/>
    </row>
    <row r="329" spans="1:38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123"/>
      <c r="T329" s="123"/>
      <c r="U329" s="124"/>
      <c r="V329" s="123"/>
      <c r="W329" s="124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4"/>
    </row>
    <row r="330" spans="1:38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123"/>
      <c r="T330" s="123"/>
      <c r="U330" s="124"/>
      <c r="V330" s="123"/>
      <c r="W330" s="124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4"/>
    </row>
    <row r="331" spans="1:38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123"/>
      <c r="T331" s="123"/>
      <c r="U331" s="124"/>
      <c r="V331" s="123"/>
      <c r="W331" s="124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4"/>
    </row>
    <row r="332" spans="1:38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123"/>
      <c r="T332" s="123"/>
      <c r="U332" s="124"/>
      <c r="V332" s="123"/>
      <c r="W332" s="124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4"/>
    </row>
    <row r="333" spans="1:38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123"/>
      <c r="T333" s="123"/>
      <c r="U333" s="124"/>
      <c r="V333" s="123"/>
      <c r="W333" s="124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4"/>
    </row>
    <row r="334" spans="1:38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123"/>
      <c r="T334" s="123"/>
      <c r="U334" s="124"/>
      <c r="V334" s="123"/>
      <c r="W334" s="124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4"/>
    </row>
    <row r="335" spans="1:38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123"/>
      <c r="T335" s="123"/>
      <c r="U335" s="124"/>
      <c r="V335" s="123"/>
      <c r="W335" s="124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4"/>
    </row>
    <row r="336" spans="1:38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123"/>
      <c r="T336" s="123"/>
      <c r="U336" s="124"/>
      <c r="V336" s="123"/>
      <c r="W336" s="124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4"/>
    </row>
    <row r="337" spans="1:38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123"/>
      <c r="T337" s="123"/>
      <c r="U337" s="124"/>
      <c r="V337" s="123"/>
      <c r="W337" s="124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4"/>
    </row>
    <row r="338" spans="1:38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123"/>
      <c r="T338" s="123"/>
      <c r="U338" s="124"/>
      <c r="V338" s="123"/>
      <c r="W338" s="124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4"/>
    </row>
    <row r="339" spans="1:38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123"/>
      <c r="T339" s="123"/>
      <c r="U339" s="124"/>
      <c r="V339" s="123"/>
      <c r="W339" s="124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4"/>
    </row>
    <row r="340" spans="1:38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123"/>
      <c r="T340" s="123"/>
      <c r="U340" s="124"/>
      <c r="V340" s="123"/>
      <c r="W340" s="124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4"/>
    </row>
    <row r="341" spans="1:38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123"/>
      <c r="T341" s="123"/>
      <c r="U341" s="124"/>
      <c r="V341" s="123"/>
      <c r="W341" s="124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4"/>
    </row>
    <row r="342" spans="1:38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123"/>
      <c r="T342" s="123"/>
      <c r="U342" s="124"/>
      <c r="V342" s="123"/>
      <c r="W342" s="124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4"/>
    </row>
    <row r="343" spans="1:38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123"/>
      <c r="T343" s="123"/>
      <c r="U343" s="124"/>
      <c r="V343" s="123"/>
      <c r="W343" s="124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4"/>
    </row>
    <row r="344" spans="1:38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123"/>
      <c r="T344" s="123"/>
      <c r="U344" s="124"/>
      <c r="V344" s="123"/>
      <c r="W344" s="124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4"/>
    </row>
    <row r="345" spans="1:38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123"/>
      <c r="T345" s="123"/>
      <c r="U345" s="124"/>
      <c r="V345" s="123"/>
      <c r="W345" s="124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4"/>
    </row>
    <row r="346" spans="1:38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123"/>
      <c r="T346" s="123"/>
      <c r="U346" s="124"/>
      <c r="V346" s="123"/>
      <c r="W346" s="124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4"/>
    </row>
    <row r="347" spans="1:38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123"/>
      <c r="T347" s="123"/>
      <c r="U347" s="124"/>
      <c r="V347" s="123"/>
      <c r="W347" s="124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4"/>
    </row>
    <row r="348" spans="1:38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123"/>
      <c r="T348" s="123"/>
      <c r="U348" s="124"/>
      <c r="V348" s="123"/>
      <c r="W348" s="124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4"/>
    </row>
    <row r="349" spans="1:38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123"/>
      <c r="T349" s="123"/>
      <c r="U349" s="124"/>
      <c r="V349" s="123"/>
      <c r="W349" s="124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4"/>
    </row>
    <row r="350" spans="1:38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123"/>
      <c r="T350" s="123"/>
      <c r="U350" s="124"/>
      <c r="V350" s="123"/>
      <c r="W350" s="124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4"/>
    </row>
    <row r="351" spans="1:38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123"/>
      <c r="T351" s="123"/>
      <c r="U351" s="124"/>
      <c r="V351" s="123"/>
      <c r="W351" s="124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4"/>
    </row>
    <row r="352" spans="1:38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123"/>
      <c r="T352" s="123"/>
      <c r="U352" s="124"/>
      <c r="V352" s="123"/>
      <c r="W352" s="124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4"/>
    </row>
    <row r="353" spans="1:38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123"/>
      <c r="T353" s="123"/>
      <c r="U353" s="124"/>
      <c r="V353" s="123"/>
      <c r="W353" s="124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4"/>
    </row>
    <row r="354" spans="1:38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123"/>
      <c r="T354" s="123"/>
      <c r="U354" s="124"/>
      <c r="V354" s="123"/>
      <c r="W354" s="124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4"/>
    </row>
    <row r="355" spans="1:38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123"/>
      <c r="T355" s="123"/>
      <c r="U355" s="124"/>
      <c r="V355" s="123"/>
      <c r="W355" s="124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4"/>
    </row>
    <row r="356" spans="1:38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123"/>
      <c r="T356" s="123"/>
      <c r="U356" s="124"/>
      <c r="V356" s="123"/>
      <c r="W356" s="124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4"/>
    </row>
    <row r="357" spans="1:38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123"/>
      <c r="T357" s="123"/>
      <c r="U357" s="124"/>
      <c r="V357" s="123"/>
      <c r="W357" s="124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4"/>
    </row>
    <row r="358" spans="1:38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123"/>
      <c r="T358" s="123"/>
      <c r="U358" s="124"/>
      <c r="V358" s="123"/>
      <c r="W358" s="124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4"/>
    </row>
    <row r="359" spans="1:38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123"/>
      <c r="T359" s="123"/>
      <c r="U359" s="124"/>
      <c r="V359" s="123"/>
      <c r="W359" s="124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4"/>
    </row>
    <row r="360" spans="1:38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123"/>
      <c r="T360" s="123"/>
      <c r="U360" s="124"/>
      <c r="V360" s="123"/>
      <c r="W360" s="124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4"/>
    </row>
    <row r="361" spans="1:38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123"/>
      <c r="T361" s="123"/>
      <c r="U361" s="124"/>
      <c r="V361" s="123"/>
      <c r="W361" s="124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4"/>
    </row>
    <row r="362" spans="1:38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123"/>
      <c r="T362" s="123"/>
      <c r="U362" s="124"/>
      <c r="V362" s="123"/>
      <c r="W362" s="124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4"/>
    </row>
    <row r="363" spans="1:38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123"/>
      <c r="T363" s="123"/>
      <c r="U363" s="124"/>
      <c r="V363" s="123"/>
      <c r="W363" s="124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4"/>
    </row>
    <row r="364" spans="1:38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123"/>
      <c r="T364" s="123"/>
      <c r="U364" s="124"/>
      <c r="V364" s="123"/>
      <c r="W364" s="124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4"/>
    </row>
    <row r="365" spans="1:38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123"/>
      <c r="T365" s="123"/>
      <c r="U365" s="124"/>
      <c r="V365" s="123"/>
      <c r="W365" s="124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4"/>
    </row>
    <row r="366" spans="1:38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123"/>
      <c r="T366" s="123"/>
      <c r="U366" s="124"/>
      <c r="V366" s="123"/>
      <c r="W366" s="124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4"/>
    </row>
    <row r="367" spans="1:38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123"/>
      <c r="T367" s="123"/>
      <c r="U367" s="124"/>
      <c r="V367" s="123"/>
      <c r="W367" s="124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4"/>
    </row>
    <row r="368" spans="1:38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123"/>
      <c r="T368" s="123"/>
      <c r="U368" s="124"/>
      <c r="V368" s="123"/>
      <c r="W368" s="124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4"/>
    </row>
    <row r="369" spans="1:38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123"/>
      <c r="T369" s="123"/>
      <c r="U369" s="124"/>
      <c r="V369" s="123"/>
      <c r="W369" s="124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4"/>
    </row>
    <row r="370" spans="1:38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123"/>
      <c r="T370" s="123"/>
      <c r="U370" s="124"/>
      <c r="V370" s="123"/>
      <c r="W370" s="124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4"/>
    </row>
    <row r="371" spans="1:38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123"/>
      <c r="T371" s="123"/>
      <c r="U371" s="124"/>
      <c r="V371" s="123"/>
      <c r="W371" s="124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4"/>
    </row>
    <row r="372" spans="1:38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123"/>
      <c r="T372" s="123"/>
      <c r="U372" s="124"/>
      <c r="V372" s="123"/>
      <c r="W372" s="124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4"/>
    </row>
    <row r="373" spans="1:38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123"/>
      <c r="T373" s="123"/>
      <c r="U373" s="124"/>
      <c r="V373" s="123"/>
      <c r="W373" s="124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4"/>
    </row>
    <row r="374" spans="1:38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123"/>
      <c r="T374" s="123"/>
      <c r="U374" s="124"/>
      <c r="V374" s="123"/>
      <c r="W374" s="124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4"/>
    </row>
    <row r="375" spans="1:38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123"/>
      <c r="T375" s="123"/>
      <c r="U375" s="124"/>
      <c r="V375" s="123"/>
      <c r="W375" s="124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4"/>
    </row>
    <row r="376" spans="1:38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123"/>
      <c r="T376" s="123"/>
      <c r="U376" s="124"/>
      <c r="V376" s="123"/>
      <c r="W376" s="124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4"/>
    </row>
    <row r="377" spans="1:38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123"/>
      <c r="T377" s="123"/>
      <c r="U377" s="124"/>
      <c r="V377" s="123"/>
      <c r="W377" s="124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4"/>
    </row>
    <row r="378" spans="1:38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123"/>
      <c r="T378" s="123"/>
      <c r="U378" s="124"/>
      <c r="V378" s="123"/>
      <c r="W378" s="124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4"/>
    </row>
    <row r="379" spans="1:38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123"/>
      <c r="T379" s="123"/>
      <c r="U379" s="124"/>
      <c r="V379" s="123"/>
      <c r="W379" s="124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4"/>
    </row>
    <row r="380" spans="1:38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123"/>
      <c r="T380" s="123"/>
      <c r="U380" s="124"/>
      <c r="V380" s="123"/>
      <c r="W380" s="124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4"/>
    </row>
    <row r="381" spans="1:38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123"/>
      <c r="T381" s="123"/>
      <c r="U381" s="124"/>
      <c r="V381" s="123"/>
      <c r="W381" s="124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4"/>
    </row>
    <row r="382" spans="1:38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123"/>
      <c r="T382" s="123"/>
      <c r="U382" s="124"/>
      <c r="V382" s="123"/>
      <c r="W382" s="124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4"/>
    </row>
    <row r="383" spans="1:38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123"/>
      <c r="T383" s="123"/>
      <c r="U383" s="124"/>
      <c r="V383" s="123"/>
      <c r="W383" s="124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4"/>
    </row>
    <row r="384" spans="1:38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123"/>
      <c r="T384" s="123"/>
      <c r="U384" s="124"/>
      <c r="V384" s="123"/>
      <c r="W384" s="124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4"/>
    </row>
    <row r="385" spans="1:38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123"/>
      <c r="T385" s="123"/>
      <c r="U385" s="124"/>
      <c r="V385" s="123"/>
      <c r="W385" s="124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4"/>
    </row>
    <row r="386" spans="1:38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123"/>
      <c r="T386" s="123"/>
      <c r="U386" s="124"/>
      <c r="V386" s="123"/>
      <c r="W386" s="124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4"/>
    </row>
    <row r="387" spans="1:38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123"/>
      <c r="T387" s="123"/>
      <c r="U387" s="124"/>
      <c r="V387" s="123"/>
      <c r="W387" s="124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4"/>
    </row>
    <row r="388" spans="1:38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123"/>
      <c r="T388" s="123"/>
      <c r="U388" s="124"/>
      <c r="V388" s="123"/>
      <c r="W388" s="124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4"/>
    </row>
    <row r="389" spans="1:38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123"/>
      <c r="T389" s="123"/>
      <c r="U389" s="124"/>
      <c r="V389" s="123"/>
      <c r="W389" s="124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4"/>
    </row>
    <row r="390" spans="1:38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123"/>
      <c r="T390" s="123"/>
      <c r="U390" s="124"/>
      <c r="V390" s="123"/>
      <c r="W390" s="124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4"/>
    </row>
    <row r="391" spans="1:38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123"/>
      <c r="T391" s="123"/>
      <c r="U391" s="124"/>
      <c r="V391" s="123"/>
      <c r="W391" s="124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4"/>
    </row>
    <row r="392" spans="1:38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123"/>
      <c r="T392" s="123"/>
      <c r="U392" s="124"/>
      <c r="V392" s="123"/>
      <c r="W392" s="124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4"/>
    </row>
    <row r="393" spans="1:38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123"/>
      <c r="T393" s="123"/>
      <c r="U393" s="124"/>
      <c r="V393" s="123"/>
      <c r="W393" s="124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4"/>
    </row>
    <row r="394" spans="1:38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123"/>
      <c r="T394" s="123"/>
      <c r="U394" s="124"/>
      <c r="V394" s="123"/>
      <c r="W394" s="124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4"/>
    </row>
    <row r="395" spans="1:38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123"/>
      <c r="T395" s="123"/>
      <c r="U395" s="124"/>
      <c r="V395" s="123"/>
      <c r="W395" s="124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4"/>
    </row>
    <row r="396" spans="1:38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123"/>
      <c r="T396" s="123"/>
      <c r="U396" s="124"/>
      <c r="V396" s="123"/>
      <c r="W396" s="124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4"/>
    </row>
    <row r="397" spans="1:38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123"/>
      <c r="T397" s="123"/>
      <c r="U397" s="124"/>
      <c r="V397" s="123"/>
      <c r="W397" s="124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4"/>
    </row>
    <row r="398" spans="1:38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123"/>
      <c r="T398" s="123"/>
      <c r="U398" s="124"/>
      <c r="V398" s="123"/>
      <c r="W398" s="124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4"/>
    </row>
    <row r="399" spans="1:38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123"/>
      <c r="T399" s="123"/>
      <c r="U399" s="124"/>
      <c r="V399" s="123"/>
      <c r="W399" s="124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4"/>
    </row>
    <row r="400" spans="1:38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123"/>
      <c r="T400" s="123"/>
      <c r="U400" s="124"/>
      <c r="V400" s="123"/>
      <c r="W400" s="124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4"/>
    </row>
    <row r="401" spans="1:38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123"/>
      <c r="T401" s="123"/>
      <c r="U401" s="124"/>
      <c r="V401" s="123"/>
      <c r="W401" s="124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4"/>
    </row>
    <row r="402" spans="1:38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123"/>
      <c r="T402" s="123"/>
      <c r="U402" s="124"/>
      <c r="V402" s="123"/>
      <c r="W402" s="124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4"/>
    </row>
    <row r="403" spans="1:38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123"/>
      <c r="T403" s="123"/>
      <c r="U403" s="124"/>
      <c r="V403" s="123"/>
      <c r="W403" s="124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4"/>
    </row>
    <row r="404" spans="1:38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123"/>
      <c r="T404" s="123"/>
      <c r="U404" s="124"/>
      <c r="V404" s="123"/>
      <c r="W404" s="124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4"/>
    </row>
    <row r="405" spans="1:38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123"/>
      <c r="T405" s="123"/>
      <c r="U405" s="124"/>
      <c r="V405" s="123"/>
      <c r="W405" s="124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4"/>
    </row>
    <row r="406" spans="1:38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123"/>
      <c r="T406" s="123"/>
      <c r="U406" s="124"/>
      <c r="V406" s="123"/>
      <c r="W406" s="124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4"/>
    </row>
    <row r="407" spans="1:38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123"/>
      <c r="T407" s="123"/>
      <c r="U407" s="124"/>
      <c r="V407" s="123"/>
      <c r="W407" s="124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4"/>
    </row>
    <row r="408" spans="1:38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123"/>
      <c r="T408" s="123"/>
      <c r="U408" s="124"/>
      <c r="V408" s="123"/>
      <c r="W408" s="124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4"/>
    </row>
    <row r="409" spans="1:38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123"/>
      <c r="T409" s="123"/>
      <c r="U409" s="124"/>
      <c r="V409" s="123"/>
      <c r="W409" s="124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4"/>
    </row>
    <row r="410" spans="1:38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123"/>
      <c r="T410" s="123"/>
      <c r="U410" s="124"/>
      <c r="V410" s="123"/>
      <c r="W410" s="124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4"/>
    </row>
    <row r="411" spans="1:38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123"/>
      <c r="T411" s="123"/>
      <c r="U411" s="124"/>
      <c r="V411" s="123"/>
      <c r="W411" s="124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4"/>
    </row>
    <row r="412" spans="1:38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123"/>
      <c r="T412" s="123"/>
      <c r="U412" s="124"/>
      <c r="V412" s="123"/>
      <c r="W412" s="124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4"/>
    </row>
    <row r="413" spans="1:38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123"/>
      <c r="T413" s="123"/>
      <c r="U413" s="124"/>
      <c r="V413" s="123"/>
      <c r="W413" s="124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4"/>
    </row>
    <row r="414" spans="1:38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123"/>
      <c r="T414" s="123"/>
      <c r="U414" s="124"/>
      <c r="V414" s="123"/>
      <c r="W414" s="124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4"/>
    </row>
    <row r="415" spans="1:38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123"/>
      <c r="T415" s="123"/>
      <c r="U415" s="124"/>
      <c r="V415" s="123"/>
      <c r="W415" s="124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4"/>
    </row>
    <row r="416" spans="1:38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123"/>
      <c r="T416" s="123"/>
      <c r="U416" s="124"/>
      <c r="V416" s="123"/>
      <c r="W416" s="124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4"/>
    </row>
    <row r="417" spans="1:38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123"/>
      <c r="T417" s="123"/>
      <c r="U417" s="124"/>
      <c r="V417" s="123"/>
      <c r="W417" s="124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4"/>
    </row>
    <row r="418" spans="1:38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123"/>
      <c r="T418" s="123"/>
      <c r="U418" s="124"/>
      <c r="V418" s="123"/>
      <c r="W418" s="124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4"/>
    </row>
    <row r="419" spans="1:38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123"/>
      <c r="T419" s="123"/>
      <c r="U419" s="124"/>
      <c r="V419" s="123"/>
      <c r="W419" s="124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4"/>
    </row>
    <row r="420" spans="1:38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123"/>
      <c r="T420" s="123"/>
      <c r="U420" s="124"/>
      <c r="V420" s="123"/>
      <c r="W420" s="124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4"/>
    </row>
    <row r="421" spans="1:38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123"/>
      <c r="T421" s="123"/>
      <c r="U421" s="124"/>
      <c r="V421" s="123"/>
      <c r="W421" s="124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4"/>
    </row>
    <row r="422" spans="1:38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123"/>
      <c r="T422" s="123"/>
      <c r="U422" s="124"/>
      <c r="V422" s="123"/>
      <c r="W422" s="124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4"/>
    </row>
    <row r="423" spans="1:38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123"/>
      <c r="T423" s="123"/>
      <c r="U423" s="124"/>
      <c r="V423" s="123"/>
      <c r="W423" s="124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4"/>
    </row>
    <row r="424" spans="1:38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123"/>
      <c r="T424" s="123"/>
      <c r="U424" s="124"/>
      <c r="V424" s="123"/>
      <c r="W424" s="124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4"/>
    </row>
    <row r="425" spans="1:38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123"/>
      <c r="T425" s="123"/>
      <c r="U425" s="124"/>
      <c r="V425" s="123"/>
      <c r="W425" s="124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4"/>
    </row>
    <row r="426" spans="1:38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123"/>
      <c r="T426" s="123"/>
      <c r="U426" s="124"/>
      <c r="V426" s="123"/>
      <c r="W426" s="124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4"/>
    </row>
    <row r="427" spans="1:38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123"/>
      <c r="T427" s="123"/>
      <c r="U427" s="124"/>
      <c r="V427" s="123"/>
      <c r="W427" s="124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4"/>
    </row>
    <row r="428" spans="1:38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123"/>
      <c r="T428" s="123"/>
      <c r="U428" s="124"/>
      <c r="V428" s="123"/>
      <c r="W428" s="124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4"/>
    </row>
    <row r="429" spans="1:38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123"/>
      <c r="T429" s="123"/>
      <c r="U429" s="124"/>
      <c r="V429" s="123"/>
      <c r="W429" s="124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4"/>
    </row>
    <row r="430" spans="1:38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123"/>
      <c r="T430" s="123"/>
      <c r="U430" s="124"/>
      <c r="V430" s="123"/>
      <c r="W430" s="124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4"/>
    </row>
    <row r="431" spans="1:38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123"/>
      <c r="T431" s="123"/>
      <c r="U431" s="124"/>
      <c r="V431" s="123"/>
      <c r="W431" s="124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4"/>
    </row>
    <row r="432" spans="1:38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123"/>
      <c r="T432" s="123"/>
      <c r="U432" s="124"/>
      <c r="V432" s="123"/>
      <c r="W432" s="124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4"/>
    </row>
    <row r="433" spans="1:38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123"/>
      <c r="T433" s="123"/>
      <c r="U433" s="124"/>
      <c r="V433" s="123"/>
      <c r="W433" s="124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4"/>
    </row>
    <row r="434" spans="1:38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123"/>
      <c r="T434" s="123"/>
      <c r="U434" s="124"/>
      <c r="V434" s="123"/>
      <c r="W434" s="124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4"/>
    </row>
    <row r="435" spans="1:38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123"/>
      <c r="T435" s="123"/>
      <c r="U435" s="124"/>
      <c r="V435" s="123"/>
      <c r="W435" s="124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4"/>
    </row>
    <row r="436" spans="1:38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123"/>
      <c r="T436" s="123"/>
      <c r="U436" s="124"/>
      <c r="V436" s="123"/>
      <c r="W436" s="124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4"/>
    </row>
    <row r="437" spans="1:38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123"/>
      <c r="T437" s="123"/>
      <c r="U437" s="124"/>
      <c r="V437" s="123"/>
      <c r="W437" s="124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4"/>
    </row>
    <row r="438" spans="1:38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123"/>
      <c r="T438" s="123"/>
      <c r="U438" s="124"/>
      <c r="V438" s="123"/>
      <c r="W438" s="124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4"/>
    </row>
    <row r="439" spans="1:38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123"/>
      <c r="T439" s="123"/>
      <c r="U439" s="124"/>
      <c r="V439" s="123"/>
      <c r="W439" s="124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4"/>
    </row>
    <row r="440" spans="1:38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123"/>
      <c r="T440" s="123"/>
      <c r="U440" s="124"/>
      <c r="V440" s="123"/>
      <c r="W440" s="124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4"/>
    </row>
    <row r="441" spans="1:38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123"/>
      <c r="T441" s="123"/>
      <c r="U441" s="124"/>
      <c r="V441" s="123"/>
      <c r="W441" s="124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4"/>
    </row>
    <row r="442" spans="1:38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123"/>
      <c r="T442" s="123"/>
      <c r="U442" s="124"/>
      <c r="V442" s="123"/>
      <c r="W442" s="124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4"/>
    </row>
    <row r="443" spans="1:38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123"/>
      <c r="T443" s="123"/>
      <c r="U443" s="124"/>
      <c r="V443" s="123"/>
      <c r="W443" s="124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4"/>
    </row>
    <row r="444" spans="1:38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123"/>
      <c r="T444" s="123"/>
      <c r="U444" s="124"/>
      <c r="V444" s="123"/>
      <c r="W444" s="124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4"/>
    </row>
    <row r="445" spans="1:38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123"/>
      <c r="T445" s="123"/>
      <c r="U445" s="124"/>
      <c r="V445" s="123"/>
      <c r="W445" s="124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4"/>
    </row>
    <row r="446" spans="1:38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123"/>
      <c r="T446" s="123"/>
      <c r="U446" s="124"/>
      <c r="V446" s="123"/>
      <c r="W446" s="124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4"/>
    </row>
    <row r="447" spans="1:38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123"/>
      <c r="T447" s="123"/>
      <c r="U447" s="124"/>
      <c r="V447" s="123"/>
      <c r="W447" s="124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4"/>
    </row>
    <row r="448" spans="1:38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123"/>
      <c r="T448" s="123"/>
      <c r="U448" s="124"/>
      <c r="V448" s="123"/>
      <c r="W448" s="124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4"/>
    </row>
    <row r="449" spans="1:38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123"/>
      <c r="T449" s="123"/>
      <c r="U449" s="124"/>
      <c r="V449" s="123"/>
      <c r="W449" s="124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4"/>
    </row>
    <row r="450" spans="1:38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123"/>
      <c r="T450" s="123"/>
      <c r="U450" s="124"/>
      <c r="V450" s="123"/>
      <c r="W450" s="124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4"/>
    </row>
    <row r="451" spans="1:38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123"/>
      <c r="T451" s="123"/>
      <c r="U451" s="124"/>
      <c r="V451" s="123"/>
      <c r="W451" s="124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4"/>
    </row>
    <row r="452" spans="1:38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123"/>
      <c r="T452" s="123"/>
      <c r="U452" s="124"/>
      <c r="V452" s="123"/>
      <c r="W452" s="124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4"/>
    </row>
    <row r="453" spans="1:38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123"/>
      <c r="T453" s="123"/>
      <c r="U453" s="124"/>
      <c r="V453" s="123"/>
      <c r="W453" s="124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4"/>
    </row>
    <row r="454" spans="1:38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123"/>
      <c r="T454" s="123"/>
      <c r="U454" s="124"/>
      <c r="V454" s="123"/>
      <c r="W454" s="124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4"/>
    </row>
    <row r="455" spans="1:38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123"/>
      <c r="T455" s="123"/>
      <c r="U455" s="124"/>
      <c r="V455" s="123"/>
      <c r="W455" s="124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4"/>
    </row>
    <row r="456" spans="1:38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123"/>
      <c r="T456" s="123"/>
      <c r="U456" s="124"/>
      <c r="V456" s="123"/>
      <c r="W456" s="124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4"/>
    </row>
    <row r="457" spans="1:38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123"/>
      <c r="T457" s="123"/>
      <c r="U457" s="124"/>
      <c r="V457" s="123"/>
      <c r="W457" s="124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4"/>
    </row>
    <row r="458" spans="1:38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123"/>
      <c r="T458" s="123"/>
      <c r="U458" s="124"/>
      <c r="V458" s="123"/>
      <c r="W458" s="124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4"/>
    </row>
    <row r="459" spans="1:38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123"/>
      <c r="T459" s="123"/>
      <c r="U459" s="124"/>
      <c r="V459" s="123"/>
      <c r="W459" s="124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4"/>
    </row>
    <row r="460" spans="1:38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123"/>
      <c r="T460" s="123"/>
      <c r="U460" s="124"/>
      <c r="V460" s="123"/>
      <c r="W460" s="124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4"/>
    </row>
    <row r="461" spans="1:38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123"/>
      <c r="T461" s="123"/>
      <c r="U461" s="124"/>
      <c r="V461" s="123"/>
      <c r="W461" s="124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4"/>
    </row>
    <row r="462" spans="1:38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123"/>
      <c r="T462" s="123"/>
      <c r="U462" s="124"/>
      <c r="V462" s="123"/>
      <c r="W462" s="124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4"/>
    </row>
    <row r="463" spans="1:38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123"/>
      <c r="T463" s="123"/>
      <c r="U463" s="124"/>
      <c r="V463" s="123"/>
      <c r="W463" s="124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4"/>
    </row>
    <row r="464" spans="1:38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123"/>
      <c r="T464" s="123"/>
      <c r="U464" s="124"/>
      <c r="V464" s="123"/>
      <c r="W464" s="124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4"/>
    </row>
    <row r="465" spans="1:38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123"/>
      <c r="T465" s="123"/>
      <c r="U465" s="124"/>
      <c r="V465" s="123"/>
      <c r="W465" s="124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4"/>
    </row>
    <row r="466" spans="1:38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123"/>
      <c r="T466" s="123"/>
      <c r="U466" s="124"/>
      <c r="V466" s="123"/>
      <c r="W466" s="124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4"/>
    </row>
    <row r="467" spans="1:38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123"/>
      <c r="T467" s="123"/>
      <c r="U467" s="124"/>
      <c r="V467" s="123"/>
      <c r="W467" s="124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4"/>
    </row>
    <row r="468" spans="1:38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123"/>
      <c r="T468" s="123"/>
      <c r="U468" s="124"/>
      <c r="V468" s="123"/>
      <c r="W468" s="124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4"/>
    </row>
    <row r="469" spans="1:38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123"/>
      <c r="T469" s="123"/>
      <c r="U469" s="124"/>
      <c r="V469" s="123"/>
      <c r="W469" s="124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4"/>
    </row>
    <row r="470" spans="1:38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123"/>
      <c r="T470" s="123"/>
      <c r="U470" s="124"/>
      <c r="V470" s="123"/>
      <c r="W470" s="124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4"/>
    </row>
    <row r="471" spans="1:38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123"/>
      <c r="T471" s="123"/>
      <c r="U471" s="124"/>
      <c r="V471" s="123"/>
      <c r="W471" s="124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4"/>
    </row>
    <row r="472" spans="1:38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123"/>
      <c r="T472" s="123"/>
      <c r="U472" s="124"/>
      <c r="V472" s="123"/>
      <c r="W472" s="124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4"/>
    </row>
    <row r="473" spans="1:38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123"/>
      <c r="T473" s="123"/>
      <c r="U473" s="124"/>
      <c r="V473" s="123"/>
      <c r="W473" s="124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4"/>
    </row>
    <row r="474" spans="1:38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123"/>
      <c r="T474" s="123"/>
      <c r="U474" s="124"/>
      <c r="V474" s="123"/>
      <c r="W474" s="124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4"/>
    </row>
    <row r="475" spans="1:38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123"/>
      <c r="T475" s="123"/>
      <c r="U475" s="124"/>
      <c r="V475" s="123"/>
      <c r="W475" s="124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4"/>
    </row>
    <row r="476" spans="1:38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123"/>
      <c r="T476" s="123"/>
      <c r="U476" s="124"/>
      <c r="V476" s="123"/>
      <c r="W476" s="124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4"/>
    </row>
    <row r="477" spans="1:38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123"/>
      <c r="T477" s="123"/>
      <c r="U477" s="124"/>
      <c r="V477" s="123"/>
      <c r="W477" s="124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4"/>
    </row>
    <row r="478" spans="1:38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123"/>
      <c r="T478" s="123"/>
      <c r="U478" s="124"/>
      <c r="V478" s="123"/>
      <c r="W478" s="124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4"/>
    </row>
    <row r="479" spans="1:38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123"/>
      <c r="T479" s="123"/>
      <c r="U479" s="124"/>
      <c r="V479" s="123"/>
      <c r="W479" s="124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4"/>
    </row>
    <row r="480" spans="1:38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123"/>
      <c r="T480" s="123"/>
      <c r="U480" s="124"/>
      <c r="V480" s="123"/>
      <c r="W480" s="124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4"/>
    </row>
    <row r="481" spans="1:38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123"/>
      <c r="T481" s="123"/>
      <c r="U481" s="124"/>
      <c r="V481" s="123"/>
      <c r="W481" s="124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4"/>
    </row>
    <row r="482" spans="1:38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123"/>
      <c r="T482" s="123"/>
      <c r="U482" s="124"/>
      <c r="V482" s="123"/>
      <c r="W482" s="124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4"/>
    </row>
    <row r="483" spans="1:38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123"/>
      <c r="T483" s="123"/>
      <c r="U483" s="124"/>
      <c r="V483" s="123"/>
      <c r="W483" s="124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4"/>
    </row>
    <row r="484" spans="1:38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123"/>
      <c r="T484" s="123"/>
      <c r="U484" s="124"/>
      <c r="V484" s="123"/>
      <c r="W484" s="124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4"/>
    </row>
    <row r="485" spans="1:38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123"/>
      <c r="T485" s="123"/>
      <c r="U485" s="124"/>
      <c r="V485" s="123"/>
      <c r="W485" s="124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4"/>
    </row>
    <row r="486" spans="1:38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123"/>
      <c r="T486" s="123"/>
      <c r="U486" s="124"/>
      <c r="V486" s="123"/>
      <c r="W486" s="124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4"/>
    </row>
    <row r="487" spans="1:38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123"/>
      <c r="T487" s="123"/>
      <c r="U487" s="124"/>
      <c r="V487" s="123"/>
      <c r="W487" s="124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4"/>
    </row>
    <row r="488" spans="1:38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123"/>
      <c r="T488" s="123"/>
      <c r="U488" s="124"/>
      <c r="V488" s="123"/>
      <c r="W488" s="124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4"/>
    </row>
    <row r="489" spans="1:38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123"/>
      <c r="T489" s="123"/>
      <c r="U489" s="124"/>
      <c r="V489" s="123"/>
      <c r="W489" s="124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4"/>
    </row>
    <row r="490" spans="1:38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123"/>
      <c r="T490" s="123"/>
      <c r="U490" s="124"/>
      <c r="V490" s="123"/>
      <c r="W490" s="124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4"/>
    </row>
    <row r="491" spans="1:38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123"/>
      <c r="T491" s="123"/>
      <c r="U491" s="124"/>
      <c r="V491" s="123"/>
      <c r="W491" s="124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4"/>
    </row>
    <row r="492" spans="1:38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123"/>
      <c r="T492" s="123"/>
      <c r="U492" s="124"/>
      <c r="V492" s="123"/>
      <c r="W492" s="124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4"/>
    </row>
    <row r="493" spans="1:38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123"/>
      <c r="T493" s="123"/>
      <c r="U493" s="124"/>
      <c r="V493" s="123"/>
      <c r="W493" s="124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4"/>
    </row>
    <row r="494" spans="1:38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123"/>
      <c r="T494" s="123"/>
      <c r="U494" s="124"/>
      <c r="V494" s="123"/>
      <c r="W494" s="124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4"/>
    </row>
    <row r="495" spans="1:38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123"/>
      <c r="T495" s="123"/>
      <c r="U495" s="124"/>
      <c r="V495" s="123"/>
      <c r="W495" s="124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4"/>
    </row>
    <row r="496" spans="1:38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123"/>
      <c r="T496" s="123"/>
      <c r="U496" s="124"/>
      <c r="V496" s="123"/>
      <c r="W496" s="124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4"/>
    </row>
    <row r="497" spans="1:38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123"/>
      <c r="T497" s="123"/>
      <c r="U497" s="124"/>
      <c r="V497" s="123"/>
      <c r="W497" s="124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4"/>
    </row>
    <row r="498" spans="1:38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123"/>
      <c r="T498" s="123"/>
      <c r="U498" s="124"/>
      <c r="V498" s="123"/>
      <c r="W498" s="124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4"/>
    </row>
    <row r="499" spans="1:38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123"/>
      <c r="T499" s="123"/>
      <c r="U499" s="124"/>
      <c r="V499" s="123"/>
      <c r="W499" s="124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4"/>
    </row>
    <row r="500" spans="1:38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123"/>
      <c r="T500" s="123"/>
      <c r="U500" s="124"/>
      <c r="V500" s="123"/>
      <c r="W500" s="124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4"/>
    </row>
    <row r="501" spans="1:38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123"/>
      <c r="T501" s="123"/>
      <c r="U501" s="124"/>
      <c r="V501" s="123"/>
      <c r="W501" s="124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4"/>
    </row>
    <row r="502" spans="1:38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123"/>
      <c r="T502" s="123"/>
      <c r="U502" s="124"/>
      <c r="V502" s="123"/>
      <c r="W502" s="124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4"/>
    </row>
    <row r="503" spans="1:38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123"/>
      <c r="T503" s="123"/>
      <c r="U503" s="124"/>
      <c r="V503" s="123"/>
      <c r="W503" s="124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4"/>
    </row>
    <row r="504" spans="1:38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123"/>
      <c r="T504" s="123"/>
      <c r="U504" s="124"/>
      <c r="V504" s="123"/>
      <c r="W504" s="124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4"/>
    </row>
    <row r="505" spans="1:38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123"/>
      <c r="T505" s="123"/>
      <c r="U505" s="124"/>
      <c r="V505" s="123"/>
      <c r="W505" s="124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4"/>
    </row>
    <row r="506" spans="1:38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123"/>
      <c r="T506" s="123"/>
      <c r="U506" s="124"/>
      <c r="V506" s="123"/>
      <c r="W506" s="124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4"/>
    </row>
    <row r="507" spans="1:38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123"/>
      <c r="T507" s="123"/>
      <c r="U507" s="124"/>
      <c r="V507" s="123"/>
      <c r="W507" s="124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4"/>
    </row>
    <row r="508" spans="1:38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123"/>
      <c r="T508" s="123"/>
      <c r="U508" s="124"/>
      <c r="V508" s="123"/>
      <c r="W508" s="124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4"/>
    </row>
    <row r="509" spans="1:38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123"/>
      <c r="T509" s="123"/>
      <c r="U509" s="124"/>
      <c r="V509" s="123"/>
      <c r="W509" s="124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4"/>
    </row>
    <row r="510" spans="1:38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123"/>
      <c r="T510" s="123"/>
      <c r="U510" s="124"/>
      <c r="V510" s="123"/>
      <c r="W510" s="124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4"/>
    </row>
    <row r="511" spans="1:38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123"/>
      <c r="T511" s="123"/>
      <c r="U511" s="124"/>
      <c r="V511" s="123"/>
      <c r="W511" s="124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4"/>
    </row>
    <row r="512" spans="1:38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123"/>
      <c r="T512" s="123"/>
      <c r="U512" s="124"/>
      <c r="V512" s="123"/>
      <c r="W512" s="124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4"/>
    </row>
    <row r="513" spans="1:38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123"/>
      <c r="T513" s="123"/>
      <c r="U513" s="124"/>
      <c r="V513" s="123"/>
      <c r="W513" s="124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4"/>
    </row>
    <row r="514" spans="1:38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123"/>
      <c r="T514" s="123"/>
      <c r="U514" s="124"/>
      <c r="V514" s="123"/>
      <c r="W514" s="124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4"/>
    </row>
    <row r="515" spans="1:38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123"/>
      <c r="T515" s="123"/>
      <c r="U515" s="124"/>
      <c r="V515" s="123"/>
      <c r="W515" s="124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4"/>
    </row>
    <row r="516" spans="1:38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123"/>
      <c r="T516" s="123"/>
      <c r="U516" s="124"/>
      <c r="V516" s="123"/>
      <c r="W516" s="124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4"/>
    </row>
    <row r="517" spans="1:38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123"/>
      <c r="T517" s="123"/>
      <c r="U517" s="124"/>
      <c r="V517" s="123"/>
      <c r="W517" s="124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4"/>
    </row>
    <row r="518" spans="1:38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123"/>
      <c r="T518" s="123"/>
      <c r="U518" s="124"/>
      <c r="V518" s="123"/>
      <c r="W518" s="124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4"/>
    </row>
    <row r="519" spans="1:38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123"/>
      <c r="T519" s="123"/>
      <c r="U519" s="124"/>
      <c r="V519" s="123"/>
      <c r="W519" s="124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4"/>
    </row>
    <row r="520" spans="1:38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123"/>
      <c r="T520" s="123"/>
      <c r="U520" s="124"/>
      <c r="V520" s="123"/>
      <c r="W520" s="124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4"/>
    </row>
    <row r="521" spans="1:38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123"/>
      <c r="T521" s="123"/>
      <c r="U521" s="124"/>
      <c r="V521" s="123"/>
      <c r="W521" s="124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4"/>
    </row>
    <row r="522" spans="1:38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123"/>
      <c r="T522" s="123"/>
      <c r="U522" s="124"/>
      <c r="V522" s="123"/>
      <c r="W522" s="124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4"/>
    </row>
    <row r="523" spans="1:38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123"/>
      <c r="T523" s="123"/>
      <c r="U523" s="124"/>
      <c r="V523" s="123"/>
      <c r="W523" s="124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4"/>
    </row>
    <row r="524" spans="1:38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123"/>
      <c r="T524" s="123"/>
      <c r="U524" s="124"/>
      <c r="V524" s="123"/>
      <c r="W524" s="124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4"/>
    </row>
    <row r="525" spans="1:38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123"/>
      <c r="T525" s="123"/>
      <c r="U525" s="124"/>
      <c r="V525" s="123"/>
      <c r="W525" s="124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4"/>
    </row>
    <row r="526" spans="1:38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123"/>
      <c r="T526" s="123"/>
      <c r="U526" s="124"/>
      <c r="V526" s="123"/>
      <c r="W526" s="124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4"/>
    </row>
    <row r="527" spans="1:38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123"/>
      <c r="T527" s="123"/>
      <c r="U527" s="124"/>
      <c r="V527" s="123"/>
      <c r="W527" s="124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4"/>
    </row>
    <row r="528" spans="1:38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123"/>
      <c r="T528" s="123"/>
      <c r="U528" s="124"/>
      <c r="V528" s="123"/>
      <c r="W528" s="124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4"/>
    </row>
    <row r="529" spans="1:38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123"/>
      <c r="T529" s="123"/>
      <c r="U529" s="124"/>
      <c r="V529" s="123"/>
      <c r="W529" s="124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4"/>
    </row>
    <row r="530" spans="1:38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123"/>
      <c r="T530" s="123"/>
      <c r="U530" s="124"/>
      <c r="V530" s="123"/>
      <c r="W530" s="124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4"/>
    </row>
    <row r="531" spans="1:38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123"/>
      <c r="T531" s="123"/>
      <c r="U531" s="124"/>
      <c r="V531" s="123"/>
      <c r="W531" s="124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4"/>
    </row>
    <row r="532" spans="1:38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123"/>
      <c r="T532" s="123"/>
      <c r="U532" s="124"/>
      <c r="V532" s="123"/>
      <c r="W532" s="124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4"/>
    </row>
    <row r="533" spans="1:38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123"/>
      <c r="T533" s="123"/>
      <c r="U533" s="124"/>
      <c r="V533" s="123"/>
      <c r="W533" s="124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4"/>
    </row>
    <row r="534" spans="1:38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123"/>
      <c r="T534" s="123"/>
      <c r="U534" s="124"/>
      <c r="V534" s="123"/>
      <c r="W534" s="124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4"/>
    </row>
    <row r="535" spans="1:38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123"/>
      <c r="T535" s="123"/>
      <c r="U535" s="124"/>
      <c r="V535" s="123"/>
      <c r="W535" s="124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4"/>
    </row>
    <row r="536" spans="1:38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123"/>
      <c r="T536" s="123"/>
      <c r="U536" s="124"/>
      <c r="V536" s="123"/>
      <c r="W536" s="124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4"/>
    </row>
    <row r="537" spans="1:38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123"/>
      <c r="T537" s="123"/>
      <c r="U537" s="124"/>
      <c r="V537" s="123"/>
      <c r="W537" s="124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4"/>
    </row>
    <row r="538" spans="1:38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123"/>
      <c r="T538" s="123"/>
      <c r="U538" s="124"/>
      <c r="V538" s="123"/>
      <c r="W538" s="124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4"/>
    </row>
    <row r="539" spans="1:38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123"/>
      <c r="T539" s="123"/>
      <c r="U539" s="124"/>
      <c r="V539" s="123"/>
      <c r="W539" s="124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4"/>
    </row>
    <row r="540" spans="1:38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123"/>
      <c r="T540" s="123"/>
      <c r="U540" s="124"/>
      <c r="V540" s="123"/>
      <c r="W540" s="124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4"/>
    </row>
    <row r="541" spans="1:38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123"/>
      <c r="T541" s="123"/>
      <c r="U541" s="124"/>
      <c r="V541" s="123"/>
      <c r="W541" s="124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4"/>
    </row>
    <row r="542" spans="1:38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123"/>
      <c r="T542" s="123"/>
      <c r="U542" s="124"/>
      <c r="V542" s="123"/>
      <c r="W542" s="124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4"/>
    </row>
    <row r="543" spans="1:38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123"/>
      <c r="T543" s="123"/>
      <c r="U543" s="124"/>
      <c r="V543" s="123"/>
      <c r="W543" s="124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4"/>
    </row>
    <row r="544" spans="1:38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123"/>
      <c r="T544" s="123"/>
      <c r="U544" s="124"/>
      <c r="V544" s="123"/>
      <c r="W544" s="124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4"/>
    </row>
    <row r="545" spans="1:38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123"/>
      <c r="T545" s="123"/>
      <c r="U545" s="124"/>
      <c r="V545" s="123"/>
      <c r="W545" s="124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4"/>
    </row>
    <row r="546" spans="1:38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123"/>
      <c r="T546" s="123"/>
      <c r="U546" s="124"/>
      <c r="V546" s="123"/>
      <c r="W546" s="124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4"/>
    </row>
    <row r="547" spans="1:38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123"/>
      <c r="T547" s="123"/>
      <c r="U547" s="124"/>
      <c r="V547" s="123"/>
      <c r="W547" s="124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4"/>
    </row>
    <row r="548" spans="1:38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123"/>
      <c r="T548" s="123"/>
      <c r="U548" s="124"/>
      <c r="V548" s="123"/>
      <c r="W548" s="124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4"/>
    </row>
    <row r="549" spans="1:38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123"/>
      <c r="T549" s="123"/>
      <c r="U549" s="124"/>
      <c r="V549" s="123"/>
      <c r="W549" s="124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4"/>
    </row>
    <row r="550" spans="1:38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123"/>
      <c r="T550" s="123"/>
      <c r="U550" s="124"/>
      <c r="V550" s="123"/>
      <c r="W550" s="124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4"/>
    </row>
    <row r="551" spans="1:38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123"/>
      <c r="T551" s="123"/>
      <c r="U551" s="124"/>
      <c r="V551" s="123"/>
      <c r="W551" s="124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4"/>
    </row>
    <row r="552" spans="1:38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123"/>
      <c r="T552" s="123"/>
      <c r="U552" s="124"/>
      <c r="V552" s="123"/>
      <c r="W552" s="124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4"/>
    </row>
    <row r="553" spans="1:38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123"/>
      <c r="T553" s="123"/>
      <c r="U553" s="124"/>
      <c r="V553" s="123"/>
      <c r="W553" s="124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4"/>
    </row>
    <row r="554" spans="1:38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123"/>
      <c r="T554" s="123"/>
      <c r="U554" s="124"/>
      <c r="V554" s="123"/>
      <c r="W554" s="124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4"/>
    </row>
    <row r="555" spans="1:38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123"/>
      <c r="T555" s="123"/>
      <c r="U555" s="124"/>
      <c r="V555" s="123"/>
      <c r="W555" s="124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4"/>
    </row>
    <row r="556" spans="1:38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123"/>
      <c r="T556" s="123"/>
      <c r="U556" s="124"/>
      <c r="V556" s="123"/>
      <c r="W556" s="124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4"/>
    </row>
    <row r="557" spans="1:38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123"/>
      <c r="T557" s="123"/>
      <c r="U557" s="124"/>
      <c r="V557" s="123"/>
      <c r="W557" s="124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4"/>
    </row>
    <row r="558" spans="1:38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123"/>
      <c r="T558" s="123"/>
      <c r="U558" s="124"/>
      <c r="V558" s="123"/>
      <c r="W558" s="124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4"/>
    </row>
    <row r="559" spans="1:38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123"/>
      <c r="T559" s="123"/>
      <c r="U559" s="124"/>
      <c r="V559" s="123"/>
      <c r="W559" s="124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4"/>
    </row>
    <row r="560" spans="1:38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123"/>
      <c r="T560" s="123"/>
      <c r="U560" s="124"/>
      <c r="V560" s="123"/>
      <c r="W560" s="124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4"/>
    </row>
    <row r="561" spans="1:38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123"/>
      <c r="T561" s="123"/>
      <c r="U561" s="124"/>
      <c r="V561" s="123"/>
      <c r="W561" s="124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4"/>
    </row>
    <row r="562" spans="1:38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123"/>
      <c r="T562" s="123"/>
      <c r="U562" s="124"/>
      <c r="V562" s="123"/>
      <c r="W562" s="124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4"/>
    </row>
    <row r="563" spans="1:38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123"/>
      <c r="T563" s="123"/>
      <c r="U563" s="124"/>
      <c r="V563" s="123"/>
      <c r="W563" s="124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4"/>
    </row>
    <row r="564" spans="1:38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123"/>
      <c r="T564" s="123"/>
      <c r="U564" s="124"/>
      <c r="V564" s="123"/>
      <c r="W564" s="124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4"/>
    </row>
    <row r="565" spans="1:38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123"/>
      <c r="T565" s="123"/>
      <c r="U565" s="124"/>
      <c r="V565" s="123"/>
      <c r="W565" s="124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4"/>
    </row>
    <row r="566" spans="1:38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123"/>
      <c r="T566" s="123"/>
      <c r="U566" s="124"/>
      <c r="V566" s="123"/>
      <c r="W566" s="124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4"/>
    </row>
    <row r="567" spans="1:38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123"/>
      <c r="T567" s="123"/>
      <c r="U567" s="124"/>
      <c r="V567" s="123"/>
      <c r="W567" s="124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4"/>
    </row>
    <row r="568" spans="1:38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123"/>
      <c r="T568" s="123"/>
      <c r="U568" s="124"/>
      <c r="V568" s="123"/>
      <c r="W568" s="124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4"/>
    </row>
    <row r="569" spans="1:38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123"/>
      <c r="T569" s="123"/>
      <c r="U569" s="124"/>
      <c r="V569" s="123"/>
      <c r="W569" s="124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4"/>
    </row>
    <row r="570" spans="1:38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123"/>
      <c r="T570" s="123"/>
      <c r="U570" s="124"/>
      <c r="V570" s="123"/>
      <c r="W570" s="124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4"/>
    </row>
    <row r="571" spans="1:38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123"/>
      <c r="T571" s="123"/>
      <c r="U571" s="124"/>
      <c r="V571" s="123"/>
      <c r="W571" s="124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4"/>
    </row>
    <row r="572" spans="1:38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123"/>
      <c r="T572" s="123"/>
      <c r="U572" s="124"/>
      <c r="V572" s="123"/>
      <c r="W572" s="124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4"/>
    </row>
    <row r="573" spans="1:38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123"/>
      <c r="T573" s="123"/>
      <c r="U573" s="124"/>
      <c r="V573" s="123"/>
      <c r="W573" s="124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4"/>
    </row>
    <row r="574" spans="1:38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123"/>
      <c r="T574" s="123"/>
      <c r="U574" s="124"/>
      <c r="V574" s="123"/>
      <c r="W574" s="124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4"/>
    </row>
    <row r="575" spans="1:38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123"/>
      <c r="T575" s="123"/>
      <c r="U575" s="124"/>
      <c r="V575" s="123"/>
      <c r="W575" s="124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4"/>
    </row>
    <row r="576" spans="1:38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123"/>
      <c r="T576" s="123"/>
      <c r="U576" s="124"/>
      <c r="V576" s="123"/>
      <c r="W576" s="124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4"/>
    </row>
    <row r="577" spans="1:38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123"/>
      <c r="T577" s="123"/>
      <c r="U577" s="124"/>
      <c r="V577" s="123"/>
      <c r="W577" s="124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4"/>
    </row>
    <row r="578" spans="1:38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123"/>
      <c r="T578" s="123"/>
      <c r="U578" s="124"/>
      <c r="V578" s="123"/>
      <c r="W578" s="124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4"/>
    </row>
    <row r="579" spans="1:38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123"/>
      <c r="T579" s="123"/>
      <c r="U579" s="124"/>
      <c r="V579" s="123"/>
      <c r="W579" s="124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4"/>
    </row>
    <row r="580" spans="1:38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123"/>
      <c r="T580" s="123"/>
      <c r="U580" s="124"/>
      <c r="V580" s="123"/>
      <c r="W580" s="124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4"/>
    </row>
    <row r="581" spans="1:38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123"/>
      <c r="T581" s="123"/>
      <c r="U581" s="124"/>
      <c r="V581" s="123"/>
      <c r="W581" s="124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4"/>
    </row>
    <row r="582" spans="1:38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123"/>
      <c r="T582" s="123"/>
      <c r="U582" s="124"/>
      <c r="V582" s="123"/>
      <c r="W582" s="124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4"/>
    </row>
    <row r="583" spans="1:38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123"/>
      <c r="T583" s="123"/>
      <c r="U583" s="124"/>
      <c r="V583" s="123"/>
      <c r="W583" s="124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4"/>
    </row>
    <row r="584" spans="1:38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123"/>
      <c r="T584" s="123"/>
      <c r="U584" s="124"/>
      <c r="V584" s="123"/>
      <c r="W584" s="124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4"/>
    </row>
    <row r="585" spans="1:38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123"/>
      <c r="T585" s="123"/>
      <c r="U585" s="124"/>
      <c r="V585" s="123"/>
      <c r="W585" s="124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4"/>
    </row>
    <row r="586" spans="1:38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123"/>
      <c r="T586" s="123"/>
      <c r="U586" s="124"/>
      <c r="V586" s="123"/>
      <c r="W586" s="124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4"/>
    </row>
    <row r="587" spans="1:38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123"/>
      <c r="T587" s="123"/>
      <c r="U587" s="124"/>
      <c r="V587" s="123"/>
      <c r="W587" s="124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4"/>
    </row>
    <row r="588" spans="1:38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123"/>
      <c r="T588" s="123"/>
      <c r="U588" s="124"/>
      <c r="V588" s="123"/>
      <c r="W588" s="124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4"/>
    </row>
    <row r="589" spans="1:38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123"/>
      <c r="T589" s="123"/>
      <c r="U589" s="124"/>
      <c r="V589" s="123"/>
      <c r="W589" s="124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4"/>
    </row>
    <row r="590" spans="1:38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123"/>
      <c r="T590" s="123"/>
      <c r="U590" s="124"/>
      <c r="V590" s="123"/>
      <c r="W590" s="124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4"/>
    </row>
    <row r="591" spans="1:38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123"/>
      <c r="T591" s="123"/>
      <c r="U591" s="124"/>
      <c r="V591" s="123"/>
      <c r="W591" s="124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4"/>
    </row>
    <row r="592" spans="1:38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123"/>
      <c r="T592" s="123"/>
      <c r="U592" s="124"/>
      <c r="V592" s="123"/>
      <c r="W592" s="124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4"/>
    </row>
    <row r="593" spans="1:38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123"/>
      <c r="T593" s="123"/>
      <c r="U593" s="124"/>
      <c r="V593" s="123"/>
      <c r="W593" s="124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4"/>
    </row>
    <row r="594" spans="1:38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123"/>
      <c r="T594" s="123"/>
      <c r="U594" s="124"/>
      <c r="V594" s="123"/>
      <c r="W594" s="124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4"/>
    </row>
    <row r="595" spans="1:38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123"/>
      <c r="T595" s="123"/>
      <c r="U595" s="124"/>
      <c r="V595" s="123"/>
      <c r="W595" s="124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4"/>
    </row>
    <row r="596" spans="1:38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123"/>
      <c r="T596" s="123"/>
      <c r="U596" s="124"/>
      <c r="V596" s="123"/>
      <c r="W596" s="124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4"/>
    </row>
    <row r="597" spans="1:38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123"/>
      <c r="T597" s="123"/>
      <c r="U597" s="124"/>
      <c r="V597" s="123"/>
      <c r="W597" s="124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4"/>
    </row>
    <row r="598" spans="1:38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123"/>
      <c r="T598" s="123"/>
      <c r="U598" s="124"/>
      <c r="V598" s="123"/>
      <c r="W598" s="124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4"/>
    </row>
    <row r="599" spans="1:38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123"/>
      <c r="T599" s="123"/>
      <c r="U599" s="124"/>
      <c r="V599" s="123"/>
      <c r="W599" s="124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4"/>
    </row>
    <row r="600" spans="1:38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123"/>
      <c r="T600" s="123"/>
      <c r="U600" s="124"/>
      <c r="V600" s="123"/>
      <c r="W600" s="124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4"/>
    </row>
    <row r="601" spans="1:38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123"/>
      <c r="T601" s="123"/>
      <c r="U601" s="124"/>
      <c r="V601" s="123"/>
      <c r="W601" s="124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4"/>
    </row>
    <row r="602" spans="1:38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123"/>
      <c r="T602" s="123"/>
      <c r="U602" s="124"/>
      <c r="V602" s="123"/>
      <c r="W602" s="124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4"/>
    </row>
    <row r="603" spans="1:38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123"/>
      <c r="T603" s="123"/>
      <c r="U603" s="124"/>
      <c r="V603" s="123"/>
      <c r="W603" s="124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4"/>
    </row>
    <row r="604" spans="1:38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123"/>
      <c r="T604" s="123"/>
      <c r="U604" s="124"/>
      <c r="V604" s="123"/>
      <c r="W604" s="124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4"/>
    </row>
    <row r="605" spans="1:38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123"/>
      <c r="T605" s="123"/>
      <c r="U605" s="124"/>
      <c r="V605" s="123"/>
      <c r="W605" s="124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4"/>
    </row>
    <row r="606" spans="1:38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123"/>
      <c r="T606" s="123"/>
      <c r="U606" s="124"/>
      <c r="V606" s="123"/>
      <c r="W606" s="124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4"/>
    </row>
    <row r="607" spans="1:38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123"/>
      <c r="T607" s="123"/>
      <c r="U607" s="124"/>
      <c r="V607" s="123"/>
      <c r="W607" s="124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4"/>
    </row>
    <row r="608" spans="1:38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123"/>
      <c r="T608" s="123"/>
      <c r="U608" s="124"/>
      <c r="V608" s="123"/>
      <c r="W608" s="124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4"/>
    </row>
    <row r="609" spans="1:38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123"/>
      <c r="T609" s="123"/>
      <c r="U609" s="124"/>
      <c r="V609" s="123"/>
      <c r="W609" s="124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4"/>
    </row>
    <row r="610" spans="1:38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123"/>
      <c r="T610" s="123"/>
      <c r="U610" s="124"/>
      <c r="V610" s="123"/>
      <c r="W610" s="124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4"/>
    </row>
    <row r="611" spans="1:38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123"/>
      <c r="T611" s="123"/>
      <c r="U611" s="124"/>
      <c r="V611" s="123"/>
      <c r="W611" s="124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4"/>
    </row>
    <row r="612" spans="1:38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123"/>
      <c r="T612" s="123"/>
      <c r="U612" s="124"/>
      <c r="V612" s="123"/>
      <c r="W612" s="124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4"/>
    </row>
    <row r="613" spans="1:38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123"/>
      <c r="T613" s="123"/>
      <c r="U613" s="124"/>
      <c r="V613" s="123"/>
      <c r="W613" s="124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4"/>
    </row>
    <row r="614" spans="1:38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123"/>
      <c r="T614" s="123"/>
      <c r="U614" s="124"/>
      <c r="V614" s="123"/>
      <c r="W614" s="124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4"/>
    </row>
    <row r="615" spans="1:38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123"/>
      <c r="T615" s="123"/>
      <c r="U615" s="124"/>
      <c r="V615" s="123"/>
      <c r="W615" s="124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4"/>
    </row>
    <row r="616" spans="1:38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123"/>
      <c r="T616" s="123"/>
      <c r="U616" s="124"/>
      <c r="V616" s="123"/>
      <c r="W616" s="124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4"/>
    </row>
    <row r="617" spans="1:38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123"/>
      <c r="T617" s="123"/>
      <c r="U617" s="124"/>
      <c r="V617" s="123"/>
      <c r="W617" s="124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4"/>
    </row>
    <row r="618" spans="1:38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123"/>
      <c r="T618" s="123"/>
      <c r="U618" s="124"/>
      <c r="V618" s="123"/>
      <c r="W618" s="124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4"/>
    </row>
    <row r="619" spans="1:38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123"/>
      <c r="T619" s="123"/>
      <c r="U619" s="124"/>
      <c r="V619" s="123"/>
      <c r="W619" s="124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4"/>
    </row>
    <row r="620" spans="1:38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123"/>
      <c r="T620" s="123"/>
      <c r="U620" s="124"/>
      <c r="V620" s="123"/>
      <c r="W620" s="124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4"/>
    </row>
    <row r="621" spans="1:38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123"/>
      <c r="T621" s="123"/>
      <c r="U621" s="124"/>
      <c r="V621" s="123"/>
      <c r="W621" s="124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4"/>
    </row>
    <row r="622" spans="1:38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123"/>
      <c r="T622" s="123"/>
      <c r="U622" s="124"/>
      <c r="V622" s="123"/>
      <c r="W622" s="124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4"/>
    </row>
    <row r="623" spans="1:38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123"/>
      <c r="T623" s="123"/>
      <c r="U623" s="124"/>
      <c r="V623" s="123"/>
      <c r="W623" s="124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4"/>
    </row>
    <row r="624" spans="1:38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123"/>
      <c r="T624" s="123"/>
      <c r="U624" s="124"/>
      <c r="V624" s="123"/>
      <c r="W624" s="124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4"/>
    </row>
    <row r="625" spans="1:38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123"/>
      <c r="T625" s="123"/>
      <c r="U625" s="124"/>
      <c r="V625" s="123"/>
      <c r="W625" s="124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4"/>
    </row>
    <row r="626" spans="1:38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123"/>
      <c r="T626" s="123"/>
      <c r="U626" s="124"/>
      <c r="V626" s="123"/>
      <c r="W626" s="124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4"/>
    </row>
    <row r="627" spans="1:38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123"/>
      <c r="T627" s="123"/>
      <c r="U627" s="124"/>
      <c r="V627" s="123"/>
      <c r="W627" s="124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4"/>
    </row>
    <row r="628" spans="1:38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123"/>
      <c r="T628" s="123"/>
      <c r="U628" s="124"/>
      <c r="V628" s="123"/>
      <c r="W628" s="124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4"/>
    </row>
    <row r="629" spans="1:38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123"/>
      <c r="T629" s="123"/>
      <c r="U629" s="124"/>
      <c r="V629" s="123"/>
      <c r="W629" s="124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4"/>
    </row>
    <row r="630" spans="1:38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123"/>
      <c r="T630" s="123"/>
      <c r="U630" s="124"/>
      <c r="V630" s="123"/>
      <c r="W630" s="124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4"/>
    </row>
    <row r="631" spans="1:38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123"/>
      <c r="T631" s="123"/>
      <c r="U631" s="124"/>
      <c r="V631" s="123"/>
      <c r="W631" s="124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4"/>
    </row>
    <row r="632" spans="1:38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123"/>
      <c r="T632" s="123"/>
      <c r="U632" s="124"/>
      <c r="V632" s="123"/>
      <c r="W632" s="124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4"/>
    </row>
    <row r="633" spans="1:38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123"/>
      <c r="T633" s="123"/>
      <c r="U633" s="124"/>
      <c r="V633" s="123"/>
      <c r="W633" s="124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4"/>
    </row>
    <row r="634" spans="1:38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123"/>
      <c r="T634" s="123"/>
      <c r="U634" s="124"/>
      <c r="V634" s="123"/>
      <c r="W634" s="124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4"/>
    </row>
    <row r="635" spans="1:38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123"/>
      <c r="T635" s="123"/>
      <c r="U635" s="124"/>
      <c r="V635" s="123"/>
      <c r="W635" s="124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4"/>
    </row>
    <row r="636" spans="1:38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123"/>
      <c r="T636" s="123"/>
      <c r="U636" s="124"/>
      <c r="V636" s="123"/>
      <c r="W636" s="124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4"/>
    </row>
    <row r="637" spans="1:38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123"/>
      <c r="T637" s="123"/>
      <c r="U637" s="124"/>
      <c r="V637" s="123"/>
      <c r="W637" s="124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4"/>
    </row>
    <row r="638" spans="1:38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123"/>
      <c r="T638" s="123"/>
      <c r="U638" s="124"/>
      <c r="V638" s="123"/>
      <c r="W638" s="124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4"/>
    </row>
    <row r="639" spans="1:38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123"/>
      <c r="T639" s="123"/>
      <c r="U639" s="124"/>
      <c r="V639" s="123"/>
      <c r="W639" s="124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4"/>
    </row>
    <row r="640" spans="1:38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123"/>
      <c r="T640" s="123"/>
      <c r="U640" s="124"/>
      <c r="V640" s="123"/>
      <c r="W640" s="124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4"/>
    </row>
    <row r="641" spans="1:38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123"/>
      <c r="T641" s="123"/>
      <c r="U641" s="124"/>
      <c r="V641" s="123"/>
      <c r="W641" s="124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4"/>
    </row>
    <row r="642" spans="1:38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123"/>
      <c r="T642" s="123"/>
      <c r="U642" s="124"/>
      <c r="V642" s="123"/>
      <c r="W642" s="124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4"/>
    </row>
    <row r="643" spans="1:38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123"/>
      <c r="T643" s="123"/>
      <c r="U643" s="124"/>
      <c r="V643" s="123"/>
      <c r="W643" s="124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4"/>
    </row>
    <row r="644" spans="1:38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123"/>
      <c r="T644" s="123"/>
      <c r="U644" s="124"/>
      <c r="V644" s="123"/>
      <c r="W644" s="124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4"/>
    </row>
    <row r="645" spans="1:38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123"/>
      <c r="T645" s="123"/>
      <c r="U645" s="124"/>
      <c r="V645" s="123"/>
      <c r="W645" s="124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4"/>
    </row>
    <row r="646" spans="1:38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123"/>
      <c r="T646" s="123"/>
      <c r="U646" s="124"/>
      <c r="V646" s="123"/>
      <c r="W646" s="124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4"/>
    </row>
    <row r="647" spans="1:38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123"/>
      <c r="T647" s="123"/>
      <c r="U647" s="124"/>
      <c r="V647" s="123"/>
      <c r="W647" s="124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4"/>
    </row>
    <row r="648" spans="1:38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123"/>
      <c r="T648" s="123"/>
      <c r="U648" s="124"/>
      <c r="V648" s="123"/>
      <c r="W648" s="124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4"/>
    </row>
    <row r="649" spans="1:38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123"/>
      <c r="T649" s="123"/>
      <c r="U649" s="124"/>
      <c r="V649" s="123"/>
      <c r="W649" s="124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4"/>
    </row>
    <row r="650" spans="1:38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123"/>
      <c r="T650" s="123"/>
      <c r="U650" s="124"/>
      <c r="V650" s="123"/>
      <c r="W650" s="124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4"/>
    </row>
    <row r="651" spans="1:38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123"/>
      <c r="T651" s="123"/>
      <c r="U651" s="124"/>
      <c r="V651" s="123"/>
      <c r="W651" s="124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4"/>
    </row>
    <row r="652" spans="1:38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123"/>
      <c r="T652" s="123"/>
      <c r="U652" s="124"/>
      <c r="V652" s="123"/>
      <c r="W652" s="124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4"/>
    </row>
    <row r="653" spans="1:38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123"/>
      <c r="T653" s="123"/>
      <c r="U653" s="124"/>
      <c r="V653" s="123"/>
      <c r="W653" s="124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4"/>
    </row>
    <row r="654" spans="1:38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123"/>
      <c r="T654" s="123"/>
      <c r="U654" s="124"/>
      <c r="V654" s="123"/>
      <c r="W654" s="124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4"/>
    </row>
    <row r="655" spans="1:38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123"/>
      <c r="T655" s="123"/>
      <c r="U655" s="124"/>
      <c r="V655" s="123"/>
      <c r="W655" s="124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4"/>
    </row>
    <row r="656" spans="1:38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123"/>
      <c r="T656" s="123"/>
      <c r="U656" s="124"/>
      <c r="V656" s="123"/>
      <c r="W656" s="124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4"/>
    </row>
    <row r="657" spans="1:38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123"/>
      <c r="T657" s="123"/>
      <c r="U657" s="124"/>
      <c r="V657" s="123"/>
      <c r="W657" s="124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4"/>
    </row>
    <row r="658" spans="1:38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123"/>
      <c r="T658" s="123"/>
      <c r="U658" s="124"/>
      <c r="V658" s="123"/>
      <c r="W658" s="124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4"/>
    </row>
    <row r="659" spans="1:38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123"/>
      <c r="T659" s="123"/>
      <c r="U659" s="124"/>
      <c r="V659" s="123"/>
      <c r="W659" s="124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4"/>
    </row>
    <row r="660" spans="1:38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123"/>
      <c r="T660" s="123"/>
      <c r="U660" s="124"/>
      <c r="V660" s="123"/>
      <c r="W660" s="124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4"/>
    </row>
    <row r="661" spans="1:38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123"/>
      <c r="T661" s="123"/>
      <c r="U661" s="124"/>
      <c r="V661" s="123"/>
      <c r="W661" s="124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4"/>
    </row>
    <row r="662" spans="1:38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123"/>
      <c r="T662" s="123"/>
      <c r="U662" s="124"/>
      <c r="V662" s="123"/>
      <c r="W662" s="124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4"/>
    </row>
    <row r="663" spans="1:38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123"/>
      <c r="T663" s="123"/>
      <c r="U663" s="124"/>
      <c r="V663" s="123"/>
      <c r="W663" s="124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4"/>
    </row>
    <row r="664" spans="1:38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123"/>
      <c r="T664" s="123"/>
      <c r="U664" s="124"/>
      <c r="V664" s="123"/>
      <c r="W664" s="124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4"/>
    </row>
    <row r="665" spans="1:38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123"/>
      <c r="T665" s="123"/>
      <c r="U665" s="124"/>
      <c r="V665" s="123"/>
      <c r="W665" s="124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4"/>
    </row>
    <row r="666" spans="1:38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123"/>
      <c r="T666" s="123"/>
      <c r="U666" s="124"/>
      <c r="V666" s="123"/>
      <c r="W666" s="124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4"/>
    </row>
    <row r="667" spans="1:38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123"/>
      <c r="T667" s="123"/>
      <c r="U667" s="124"/>
      <c r="V667" s="123"/>
      <c r="W667" s="124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4"/>
    </row>
    <row r="668" spans="1:38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123"/>
      <c r="T668" s="123"/>
      <c r="U668" s="124"/>
      <c r="V668" s="123"/>
      <c r="W668" s="124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4"/>
    </row>
    <row r="669" spans="1:38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123"/>
      <c r="T669" s="123"/>
      <c r="U669" s="124"/>
      <c r="V669" s="123"/>
      <c r="W669" s="124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4"/>
    </row>
    <row r="670" spans="1:38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123"/>
      <c r="T670" s="123"/>
      <c r="U670" s="124"/>
      <c r="V670" s="123"/>
      <c r="W670" s="124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4"/>
    </row>
    <row r="671" spans="1:38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123"/>
      <c r="T671" s="123"/>
      <c r="U671" s="124"/>
      <c r="V671" s="123"/>
      <c r="W671" s="124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4"/>
    </row>
    <row r="672" spans="1:38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123"/>
      <c r="T672" s="123"/>
      <c r="U672" s="124"/>
      <c r="V672" s="123"/>
      <c r="W672" s="124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4"/>
    </row>
    <row r="673" spans="1:38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123"/>
      <c r="T673" s="123"/>
      <c r="U673" s="124"/>
      <c r="V673" s="123"/>
      <c r="W673" s="124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4"/>
    </row>
    <row r="674" spans="1:38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123"/>
      <c r="T674" s="123"/>
      <c r="U674" s="124"/>
      <c r="V674" s="123"/>
      <c r="W674" s="124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4"/>
    </row>
    <row r="675" spans="1:38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123"/>
      <c r="T675" s="123"/>
      <c r="U675" s="124"/>
      <c r="V675" s="123"/>
      <c r="W675" s="124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4"/>
    </row>
    <row r="676" spans="1:38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123"/>
      <c r="T676" s="123"/>
      <c r="U676" s="124"/>
      <c r="V676" s="123"/>
      <c r="W676" s="124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4"/>
    </row>
    <row r="677" spans="1:38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123"/>
      <c r="T677" s="123"/>
      <c r="U677" s="124"/>
      <c r="V677" s="123"/>
      <c r="W677" s="124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4"/>
    </row>
    <row r="678" spans="1:38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123"/>
      <c r="T678" s="123"/>
      <c r="U678" s="124"/>
      <c r="V678" s="123"/>
      <c r="W678" s="124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4"/>
    </row>
    <row r="679" spans="1:38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123"/>
      <c r="T679" s="123"/>
      <c r="U679" s="124"/>
      <c r="V679" s="123"/>
      <c r="W679" s="124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4"/>
    </row>
    <row r="680" spans="1:38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123"/>
      <c r="T680" s="123"/>
      <c r="U680" s="124"/>
      <c r="V680" s="123"/>
      <c r="W680" s="124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4"/>
    </row>
    <row r="681" spans="1:38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123"/>
      <c r="T681" s="123"/>
      <c r="U681" s="124"/>
      <c r="V681" s="123"/>
      <c r="W681" s="124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4"/>
    </row>
    <row r="682" spans="1:38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123"/>
      <c r="T682" s="123"/>
      <c r="U682" s="124"/>
      <c r="V682" s="123"/>
      <c r="W682" s="124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4"/>
    </row>
    <row r="683" spans="1:38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123"/>
      <c r="T683" s="123"/>
      <c r="U683" s="124"/>
      <c r="V683" s="123"/>
      <c r="W683" s="124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4"/>
    </row>
    <row r="684" spans="1:38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123"/>
      <c r="T684" s="123"/>
      <c r="U684" s="124"/>
      <c r="V684" s="123"/>
      <c r="W684" s="124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4"/>
    </row>
    <row r="685" spans="1:38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123"/>
      <c r="T685" s="123"/>
      <c r="U685" s="124"/>
      <c r="V685" s="123"/>
      <c r="W685" s="124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4"/>
    </row>
    <row r="686" spans="1:38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123"/>
      <c r="T686" s="123"/>
      <c r="U686" s="124"/>
      <c r="V686" s="123"/>
      <c r="W686" s="124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4"/>
    </row>
    <row r="687" spans="1:38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123"/>
      <c r="T687" s="123"/>
      <c r="U687" s="124"/>
      <c r="V687" s="123"/>
      <c r="W687" s="124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4"/>
    </row>
    <row r="688" spans="1:38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123"/>
      <c r="T688" s="123"/>
      <c r="U688" s="124"/>
      <c r="V688" s="123"/>
      <c r="W688" s="124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4"/>
    </row>
    <row r="689" spans="1:38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123"/>
      <c r="T689" s="123"/>
      <c r="U689" s="124"/>
      <c r="V689" s="123"/>
      <c r="W689" s="124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4"/>
    </row>
    <row r="690" spans="1:38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123"/>
      <c r="T690" s="123"/>
      <c r="U690" s="124"/>
      <c r="V690" s="123"/>
      <c r="W690" s="124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4"/>
    </row>
    <row r="691" spans="1:38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123"/>
      <c r="T691" s="123"/>
      <c r="U691" s="124"/>
      <c r="V691" s="123"/>
      <c r="W691" s="124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4"/>
    </row>
    <row r="692" spans="1:38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123"/>
      <c r="T692" s="123"/>
      <c r="U692" s="124"/>
      <c r="V692" s="123"/>
      <c r="W692" s="124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4"/>
    </row>
    <row r="693" spans="1:38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123"/>
      <c r="T693" s="123"/>
      <c r="U693" s="124"/>
      <c r="V693" s="123"/>
      <c r="W693" s="124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4"/>
    </row>
    <row r="694" spans="1:38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123"/>
      <c r="T694" s="123"/>
      <c r="U694" s="124"/>
      <c r="V694" s="123"/>
      <c r="W694" s="124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4"/>
    </row>
    <row r="695" spans="1:38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123"/>
      <c r="T695" s="123"/>
      <c r="U695" s="124"/>
      <c r="V695" s="123"/>
      <c r="W695" s="124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4"/>
    </row>
    <row r="696" spans="1:38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123"/>
      <c r="T696" s="123"/>
      <c r="U696" s="124"/>
      <c r="V696" s="123"/>
      <c r="W696" s="124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4"/>
    </row>
    <row r="697" spans="1:38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123"/>
      <c r="T697" s="123"/>
      <c r="U697" s="124"/>
      <c r="V697" s="123"/>
      <c r="W697" s="124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4"/>
    </row>
    <row r="698" spans="1:38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123"/>
      <c r="T698" s="123"/>
      <c r="U698" s="124"/>
      <c r="V698" s="123"/>
      <c r="W698" s="124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4"/>
    </row>
    <row r="699" spans="1:38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123"/>
      <c r="T699" s="123"/>
      <c r="U699" s="124"/>
      <c r="V699" s="123"/>
      <c r="W699" s="124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4"/>
    </row>
    <row r="700" spans="1:38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123"/>
      <c r="T700" s="123"/>
      <c r="U700" s="124"/>
      <c r="V700" s="123"/>
      <c r="W700" s="124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4"/>
    </row>
    <row r="701" spans="1:38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123"/>
      <c r="T701" s="123"/>
      <c r="U701" s="124"/>
      <c r="V701" s="123"/>
      <c r="W701" s="124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4"/>
    </row>
    <row r="702" spans="1:38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123"/>
      <c r="T702" s="123"/>
      <c r="U702" s="124"/>
      <c r="V702" s="123"/>
      <c r="W702" s="124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4"/>
    </row>
    <row r="703" spans="1:38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123"/>
      <c r="T703" s="123"/>
      <c r="U703" s="124"/>
      <c r="V703" s="123"/>
      <c r="W703" s="124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4"/>
    </row>
    <row r="704" spans="1:38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123"/>
      <c r="T704" s="123"/>
      <c r="U704" s="124"/>
      <c r="V704" s="123"/>
      <c r="W704" s="124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4"/>
    </row>
    <row r="705" spans="1:38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123"/>
      <c r="T705" s="123"/>
      <c r="U705" s="124"/>
      <c r="V705" s="123"/>
      <c r="W705" s="124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4"/>
    </row>
    <row r="706" spans="1:38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123"/>
      <c r="T706" s="123"/>
      <c r="U706" s="124"/>
      <c r="V706" s="123"/>
      <c r="W706" s="124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4"/>
    </row>
    <row r="707" spans="1:38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123"/>
      <c r="T707" s="123"/>
      <c r="U707" s="124"/>
      <c r="V707" s="123"/>
      <c r="W707" s="124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4"/>
    </row>
    <row r="708" spans="1:38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123"/>
      <c r="T708" s="123"/>
      <c r="U708" s="124"/>
      <c r="V708" s="123"/>
      <c r="W708" s="124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4"/>
    </row>
    <row r="709" spans="1:38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123"/>
      <c r="T709" s="123"/>
      <c r="U709" s="124"/>
      <c r="V709" s="123"/>
      <c r="W709" s="124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4"/>
    </row>
    <row r="710" spans="1:38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123"/>
      <c r="T710" s="123"/>
      <c r="U710" s="124"/>
      <c r="V710" s="123"/>
      <c r="W710" s="124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4"/>
    </row>
    <row r="711" spans="1:38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123"/>
      <c r="T711" s="123"/>
      <c r="U711" s="124"/>
      <c r="V711" s="123"/>
      <c r="W711" s="124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4"/>
    </row>
    <row r="712" spans="1:38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123"/>
      <c r="T712" s="123"/>
      <c r="U712" s="124"/>
      <c r="V712" s="123"/>
      <c r="W712" s="124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4"/>
    </row>
    <row r="713" spans="1:38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123"/>
      <c r="T713" s="123"/>
      <c r="U713" s="124"/>
      <c r="V713" s="123"/>
      <c r="W713" s="124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4"/>
    </row>
    <row r="714" spans="1:38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123"/>
      <c r="T714" s="123"/>
      <c r="U714" s="124"/>
      <c r="V714" s="123"/>
      <c r="W714" s="124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4"/>
    </row>
    <row r="715" spans="1:38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123"/>
      <c r="T715" s="123"/>
      <c r="U715" s="124"/>
      <c r="V715" s="123"/>
      <c r="W715" s="124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4"/>
    </row>
    <row r="716" spans="1:38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123"/>
      <c r="T716" s="123"/>
      <c r="U716" s="124"/>
      <c r="V716" s="123"/>
      <c r="W716" s="124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4"/>
    </row>
    <row r="717" spans="1:38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123"/>
      <c r="T717" s="123"/>
      <c r="U717" s="124"/>
      <c r="V717" s="123"/>
      <c r="W717" s="124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4"/>
    </row>
    <row r="718" spans="1:38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123"/>
      <c r="T718" s="123"/>
      <c r="U718" s="124"/>
      <c r="V718" s="123"/>
      <c r="W718" s="124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4"/>
    </row>
    <row r="719" spans="1:38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123"/>
      <c r="T719" s="123"/>
      <c r="U719" s="124"/>
      <c r="V719" s="123"/>
      <c r="W719" s="124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4"/>
    </row>
    <row r="720" spans="1:38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123"/>
      <c r="T720" s="123"/>
      <c r="U720" s="124"/>
      <c r="V720" s="123"/>
      <c r="W720" s="124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4"/>
    </row>
    <row r="721" spans="1:38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123"/>
      <c r="T721" s="123"/>
      <c r="U721" s="124"/>
      <c r="V721" s="123"/>
      <c r="W721" s="124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4"/>
    </row>
    <row r="722" spans="1:38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123"/>
      <c r="T722" s="123"/>
      <c r="U722" s="124"/>
      <c r="V722" s="123"/>
      <c r="W722" s="124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4"/>
    </row>
    <row r="723" spans="1:38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123"/>
      <c r="T723" s="123"/>
      <c r="U723" s="124"/>
      <c r="V723" s="123"/>
      <c r="W723" s="124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4"/>
    </row>
    <row r="724" spans="1:38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123"/>
      <c r="T724" s="123"/>
      <c r="U724" s="124"/>
      <c r="V724" s="123"/>
      <c r="W724" s="124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4"/>
    </row>
    <row r="725" spans="1:38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123"/>
      <c r="T725" s="123"/>
      <c r="U725" s="124"/>
      <c r="V725" s="123"/>
      <c r="W725" s="124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4"/>
    </row>
    <row r="726" spans="1:38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123"/>
      <c r="T726" s="123"/>
      <c r="U726" s="124"/>
      <c r="V726" s="123"/>
      <c r="W726" s="124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4"/>
    </row>
    <row r="727" spans="1:38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123"/>
      <c r="T727" s="123"/>
      <c r="U727" s="124"/>
      <c r="V727" s="123"/>
      <c r="W727" s="124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4"/>
    </row>
    <row r="728" spans="1:38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123"/>
      <c r="T728" s="123"/>
      <c r="U728" s="124"/>
      <c r="V728" s="123"/>
      <c r="W728" s="124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4"/>
    </row>
    <row r="729" spans="1:38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123"/>
      <c r="T729" s="123"/>
      <c r="U729" s="124"/>
      <c r="V729" s="123"/>
      <c r="W729" s="124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4"/>
    </row>
    <row r="730" spans="1:38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123"/>
      <c r="T730" s="123"/>
      <c r="U730" s="124"/>
      <c r="V730" s="123"/>
      <c r="W730" s="124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4"/>
    </row>
    <row r="731" spans="1:38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123"/>
      <c r="T731" s="123"/>
      <c r="U731" s="124"/>
      <c r="V731" s="123"/>
      <c r="W731" s="124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4"/>
    </row>
    <row r="732" spans="1:38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123"/>
      <c r="T732" s="123"/>
      <c r="U732" s="124"/>
      <c r="V732" s="123"/>
      <c r="W732" s="124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4"/>
    </row>
    <row r="733" spans="1:38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123"/>
      <c r="T733" s="123"/>
      <c r="U733" s="124"/>
      <c r="V733" s="123"/>
      <c r="W733" s="124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4"/>
    </row>
    <row r="734" spans="1:38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123"/>
      <c r="T734" s="123"/>
      <c r="U734" s="124"/>
      <c r="V734" s="123"/>
      <c r="W734" s="124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4"/>
    </row>
    <row r="735" spans="1:38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123"/>
      <c r="T735" s="123"/>
      <c r="U735" s="124"/>
      <c r="V735" s="123"/>
      <c r="W735" s="124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4"/>
    </row>
    <row r="736" spans="1:38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123"/>
      <c r="T736" s="123"/>
      <c r="U736" s="124"/>
      <c r="V736" s="123"/>
      <c r="W736" s="124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4"/>
    </row>
    <row r="737" spans="1:38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123"/>
      <c r="T737" s="123"/>
      <c r="U737" s="124"/>
      <c r="V737" s="123"/>
      <c r="W737" s="124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4"/>
    </row>
    <row r="738" spans="1:38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123"/>
      <c r="T738" s="123"/>
      <c r="U738" s="124"/>
      <c r="V738" s="123"/>
      <c r="W738" s="124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4"/>
    </row>
    <row r="739" spans="1:38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123"/>
      <c r="T739" s="123"/>
      <c r="U739" s="124"/>
      <c r="V739" s="123"/>
      <c r="W739" s="124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4"/>
    </row>
    <row r="740" spans="1:38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123"/>
      <c r="T740" s="123"/>
      <c r="U740" s="124"/>
      <c r="V740" s="123"/>
      <c r="W740" s="124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4"/>
    </row>
    <row r="741" spans="1:38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123"/>
      <c r="T741" s="123"/>
      <c r="U741" s="124"/>
      <c r="V741" s="123"/>
      <c r="W741" s="124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4"/>
    </row>
    <row r="742" spans="1:38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123"/>
      <c r="T742" s="123"/>
      <c r="U742" s="124"/>
      <c r="V742" s="123"/>
      <c r="W742" s="124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4"/>
    </row>
    <row r="743" spans="1:38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123"/>
      <c r="T743" s="123"/>
      <c r="U743" s="124"/>
      <c r="V743" s="123"/>
      <c r="W743" s="124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4"/>
    </row>
    <row r="744" spans="1:38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123"/>
      <c r="T744" s="123"/>
      <c r="U744" s="124"/>
      <c r="V744" s="123"/>
      <c r="W744" s="124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4"/>
    </row>
    <row r="745" spans="1:38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123"/>
      <c r="T745" s="123"/>
      <c r="U745" s="124"/>
      <c r="V745" s="123"/>
      <c r="W745" s="124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4"/>
    </row>
    <row r="746" spans="1:38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123"/>
      <c r="T746" s="123"/>
      <c r="U746" s="124"/>
      <c r="V746" s="123"/>
      <c r="W746" s="124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4"/>
    </row>
    <row r="747" spans="1:38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123"/>
      <c r="T747" s="123"/>
      <c r="U747" s="124"/>
      <c r="V747" s="123"/>
      <c r="W747" s="124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4"/>
    </row>
    <row r="748" spans="1:38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123"/>
      <c r="T748" s="123"/>
      <c r="U748" s="124"/>
      <c r="V748" s="123"/>
      <c r="W748" s="124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4"/>
    </row>
    <row r="749" spans="1:38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123"/>
      <c r="T749" s="123"/>
      <c r="U749" s="124"/>
      <c r="V749" s="123"/>
      <c r="W749" s="124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4"/>
    </row>
    <row r="750" spans="1:38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123"/>
      <c r="T750" s="123"/>
      <c r="U750" s="124"/>
      <c r="V750" s="123"/>
      <c r="W750" s="124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4"/>
    </row>
    <row r="751" spans="1:38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123"/>
      <c r="T751" s="123"/>
      <c r="U751" s="124"/>
      <c r="V751" s="123"/>
      <c r="W751" s="124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4"/>
    </row>
    <row r="752" spans="1:38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123"/>
      <c r="T752" s="123"/>
      <c r="U752" s="124"/>
      <c r="V752" s="123"/>
      <c r="W752" s="124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4"/>
    </row>
    <row r="753" spans="1:38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123"/>
      <c r="T753" s="123"/>
      <c r="U753" s="124"/>
      <c r="V753" s="123"/>
      <c r="W753" s="124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4"/>
    </row>
    <row r="754" spans="1:38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123"/>
      <c r="T754" s="123"/>
      <c r="U754" s="124"/>
      <c r="V754" s="123"/>
      <c r="W754" s="124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4"/>
    </row>
    <row r="755" spans="1:38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123"/>
      <c r="T755" s="123"/>
      <c r="U755" s="124"/>
      <c r="V755" s="123"/>
      <c r="W755" s="124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4"/>
    </row>
    <row r="756" spans="1:38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123"/>
      <c r="T756" s="123"/>
      <c r="U756" s="124"/>
      <c r="V756" s="123"/>
      <c r="W756" s="124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4"/>
    </row>
    <row r="757" spans="1:38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123"/>
      <c r="T757" s="123"/>
      <c r="U757" s="124"/>
      <c r="V757" s="123"/>
      <c r="W757" s="124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4"/>
    </row>
    <row r="758" spans="1:38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123"/>
      <c r="T758" s="123"/>
      <c r="U758" s="124"/>
      <c r="V758" s="123"/>
      <c r="W758" s="124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4"/>
    </row>
    <row r="759" spans="1:38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123"/>
      <c r="T759" s="123"/>
      <c r="U759" s="124"/>
      <c r="V759" s="123"/>
      <c r="W759" s="124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4"/>
    </row>
    <row r="760" spans="1:38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123"/>
      <c r="T760" s="123"/>
      <c r="U760" s="124"/>
      <c r="V760" s="123"/>
      <c r="W760" s="124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4"/>
    </row>
    <row r="761" spans="1:38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123"/>
      <c r="T761" s="123"/>
      <c r="U761" s="124"/>
      <c r="V761" s="123"/>
      <c r="W761" s="124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4"/>
    </row>
    <row r="762" spans="1:38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123"/>
      <c r="T762" s="123"/>
      <c r="U762" s="124"/>
      <c r="V762" s="123"/>
      <c r="W762" s="124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4"/>
    </row>
    <row r="763" spans="1:38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123"/>
      <c r="T763" s="123"/>
      <c r="U763" s="124"/>
      <c r="V763" s="123"/>
      <c r="W763" s="124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4"/>
    </row>
    <row r="764" spans="1:38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123"/>
      <c r="T764" s="123"/>
      <c r="U764" s="124"/>
      <c r="V764" s="123"/>
      <c r="W764" s="124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4"/>
    </row>
    <row r="765" spans="1:38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123"/>
      <c r="T765" s="123"/>
      <c r="U765" s="124"/>
      <c r="V765" s="123"/>
      <c r="W765" s="124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4"/>
    </row>
    <row r="766" spans="1:38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123"/>
      <c r="T766" s="123"/>
      <c r="U766" s="124"/>
      <c r="V766" s="123"/>
      <c r="W766" s="124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4"/>
    </row>
    <row r="767" spans="1:38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123"/>
      <c r="T767" s="123"/>
      <c r="U767" s="124"/>
      <c r="V767" s="123"/>
      <c r="W767" s="124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4"/>
    </row>
    <row r="768" spans="1:38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123"/>
      <c r="T768" s="123"/>
      <c r="U768" s="124"/>
      <c r="V768" s="123"/>
      <c r="W768" s="124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4"/>
    </row>
    <row r="769" spans="1:38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123"/>
      <c r="T769" s="123"/>
      <c r="U769" s="124"/>
      <c r="V769" s="123"/>
      <c r="W769" s="124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4"/>
    </row>
    <row r="770" spans="1:38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123"/>
      <c r="T770" s="123"/>
      <c r="U770" s="124"/>
      <c r="V770" s="123"/>
      <c r="W770" s="124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4"/>
    </row>
    <row r="771" spans="1:38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123"/>
      <c r="T771" s="123"/>
      <c r="U771" s="124"/>
      <c r="V771" s="123"/>
      <c r="W771" s="124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4"/>
    </row>
    <row r="772" spans="1:38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123"/>
      <c r="T772" s="123"/>
      <c r="U772" s="124"/>
      <c r="V772" s="123"/>
      <c r="W772" s="124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4"/>
    </row>
    <row r="773" spans="1:38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123"/>
      <c r="T773" s="123"/>
      <c r="U773" s="124"/>
      <c r="V773" s="123"/>
      <c r="W773" s="124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4"/>
    </row>
    <row r="774" spans="1:38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123"/>
      <c r="T774" s="123"/>
      <c r="U774" s="124"/>
      <c r="V774" s="123"/>
      <c r="W774" s="124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4"/>
    </row>
    <row r="775" spans="1:38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123"/>
      <c r="T775" s="123"/>
      <c r="U775" s="124"/>
      <c r="V775" s="123"/>
      <c r="W775" s="124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4"/>
    </row>
    <row r="776" spans="1:38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123"/>
      <c r="T776" s="123"/>
      <c r="U776" s="124"/>
      <c r="V776" s="123"/>
      <c r="W776" s="124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4"/>
    </row>
    <row r="777" spans="1:38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123"/>
      <c r="T777" s="123"/>
      <c r="U777" s="124"/>
      <c r="V777" s="123"/>
      <c r="W777" s="124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4"/>
    </row>
    <row r="778" spans="1:38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123"/>
      <c r="T778" s="123"/>
      <c r="U778" s="124"/>
      <c r="V778" s="123"/>
      <c r="W778" s="124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4"/>
    </row>
    <row r="779" spans="1:38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123"/>
      <c r="T779" s="123"/>
      <c r="U779" s="124"/>
      <c r="V779" s="123"/>
      <c r="W779" s="124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4"/>
    </row>
    <row r="780" spans="1:38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123"/>
      <c r="T780" s="123"/>
      <c r="U780" s="124"/>
      <c r="V780" s="123"/>
      <c r="W780" s="124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4"/>
    </row>
    <row r="781" spans="1:38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123"/>
      <c r="T781" s="123"/>
      <c r="U781" s="124"/>
      <c r="V781" s="123"/>
      <c r="W781" s="124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4"/>
    </row>
    <row r="782" spans="1:38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123"/>
      <c r="T782" s="123"/>
      <c r="U782" s="124"/>
      <c r="V782" s="123"/>
      <c r="W782" s="124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4"/>
    </row>
    <row r="783" spans="1:38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123"/>
      <c r="T783" s="123"/>
      <c r="U783" s="124"/>
      <c r="V783" s="123"/>
      <c r="W783" s="124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4"/>
    </row>
    <row r="784" spans="1:38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123"/>
      <c r="T784" s="123"/>
      <c r="U784" s="124"/>
      <c r="V784" s="123"/>
      <c r="W784" s="124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4"/>
    </row>
    <row r="785" spans="1:38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123"/>
      <c r="T785" s="123"/>
      <c r="U785" s="124"/>
      <c r="V785" s="123"/>
      <c r="W785" s="124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4"/>
    </row>
    <row r="786" spans="1:38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123"/>
      <c r="T786" s="123"/>
      <c r="U786" s="124"/>
      <c r="V786" s="123"/>
      <c r="W786" s="124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4"/>
    </row>
    <row r="787" spans="1:38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123"/>
      <c r="T787" s="123"/>
      <c r="U787" s="124"/>
      <c r="V787" s="123"/>
      <c r="W787" s="124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4"/>
    </row>
    <row r="788" spans="1:38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123"/>
      <c r="T788" s="123"/>
      <c r="U788" s="124"/>
      <c r="V788" s="123"/>
      <c r="W788" s="124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4"/>
    </row>
    <row r="789" spans="1:38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123"/>
      <c r="T789" s="123"/>
      <c r="U789" s="124"/>
      <c r="V789" s="123"/>
      <c r="W789" s="124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4"/>
    </row>
    <row r="790" spans="1:38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123"/>
      <c r="T790" s="123"/>
      <c r="U790" s="124"/>
      <c r="V790" s="123"/>
      <c r="W790" s="124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4"/>
    </row>
    <row r="791" spans="1:38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123"/>
      <c r="T791" s="123"/>
      <c r="U791" s="124"/>
      <c r="V791" s="123"/>
      <c r="W791" s="124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4"/>
    </row>
    <row r="792" spans="1:38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123"/>
      <c r="T792" s="123"/>
      <c r="U792" s="124"/>
      <c r="V792" s="123"/>
      <c r="W792" s="124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4"/>
    </row>
    <row r="793" spans="1:38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123"/>
      <c r="T793" s="123"/>
      <c r="U793" s="124"/>
      <c r="V793" s="123"/>
      <c r="W793" s="124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4"/>
    </row>
    <row r="794" spans="1:38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123"/>
      <c r="T794" s="123"/>
      <c r="U794" s="124"/>
      <c r="V794" s="123"/>
      <c r="W794" s="124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4"/>
    </row>
    <row r="795" spans="1:38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123"/>
      <c r="T795" s="123"/>
      <c r="U795" s="124"/>
      <c r="V795" s="123"/>
      <c r="W795" s="124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4"/>
    </row>
    <row r="796" spans="1:38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123"/>
      <c r="T796" s="123"/>
      <c r="U796" s="124"/>
      <c r="V796" s="123"/>
      <c r="W796" s="124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4"/>
    </row>
    <row r="797" spans="1:38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123"/>
      <c r="T797" s="123"/>
      <c r="U797" s="124"/>
      <c r="V797" s="123"/>
      <c r="W797" s="124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4"/>
    </row>
    <row r="798" spans="1:38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123"/>
      <c r="T798" s="123"/>
      <c r="U798" s="124"/>
      <c r="V798" s="123"/>
      <c r="W798" s="124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4"/>
    </row>
    <row r="799" spans="1:38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123"/>
      <c r="T799" s="123"/>
      <c r="U799" s="124"/>
      <c r="V799" s="123"/>
      <c r="W799" s="124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4"/>
    </row>
    <row r="800" spans="1:38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123"/>
      <c r="T800" s="123"/>
      <c r="U800" s="124"/>
      <c r="V800" s="123"/>
      <c r="W800" s="124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4"/>
    </row>
    <row r="801" spans="1:38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123"/>
      <c r="T801" s="123"/>
      <c r="U801" s="124"/>
      <c r="V801" s="123"/>
      <c r="W801" s="124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4"/>
    </row>
    <row r="802" spans="1:38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123"/>
      <c r="T802" s="123"/>
      <c r="U802" s="124"/>
      <c r="V802" s="123"/>
      <c r="W802" s="124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4"/>
    </row>
    <row r="803" spans="1:38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123"/>
      <c r="T803" s="123"/>
      <c r="U803" s="124"/>
      <c r="V803" s="123"/>
      <c r="W803" s="124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4"/>
    </row>
    <row r="804" spans="1:38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123"/>
      <c r="T804" s="123"/>
      <c r="U804" s="124"/>
      <c r="V804" s="123"/>
      <c r="W804" s="124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4"/>
    </row>
    <row r="805" spans="1:38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123"/>
      <c r="T805" s="123"/>
      <c r="U805" s="124"/>
      <c r="V805" s="123"/>
      <c r="W805" s="124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4"/>
    </row>
    <row r="806" spans="1:38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123"/>
      <c r="T806" s="123"/>
      <c r="U806" s="124"/>
      <c r="V806" s="123"/>
      <c r="W806" s="124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4"/>
    </row>
    <row r="807" spans="1:38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123"/>
      <c r="T807" s="123"/>
      <c r="U807" s="124"/>
      <c r="V807" s="123"/>
      <c r="W807" s="124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4"/>
    </row>
    <row r="808" spans="1:38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123"/>
      <c r="T808" s="123"/>
      <c r="U808" s="124"/>
      <c r="V808" s="123"/>
      <c r="W808" s="124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4"/>
    </row>
    <row r="809" spans="1:38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123"/>
      <c r="T809" s="123"/>
      <c r="U809" s="124"/>
      <c r="V809" s="123"/>
      <c r="W809" s="124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4"/>
    </row>
    <row r="810" spans="1:38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123"/>
      <c r="T810" s="123"/>
      <c r="U810" s="124"/>
      <c r="V810" s="123"/>
      <c r="W810" s="124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4"/>
    </row>
    <row r="811" spans="1:38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123"/>
      <c r="T811" s="123"/>
      <c r="U811" s="124"/>
      <c r="V811" s="123"/>
      <c r="W811" s="124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4"/>
    </row>
    <row r="812" spans="1:38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123"/>
      <c r="T812" s="123"/>
      <c r="U812" s="124"/>
      <c r="V812" s="123"/>
      <c r="W812" s="124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4"/>
    </row>
    <row r="813" spans="1:38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123"/>
      <c r="T813" s="123"/>
      <c r="U813" s="124"/>
      <c r="V813" s="123"/>
      <c r="W813" s="124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4"/>
    </row>
    <row r="814" spans="1:38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123"/>
      <c r="T814" s="123"/>
      <c r="U814" s="124"/>
      <c r="V814" s="123"/>
      <c r="W814" s="124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4"/>
    </row>
    <row r="815" spans="1:38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123"/>
      <c r="T815" s="123"/>
      <c r="U815" s="124"/>
      <c r="V815" s="123"/>
      <c r="W815" s="124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4"/>
    </row>
    <row r="816" spans="1:38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123"/>
      <c r="T816" s="123"/>
      <c r="U816" s="124"/>
      <c r="V816" s="123"/>
      <c r="W816" s="124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4"/>
    </row>
    <row r="817" spans="1:38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123"/>
      <c r="T817" s="123"/>
      <c r="U817" s="124"/>
      <c r="V817" s="123"/>
      <c r="W817" s="124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4"/>
    </row>
    <row r="818" spans="1:38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123"/>
      <c r="T818" s="123"/>
      <c r="U818" s="124"/>
      <c r="V818" s="123"/>
      <c r="W818" s="124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4"/>
    </row>
    <row r="819" spans="1:38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123"/>
      <c r="T819" s="123"/>
      <c r="U819" s="124"/>
      <c r="V819" s="123"/>
      <c r="W819" s="124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4"/>
    </row>
    <row r="820" spans="1:38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123"/>
      <c r="T820" s="123"/>
      <c r="U820" s="124"/>
      <c r="V820" s="123"/>
      <c r="W820" s="124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4"/>
    </row>
    <row r="821" spans="1:38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123"/>
      <c r="T821" s="123"/>
      <c r="U821" s="124"/>
      <c r="V821" s="123"/>
      <c r="W821" s="124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4"/>
    </row>
    <row r="822" spans="1:38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123"/>
      <c r="T822" s="123"/>
      <c r="U822" s="124"/>
      <c r="V822" s="123"/>
      <c r="W822" s="124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4"/>
    </row>
    <row r="823" spans="1:38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123"/>
      <c r="T823" s="123"/>
      <c r="U823" s="124"/>
      <c r="V823" s="123"/>
      <c r="W823" s="124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4"/>
    </row>
    <row r="824" spans="1:38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123"/>
      <c r="T824" s="123"/>
      <c r="U824" s="124"/>
      <c r="V824" s="123"/>
      <c r="W824" s="124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4"/>
    </row>
    <row r="825" spans="1:38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123"/>
      <c r="T825" s="123"/>
      <c r="U825" s="124"/>
      <c r="V825" s="123"/>
      <c r="W825" s="124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4"/>
    </row>
    <row r="826" spans="1:38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123"/>
      <c r="T826" s="123"/>
      <c r="U826" s="124"/>
      <c r="V826" s="123"/>
      <c r="W826" s="124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4"/>
    </row>
    <row r="827" spans="1:38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123"/>
      <c r="T827" s="123"/>
      <c r="U827" s="124"/>
      <c r="V827" s="123"/>
      <c r="W827" s="124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4"/>
    </row>
    <row r="828" spans="1:38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123"/>
      <c r="T828" s="123"/>
      <c r="U828" s="124"/>
      <c r="V828" s="123"/>
      <c r="W828" s="124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4"/>
    </row>
    <row r="829" spans="1:38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123"/>
      <c r="T829" s="123"/>
      <c r="U829" s="124"/>
      <c r="V829" s="123"/>
      <c r="W829" s="124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4"/>
    </row>
    <row r="830" spans="1:38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123"/>
      <c r="T830" s="123"/>
      <c r="U830" s="124"/>
      <c r="V830" s="123"/>
      <c r="W830" s="124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4"/>
    </row>
    <row r="831" spans="1:38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123"/>
      <c r="T831" s="123"/>
      <c r="U831" s="124"/>
      <c r="V831" s="123"/>
      <c r="W831" s="124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4"/>
    </row>
    <row r="832" spans="1:38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123"/>
      <c r="T832" s="123"/>
      <c r="U832" s="124"/>
      <c r="V832" s="123"/>
      <c r="W832" s="124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4"/>
    </row>
    <row r="833" spans="1:38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123"/>
      <c r="T833" s="123"/>
      <c r="U833" s="124"/>
      <c r="V833" s="123"/>
      <c r="W833" s="124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4"/>
    </row>
    <row r="834" spans="1:38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123"/>
      <c r="T834" s="123"/>
      <c r="U834" s="124"/>
      <c r="V834" s="123"/>
      <c r="W834" s="124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4"/>
    </row>
    <row r="835" spans="1:38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123"/>
      <c r="T835" s="123"/>
      <c r="U835" s="124"/>
      <c r="V835" s="123"/>
      <c r="W835" s="124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4"/>
    </row>
    <row r="836" spans="1:38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123"/>
      <c r="T836" s="123"/>
      <c r="U836" s="124"/>
      <c r="V836" s="123"/>
      <c r="W836" s="124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4"/>
    </row>
    <row r="837" spans="1:38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123"/>
      <c r="T837" s="123"/>
      <c r="U837" s="124"/>
      <c r="V837" s="123"/>
      <c r="W837" s="124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4"/>
    </row>
    <row r="838" spans="1:38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123"/>
      <c r="T838" s="123"/>
      <c r="U838" s="124"/>
      <c r="V838" s="123"/>
      <c r="W838" s="124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4"/>
    </row>
    <row r="839" spans="1:38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123"/>
      <c r="T839" s="123"/>
      <c r="U839" s="124"/>
      <c r="V839" s="123"/>
      <c r="W839" s="124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4"/>
    </row>
    <row r="840" spans="1:38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123"/>
      <c r="T840" s="123"/>
      <c r="U840" s="124"/>
      <c r="V840" s="123"/>
      <c r="W840" s="124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4"/>
    </row>
    <row r="841" spans="1:38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123"/>
      <c r="T841" s="123"/>
      <c r="U841" s="124"/>
      <c r="V841" s="123"/>
      <c r="W841" s="124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4"/>
    </row>
    <row r="842" spans="1:38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123"/>
      <c r="T842" s="123"/>
      <c r="U842" s="124"/>
      <c r="V842" s="123"/>
      <c r="W842" s="124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4"/>
    </row>
    <row r="843" spans="1:38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123"/>
      <c r="T843" s="123"/>
      <c r="U843" s="124"/>
      <c r="V843" s="123"/>
      <c r="W843" s="124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4"/>
    </row>
    <row r="844" spans="1:38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123"/>
      <c r="T844" s="123"/>
      <c r="U844" s="124"/>
      <c r="V844" s="123"/>
      <c r="W844" s="124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4"/>
    </row>
    <row r="845" spans="1:38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123"/>
      <c r="T845" s="123"/>
      <c r="U845" s="124"/>
      <c r="V845" s="123"/>
      <c r="W845" s="124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4"/>
    </row>
    <row r="846" spans="1:38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123"/>
      <c r="T846" s="123"/>
      <c r="U846" s="124"/>
      <c r="V846" s="123"/>
      <c r="W846" s="124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4"/>
    </row>
    <row r="847" spans="1:38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123"/>
      <c r="T847" s="123"/>
      <c r="U847" s="124"/>
      <c r="V847" s="123"/>
      <c r="W847" s="124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4"/>
    </row>
    <row r="848" spans="1:38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123"/>
      <c r="T848" s="123"/>
      <c r="U848" s="124"/>
      <c r="V848" s="123"/>
      <c r="W848" s="124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4"/>
    </row>
    <row r="849" spans="1:38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123"/>
      <c r="T849" s="123"/>
      <c r="U849" s="124"/>
      <c r="V849" s="123"/>
      <c r="W849" s="124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4"/>
    </row>
    <row r="850" spans="1:38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123"/>
      <c r="T850" s="123"/>
      <c r="U850" s="124"/>
      <c r="V850" s="123"/>
      <c r="W850" s="124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4"/>
    </row>
    <row r="851" spans="1:38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123"/>
      <c r="T851" s="123"/>
      <c r="U851" s="124"/>
      <c r="V851" s="123"/>
      <c r="W851" s="124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4"/>
    </row>
    <row r="852" spans="1:38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123"/>
      <c r="T852" s="123"/>
      <c r="U852" s="124"/>
      <c r="V852" s="123"/>
      <c r="W852" s="124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4"/>
    </row>
    <row r="853" spans="1:38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123"/>
      <c r="T853" s="123"/>
      <c r="U853" s="124"/>
      <c r="V853" s="123"/>
      <c r="W853" s="124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4"/>
    </row>
    <row r="854" spans="1:38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123"/>
      <c r="T854" s="123"/>
      <c r="U854" s="124"/>
      <c r="V854" s="123"/>
      <c r="W854" s="124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4"/>
    </row>
    <row r="855" spans="1:38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123"/>
      <c r="T855" s="123"/>
      <c r="U855" s="124"/>
      <c r="V855" s="123"/>
      <c r="W855" s="124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4"/>
    </row>
    <row r="856" spans="1:38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123"/>
      <c r="T856" s="123"/>
      <c r="U856" s="124"/>
      <c r="V856" s="123"/>
      <c r="W856" s="124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4"/>
    </row>
    <row r="857" spans="1:38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123"/>
      <c r="T857" s="123"/>
      <c r="U857" s="124"/>
      <c r="V857" s="123"/>
      <c r="W857" s="124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4"/>
    </row>
    <row r="858" spans="1:38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123"/>
      <c r="T858" s="123"/>
      <c r="U858" s="124"/>
      <c r="V858" s="123"/>
      <c r="W858" s="124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4"/>
    </row>
    <row r="859" spans="1:38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123"/>
      <c r="T859" s="123"/>
      <c r="U859" s="124"/>
      <c r="V859" s="123"/>
      <c r="W859" s="124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4"/>
    </row>
    <row r="860" spans="1:38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123"/>
      <c r="T860" s="123"/>
      <c r="U860" s="124"/>
      <c r="V860" s="123"/>
      <c r="W860" s="124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4"/>
    </row>
    <row r="861" spans="1:38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123"/>
      <c r="T861" s="123"/>
      <c r="U861" s="124"/>
      <c r="V861" s="123"/>
      <c r="W861" s="124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4"/>
    </row>
    <row r="862" spans="1:38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123"/>
      <c r="T862" s="123"/>
      <c r="U862" s="124"/>
      <c r="V862" s="123"/>
      <c r="W862" s="124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4"/>
    </row>
    <row r="863" spans="1:38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123"/>
      <c r="T863" s="123"/>
      <c r="U863" s="124"/>
      <c r="V863" s="123"/>
      <c r="W863" s="124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4"/>
    </row>
    <row r="864" spans="1:38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123"/>
      <c r="T864" s="123"/>
      <c r="U864" s="124"/>
      <c r="V864" s="123"/>
      <c r="W864" s="124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4"/>
    </row>
    <row r="865" spans="1:38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123"/>
      <c r="T865" s="123"/>
      <c r="U865" s="124"/>
      <c r="V865" s="123"/>
      <c r="W865" s="124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4"/>
    </row>
    <row r="866" spans="1:38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123"/>
      <c r="T866" s="123"/>
      <c r="U866" s="124"/>
      <c r="V866" s="123"/>
      <c r="W866" s="124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4"/>
    </row>
    <row r="867" spans="1:38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123"/>
      <c r="T867" s="123"/>
      <c r="U867" s="124"/>
      <c r="V867" s="123"/>
      <c r="W867" s="124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4"/>
    </row>
    <row r="868" spans="1:38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123"/>
      <c r="T868" s="123"/>
      <c r="U868" s="124"/>
      <c r="V868" s="123"/>
      <c r="W868" s="124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4"/>
    </row>
    <row r="869" spans="1:38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123"/>
      <c r="T869" s="123"/>
      <c r="U869" s="124"/>
      <c r="V869" s="123"/>
      <c r="W869" s="124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4"/>
    </row>
    <row r="870" spans="1:38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123"/>
      <c r="T870" s="123"/>
      <c r="U870" s="124"/>
      <c r="V870" s="123"/>
      <c r="W870" s="124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4"/>
    </row>
    <row r="871" spans="1:38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123"/>
      <c r="T871" s="123"/>
      <c r="U871" s="124"/>
      <c r="V871" s="123"/>
      <c r="W871" s="124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4"/>
    </row>
    <row r="872" spans="1:38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123"/>
      <c r="T872" s="123"/>
      <c r="U872" s="124"/>
      <c r="V872" s="123"/>
      <c r="W872" s="124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4"/>
    </row>
    <row r="873" spans="1:38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123"/>
      <c r="T873" s="123"/>
      <c r="U873" s="124"/>
      <c r="V873" s="123"/>
      <c r="W873" s="124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4"/>
    </row>
    <row r="874" spans="1:38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123"/>
      <c r="T874" s="123"/>
      <c r="U874" s="124"/>
      <c r="V874" s="123"/>
      <c r="W874" s="124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4"/>
    </row>
    <row r="875" spans="1:38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123"/>
      <c r="T875" s="123"/>
      <c r="U875" s="124"/>
      <c r="V875" s="123"/>
      <c r="W875" s="124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4"/>
    </row>
    <row r="876" spans="1:38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123"/>
      <c r="T876" s="123"/>
      <c r="U876" s="124"/>
      <c r="V876" s="123"/>
      <c r="W876" s="124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4"/>
    </row>
    <row r="877" spans="1:38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123"/>
      <c r="T877" s="123"/>
      <c r="U877" s="124"/>
      <c r="V877" s="123"/>
      <c r="W877" s="124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4"/>
    </row>
    <row r="878" spans="1:38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123"/>
      <c r="T878" s="123"/>
      <c r="U878" s="124"/>
      <c r="V878" s="123"/>
      <c r="W878" s="124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4"/>
    </row>
    <row r="879" spans="1:38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123"/>
      <c r="T879" s="123"/>
      <c r="U879" s="124"/>
      <c r="V879" s="123"/>
      <c r="W879" s="124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4"/>
    </row>
    <row r="880" spans="1:38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123"/>
      <c r="T880" s="123"/>
      <c r="U880" s="124"/>
      <c r="V880" s="123"/>
      <c r="W880" s="124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4"/>
    </row>
    <row r="881" spans="1:38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123"/>
      <c r="T881" s="123"/>
      <c r="U881" s="124"/>
      <c r="V881" s="123"/>
      <c r="W881" s="124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4"/>
    </row>
    <row r="882" spans="1:38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123"/>
      <c r="T882" s="123"/>
      <c r="U882" s="124"/>
      <c r="V882" s="123"/>
      <c r="W882" s="124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4"/>
    </row>
    <row r="883" spans="1:38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123"/>
      <c r="T883" s="123"/>
      <c r="U883" s="124"/>
      <c r="V883" s="123"/>
      <c r="W883" s="124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4"/>
    </row>
    <row r="884" spans="1:38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123"/>
      <c r="T884" s="123"/>
      <c r="U884" s="124"/>
      <c r="V884" s="123"/>
      <c r="W884" s="124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4"/>
    </row>
    <row r="885" spans="1:38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123"/>
      <c r="T885" s="123"/>
      <c r="U885" s="124"/>
      <c r="V885" s="123"/>
      <c r="W885" s="124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4"/>
    </row>
    <row r="886" spans="1:38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123"/>
      <c r="T886" s="123"/>
      <c r="U886" s="124"/>
      <c r="V886" s="123"/>
      <c r="W886" s="124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4"/>
    </row>
    <row r="887" spans="1:38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123"/>
      <c r="T887" s="123"/>
      <c r="U887" s="124"/>
      <c r="V887" s="123"/>
      <c r="W887" s="124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4"/>
    </row>
    <row r="888" spans="1:38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123"/>
      <c r="T888" s="123"/>
      <c r="U888" s="124"/>
      <c r="V888" s="123"/>
      <c r="W888" s="124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4"/>
    </row>
    <row r="889" spans="1:38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123"/>
      <c r="T889" s="123"/>
      <c r="U889" s="124"/>
      <c r="V889" s="123"/>
      <c r="W889" s="124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4"/>
    </row>
    <row r="890" spans="1:38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123"/>
      <c r="T890" s="123"/>
      <c r="U890" s="124"/>
      <c r="V890" s="123"/>
      <c r="W890" s="124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4"/>
    </row>
    <row r="891" spans="1:38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123"/>
      <c r="T891" s="123"/>
      <c r="U891" s="124"/>
      <c r="V891" s="123"/>
      <c r="W891" s="124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4"/>
    </row>
    <row r="892" spans="1:38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123"/>
      <c r="T892" s="123"/>
      <c r="U892" s="124"/>
      <c r="V892" s="123"/>
      <c r="W892" s="124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4"/>
    </row>
    <row r="893" spans="1:38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123"/>
      <c r="T893" s="123"/>
      <c r="U893" s="124"/>
      <c r="V893" s="123"/>
      <c r="W893" s="124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4"/>
    </row>
    <row r="894" spans="1:38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123"/>
      <c r="T894" s="123"/>
      <c r="U894" s="124"/>
      <c r="V894" s="123"/>
      <c r="W894" s="124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4"/>
    </row>
    <row r="895" spans="1:38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123"/>
      <c r="T895" s="123"/>
      <c r="U895" s="124"/>
      <c r="V895" s="123"/>
      <c r="W895" s="124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4"/>
    </row>
    <row r="896" spans="1:38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123"/>
      <c r="T896" s="123"/>
      <c r="U896" s="124"/>
      <c r="V896" s="123"/>
      <c r="W896" s="124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4"/>
    </row>
    <row r="897" spans="1:38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123"/>
      <c r="T897" s="123"/>
      <c r="U897" s="124"/>
      <c r="V897" s="123"/>
      <c r="W897" s="124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4"/>
    </row>
    <row r="898" spans="1:38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123"/>
      <c r="T898" s="123"/>
      <c r="U898" s="124"/>
      <c r="V898" s="123"/>
      <c r="W898" s="124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4"/>
    </row>
    <row r="899" spans="1:38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123"/>
      <c r="T899" s="123"/>
      <c r="U899" s="124"/>
      <c r="V899" s="123"/>
      <c r="W899" s="124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4"/>
    </row>
    <row r="900" spans="1:38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123"/>
      <c r="T900" s="123"/>
      <c r="U900" s="124"/>
      <c r="V900" s="123"/>
      <c r="W900" s="124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4"/>
    </row>
    <row r="901" spans="1:38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123"/>
      <c r="T901" s="123"/>
      <c r="U901" s="124"/>
      <c r="V901" s="123"/>
      <c r="W901" s="124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4"/>
    </row>
    <row r="902" spans="1:38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123"/>
      <c r="T902" s="123"/>
      <c r="U902" s="124"/>
      <c r="V902" s="123"/>
      <c r="W902" s="124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4"/>
    </row>
    <row r="903" spans="1:38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123"/>
      <c r="T903" s="123"/>
      <c r="U903" s="124"/>
      <c r="V903" s="123"/>
      <c r="W903" s="124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4"/>
    </row>
    <row r="904" spans="1:38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123"/>
      <c r="T904" s="123"/>
      <c r="U904" s="124"/>
      <c r="V904" s="123"/>
      <c r="W904" s="124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4"/>
    </row>
    <row r="905" spans="1:38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123"/>
      <c r="T905" s="123"/>
      <c r="U905" s="124"/>
      <c r="V905" s="123"/>
      <c r="W905" s="124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4"/>
    </row>
    <row r="906" spans="1:38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123"/>
      <c r="T906" s="123"/>
      <c r="U906" s="124"/>
      <c r="V906" s="123"/>
      <c r="W906" s="124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4"/>
    </row>
    <row r="907" spans="1:38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123"/>
      <c r="T907" s="123"/>
      <c r="U907" s="124"/>
      <c r="V907" s="123"/>
      <c r="W907" s="124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4"/>
    </row>
    <row r="908" spans="1:38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123"/>
      <c r="T908" s="123"/>
      <c r="U908" s="124"/>
      <c r="V908" s="123"/>
      <c r="W908" s="124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4"/>
    </row>
    <row r="909" spans="1:38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123"/>
      <c r="T909" s="123"/>
      <c r="U909" s="124"/>
      <c r="V909" s="123"/>
      <c r="W909" s="124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4"/>
    </row>
    <row r="910" spans="1:38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123"/>
      <c r="T910" s="123"/>
      <c r="U910" s="124"/>
      <c r="V910" s="123"/>
      <c r="W910" s="124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4"/>
    </row>
    <row r="911" spans="1:38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123"/>
      <c r="T911" s="123"/>
      <c r="U911" s="124"/>
      <c r="V911" s="123"/>
      <c r="W911" s="124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4"/>
    </row>
    <row r="912" spans="1:38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123"/>
      <c r="T912" s="123"/>
      <c r="U912" s="124"/>
      <c r="V912" s="123"/>
      <c r="W912" s="124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4"/>
    </row>
    <row r="913" spans="1:38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123"/>
      <c r="T913" s="123"/>
      <c r="U913" s="124"/>
      <c r="V913" s="123"/>
      <c r="W913" s="124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4"/>
    </row>
    <row r="914" spans="1:38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123"/>
      <c r="T914" s="123"/>
      <c r="U914" s="124"/>
      <c r="V914" s="123"/>
      <c r="W914" s="124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4"/>
    </row>
    <row r="915" spans="1:38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123"/>
      <c r="T915" s="123"/>
      <c r="U915" s="124"/>
      <c r="V915" s="123"/>
      <c r="W915" s="124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4"/>
    </row>
    <row r="916" spans="1:38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123"/>
      <c r="T916" s="123"/>
      <c r="U916" s="124"/>
      <c r="V916" s="123"/>
      <c r="W916" s="124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4"/>
    </row>
    <row r="917" spans="1:38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123"/>
      <c r="T917" s="123"/>
      <c r="U917" s="124"/>
      <c r="V917" s="123"/>
      <c r="W917" s="124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4"/>
    </row>
    <row r="918" spans="1:38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123"/>
      <c r="T918" s="123"/>
      <c r="U918" s="124"/>
      <c r="V918" s="123"/>
      <c r="W918" s="124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4"/>
    </row>
    <row r="919" spans="1:38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123"/>
      <c r="T919" s="123"/>
      <c r="U919" s="124"/>
      <c r="V919" s="123"/>
      <c r="W919" s="124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4"/>
    </row>
    <row r="920" spans="1:38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123"/>
      <c r="T920" s="123"/>
      <c r="U920" s="124"/>
      <c r="V920" s="123"/>
      <c r="W920" s="124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4"/>
    </row>
    <row r="921" spans="1:38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123"/>
      <c r="T921" s="123"/>
      <c r="U921" s="124"/>
      <c r="V921" s="123"/>
      <c r="W921" s="124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4"/>
    </row>
    <row r="922" spans="1:38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123"/>
      <c r="T922" s="123"/>
      <c r="U922" s="124"/>
      <c r="V922" s="123"/>
      <c r="W922" s="124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4"/>
    </row>
    <row r="923" spans="1:38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123"/>
      <c r="T923" s="123"/>
      <c r="U923" s="124"/>
      <c r="V923" s="123"/>
      <c r="W923" s="124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4"/>
    </row>
    <row r="924" spans="1:38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123"/>
      <c r="T924" s="123"/>
      <c r="U924" s="124"/>
      <c r="V924" s="123"/>
      <c r="W924" s="124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4"/>
    </row>
    <row r="925" spans="1:38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123"/>
      <c r="T925" s="123"/>
      <c r="U925" s="124"/>
      <c r="V925" s="123"/>
      <c r="W925" s="124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4"/>
    </row>
    <row r="926" spans="1:38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123"/>
      <c r="T926" s="123"/>
      <c r="U926" s="124"/>
      <c r="V926" s="123"/>
      <c r="W926" s="124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4"/>
    </row>
    <row r="927" spans="1:38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123"/>
      <c r="T927" s="123"/>
      <c r="U927" s="124"/>
      <c r="V927" s="123"/>
      <c r="W927" s="124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4"/>
    </row>
    <row r="928" spans="1:38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123"/>
      <c r="T928" s="123"/>
      <c r="U928" s="124"/>
      <c r="V928" s="123"/>
      <c r="W928" s="124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4"/>
    </row>
    <row r="929" spans="1:38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123"/>
      <c r="T929" s="123"/>
      <c r="U929" s="124"/>
      <c r="V929" s="123"/>
      <c r="W929" s="124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4"/>
    </row>
    <row r="930" spans="1:38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123"/>
      <c r="T930" s="123"/>
      <c r="U930" s="124"/>
      <c r="V930" s="123"/>
      <c r="W930" s="124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4"/>
    </row>
    <row r="931" spans="1:38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123"/>
      <c r="T931" s="123"/>
      <c r="U931" s="124"/>
      <c r="V931" s="123"/>
      <c r="W931" s="124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4"/>
    </row>
    <row r="932" spans="1:38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123"/>
      <c r="T932" s="123"/>
      <c r="U932" s="124"/>
      <c r="V932" s="123"/>
      <c r="W932" s="124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4"/>
    </row>
    <row r="933" spans="1:38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123"/>
      <c r="T933" s="123"/>
      <c r="U933" s="124"/>
      <c r="V933" s="123"/>
      <c r="W933" s="124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4"/>
    </row>
    <row r="934" spans="1:38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123"/>
      <c r="T934" s="123"/>
      <c r="U934" s="124"/>
      <c r="V934" s="123"/>
      <c r="W934" s="124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4"/>
    </row>
    <row r="935" spans="1:38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123"/>
      <c r="T935" s="123"/>
      <c r="U935" s="124"/>
      <c r="V935" s="123"/>
      <c r="W935" s="124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4"/>
    </row>
    <row r="936" spans="1:38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123"/>
      <c r="T936" s="123"/>
      <c r="U936" s="124"/>
      <c r="V936" s="123"/>
      <c r="W936" s="124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4"/>
    </row>
    <row r="937" spans="1:38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123"/>
      <c r="T937" s="123"/>
      <c r="U937" s="124"/>
      <c r="V937" s="123"/>
      <c r="W937" s="124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4"/>
    </row>
    <row r="938" spans="1:38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123"/>
      <c r="T938" s="123"/>
      <c r="U938" s="124"/>
      <c r="V938" s="123"/>
      <c r="W938" s="124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4"/>
    </row>
    <row r="939" spans="1:38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123"/>
      <c r="T939" s="123"/>
      <c r="U939" s="124"/>
      <c r="V939" s="123"/>
      <c r="W939" s="124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4"/>
    </row>
    <row r="940" spans="1:38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123"/>
      <c r="T940" s="123"/>
      <c r="U940" s="124"/>
      <c r="V940" s="123"/>
      <c r="W940" s="124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4"/>
    </row>
    <row r="941" spans="1:38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123"/>
      <c r="T941" s="123"/>
      <c r="U941" s="124"/>
      <c r="V941" s="123"/>
      <c r="W941" s="124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4"/>
    </row>
    <row r="942" spans="1:38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123"/>
      <c r="T942" s="123"/>
      <c r="U942" s="124"/>
      <c r="V942" s="123"/>
      <c r="W942" s="124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4"/>
    </row>
    <row r="943" spans="1:38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123"/>
      <c r="T943" s="123"/>
      <c r="U943" s="124"/>
      <c r="V943" s="123"/>
      <c r="W943" s="124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4"/>
    </row>
    <row r="944" spans="1:38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123"/>
      <c r="T944" s="123"/>
      <c r="U944" s="124"/>
      <c r="V944" s="123"/>
      <c r="W944" s="124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4"/>
    </row>
    <row r="945" spans="1:38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123"/>
      <c r="T945" s="123"/>
      <c r="U945" s="124"/>
      <c r="V945" s="123"/>
      <c r="W945" s="124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4"/>
    </row>
    <row r="946" spans="1:38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123"/>
      <c r="T946" s="123"/>
      <c r="U946" s="124"/>
      <c r="V946" s="123"/>
      <c r="W946" s="124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4"/>
    </row>
    <row r="947" spans="1:38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123"/>
      <c r="T947" s="123"/>
      <c r="U947" s="124"/>
      <c r="V947" s="123"/>
      <c r="W947" s="124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4"/>
    </row>
    <row r="948" spans="1:38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123"/>
      <c r="T948" s="123"/>
      <c r="U948" s="124"/>
      <c r="V948" s="123"/>
      <c r="W948" s="124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4"/>
    </row>
    <row r="949" spans="1:38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123"/>
      <c r="T949" s="123"/>
      <c r="U949" s="124"/>
      <c r="V949" s="123"/>
      <c r="W949" s="124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4"/>
    </row>
    <row r="950" spans="1:38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123"/>
      <c r="T950" s="123"/>
      <c r="U950" s="124"/>
      <c r="V950" s="123"/>
      <c r="W950" s="124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4"/>
    </row>
    <row r="951" spans="1:38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123"/>
      <c r="T951" s="123"/>
      <c r="U951" s="124"/>
      <c r="V951" s="123"/>
      <c r="W951" s="124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4"/>
    </row>
    <row r="952" spans="1:38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123"/>
      <c r="T952" s="123"/>
      <c r="U952" s="124"/>
      <c r="V952" s="123"/>
      <c r="W952" s="124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4"/>
    </row>
    <row r="953" spans="1:38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123"/>
      <c r="T953" s="123"/>
      <c r="U953" s="124"/>
      <c r="V953" s="123"/>
      <c r="W953" s="124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4"/>
    </row>
    <row r="954" spans="1:38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123"/>
      <c r="T954" s="123"/>
      <c r="U954" s="124"/>
      <c r="V954" s="123"/>
      <c r="W954" s="124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4"/>
    </row>
    <row r="955" spans="1:38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123"/>
      <c r="T955" s="123"/>
      <c r="U955" s="124"/>
      <c r="V955" s="123"/>
      <c r="W955" s="124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4"/>
    </row>
    <row r="956" spans="1:38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123"/>
      <c r="T956" s="123"/>
      <c r="U956" s="124"/>
      <c r="V956" s="123"/>
      <c r="W956" s="124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4"/>
    </row>
    <row r="957" spans="1:38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123"/>
      <c r="T957" s="123"/>
      <c r="U957" s="124"/>
      <c r="V957" s="123"/>
      <c r="W957" s="124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4"/>
    </row>
    <row r="958" spans="1:38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123"/>
      <c r="T958" s="123"/>
      <c r="U958" s="124"/>
      <c r="V958" s="123"/>
      <c r="W958" s="124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4"/>
    </row>
    <row r="959" spans="1:38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123"/>
      <c r="T959" s="123"/>
      <c r="U959" s="124"/>
      <c r="V959" s="123"/>
      <c r="W959" s="124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4"/>
    </row>
    <row r="960" spans="1:38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123"/>
      <c r="T960" s="123"/>
      <c r="U960" s="124"/>
      <c r="V960" s="123"/>
      <c r="W960" s="124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4"/>
    </row>
    <row r="961" spans="1:38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123"/>
      <c r="T961" s="123"/>
      <c r="U961" s="124"/>
      <c r="V961" s="123"/>
      <c r="W961" s="124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4"/>
    </row>
    <row r="962" spans="1:38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123"/>
      <c r="T962" s="123"/>
      <c r="U962" s="124"/>
      <c r="V962" s="123"/>
      <c r="W962" s="124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4"/>
    </row>
    <row r="963" spans="1:38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123"/>
      <c r="T963" s="123"/>
      <c r="U963" s="124"/>
      <c r="V963" s="123"/>
      <c r="W963" s="124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4"/>
    </row>
    <row r="964" spans="1:38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123"/>
      <c r="T964" s="123"/>
      <c r="U964" s="124"/>
      <c r="V964" s="123"/>
      <c r="W964" s="124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4"/>
    </row>
    <row r="965" spans="1:38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123"/>
      <c r="T965" s="123"/>
      <c r="U965" s="124"/>
      <c r="V965" s="123"/>
      <c r="W965" s="124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4"/>
    </row>
    <row r="966" spans="1:38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123"/>
      <c r="T966" s="123"/>
      <c r="U966" s="124"/>
      <c r="V966" s="123"/>
      <c r="W966" s="124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4"/>
    </row>
    <row r="967" spans="1:38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123"/>
      <c r="T967" s="123"/>
      <c r="U967" s="124"/>
      <c r="V967" s="123"/>
      <c r="W967" s="124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4"/>
    </row>
    <row r="968" spans="1:38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123"/>
      <c r="T968" s="123"/>
      <c r="U968" s="124"/>
      <c r="V968" s="123"/>
      <c r="W968" s="124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4"/>
    </row>
    <row r="969" spans="1:38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123"/>
      <c r="T969" s="123"/>
      <c r="U969" s="124"/>
      <c r="V969" s="123"/>
      <c r="W969" s="124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4"/>
    </row>
    <row r="970" spans="1:38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123"/>
      <c r="T970" s="123"/>
      <c r="U970" s="124"/>
      <c r="V970" s="123"/>
      <c r="W970" s="124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4"/>
    </row>
    <row r="971" spans="1:38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123"/>
      <c r="T971" s="123"/>
      <c r="U971" s="124"/>
      <c r="V971" s="123"/>
      <c r="W971" s="124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4"/>
    </row>
    <row r="972" spans="1:38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123"/>
      <c r="T972" s="123"/>
      <c r="U972" s="124"/>
      <c r="V972" s="123"/>
      <c r="W972" s="124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4"/>
    </row>
    <row r="973" spans="1:38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123"/>
      <c r="T973" s="123"/>
      <c r="U973" s="124"/>
      <c r="V973" s="123"/>
      <c r="W973" s="124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4"/>
    </row>
    <row r="974" spans="1:38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123"/>
      <c r="T974" s="123"/>
      <c r="U974" s="124"/>
      <c r="V974" s="123"/>
      <c r="W974" s="124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4"/>
    </row>
    <row r="975" spans="1:38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123"/>
      <c r="T975" s="123"/>
      <c r="U975" s="124"/>
      <c r="V975" s="123"/>
      <c r="W975" s="124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4"/>
    </row>
    <row r="976" spans="1:38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123"/>
      <c r="T976" s="123"/>
      <c r="U976" s="124"/>
      <c r="V976" s="123"/>
      <c r="W976" s="124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4"/>
    </row>
    <row r="977" spans="1:38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123"/>
      <c r="T977" s="123"/>
      <c r="U977" s="124"/>
      <c r="V977" s="123"/>
      <c r="W977" s="124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4"/>
    </row>
    <row r="978" spans="1:38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123"/>
      <c r="T978" s="123"/>
      <c r="U978" s="124"/>
      <c r="V978" s="123"/>
      <c r="W978" s="124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4"/>
    </row>
    <row r="979" spans="1:38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123"/>
      <c r="T979" s="123"/>
      <c r="U979" s="124"/>
      <c r="V979" s="123"/>
      <c r="W979" s="124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4"/>
    </row>
    <row r="980" spans="1:38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123"/>
      <c r="T980" s="123"/>
      <c r="U980" s="124"/>
      <c r="V980" s="123"/>
      <c r="W980" s="124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4"/>
    </row>
    <row r="981" spans="1:38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123"/>
      <c r="T981" s="123"/>
      <c r="U981" s="124"/>
      <c r="V981" s="123"/>
      <c r="W981" s="124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4"/>
    </row>
    <row r="982" spans="1:38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123"/>
      <c r="T982" s="123"/>
      <c r="U982" s="124"/>
      <c r="V982" s="123"/>
      <c r="W982" s="124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4"/>
    </row>
    <row r="983" spans="1:38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123"/>
      <c r="T983" s="123"/>
      <c r="U983" s="124"/>
      <c r="V983" s="123"/>
      <c r="W983" s="124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4"/>
    </row>
    <row r="984" spans="1:38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123"/>
      <c r="T984" s="123"/>
      <c r="U984" s="124"/>
      <c r="V984" s="123"/>
      <c r="W984" s="124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4"/>
    </row>
    <row r="985" spans="1:38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123"/>
      <c r="S985" s="123"/>
      <c r="T985" s="123"/>
      <c r="U985" s="124"/>
      <c r="V985" s="123"/>
      <c r="W985" s="124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4"/>
    </row>
    <row r="986" spans="1:38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123"/>
      <c r="S986" s="123"/>
      <c r="T986" s="123"/>
      <c r="U986" s="124"/>
      <c r="V986" s="123"/>
      <c r="W986" s="124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4"/>
    </row>
    <row r="987" spans="1:38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123"/>
      <c r="S987" s="123"/>
      <c r="T987" s="123"/>
      <c r="U987" s="124"/>
      <c r="V987" s="123"/>
      <c r="W987" s="124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4"/>
    </row>
    <row r="988" spans="1:38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123"/>
      <c r="S988" s="123"/>
      <c r="T988" s="123"/>
      <c r="U988" s="124"/>
      <c r="V988" s="123"/>
      <c r="W988" s="124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4"/>
    </row>
    <row r="989" spans="1:38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123"/>
      <c r="S989" s="123"/>
      <c r="T989" s="123"/>
      <c r="U989" s="124"/>
      <c r="V989" s="123"/>
      <c r="W989" s="124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4"/>
    </row>
  </sheetData>
  <mergeCells count="35">
    <mergeCell ref="G5:G6"/>
    <mergeCell ref="A7:B7"/>
    <mergeCell ref="A2:B6"/>
    <mergeCell ref="C5:C6"/>
    <mergeCell ref="D5:D6"/>
    <mergeCell ref="E5:E6"/>
    <mergeCell ref="F5:F6"/>
    <mergeCell ref="A13:B13"/>
    <mergeCell ref="A31:B31"/>
    <mergeCell ref="A52:B52"/>
    <mergeCell ref="A74:B74"/>
    <mergeCell ref="A89:B89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C2:AL2"/>
    <mergeCell ref="C3:Q3"/>
    <mergeCell ref="R3:AI3"/>
    <mergeCell ref="AJ3:AL4"/>
    <mergeCell ref="C4:G4"/>
    <mergeCell ref="H4:I4"/>
    <mergeCell ref="AF4:AI4"/>
  </mergeCells>
  <pageMargins left="0.31496062992125984" right="0.31496062992125984" top="0.74803149606299213" bottom="0.74803149606299213" header="0" footer="0"/>
  <pageSetup paperSize="9" orientation="landscape" r:id="rId1"/>
  <rowBreaks count="4" manualBreakCount="4">
    <brk id="51" man="1"/>
    <brk id="88" man="1"/>
    <brk id="73" man="1"/>
    <brk id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Z985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6" width="15.140625" customWidth="1"/>
    <col min="7" max="7" width="10.140625" customWidth="1"/>
    <col min="8" max="8" width="16.42578125" customWidth="1"/>
    <col min="9" max="9" width="10.140625" customWidth="1"/>
    <col min="10" max="10" width="15.140625" customWidth="1"/>
    <col min="11" max="11" width="11.42578125" customWidth="1"/>
    <col min="12" max="14" width="15.140625" customWidth="1"/>
    <col min="15" max="15" width="10.42578125" customWidth="1"/>
    <col min="16" max="17" width="15.140625" customWidth="1"/>
    <col min="18" max="26" width="11.42578125" customWidth="1"/>
  </cols>
  <sheetData>
    <row r="1" spans="1:26" ht="24" customHeight="1" x14ac:dyDescent="0.3">
      <c r="A1" s="1" t="s">
        <v>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N1" s="128"/>
      <c r="O1" s="129"/>
      <c r="P1" s="129"/>
      <c r="Q1" s="129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24" customHeight="1" x14ac:dyDescent="0.2">
      <c r="A2" s="431" t="s">
        <v>1</v>
      </c>
      <c r="B2" s="379"/>
      <c r="C2" s="434" t="s">
        <v>129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2"/>
    </row>
    <row r="3" spans="1:26" ht="30" customHeight="1" x14ac:dyDescent="0.2">
      <c r="A3" s="432"/>
      <c r="B3" s="390"/>
      <c r="C3" s="435" t="s">
        <v>3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436" t="s">
        <v>130</v>
      </c>
      <c r="S3" s="378"/>
      <c r="T3" s="379"/>
      <c r="U3" s="436" t="s">
        <v>131</v>
      </c>
      <c r="V3" s="378"/>
      <c r="W3" s="379"/>
      <c r="X3" s="436" t="s">
        <v>5</v>
      </c>
      <c r="Y3" s="378"/>
      <c r="Z3" s="379"/>
    </row>
    <row r="4" spans="1:26" ht="30" customHeight="1" x14ac:dyDescent="0.3">
      <c r="A4" s="432"/>
      <c r="B4" s="390"/>
      <c r="C4" s="437" t="s">
        <v>6</v>
      </c>
      <c r="D4" s="381"/>
      <c r="E4" s="381"/>
      <c r="F4" s="381"/>
      <c r="G4" s="382"/>
      <c r="H4" s="414" t="s">
        <v>7</v>
      </c>
      <c r="I4" s="382"/>
      <c r="J4" s="415" t="s">
        <v>8</v>
      </c>
      <c r="K4" s="381"/>
      <c r="L4" s="381"/>
      <c r="M4" s="381"/>
      <c r="N4" s="381"/>
      <c r="O4" s="381"/>
      <c r="P4" s="381"/>
      <c r="Q4" s="382"/>
      <c r="R4" s="433"/>
      <c r="S4" s="381"/>
      <c r="T4" s="382"/>
      <c r="U4" s="433"/>
      <c r="V4" s="381"/>
      <c r="W4" s="382"/>
      <c r="X4" s="433"/>
      <c r="Y4" s="381"/>
      <c r="Z4" s="382"/>
    </row>
    <row r="5" spans="1:26" ht="24" customHeight="1" x14ac:dyDescent="0.3">
      <c r="A5" s="432"/>
      <c r="B5" s="390"/>
      <c r="C5" s="416" t="s">
        <v>13</v>
      </c>
      <c r="D5" s="418" t="s">
        <v>14</v>
      </c>
      <c r="E5" s="425" t="s">
        <v>15</v>
      </c>
      <c r="F5" s="426" t="s">
        <v>16</v>
      </c>
      <c r="G5" s="427" t="s">
        <v>17</v>
      </c>
      <c r="H5" s="130" t="s">
        <v>18</v>
      </c>
      <c r="I5" s="130" t="s">
        <v>19</v>
      </c>
      <c r="J5" s="428" t="s">
        <v>20</v>
      </c>
      <c r="K5" s="382"/>
      <c r="L5" s="428" t="s">
        <v>18</v>
      </c>
      <c r="M5" s="381"/>
      <c r="N5" s="382"/>
      <c r="O5" s="429" t="s">
        <v>19</v>
      </c>
      <c r="P5" s="381"/>
      <c r="Q5" s="382"/>
      <c r="R5" s="131" t="s">
        <v>21</v>
      </c>
      <c r="S5" s="430" t="s">
        <v>22</v>
      </c>
      <c r="T5" s="382"/>
      <c r="U5" s="131" t="s">
        <v>21</v>
      </c>
      <c r="V5" s="430" t="s">
        <v>22</v>
      </c>
      <c r="W5" s="382"/>
      <c r="X5" s="131" t="s">
        <v>21</v>
      </c>
      <c r="Y5" s="430" t="s">
        <v>22</v>
      </c>
      <c r="Z5" s="382"/>
    </row>
    <row r="6" spans="1:26" ht="60" customHeight="1" x14ac:dyDescent="0.2">
      <c r="A6" s="433"/>
      <c r="B6" s="382"/>
      <c r="C6" s="417"/>
      <c r="D6" s="417"/>
      <c r="E6" s="417"/>
      <c r="F6" s="417"/>
      <c r="G6" s="417"/>
      <c r="H6" s="132"/>
      <c r="I6" s="132"/>
      <c r="J6" s="133" t="s">
        <v>23</v>
      </c>
      <c r="K6" s="134" t="s">
        <v>24</v>
      </c>
      <c r="L6" s="133" t="s">
        <v>23</v>
      </c>
      <c r="M6" s="135" t="s">
        <v>25</v>
      </c>
      <c r="N6" s="135" t="s">
        <v>26</v>
      </c>
      <c r="O6" s="136" t="s">
        <v>23</v>
      </c>
      <c r="P6" s="135" t="s">
        <v>25</v>
      </c>
      <c r="Q6" s="135" t="s">
        <v>26</v>
      </c>
      <c r="R6" s="137" t="s">
        <v>132</v>
      </c>
      <c r="S6" s="138" t="s">
        <v>132</v>
      </c>
      <c r="T6" s="138" t="s">
        <v>24</v>
      </c>
      <c r="U6" s="139" t="s">
        <v>28</v>
      </c>
      <c r="V6" s="140" t="s">
        <v>28</v>
      </c>
      <c r="W6" s="138" t="s">
        <v>24</v>
      </c>
      <c r="X6" s="139" t="s">
        <v>28</v>
      </c>
      <c r="Y6" s="140" t="s">
        <v>28</v>
      </c>
      <c r="Z6" s="138" t="s">
        <v>24</v>
      </c>
    </row>
    <row r="7" spans="1:26" ht="24" customHeight="1" x14ac:dyDescent="0.3">
      <c r="A7" s="419" t="s">
        <v>31</v>
      </c>
      <c r="B7" s="420"/>
      <c r="C7" s="141">
        <f t="shared" ref="C7:C10" ca="1" si="0">D7+G7</f>
        <v>1756000</v>
      </c>
      <c r="D7" s="142">
        <f t="shared" ref="D7:E7" ca="1" si="1">D8+D9+D12</f>
        <v>1756000</v>
      </c>
      <c r="E7" s="143">
        <f t="shared" ca="1" si="1"/>
        <v>790200</v>
      </c>
      <c r="F7" s="144">
        <f ca="1">F8+F9</f>
        <v>965800</v>
      </c>
      <c r="G7" s="145">
        <f t="shared" ref="G7:I7" ca="1" si="2">G8+G9+G12</f>
        <v>0</v>
      </c>
      <c r="H7" s="146">
        <f t="shared" ca="1" si="2"/>
        <v>1437600</v>
      </c>
      <c r="I7" s="146">
        <f t="shared" ca="1" si="2"/>
        <v>0</v>
      </c>
      <c r="J7" s="147">
        <f t="shared" ref="J7:J10" ca="1" si="3">L7+O7</f>
        <v>385826.31</v>
      </c>
      <c r="K7" s="148">
        <f t="shared" ref="K7:K10" ca="1" si="4">IF(C7&gt;0,J7*100/C7,0)</f>
        <v>21.971885535307518</v>
      </c>
      <c r="L7" s="147">
        <f ca="1">L8+L9+L12</f>
        <v>385826.31</v>
      </c>
      <c r="M7" s="149">
        <f t="shared" ref="M7:M10" ca="1" si="5">IF(D7&gt;0,L7*100/D7,0)</f>
        <v>21.971885535307518</v>
      </c>
      <c r="N7" s="149">
        <f t="shared" ref="N7:N10" ca="1" si="6">IF(H7&gt;0,L7*100/H7,0)</f>
        <v>26.838224123539231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1">
        <f t="shared" ref="R7:S7" ca="1" si="9">R8</f>
        <v>372</v>
      </c>
      <c r="S7" s="32">
        <f t="shared" ca="1" si="9"/>
        <v>0</v>
      </c>
      <c r="T7" s="151">
        <f t="shared" ref="T7:T8" ca="1" si="10">IF(R7&gt;0,S7*100/R7,0)</f>
        <v>0</v>
      </c>
      <c r="U7" s="31">
        <f t="shared" ref="U7:V7" ca="1" si="11">U8</f>
        <v>124</v>
      </c>
      <c r="V7" s="32">
        <f t="shared" ca="1" si="11"/>
        <v>0</v>
      </c>
      <c r="W7" s="151">
        <f t="shared" ref="W7:W8" ca="1" si="12">IF(U7&gt;0,V7*100/U7,0)</f>
        <v>0</v>
      </c>
      <c r="X7" s="31">
        <f t="shared" ref="X7:Y7" ca="1" si="13">X8</f>
        <v>124</v>
      </c>
      <c r="Y7" s="32">
        <f t="shared" ca="1" si="13"/>
        <v>0</v>
      </c>
      <c r="Z7" s="151">
        <f t="shared" ref="Z7:Z8" ca="1" si="14">IF(X7&gt;0,Y7*100/X7,0)</f>
        <v>0</v>
      </c>
    </row>
    <row r="8" spans="1:26" ht="28.5" customHeight="1" x14ac:dyDescent="0.3">
      <c r="A8" s="152" t="s">
        <v>32</v>
      </c>
      <c r="B8" s="153"/>
      <c r="C8" s="154">
        <f t="shared" ca="1" si="0"/>
        <v>1038900</v>
      </c>
      <c r="D8" s="154">
        <f t="shared" ref="D8:I8" ca="1" si="15">+D13+D31+D52+D74</f>
        <v>1038900</v>
      </c>
      <c r="E8" s="154">
        <f t="shared" ca="1" si="15"/>
        <v>490400</v>
      </c>
      <c r="F8" s="154">
        <f t="shared" ca="1" si="15"/>
        <v>548500</v>
      </c>
      <c r="G8" s="154">
        <f t="shared" ca="1" si="15"/>
        <v>0</v>
      </c>
      <c r="H8" s="154">
        <f t="shared" ca="1" si="15"/>
        <v>899500</v>
      </c>
      <c r="I8" s="154">
        <f t="shared" ca="1" si="15"/>
        <v>0</v>
      </c>
      <c r="J8" s="154">
        <f t="shared" ca="1" si="3"/>
        <v>224213.5</v>
      </c>
      <c r="K8" s="155">
        <f t="shared" ca="1" si="4"/>
        <v>21.581817306766773</v>
      </c>
      <c r="L8" s="154">
        <f ca="1">+L13+L31+L52+L74</f>
        <v>224213.5</v>
      </c>
      <c r="M8" s="156">
        <f t="shared" ca="1" si="5"/>
        <v>21.581817306766773</v>
      </c>
      <c r="N8" s="156">
        <f t="shared" ca="1" si="6"/>
        <v>24.92645914396887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8">
        <f t="shared" ref="R8:S8" ca="1" si="16">+R13+R31+R52+R74</f>
        <v>372</v>
      </c>
      <c r="S8" s="38">
        <f t="shared" ca="1" si="16"/>
        <v>0</v>
      </c>
      <c r="T8" s="154">
        <f t="shared" ca="1" si="10"/>
        <v>0</v>
      </c>
      <c r="U8" s="38">
        <f t="shared" ref="U8:V8" ca="1" si="17">+U13+U31+U52+U74</f>
        <v>124</v>
      </c>
      <c r="V8" s="38">
        <f t="shared" ca="1" si="17"/>
        <v>0</v>
      </c>
      <c r="W8" s="154">
        <f t="shared" ca="1" si="12"/>
        <v>0</v>
      </c>
      <c r="X8" s="38">
        <f t="shared" ref="X8:Y8" ca="1" si="18">+X13+X31+X52+X74</f>
        <v>124</v>
      </c>
      <c r="Y8" s="38">
        <f t="shared" ca="1" si="18"/>
        <v>0</v>
      </c>
      <c r="Z8" s="154">
        <f t="shared" ca="1" si="14"/>
        <v>0</v>
      </c>
    </row>
    <row r="9" spans="1:26" ht="28.5" customHeight="1" x14ac:dyDescent="0.3">
      <c r="A9" s="158" t="s">
        <v>33</v>
      </c>
      <c r="B9" s="159"/>
      <c r="C9" s="160">
        <f t="shared" ca="1" si="0"/>
        <v>717100</v>
      </c>
      <c r="D9" s="160">
        <f t="shared" ref="D9:I9" ca="1" si="19">+D10+D11</f>
        <v>717100</v>
      </c>
      <c r="E9" s="160">
        <f t="shared" ca="1" si="19"/>
        <v>299800</v>
      </c>
      <c r="F9" s="160">
        <f t="shared" ca="1" si="19"/>
        <v>417300</v>
      </c>
      <c r="G9" s="160">
        <f t="shared" ca="1" si="19"/>
        <v>0</v>
      </c>
      <c r="H9" s="160">
        <f t="shared" ca="1" si="19"/>
        <v>538100</v>
      </c>
      <c r="I9" s="160">
        <f t="shared" ca="1" si="19"/>
        <v>0</v>
      </c>
      <c r="J9" s="160">
        <f t="shared" ca="1" si="3"/>
        <v>161612.81</v>
      </c>
      <c r="K9" s="161">
        <f t="shared" ca="1" si="4"/>
        <v>22.536997629340398</v>
      </c>
      <c r="L9" s="160">
        <f ca="1">+L10+L11</f>
        <v>161612.81</v>
      </c>
      <c r="M9" s="162">
        <f t="shared" ca="1" si="5"/>
        <v>22.536997629340398</v>
      </c>
      <c r="N9" s="162">
        <f t="shared" ca="1" si="6"/>
        <v>30.033973239174873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46"/>
      <c r="S9" s="46"/>
      <c r="T9" s="160"/>
      <c r="U9" s="46"/>
      <c r="V9" s="46"/>
      <c r="W9" s="160"/>
      <c r="X9" s="46"/>
      <c r="Y9" s="46"/>
      <c r="Z9" s="160"/>
    </row>
    <row r="10" spans="1:26" ht="28.5" customHeight="1" x14ac:dyDescent="0.3">
      <c r="A10" s="158" t="s">
        <v>34</v>
      </c>
      <c r="B10" s="159"/>
      <c r="C10" s="160">
        <f t="shared" ca="1" si="0"/>
        <v>717100</v>
      </c>
      <c r="D10" s="160">
        <f t="shared" ref="D10:I10" ca="1" si="20">+D89</f>
        <v>717100</v>
      </c>
      <c r="E10" s="160">
        <f t="shared" ca="1" si="20"/>
        <v>299800</v>
      </c>
      <c r="F10" s="160">
        <f t="shared" ca="1" si="20"/>
        <v>417300</v>
      </c>
      <c r="G10" s="160">
        <f t="shared" ca="1" si="20"/>
        <v>0</v>
      </c>
      <c r="H10" s="160">
        <f t="shared" ca="1" si="20"/>
        <v>538100</v>
      </c>
      <c r="I10" s="160">
        <f t="shared" ca="1" si="20"/>
        <v>0</v>
      </c>
      <c r="J10" s="160">
        <f t="shared" ca="1" si="3"/>
        <v>161612.81</v>
      </c>
      <c r="K10" s="161">
        <f t="shared" ca="1" si="4"/>
        <v>22.536997629340398</v>
      </c>
      <c r="L10" s="160">
        <f ca="1">+L89</f>
        <v>161612.81</v>
      </c>
      <c r="M10" s="162">
        <f t="shared" ca="1" si="5"/>
        <v>22.536997629340398</v>
      </c>
      <c r="N10" s="162">
        <f t="shared" ca="1" si="6"/>
        <v>30.033973239174873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46"/>
      <c r="S10" s="46"/>
      <c r="T10" s="160"/>
      <c r="U10" s="46"/>
      <c r="V10" s="46"/>
      <c r="W10" s="160"/>
      <c r="X10" s="46"/>
      <c r="Y10" s="46"/>
      <c r="Z10" s="160"/>
    </row>
    <row r="11" spans="1:26" ht="28.5" hidden="1" customHeight="1" x14ac:dyDescent="0.3">
      <c r="A11" s="164"/>
      <c r="B11" s="165"/>
      <c r="C11" s="166"/>
      <c r="D11" s="166"/>
      <c r="E11" s="166"/>
      <c r="F11" s="166"/>
      <c r="G11" s="166"/>
      <c r="H11" s="166"/>
      <c r="I11" s="166"/>
      <c r="J11" s="166"/>
      <c r="K11" s="167"/>
      <c r="L11" s="166"/>
      <c r="M11" s="168"/>
      <c r="N11" s="168"/>
      <c r="O11" s="169"/>
      <c r="P11" s="169"/>
      <c r="Q11" s="168"/>
      <c r="R11" s="55"/>
      <c r="S11" s="55"/>
      <c r="T11" s="166"/>
      <c r="U11" s="55"/>
      <c r="V11" s="55"/>
      <c r="W11" s="166"/>
      <c r="X11" s="55"/>
      <c r="Y11" s="55"/>
      <c r="Z11" s="166"/>
    </row>
    <row r="12" spans="1:26" ht="28.5" hidden="1" customHeight="1" x14ac:dyDescent="0.3">
      <c r="A12" s="170"/>
      <c r="B12" s="171"/>
      <c r="C12" s="166"/>
      <c r="D12" s="166"/>
      <c r="E12" s="166"/>
      <c r="F12" s="166"/>
      <c r="G12" s="166"/>
      <c r="H12" s="166"/>
      <c r="I12" s="166"/>
      <c r="J12" s="166"/>
      <c r="K12" s="167"/>
      <c r="L12" s="166"/>
      <c r="M12" s="168"/>
      <c r="N12" s="168"/>
      <c r="O12" s="169"/>
      <c r="P12" s="169"/>
      <c r="Q12" s="168"/>
      <c r="R12" s="64"/>
      <c r="S12" s="64"/>
      <c r="T12" s="166"/>
      <c r="U12" s="64"/>
      <c r="V12" s="64"/>
      <c r="W12" s="166"/>
      <c r="X12" s="64"/>
      <c r="Y12" s="64"/>
      <c r="Z12" s="166"/>
    </row>
    <row r="13" spans="1:26" ht="28.5" customHeight="1" x14ac:dyDescent="0.3">
      <c r="A13" s="421" t="s">
        <v>35</v>
      </c>
      <c r="B13" s="422"/>
      <c r="C13" s="154">
        <f t="shared" ref="C13:C88" ca="1" si="21">D13+G13</f>
        <v>136300</v>
      </c>
      <c r="D13" s="154">
        <f t="shared" ref="D13:I13" ca="1" si="22">SUM(D14:D30)</f>
        <v>136300</v>
      </c>
      <c r="E13" s="154">
        <f t="shared" ca="1" si="22"/>
        <v>85300</v>
      </c>
      <c r="F13" s="154">
        <f t="shared" ca="1" si="22"/>
        <v>51000</v>
      </c>
      <c r="G13" s="154">
        <f t="shared" ca="1" si="22"/>
        <v>0</v>
      </c>
      <c r="H13" s="154">
        <f t="shared" ca="1" si="22"/>
        <v>112000</v>
      </c>
      <c r="I13" s="154">
        <f t="shared" ca="1" si="22"/>
        <v>0</v>
      </c>
      <c r="J13" s="154">
        <f t="shared" ref="J13:J88" ca="1" si="23">L13+O13</f>
        <v>40240</v>
      </c>
      <c r="K13" s="155">
        <f t="shared" ref="K13:K88" ca="1" si="24">IF(C13&gt;0,J13*100/C13,0)</f>
        <v>29.523110785033015</v>
      </c>
      <c r="L13" s="154">
        <f ca="1">SUM(L14:L30)</f>
        <v>40240</v>
      </c>
      <c r="M13" s="156">
        <f t="shared" ref="M13:M88" ca="1" si="25">IF(D13&gt;0,L13*100/D13,0)</f>
        <v>29.523110785033015</v>
      </c>
      <c r="N13" s="156">
        <f t="shared" ref="N13:N88" ca="1" si="26">IF(H13&gt;0,L13*100/H13,0)</f>
        <v>35.928571428571431</v>
      </c>
      <c r="O13" s="157">
        <f ca="1">SUM(O14:O30)</f>
        <v>0</v>
      </c>
      <c r="P13" s="157">
        <f t="shared" ref="P13:P88" ca="1" si="27">IF(G13&gt;0,O13*100/G13,0)</f>
        <v>0</v>
      </c>
      <c r="Q13" s="156">
        <f t="shared" ref="Q13:Q88" ca="1" si="28">IF(I13&gt;0,O13*100/I13,0)</f>
        <v>0</v>
      </c>
      <c r="R13" s="70">
        <f t="shared" ref="R13:S13" ca="1" si="29">SUM(R14:R30)</f>
        <v>30</v>
      </c>
      <c r="S13" s="70">
        <f t="shared" ca="1" si="29"/>
        <v>0</v>
      </c>
      <c r="T13" s="154">
        <f t="shared" ref="T13:T88" ca="1" si="30">IF(R13&gt;0,S13*100/R13,0)</f>
        <v>0</v>
      </c>
      <c r="U13" s="70">
        <f t="shared" ref="U13:V13" ca="1" si="31">SUM(U14:U30)</f>
        <v>10</v>
      </c>
      <c r="V13" s="70">
        <f t="shared" ca="1" si="31"/>
        <v>0</v>
      </c>
      <c r="W13" s="154">
        <f t="shared" ref="W13:W88" ca="1" si="32">IF(U13&gt;0,V13*100/U13,0)</f>
        <v>0</v>
      </c>
      <c r="X13" s="70">
        <f t="shared" ref="X13:Y13" ca="1" si="33">SUM(X14:X30)</f>
        <v>10</v>
      </c>
      <c r="Y13" s="70">
        <f t="shared" ca="1" si="33"/>
        <v>0</v>
      </c>
      <c r="Z13" s="154">
        <f t="shared" ref="Z13:Z88" ca="1" si="34">IF(X13&gt;0,Y13*100/X13,0)</f>
        <v>0</v>
      </c>
    </row>
    <row r="14" spans="1:26" ht="24" customHeight="1" x14ac:dyDescent="0.3">
      <c r="A14" s="172">
        <v>1</v>
      </c>
      <c r="B14" s="173" t="s">
        <v>36</v>
      </c>
      <c r="C14" s="174">
        <f t="shared" ca="1" si="21"/>
        <v>0</v>
      </c>
      <c r="D14" s="175">
        <f t="shared" ref="D14:D30" ca="1" si="35">+E14+F14</f>
        <v>0</v>
      </c>
      <c r="E14" s="176">
        <f ca="1">IFERROR(__xludf.DUMMYFUNCTION("IMPORTRANGE(""https://docs.google.com/spreadsheets/d/1-uDff_7J0KD5mKrp0Vvzr7lt3OU09vwQwhkpOPPYv2Y/edit?usp=sharing"",""งบพรบ!AX14"")"),0)</f>
        <v>0</v>
      </c>
      <c r="F14" s="176">
        <f ca="1">IFERROR(__xludf.DUMMYFUNCTION("IMPORTRANGE(""https://docs.google.com/spreadsheets/d/1-uDff_7J0KD5mKrp0Vvzr7lt3OU09vwQwhkpOPPYv2Y/edit?usp=sharing"",""งบพรบ!AY14"")"),0)</f>
        <v>0</v>
      </c>
      <c r="G14" s="177">
        <f ca="1">IFERROR(__xludf.DUMMYFUNCTION("IMPORTRANGE(""https://docs.google.com/spreadsheets/d/1-uDff_7J0KD5mKrp0Vvzr7lt3OU09vwQwhkpOPPYv2Y/edit?usp=sharing"",""งบพรบ!AZ14"")"),0)</f>
        <v>0</v>
      </c>
      <c r="H14" s="177">
        <f ca="1">IFERROR(__xludf.DUMMYFUNCTION("IMPORTRANGE(""https://docs.google.com/spreadsheets/d/1-uDff_7J0KD5mKrp0Vvzr7lt3OU09vwQwhkpOPPYv2Y/edit?usp=sharing"",""งบพรบ!BB14"")"),0)</f>
        <v>0</v>
      </c>
      <c r="I14" s="177">
        <f ca="1">IFERROR(__xludf.DUMMYFUNCTION("IMPORTRANGE(""https://docs.google.com/spreadsheets/d/1-uDff_7J0KD5mKrp0Vvzr7lt3OU09vwQwhkpOPPYv2Y/edit?usp=sharing"",""งบพรบ!BC14"")"),0)</f>
        <v>0</v>
      </c>
      <c r="J14" s="177">
        <f t="shared" ca="1" si="23"/>
        <v>0</v>
      </c>
      <c r="K14" s="178">
        <f t="shared" ca="1" si="24"/>
        <v>0</v>
      </c>
      <c r="L14" s="177">
        <f ca="1">IFERROR(__xludf.DUMMYFUNCTION("IMPORTRANGE(""https://docs.google.com/spreadsheets/d/1-uDff_7J0KD5mKrp0Vvzr7lt3OU09vwQwhkpOPPYv2Y/edit?usp=sharing"",""งบพรบ!BD14"")"),0)</f>
        <v>0</v>
      </c>
      <c r="M14" s="179">
        <f t="shared" ca="1" si="25"/>
        <v>0</v>
      </c>
      <c r="N14" s="179">
        <f t="shared" ca="1" si="26"/>
        <v>0</v>
      </c>
      <c r="O14" s="180">
        <f ca="1">IFERROR(__xludf.DUMMYFUNCTION("IMPORTRANGE(""https://docs.google.com/spreadsheets/d/1-uDff_7J0KD5mKrp0Vvzr7lt3OU09vwQwhkpOPPYv2Y/edit?usp=sharing"",""งบพรบ!BE14"")"),0)</f>
        <v>0</v>
      </c>
      <c r="P14" s="180">
        <f t="shared" ca="1" si="27"/>
        <v>0</v>
      </c>
      <c r="Q14" s="179">
        <f t="shared" ca="1" si="28"/>
        <v>0</v>
      </c>
      <c r="R14" s="78">
        <f ca="1">IFERROR(__xludf.DUMMYFUNCTION("IMPORTRANGE(""https://docs.google.com/spreadsheets/d/1jTcq05yEiRwXcBMLjiodW9e4biSGYWAHcDj22rKWQ3s/edit?usp=sharing"",""กำแพงเพชร!I108"")"),0)</f>
        <v>0</v>
      </c>
      <c r="S14" s="78">
        <f ca="1">IFERROR(__xludf.DUMMYFUNCTION("IMPORTRANGE(""https://docs.google.com/spreadsheets/d/1jTcq05yEiRwXcBMLjiodW9e4biSGYWAHcDj22rKWQ3s/edit?usp=sharing"",""กำแพงเพชร!J108"")"),0)</f>
        <v>0</v>
      </c>
      <c r="T14" s="177">
        <f t="shared" ca="1" si="30"/>
        <v>0</v>
      </c>
      <c r="U14" s="78">
        <f ca="1">IFERROR(__xludf.DUMMYFUNCTION("IMPORTRANGE(""https://docs.google.com/spreadsheets/d/1jTcq05yEiRwXcBMLjiodW9e4biSGYWAHcDj22rKWQ3s/edit?usp=sharing"",""กำแพงเพชร!I109"")"),0)</f>
        <v>0</v>
      </c>
      <c r="V14" s="78">
        <f ca="1">IFERROR(__xludf.DUMMYFUNCTION("IMPORTRANGE(""https://docs.google.com/spreadsheets/d/1jTcq05yEiRwXcBMLjiodW9e4biSGYWAHcDj22rKWQ3s/edit?usp=sharing"",""กำแพงเพชร!J109"")"),0)</f>
        <v>0</v>
      </c>
      <c r="W14" s="177">
        <f t="shared" ca="1" si="32"/>
        <v>0</v>
      </c>
      <c r="X14" s="78">
        <f ca="1">IFERROR(__xludf.DUMMYFUNCTION("IMPORTRANGE(""https://docs.google.com/spreadsheets/d/1jTcq05yEiRwXcBMLjiodW9e4biSGYWAHcDj22rKWQ3s/edit?usp=sharing"",""กำแพงเพชร!I117"")"),0)</f>
        <v>0</v>
      </c>
      <c r="Y14" s="78">
        <f ca="1">IFERROR(__xludf.DUMMYFUNCTION("IMPORTRANGE(""https://docs.google.com/spreadsheets/d/1jTcq05yEiRwXcBMLjiodW9e4biSGYWAHcDj22rKWQ3s/edit?usp=sharing"",""กำแพงเพชร!J117"")"),0)</f>
        <v>0</v>
      </c>
      <c r="Z14" s="177">
        <f t="shared" ca="1" si="34"/>
        <v>0</v>
      </c>
    </row>
    <row r="15" spans="1:26" ht="24" customHeight="1" x14ac:dyDescent="0.3">
      <c r="A15" s="172">
        <v>2</v>
      </c>
      <c r="B15" s="173" t="s">
        <v>37</v>
      </c>
      <c r="C15" s="174">
        <f t="shared" ca="1" si="21"/>
        <v>0</v>
      </c>
      <c r="D15" s="175">
        <f t="shared" ca="1" si="35"/>
        <v>0</v>
      </c>
      <c r="E15" s="176">
        <f ca="1">IFERROR(__xludf.DUMMYFUNCTION("IMPORTRANGE(""https://docs.google.com/spreadsheets/d/1-uDff_7J0KD5mKrp0Vvzr7lt3OU09vwQwhkpOPPYv2Y/edit?usp=sharing"",""งบพรบ!AX15"")"),0)</f>
        <v>0</v>
      </c>
      <c r="F15" s="176">
        <f ca="1">IFERROR(__xludf.DUMMYFUNCTION("IMPORTRANGE(""https://docs.google.com/spreadsheets/d/1-uDff_7J0KD5mKrp0Vvzr7lt3OU09vwQwhkpOPPYv2Y/edit?usp=sharing"",""งบพรบ!AY15"")"),0)</f>
        <v>0</v>
      </c>
      <c r="G15" s="176">
        <f ca="1">IFERROR(__xludf.DUMMYFUNCTION("IMPORTRANGE(""https://docs.google.com/spreadsheets/d/1-uDff_7J0KD5mKrp0Vvzr7lt3OU09vwQwhkpOPPYv2Y/edit?usp=sharing"",""งบพรบ!AZ15"")"),0)</f>
        <v>0</v>
      </c>
      <c r="H15" s="176">
        <f ca="1">IFERROR(__xludf.DUMMYFUNCTION("IMPORTRANGE(""https://docs.google.com/spreadsheets/d/1-uDff_7J0KD5mKrp0Vvzr7lt3OU09vwQwhkpOPPYv2Y/edit?usp=sharing"",""งบพรบ!BB15"")"),0)</f>
        <v>0</v>
      </c>
      <c r="I15" s="176">
        <f ca="1">IFERROR(__xludf.DUMMYFUNCTION("IMPORTRANGE(""https://docs.google.com/spreadsheets/d/1-uDff_7J0KD5mKrp0Vvzr7lt3OU09vwQwhkpOPPYv2Y/edit?usp=sharing"",""งบพรบ!BC15"")"),0)</f>
        <v>0</v>
      </c>
      <c r="J15" s="176">
        <f t="shared" ca="1" si="23"/>
        <v>0</v>
      </c>
      <c r="K15" s="181">
        <f t="shared" ca="1" si="24"/>
        <v>0</v>
      </c>
      <c r="L15" s="176">
        <f ca="1">IFERROR(__xludf.DUMMYFUNCTION("IMPORTRANGE(""https://docs.google.com/spreadsheets/d/1-uDff_7J0KD5mKrp0Vvzr7lt3OU09vwQwhkpOPPYv2Y/edit?usp=sharing"",""งบพรบ!BD15"")"),0)</f>
        <v>0</v>
      </c>
      <c r="M15" s="179">
        <f t="shared" ca="1" si="25"/>
        <v>0</v>
      </c>
      <c r="N15" s="179">
        <f t="shared" ca="1" si="26"/>
        <v>0</v>
      </c>
      <c r="O15" s="180">
        <f ca="1">IFERROR(__xludf.DUMMYFUNCTION("IMPORTRANGE(""https://docs.google.com/spreadsheets/d/1-uDff_7J0KD5mKrp0Vvzr7lt3OU09vwQwhkpOPPYv2Y/edit?usp=sharing"",""งบพรบ!BE15"")"),0)</f>
        <v>0</v>
      </c>
      <c r="P15" s="180">
        <f t="shared" ca="1" si="27"/>
        <v>0</v>
      </c>
      <c r="Q15" s="179">
        <f t="shared" ca="1" si="28"/>
        <v>0</v>
      </c>
      <c r="R15" s="94">
        <f ca="1">IFERROR(__xludf.DUMMYFUNCTION("IMPORTRANGE(""https://docs.google.com/spreadsheets/d/1KS0zmDSZPk8KnTAbGN-Xk6MtX1YRZD0ldgdt20K4CRk/edit?usp=sharing"",""เชียงราย!I108"")"),0)</f>
        <v>0</v>
      </c>
      <c r="S15" s="94">
        <f ca="1">IFERROR(__xludf.DUMMYFUNCTION("IMPORTRANGE(""https://docs.google.com/spreadsheets/d/1KS0zmDSZPk8KnTAbGN-Xk6MtX1YRZD0ldgdt20K4CRk/edit?usp=sharing"",""เชียงราย!J108"")"),0)</f>
        <v>0</v>
      </c>
      <c r="T15" s="177">
        <f t="shared" ca="1" si="30"/>
        <v>0</v>
      </c>
      <c r="U15" s="94">
        <f ca="1">IFERROR(__xludf.DUMMYFUNCTION("IMPORTRANGE(""https://docs.google.com/spreadsheets/d/1KS0zmDSZPk8KnTAbGN-Xk6MtX1YRZD0ldgdt20K4CRk/edit?usp=sharing"",""เชียงราย!I109"")"),0)</f>
        <v>0</v>
      </c>
      <c r="V15" s="94">
        <f ca="1">IFERROR(__xludf.DUMMYFUNCTION("IMPORTRANGE(""https://docs.google.com/spreadsheets/d/1KS0zmDSZPk8KnTAbGN-Xk6MtX1YRZD0ldgdt20K4CRk/edit?usp=sharing"",""เชียงราย!J109"")"),0)</f>
        <v>0</v>
      </c>
      <c r="W15" s="177">
        <f t="shared" ca="1" si="32"/>
        <v>0</v>
      </c>
      <c r="X15" s="94">
        <f ca="1">IFERROR(__xludf.DUMMYFUNCTION("IMPORTRANGE(""https://docs.google.com/spreadsheets/d/1KS0zmDSZPk8KnTAbGN-Xk6MtX1YRZD0ldgdt20K4CRk/edit?usp=sharing"",""เชียงราย!I117"")"),0)</f>
        <v>0</v>
      </c>
      <c r="Y15" s="94">
        <f ca="1">IFERROR(__xludf.DUMMYFUNCTION("IMPORTRANGE(""https://docs.google.com/spreadsheets/d/1KS0zmDSZPk8KnTAbGN-Xk6MtX1YRZD0ldgdt20K4CRk/edit?usp=sharing"",""เชียงราย!J117"")"),0)</f>
        <v>0</v>
      </c>
      <c r="Z15" s="177">
        <f t="shared" ca="1" si="34"/>
        <v>0</v>
      </c>
    </row>
    <row r="16" spans="1:26" ht="24" customHeight="1" x14ac:dyDescent="0.3">
      <c r="A16" s="172">
        <v>3</v>
      </c>
      <c r="B16" s="173" t="s">
        <v>38</v>
      </c>
      <c r="C16" s="174">
        <f t="shared" ca="1" si="21"/>
        <v>0</v>
      </c>
      <c r="D16" s="175">
        <f t="shared" ca="1" si="35"/>
        <v>0</v>
      </c>
      <c r="E16" s="176">
        <f ca="1">IFERROR(__xludf.DUMMYFUNCTION("IMPORTRANGE(""https://docs.google.com/spreadsheets/d/1-uDff_7J0KD5mKrp0Vvzr7lt3OU09vwQwhkpOPPYv2Y/edit?usp=sharing"",""งบพรบ!AX16"")"),0)</f>
        <v>0</v>
      </c>
      <c r="F16" s="176">
        <f ca="1">IFERROR(__xludf.DUMMYFUNCTION("IMPORTRANGE(""https://docs.google.com/spreadsheets/d/1-uDff_7J0KD5mKrp0Vvzr7lt3OU09vwQwhkpOPPYv2Y/edit?usp=sharing"",""งบพรบ!AY16"")"),0)</f>
        <v>0</v>
      </c>
      <c r="G16" s="176">
        <f ca="1">IFERROR(__xludf.DUMMYFUNCTION("IMPORTRANGE(""https://docs.google.com/spreadsheets/d/1-uDff_7J0KD5mKrp0Vvzr7lt3OU09vwQwhkpOPPYv2Y/edit?usp=sharing"",""งบพรบ!AZ16"")"),0)</f>
        <v>0</v>
      </c>
      <c r="H16" s="176">
        <f ca="1">IFERROR(__xludf.DUMMYFUNCTION("IMPORTRANGE(""https://docs.google.com/spreadsheets/d/1-uDff_7J0KD5mKrp0Vvzr7lt3OU09vwQwhkpOPPYv2Y/edit?usp=sharing"",""งบพรบ!BB16"")"),0)</f>
        <v>0</v>
      </c>
      <c r="I16" s="176">
        <f ca="1">IFERROR(__xludf.DUMMYFUNCTION("IMPORTRANGE(""https://docs.google.com/spreadsheets/d/1-uDff_7J0KD5mKrp0Vvzr7lt3OU09vwQwhkpOPPYv2Y/edit?usp=sharing"",""งบพรบ!BC16"")"),0)</f>
        <v>0</v>
      </c>
      <c r="J16" s="176">
        <f t="shared" ca="1" si="23"/>
        <v>0</v>
      </c>
      <c r="K16" s="181">
        <f t="shared" ca="1" si="24"/>
        <v>0</v>
      </c>
      <c r="L16" s="176">
        <f ca="1">IFERROR(__xludf.DUMMYFUNCTION("IMPORTRANGE(""https://docs.google.com/spreadsheets/d/1-uDff_7J0KD5mKrp0Vvzr7lt3OU09vwQwhkpOPPYv2Y/edit?usp=sharing"",""งบพรบ!BD16"")"),0)</f>
        <v>0</v>
      </c>
      <c r="M16" s="179">
        <f t="shared" ca="1" si="25"/>
        <v>0</v>
      </c>
      <c r="N16" s="179">
        <f t="shared" ca="1" si="26"/>
        <v>0</v>
      </c>
      <c r="O16" s="180">
        <f ca="1">IFERROR(__xludf.DUMMYFUNCTION("IMPORTRANGE(""https://docs.google.com/spreadsheets/d/1-uDff_7J0KD5mKrp0Vvzr7lt3OU09vwQwhkpOPPYv2Y/edit?usp=sharing"",""งบพรบ!BE16"")"),0)</f>
        <v>0</v>
      </c>
      <c r="P16" s="180">
        <f t="shared" ca="1" si="27"/>
        <v>0</v>
      </c>
      <c r="Q16" s="179">
        <f t="shared" ca="1" si="28"/>
        <v>0</v>
      </c>
      <c r="R16" s="88">
        <f ca="1">IFERROR(__xludf.DUMMYFUNCTION("IMPORTRANGE(""https://docs.google.com/spreadsheets/d/1rEDxBtusbi64tE0zunoIbsTVV16HeL0oJ6trHQeQ7K8/edit?usp=sharing"",""เชียงใหม่!I108"")"),0)</f>
        <v>0</v>
      </c>
      <c r="S16" s="88">
        <f ca="1">IFERROR(__xludf.DUMMYFUNCTION("IMPORTRANGE(""https://docs.google.com/spreadsheets/d/1rEDxBtusbi64tE0zunoIbsTVV16HeL0oJ6trHQeQ7K8/edit?usp=sharing"",""เชียงใหม่!J108"")"),0)</f>
        <v>0</v>
      </c>
      <c r="T16" s="177">
        <f t="shared" ca="1" si="30"/>
        <v>0</v>
      </c>
      <c r="U16" s="88">
        <f ca="1">IFERROR(__xludf.DUMMYFUNCTION("IMPORTRANGE(""https://docs.google.com/spreadsheets/d/1rEDxBtusbi64tE0zunoIbsTVV16HeL0oJ6trHQeQ7K8/edit?usp=sharing"",""เชียงใหม่!I109"")"),0)</f>
        <v>0</v>
      </c>
      <c r="V16" s="88">
        <f ca="1">IFERROR(__xludf.DUMMYFUNCTION("IMPORTRANGE(""https://docs.google.com/spreadsheets/d/1rEDxBtusbi64tE0zunoIbsTVV16HeL0oJ6trHQeQ7K8/edit?usp=sharing"",""เชียงใหม่!J109"")"),0)</f>
        <v>0</v>
      </c>
      <c r="W16" s="177">
        <f t="shared" ca="1" si="32"/>
        <v>0</v>
      </c>
      <c r="X16" s="88">
        <f ca="1">IFERROR(__xludf.DUMMYFUNCTION("IMPORTRANGE(""https://docs.google.com/spreadsheets/d/1rEDxBtusbi64tE0zunoIbsTVV16HeL0oJ6trHQeQ7K8/edit?usp=sharing"",""เชียงใหม่!I117"")"),0)</f>
        <v>0</v>
      </c>
      <c r="Y16" s="88">
        <f ca="1">IFERROR(__xludf.DUMMYFUNCTION("IMPORTRANGE(""https://docs.google.com/spreadsheets/d/1rEDxBtusbi64tE0zunoIbsTVV16HeL0oJ6trHQeQ7K8/edit?usp=sharing"",""เชียงใหม่!J117"")"),0)</f>
        <v>0</v>
      </c>
      <c r="Z16" s="177">
        <f t="shared" ca="1" si="34"/>
        <v>0</v>
      </c>
    </row>
    <row r="17" spans="1:26" ht="24" customHeight="1" x14ac:dyDescent="0.3">
      <c r="A17" s="172">
        <v>4</v>
      </c>
      <c r="B17" s="173" t="s">
        <v>39</v>
      </c>
      <c r="C17" s="174">
        <f t="shared" ca="1" si="21"/>
        <v>0</v>
      </c>
      <c r="D17" s="175">
        <f t="shared" ca="1" si="35"/>
        <v>0</v>
      </c>
      <c r="E17" s="176">
        <f ca="1">IFERROR(__xludf.DUMMYFUNCTION("IMPORTRANGE(""https://docs.google.com/spreadsheets/d/1-uDff_7J0KD5mKrp0Vvzr7lt3OU09vwQwhkpOPPYv2Y/edit?usp=sharing"",""งบพรบ!AX17"")"),0)</f>
        <v>0</v>
      </c>
      <c r="F17" s="176">
        <f ca="1">IFERROR(__xludf.DUMMYFUNCTION("IMPORTRANGE(""https://docs.google.com/spreadsheets/d/1-uDff_7J0KD5mKrp0Vvzr7lt3OU09vwQwhkpOPPYv2Y/edit?usp=sharing"",""งบพรบ!AY17"")"),0)</f>
        <v>0</v>
      </c>
      <c r="G17" s="176">
        <f ca="1">IFERROR(__xludf.DUMMYFUNCTION("IMPORTRANGE(""https://docs.google.com/spreadsheets/d/1-uDff_7J0KD5mKrp0Vvzr7lt3OU09vwQwhkpOPPYv2Y/edit?usp=sharing"",""งบพรบ!AZ17"")"),0)</f>
        <v>0</v>
      </c>
      <c r="H17" s="176">
        <f ca="1">IFERROR(__xludf.DUMMYFUNCTION("IMPORTRANGE(""https://docs.google.com/spreadsheets/d/1-uDff_7J0KD5mKrp0Vvzr7lt3OU09vwQwhkpOPPYv2Y/edit?usp=sharing"",""งบพรบ!BB17"")"),0)</f>
        <v>0</v>
      </c>
      <c r="I17" s="176">
        <f ca="1">IFERROR(__xludf.DUMMYFUNCTION("IMPORTRANGE(""https://docs.google.com/spreadsheets/d/1-uDff_7J0KD5mKrp0Vvzr7lt3OU09vwQwhkpOPPYv2Y/edit?usp=sharing"",""งบพรบ!BC17"")"),0)</f>
        <v>0</v>
      </c>
      <c r="J17" s="176">
        <f t="shared" ca="1" si="23"/>
        <v>0</v>
      </c>
      <c r="K17" s="181">
        <f t="shared" ca="1" si="24"/>
        <v>0</v>
      </c>
      <c r="L17" s="176">
        <f ca="1">IFERROR(__xludf.DUMMYFUNCTION("IMPORTRANGE(""https://docs.google.com/spreadsheets/d/1-uDff_7J0KD5mKrp0Vvzr7lt3OU09vwQwhkpOPPYv2Y/edit?usp=sharing"",""งบพรบ!BD17"")"),0)</f>
        <v>0</v>
      </c>
      <c r="M17" s="179">
        <f t="shared" ca="1" si="25"/>
        <v>0</v>
      </c>
      <c r="N17" s="179">
        <f t="shared" ca="1" si="26"/>
        <v>0</v>
      </c>
      <c r="O17" s="180">
        <f ca="1">IFERROR(__xludf.DUMMYFUNCTION("IMPORTRANGE(""https://docs.google.com/spreadsheets/d/1-uDff_7J0KD5mKrp0Vvzr7lt3OU09vwQwhkpOPPYv2Y/edit?usp=sharing"",""งบพรบ!BE17"")"),0)</f>
        <v>0</v>
      </c>
      <c r="P17" s="180">
        <f t="shared" ca="1" si="27"/>
        <v>0</v>
      </c>
      <c r="Q17" s="179">
        <f t="shared" ca="1" si="28"/>
        <v>0</v>
      </c>
      <c r="R17" s="88">
        <f ca="1">IFERROR(__xludf.DUMMYFUNCTION("IMPORTRANGE(""https://docs.google.com/spreadsheets/d/1W6MnUbDkMi6xHnHko_XkFDO9kkuL6Wqyc-6OCDFjW9I/edit?usp=sharing"",""ตาก!I108"")"),0)</f>
        <v>0</v>
      </c>
      <c r="S17" s="88">
        <f ca="1">IFERROR(__xludf.DUMMYFUNCTION("IMPORTRANGE(""https://docs.google.com/spreadsheets/d/1W6MnUbDkMi6xHnHko_XkFDO9kkuL6Wqyc-6OCDFjW9I/edit?usp=sharing"",""ตาก!J108"")"),0)</f>
        <v>0</v>
      </c>
      <c r="T17" s="177">
        <f t="shared" ca="1" si="30"/>
        <v>0</v>
      </c>
      <c r="U17" s="88">
        <f ca="1">IFERROR(__xludf.DUMMYFUNCTION("IMPORTRANGE(""https://docs.google.com/spreadsheets/d/1W6MnUbDkMi6xHnHko_XkFDO9kkuL6Wqyc-6OCDFjW9I/edit?usp=sharing"",""ตาก!I109"")"),0)</f>
        <v>0</v>
      </c>
      <c r="V17" s="88">
        <f ca="1">IFERROR(__xludf.DUMMYFUNCTION("IMPORTRANGE(""https://docs.google.com/spreadsheets/d/1W6MnUbDkMi6xHnHko_XkFDO9kkuL6Wqyc-6OCDFjW9I/edit?usp=sharing"",""ตาก!J109"")"),0)</f>
        <v>0</v>
      </c>
      <c r="W17" s="177">
        <f t="shared" ca="1" si="32"/>
        <v>0</v>
      </c>
      <c r="X17" s="88">
        <f ca="1">IFERROR(__xludf.DUMMYFUNCTION("IMPORTRANGE(""https://docs.google.com/spreadsheets/d/1W6MnUbDkMi6xHnHko_XkFDO9kkuL6Wqyc-6OCDFjW9I/edit?usp=sharing"",""ตาก!I117"")"),0)</f>
        <v>0</v>
      </c>
      <c r="Y17" s="88">
        <f ca="1">IFERROR(__xludf.DUMMYFUNCTION("IMPORTRANGE(""https://docs.google.com/spreadsheets/d/1W6MnUbDkMi6xHnHko_XkFDO9kkuL6Wqyc-6OCDFjW9I/edit?usp=sharing"",""ตาก!J117"")"),0)</f>
        <v>0</v>
      </c>
      <c r="Z17" s="177">
        <f t="shared" ca="1" si="34"/>
        <v>0</v>
      </c>
    </row>
    <row r="18" spans="1:26" ht="24" customHeight="1" x14ac:dyDescent="0.3">
      <c r="A18" s="172">
        <v>5</v>
      </c>
      <c r="B18" s="173" t="s">
        <v>40</v>
      </c>
      <c r="C18" s="174">
        <f t="shared" ca="1" si="21"/>
        <v>0</v>
      </c>
      <c r="D18" s="175">
        <f t="shared" ca="1" si="35"/>
        <v>0</v>
      </c>
      <c r="E18" s="176">
        <f ca="1">IFERROR(__xludf.DUMMYFUNCTION("IMPORTRANGE(""https://docs.google.com/spreadsheets/d/1-uDff_7J0KD5mKrp0Vvzr7lt3OU09vwQwhkpOPPYv2Y/edit?usp=sharing"",""งบพรบ!AX18"")"),0)</f>
        <v>0</v>
      </c>
      <c r="F18" s="176">
        <f ca="1">IFERROR(__xludf.DUMMYFUNCTION("IMPORTRANGE(""https://docs.google.com/spreadsheets/d/1-uDff_7J0KD5mKrp0Vvzr7lt3OU09vwQwhkpOPPYv2Y/edit?usp=sharing"",""งบพรบ!AY18"")"),0)</f>
        <v>0</v>
      </c>
      <c r="G18" s="176">
        <f ca="1">IFERROR(__xludf.DUMMYFUNCTION("IMPORTRANGE(""https://docs.google.com/spreadsheets/d/1-uDff_7J0KD5mKrp0Vvzr7lt3OU09vwQwhkpOPPYv2Y/edit?usp=sharing"",""งบพรบ!AZ18"")"),0)</f>
        <v>0</v>
      </c>
      <c r="H18" s="176">
        <f ca="1">IFERROR(__xludf.DUMMYFUNCTION("IMPORTRANGE(""https://docs.google.com/spreadsheets/d/1-uDff_7J0KD5mKrp0Vvzr7lt3OU09vwQwhkpOPPYv2Y/edit?usp=sharing"",""งบพรบ!BB18"")"),0)</f>
        <v>0</v>
      </c>
      <c r="I18" s="176">
        <f ca="1">IFERROR(__xludf.DUMMYFUNCTION("IMPORTRANGE(""https://docs.google.com/spreadsheets/d/1-uDff_7J0KD5mKrp0Vvzr7lt3OU09vwQwhkpOPPYv2Y/edit?usp=sharing"",""งบพรบ!BC18"")"),0)</f>
        <v>0</v>
      </c>
      <c r="J18" s="176">
        <f t="shared" ca="1" si="23"/>
        <v>0</v>
      </c>
      <c r="K18" s="181">
        <f t="shared" ca="1" si="24"/>
        <v>0</v>
      </c>
      <c r="L18" s="176">
        <f ca="1">IFERROR(__xludf.DUMMYFUNCTION("IMPORTRANGE(""https://docs.google.com/spreadsheets/d/1-uDff_7J0KD5mKrp0Vvzr7lt3OU09vwQwhkpOPPYv2Y/edit?usp=sharing"",""งบพรบ!BD18"")"),0)</f>
        <v>0</v>
      </c>
      <c r="M18" s="179">
        <f t="shared" ca="1" si="25"/>
        <v>0</v>
      </c>
      <c r="N18" s="179">
        <f t="shared" ca="1" si="26"/>
        <v>0</v>
      </c>
      <c r="O18" s="180">
        <f ca="1">IFERROR(__xludf.DUMMYFUNCTION("IMPORTRANGE(""https://docs.google.com/spreadsheets/d/1-uDff_7J0KD5mKrp0Vvzr7lt3OU09vwQwhkpOPPYv2Y/edit?usp=sharing"",""งบพรบ!BE18"")"),0)</f>
        <v>0</v>
      </c>
      <c r="P18" s="180">
        <f t="shared" ca="1" si="27"/>
        <v>0</v>
      </c>
      <c r="Q18" s="179">
        <f t="shared" ca="1" si="28"/>
        <v>0</v>
      </c>
      <c r="R18" s="88">
        <f ca="1">IFERROR(__xludf.DUMMYFUNCTION("IMPORTRANGE(""https://docs.google.com/spreadsheets/d/1IQAWArduLkta9LpYo4a_ULsyqdta6-6aDDiwpUnQT6c/edit?usp=sharing"",""นครสวรรค์!I108"")"),0)</f>
        <v>0</v>
      </c>
      <c r="S18" s="88">
        <f ca="1">IFERROR(__xludf.DUMMYFUNCTION("IMPORTRANGE(""https://docs.google.com/spreadsheets/d/1IQAWArduLkta9LpYo4a_ULsyqdta6-6aDDiwpUnQT6c/edit?usp=sharing"",""นครสวรรค์!J108"")"),0)</f>
        <v>0</v>
      </c>
      <c r="T18" s="177">
        <f t="shared" ca="1" si="30"/>
        <v>0</v>
      </c>
      <c r="U18" s="88">
        <f ca="1">IFERROR(__xludf.DUMMYFUNCTION("IMPORTRANGE(""https://docs.google.com/spreadsheets/d/1IQAWArduLkta9LpYo4a_ULsyqdta6-6aDDiwpUnQT6c/edit?usp=sharing"",""นครสวรรค์!I109"")"),0)</f>
        <v>0</v>
      </c>
      <c r="V18" s="88">
        <f ca="1">IFERROR(__xludf.DUMMYFUNCTION("IMPORTRANGE(""https://docs.google.com/spreadsheets/d/1IQAWArduLkta9LpYo4a_ULsyqdta6-6aDDiwpUnQT6c/edit?usp=sharing"",""นครสวรรค์!J109"")"),0)</f>
        <v>0</v>
      </c>
      <c r="W18" s="177">
        <f t="shared" ca="1" si="32"/>
        <v>0</v>
      </c>
      <c r="X18" s="88">
        <f ca="1">IFERROR(__xludf.DUMMYFUNCTION("IMPORTRANGE(""https://docs.google.com/spreadsheets/d/1IQAWArduLkta9LpYo4a_ULsyqdta6-6aDDiwpUnQT6c/edit?usp=sharing"",""นครสวรรค์!I117"")"),0)</f>
        <v>0</v>
      </c>
      <c r="Y18" s="88">
        <f ca="1">IFERROR(__xludf.DUMMYFUNCTION("IMPORTRANGE(""https://docs.google.com/spreadsheets/d/1IQAWArduLkta9LpYo4a_ULsyqdta6-6aDDiwpUnQT6c/edit?usp=sharing"",""นครสวรรค์!J117"")"),0)</f>
        <v>0</v>
      </c>
      <c r="Z18" s="177">
        <f t="shared" ca="1" si="34"/>
        <v>0</v>
      </c>
    </row>
    <row r="19" spans="1:26" ht="24" customHeight="1" x14ac:dyDescent="0.3">
      <c r="A19" s="172">
        <v>6</v>
      </c>
      <c r="B19" s="173" t="s">
        <v>41</v>
      </c>
      <c r="C19" s="174">
        <f t="shared" ca="1" si="21"/>
        <v>0</v>
      </c>
      <c r="D19" s="175">
        <f t="shared" ca="1" si="35"/>
        <v>0</v>
      </c>
      <c r="E19" s="176">
        <f ca="1">IFERROR(__xludf.DUMMYFUNCTION("IMPORTRANGE(""https://docs.google.com/spreadsheets/d/1-uDff_7J0KD5mKrp0Vvzr7lt3OU09vwQwhkpOPPYv2Y/edit?usp=sharing"",""งบพรบ!AX19"")"),0)</f>
        <v>0</v>
      </c>
      <c r="F19" s="176">
        <f ca="1">IFERROR(__xludf.DUMMYFUNCTION("IMPORTRANGE(""https://docs.google.com/spreadsheets/d/1-uDff_7J0KD5mKrp0Vvzr7lt3OU09vwQwhkpOPPYv2Y/edit?usp=sharing"",""งบพรบ!AY19"")"),0)</f>
        <v>0</v>
      </c>
      <c r="G19" s="176">
        <f ca="1">IFERROR(__xludf.DUMMYFUNCTION("IMPORTRANGE(""https://docs.google.com/spreadsheets/d/1-uDff_7J0KD5mKrp0Vvzr7lt3OU09vwQwhkpOPPYv2Y/edit?usp=sharing"",""งบพรบ!AZ19"")"),0)</f>
        <v>0</v>
      </c>
      <c r="H19" s="176">
        <f ca="1">IFERROR(__xludf.DUMMYFUNCTION("IMPORTRANGE(""https://docs.google.com/spreadsheets/d/1-uDff_7J0KD5mKrp0Vvzr7lt3OU09vwQwhkpOPPYv2Y/edit?usp=sharing"",""งบพรบ!BB19"")"),0)</f>
        <v>0</v>
      </c>
      <c r="I19" s="176">
        <f ca="1">IFERROR(__xludf.DUMMYFUNCTION("IMPORTRANGE(""https://docs.google.com/spreadsheets/d/1-uDff_7J0KD5mKrp0Vvzr7lt3OU09vwQwhkpOPPYv2Y/edit?usp=sharing"",""งบพรบ!BC19"")"),0)</f>
        <v>0</v>
      </c>
      <c r="J19" s="176">
        <f t="shared" ca="1" si="23"/>
        <v>0</v>
      </c>
      <c r="K19" s="181">
        <f t="shared" ca="1" si="24"/>
        <v>0</v>
      </c>
      <c r="L19" s="176">
        <f ca="1">IFERROR(__xludf.DUMMYFUNCTION("IMPORTRANGE(""https://docs.google.com/spreadsheets/d/1-uDff_7J0KD5mKrp0Vvzr7lt3OU09vwQwhkpOPPYv2Y/edit?usp=sharing"",""งบพรบ!BD19"")"),0)</f>
        <v>0</v>
      </c>
      <c r="M19" s="179">
        <f t="shared" ca="1" si="25"/>
        <v>0</v>
      </c>
      <c r="N19" s="179">
        <f t="shared" ca="1" si="26"/>
        <v>0</v>
      </c>
      <c r="O19" s="180">
        <f ca="1">IFERROR(__xludf.DUMMYFUNCTION("IMPORTRANGE(""https://docs.google.com/spreadsheets/d/1-uDff_7J0KD5mKrp0Vvzr7lt3OU09vwQwhkpOPPYv2Y/edit?usp=sharing"",""งบพรบ!BE19"")"),0)</f>
        <v>0</v>
      </c>
      <c r="P19" s="180">
        <f t="shared" ca="1" si="27"/>
        <v>0</v>
      </c>
      <c r="Q19" s="179">
        <f t="shared" ca="1" si="28"/>
        <v>0</v>
      </c>
      <c r="R19" s="88">
        <f ca="1">IFERROR(__xludf.DUMMYFUNCTION("IMPORTRANGE(""https://docs.google.com/spreadsheets/d/10s13Sk5xrltsiR-Zkbmk5DwIaDIKO8XlbJAfqyT7Gvg/edit?usp=sharing"",""น่าน!I108"")"),0)</f>
        <v>0</v>
      </c>
      <c r="S19" s="88">
        <f ca="1">IFERROR(__xludf.DUMMYFUNCTION("IMPORTRANGE(""https://docs.google.com/spreadsheets/d/10s13Sk5xrltsiR-Zkbmk5DwIaDIKO8XlbJAfqyT7Gvg/edit?usp=sharing"",""น่าน!J108"")"),0)</f>
        <v>0</v>
      </c>
      <c r="T19" s="177">
        <f t="shared" ca="1" si="30"/>
        <v>0</v>
      </c>
      <c r="U19" s="88">
        <f ca="1">IFERROR(__xludf.DUMMYFUNCTION("IMPORTRANGE(""https://docs.google.com/spreadsheets/d/10s13Sk5xrltsiR-Zkbmk5DwIaDIKO8XlbJAfqyT7Gvg/edit?usp=sharing"",""น่าน!I109"")"),0)</f>
        <v>0</v>
      </c>
      <c r="V19" s="88">
        <f ca="1">IFERROR(__xludf.DUMMYFUNCTION("IMPORTRANGE(""https://docs.google.com/spreadsheets/d/10s13Sk5xrltsiR-Zkbmk5DwIaDIKO8XlbJAfqyT7Gvg/edit?usp=sharing"",""น่าน!J109"")"),0)</f>
        <v>0</v>
      </c>
      <c r="W19" s="177">
        <f t="shared" ca="1" si="32"/>
        <v>0</v>
      </c>
      <c r="X19" s="88">
        <f ca="1">IFERROR(__xludf.DUMMYFUNCTION("IMPORTRANGE(""https://docs.google.com/spreadsheets/d/10s13Sk5xrltsiR-Zkbmk5DwIaDIKO8XlbJAfqyT7Gvg/edit?usp=sharing"",""น่าน!I117"")"),0)</f>
        <v>0</v>
      </c>
      <c r="Y19" s="88">
        <f ca="1">IFERROR(__xludf.DUMMYFUNCTION("IMPORTRANGE(""https://docs.google.com/spreadsheets/d/10s13Sk5xrltsiR-Zkbmk5DwIaDIKO8XlbJAfqyT7Gvg/edit?usp=sharing"",""น่าน!J117"")"),0)</f>
        <v>0</v>
      </c>
      <c r="Z19" s="177">
        <f t="shared" ca="1" si="34"/>
        <v>0</v>
      </c>
    </row>
    <row r="20" spans="1:26" ht="24" customHeight="1" x14ac:dyDescent="0.3">
      <c r="A20" s="172">
        <v>7</v>
      </c>
      <c r="B20" s="173" t="s">
        <v>42</v>
      </c>
      <c r="C20" s="174">
        <f t="shared" ca="1" si="21"/>
        <v>0</v>
      </c>
      <c r="D20" s="175">
        <f t="shared" ca="1" si="35"/>
        <v>0</v>
      </c>
      <c r="E20" s="176">
        <f ca="1">IFERROR(__xludf.DUMMYFUNCTION("IMPORTRANGE(""https://docs.google.com/spreadsheets/d/1-uDff_7J0KD5mKrp0Vvzr7lt3OU09vwQwhkpOPPYv2Y/edit?usp=sharing"",""งบพรบ!AX20"")"),0)</f>
        <v>0</v>
      </c>
      <c r="F20" s="176">
        <f ca="1">IFERROR(__xludf.DUMMYFUNCTION("IMPORTRANGE(""https://docs.google.com/spreadsheets/d/1-uDff_7J0KD5mKrp0Vvzr7lt3OU09vwQwhkpOPPYv2Y/edit?usp=sharing"",""งบพรบ!AY20"")"),0)</f>
        <v>0</v>
      </c>
      <c r="G20" s="176">
        <f ca="1">IFERROR(__xludf.DUMMYFUNCTION("IMPORTRANGE(""https://docs.google.com/spreadsheets/d/1-uDff_7J0KD5mKrp0Vvzr7lt3OU09vwQwhkpOPPYv2Y/edit?usp=sharing"",""งบพรบ!AZ20"")"),0)</f>
        <v>0</v>
      </c>
      <c r="H20" s="176">
        <f ca="1">IFERROR(__xludf.DUMMYFUNCTION("IMPORTRANGE(""https://docs.google.com/spreadsheets/d/1-uDff_7J0KD5mKrp0Vvzr7lt3OU09vwQwhkpOPPYv2Y/edit?usp=sharing"",""งบพรบ!BB20"")"),0)</f>
        <v>0</v>
      </c>
      <c r="I20" s="176">
        <f ca="1">IFERROR(__xludf.DUMMYFUNCTION("IMPORTRANGE(""https://docs.google.com/spreadsheets/d/1-uDff_7J0KD5mKrp0Vvzr7lt3OU09vwQwhkpOPPYv2Y/edit?usp=sharing"",""งบพรบ!BC20"")"),0)</f>
        <v>0</v>
      </c>
      <c r="J20" s="176">
        <f t="shared" ca="1" si="23"/>
        <v>0</v>
      </c>
      <c r="K20" s="181">
        <f t="shared" ca="1" si="24"/>
        <v>0</v>
      </c>
      <c r="L20" s="176">
        <f ca="1">IFERROR(__xludf.DUMMYFUNCTION("IMPORTRANGE(""https://docs.google.com/spreadsheets/d/1-uDff_7J0KD5mKrp0Vvzr7lt3OU09vwQwhkpOPPYv2Y/edit?usp=sharing"",""งบพรบ!BD20"")"),0)</f>
        <v>0</v>
      </c>
      <c r="M20" s="179">
        <f t="shared" ca="1" si="25"/>
        <v>0</v>
      </c>
      <c r="N20" s="179">
        <f t="shared" ca="1" si="26"/>
        <v>0</v>
      </c>
      <c r="O20" s="180">
        <f ca="1">IFERROR(__xludf.DUMMYFUNCTION("IMPORTRANGE(""https://docs.google.com/spreadsheets/d/1-uDff_7J0KD5mKrp0Vvzr7lt3OU09vwQwhkpOPPYv2Y/edit?usp=sharing"",""งบพรบ!BE20"")"),0)</f>
        <v>0</v>
      </c>
      <c r="P20" s="180">
        <f t="shared" ca="1" si="27"/>
        <v>0</v>
      </c>
      <c r="Q20" s="179">
        <f t="shared" ca="1" si="28"/>
        <v>0</v>
      </c>
      <c r="R20" s="88">
        <f ca="1">IFERROR(__xludf.DUMMYFUNCTION("IMPORTRANGE(""https://docs.google.com/spreadsheets/d/1uu4nAn4Dbi1XREnLKKotUANlKXa7yCgRcgq8HEzQYW8/edit?usp=sharing"",""พะเยา!I108"")"),0)</f>
        <v>0</v>
      </c>
      <c r="S20" s="88">
        <f ca="1">IFERROR(__xludf.DUMMYFUNCTION("IMPORTRANGE(""https://docs.google.com/spreadsheets/d/1uu4nAn4Dbi1XREnLKKotUANlKXa7yCgRcgq8HEzQYW8/edit?usp=sharing"",""พะเยา!J108"")"),0)</f>
        <v>0</v>
      </c>
      <c r="T20" s="177">
        <f t="shared" ca="1" si="30"/>
        <v>0</v>
      </c>
      <c r="U20" s="88">
        <f ca="1">IFERROR(__xludf.DUMMYFUNCTION("IMPORTRANGE(""https://docs.google.com/spreadsheets/d/1uu4nAn4Dbi1XREnLKKotUANlKXa7yCgRcgq8HEzQYW8/edit?usp=sharing"",""พะเยา!I109"")"),0)</f>
        <v>0</v>
      </c>
      <c r="V20" s="88">
        <f ca="1">IFERROR(__xludf.DUMMYFUNCTION("IMPORTRANGE(""https://docs.google.com/spreadsheets/d/1uu4nAn4Dbi1XREnLKKotUANlKXa7yCgRcgq8HEzQYW8/edit?usp=sharing"",""พะเยา!J109"")"),0)</f>
        <v>0</v>
      </c>
      <c r="W20" s="177">
        <f t="shared" ca="1" si="32"/>
        <v>0</v>
      </c>
      <c r="X20" s="88">
        <f ca="1">IFERROR(__xludf.DUMMYFUNCTION("IMPORTRANGE(""https://docs.google.com/spreadsheets/d/1uu4nAn4Dbi1XREnLKKotUANlKXa7yCgRcgq8HEzQYW8/edit?usp=sharing"",""พะเยา!I117"")"),0)</f>
        <v>0</v>
      </c>
      <c r="Y20" s="88">
        <f ca="1">IFERROR(__xludf.DUMMYFUNCTION("IMPORTRANGE(""https://docs.google.com/spreadsheets/d/1uu4nAn4Dbi1XREnLKKotUANlKXa7yCgRcgq8HEzQYW8/edit?usp=sharing"",""พะเยา!J117"")"),0)</f>
        <v>0</v>
      </c>
      <c r="Z20" s="177">
        <f t="shared" ca="1" si="34"/>
        <v>0</v>
      </c>
    </row>
    <row r="21" spans="1:26" ht="24" customHeight="1" x14ac:dyDescent="0.3">
      <c r="A21" s="172">
        <v>8</v>
      </c>
      <c r="B21" s="173" t="s">
        <v>43</v>
      </c>
      <c r="C21" s="174">
        <f t="shared" ca="1" si="21"/>
        <v>0</v>
      </c>
      <c r="D21" s="175">
        <f t="shared" ca="1" si="35"/>
        <v>0</v>
      </c>
      <c r="E21" s="176">
        <f ca="1">IFERROR(__xludf.DUMMYFUNCTION("IMPORTRANGE(""https://docs.google.com/spreadsheets/d/1-uDff_7J0KD5mKrp0Vvzr7lt3OU09vwQwhkpOPPYv2Y/edit?usp=sharing"",""งบพรบ!AX21"")"),0)</f>
        <v>0</v>
      </c>
      <c r="F21" s="176">
        <f ca="1">IFERROR(__xludf.DUMMYFUNCTION("IMPORTRANGE(""https://docs.google.com/spreadsheets/d/1-uDff_7J0KD5mKrp0Vvzr7lt3OU09vwQwhkpOPPYv2Y/edit?usp=sharing"",""งบพรบ!AY21"")"),0)</f>
        <v>0</v>
      </c>
      <c r="G21" s="176">
        <f ca="1">IFERROR(__xludf.DUMMYFUNCTION("IMPORTRANGE(""https://docs.google.com/spreadsheets/d/1-uDff_7J0KD5mKrp0Vvzr7lt3OU09vwQwhkpOPPYv2Y/edit?usp=sharing"",""งบพรบ!AZ21"")"),0)</f>
        <v>0</v>
      </c>
      <c r="H21" s="176">
        <f ca="1">IFERROR(__xludf.DUMMYFUNCTION("IMPORTRANGE(""https://docs.google.com/spreadsheets/d/1-uDff_7J0KD5mKrp0Vvzr7lt3OU09vwQwhkpOPPYv2Y/edit?usp=sharing"",""งบพรบ!BB21"")"),0)</f>
        <v>0</v>
      </c>
      <c r="I21" s="176">
        <f ca="1">IFERROR(__xludf.DUMMYFUNCTION("IMPORTRANGE(""https://docs.google.com/spreadsheets/d/1-uDff_7J0KD5mKrp0Vvzr7lt3OU09vwQwhkpOPPYv2Y/edit?usp=sharing"",""งบพรบ!BC21"")"),0)</f>
        <v>0</v>
      </c>
      <c r="J21" s="176">
        <f t="shared" ca="1" si="23"/>
        <v>0</v>
      </c>
      <c r="K21" s="181">
        <f t="shared" ca="1" si="24"/>
        <v>0</v>
      </c>
      <c r="L21" s="176">
        <f ca="1">IFERROR(__xludf.DUMMYFUNCTION("IMPORTRANGE(""https://docs.google.com/spreadsheets/d/1-uDff_7J0KD5mKrp0Vvzr7lt3OU09vwQwhkpOPPYv2Y/edit?usp=sharing"",""งบพรบ!BD21"")"),0)</f>
        <v>0</v>
      </c>
      <c r="M21" s="179">
        <f t="shared" ca="1" si="25"/>
        <v>0</v>
      </c>
      <c r="N21" s="179">
        <f t="shared" ca="1" si="26"/>
        <v>0</v>
      </c>
      <c r="O21" s="180">
        <f ca="1">IFERROR(__xludf.DUMMYFUNCTION("IMPORTRANGE(""https://docs.google.com/spreadsheets/d/1-uDff_7J0KD5mKrp0Vvzr7lt3OU09vwQwhkpOPPYv2Y/edit?usp=sharing"",""งบพรบ!BE21"")"),0)</f>
        <v>0</v>
      </c>
      <c r="P21" s="180">
        <f t="shared" ca="1" si="27"/>
        <v>0</v>
      </c>
      <c r="Q21" s="179">
        <f t="shared" ca="1" si="28"/>
        <v>0</v>
      </c>
      <c r="R21" s="88">
        <f ca="1">IFERROR(__xludf.DUMMYFUNCTION("IMPORTRANGE(""https://docs.google.com/spreadsheets/d/1xfJKIQxVOaPDIICqsflNlLu3JacTDk1FP9RH4phX7mI/edit?usp=sharing"",""พิจิตร!I108"")"),0)</f>
        <v>0</v>
      </c>
      <c r="S21" s="88">
        <f ca="1">IFERROR(__xludf.DUMMYFUNCTION("IMPORTRANGE(""https://docs.google.com/spreadsheets/d/1xfJKIQxVOaPDIICqsflNlLu3JacTDk1FP9RH4phX7mI/edit?usp=sharing"",""พิจิตร!J108"")"),0)</f>
        <v>0</v>
      </c>
      <c r="T21" s="177">
        <f t="shared" ca="1" si="30"/>
        <v>0</v>
      </c>
      <c r="U21" s="88">
        <f ca="1">IFERROR(__xludf.DUMMYFUNCTION("IMPORTRANGE(""https://docs.google.com/spreadsheets/d/1xfJKIQxVOaPDIICqsflNlLu3JacTDk1FP9RH4phX7mI/edit?usp=sharing"",""พิจิตร!I109"")"),0)</f>
        <v>0</v>
      </c>
      <c r="V21" s="88">
        <f ca="1">IFERROR(__xludf.DUMMYFUNCTION("IMPORTRANGE(""https://docs.google.com/spreadsheets/d/1xfJKIQxVOaPDIICqsflNlLu3JacTDk1FP9RH4phX7mI/edit?usp=sharing"",""พิจิตร!J109"")"),0)</f>
        <v>0</v>
      </c>
      <c r="W21" s="177">
        <f t="shared" ca="1" si="32"/>
        <v>0</v>
      </c>
      <c r="X21" s="88">
        <f ca="1">IFERROR(__xludf.DUMMYFUNCTION("IMPORTRANGE(""https://docs.google.com/spreadsheets/d/1xfJKIQxVOaPDIICqsflNlLu3JacTDk1FP9RH4phX7mI/edit?usp=sharing"",""พิจิตร!I117"")"),0)</f>
        <v>0</v>
      </c>
      <c r="Y21" s="88">
        <f ca="1">IFERROR(__xludf.DUMMYFUNCTION("IMPORTRANGE(""https://docs.google.com/spreadsheets/d/1xfJKIQxVOaPDIICqsflNlLu3JacTDk1FP9RH4phX7mI/edit?usp=sharing"",""พิจิตร!J117"")"),0)</f>
        <v>0</v>
      </c>
      <c r="Z21" s="177">
        <f t="shared" ca="1" si="34"/>
        <v>0</v>
      </c>
    </row>
    <row r="22" spans="1:26" ht="24" customHeight="1" x14ac:dyDescent="0.3">
      <c r="A22" s="172">
        <v>9</v>
      </c>
      <c r="B22" s="173" t="s">
        <v>44</v>
      </c>
      <c r="C22" s="174">
        <f t="shared" ca="1" si="21"/>
        <v>0</v>
      </c>
      <c r="D22" s="175">
        <f t="shared" ca="1" si="35"/>
        <v>0</v>
      </c>
      <c r="E22" s="176">
        <f ca="1">IFERROR(__xludf.DUMMYFUNCTION("IMPORTRANGE(""https://docs.google.com/spreadsheets/d/1-uDff_7J0KD5mKrp0Vvzr7lt3OU09vwQwhkpOPPYv2Y/edit?usp=sharing"",""งบพรบ!AX22"")"),0)</f>
        <v>0</v>
      </c>
      <c r="F22" s="176">
        <f ca="1">IFERROR(__xludf.DUMMYFUNCTION("IMPORTRANGE(""https://docs.google.com/spreadsheets/d/1-uDff_7J0KD5mKrp0Vvzr7lt3OU09vwQwhkpOPPYv2Y/edit?usp=sharing"",""งบพรบ!AY22"")"),0)</f>
        <v>0</v>
      </c>
      <c r="G22" s="176">
        <f ca="1">IFERROR(__xludf.DUMMYFUNCTION("IMPORTRANGE(""https://docs.google.com/spreadsheets/d/1-uDff_7J0KD5mKrp0Vvzr7lt3OU09vwQwhkpOPPYv2Y/edit?usp=sharing"",""งบพรบ!AZ22"")"),0)</f>
        <v>0</v>
      </c>
      <c r="H22" s="176">
        <f ca="1">IFERROR(__xludf.DUMMYFUNCTION("IMPORTRANGE(""https://docs.google.com/spreadsheets/d/1-uDff_7J0KD5mKrp0Vvzr7lt3OU09vwQwhkpOPPYv2Y/edit?usp=sharing"",""งบพรบ!BB22"")"),0)</f>
        <v>0</v>
      </c>
      <c r="I22" s="176">
        <f ca="1">IFERROR(__xludf.DUMMYFUNCTION("IMPORTRANGE(""https://docs.google.com/spreadsheets/d/1-uDff_7J0KD5mKrp0Vvzr7lt3OU09vwQwhkpOPPYv2Y/edit?usp=sharing"",""งบพรบ!BC22"")"),0)</f>
        <v>0</v>
      </c>
      <c r="J22" s="176">
        <f t="shared" ca="1" si="23"/>
        <v>0</v>
      </c>
      <c r="K22" s="181">
        <f t="shared" ca="1" si="24"/>
        <v>0</v>
      </c>
      <c r="L22" s="176">
        <f ca="1">IFERROR(__xludf.DUMMYFUNCTION("IMPORTRANGE(""https://docs.google.com/spreadsheets/d/1-uDff_7J0KD5mKrp0Vvzr7lt3OU09vwQwhkpOPPYv2Y/edit?usp=sharing"",""งบพรบ!BD22"")"),0)</f>
        <v>0</v>
      </c>
      <c r="M22" s="179">
        <f t="shared" ca="1" si="25"/>
        <v>0</v>
      </c>
      <c r="N22" s="179">
        <f t="shared" ca="1" si="26"/>
        <v>0</v>
      </c>
      <c r="O22" s="180">
        <f ca="1">IFERROR(__xludf.DUMMYFUNCTION("IMPORTRANGE(""https://docs.google.com/spreadsheets/d/1-uDff_7J0KD5mKrp0Vvzr7lt3OU09vwQwhkpOPPYv2Y/edit?usp=sharing"",""งบพรบ!BE22"")"),0)</f>
        <v>0</v>
      </c>
      <c r="P22" s="180">
        <f t="shared" ca="1" si="27"/>
        <v>0</v>
      </c>
      <c r="Q22" s="179">
        <f t="shared" ca="1" si="28"/>
        <v>0</v>
      </c>
      <c r="R22" s="88">
        <f ca="1">IFERROR(__xludf.DUMMYFUNCTION("IMPORTRANGE(""https://docs.google.com/spreadsheets/d/1JtRfZkJMHtEhI5RdRHxYUG4FIZHqKDpNyIuN7A1Q0_k/edit?usp=sharing"",""พิษณุโลก!I108"")"),0)</f>
        <v>0</v>
      </c>
      <c r="S22" s="88">
        <f ca="1">IFERROR(__xludf.DUMMYFUNCTION("IMPORTRANGE(""https://docs.google.com/spreadsheets/d/1JtRfZkJMHtEhI5RdRHxYUG4FIZHqKDpNyIuN7A1Q0_k/edit?usp=sharing"",""พิษณุโลก!J108"")"),0)</f>
        <v>0</v>
      </c>
      <c r="T22" s="177">
        <f t="shared" ca="1" si="30"/>
        <v>0</v>
      </c>
      <c r="U22" s="88">
        <f ca="1">IFERROR(__xludf.DUMMYFUNCTION("IMPORTRANGE(""https://docs.google.com/spreadsheets/d/1JtRfZkJMHtEhI5RdRHxYUG4FIZHqKDpNyIuN7A1Q0_k/edit?usp=sharing"",""พิษณุโลก!I109"")"),0)</f>
        <v>0</v>
      </c>
      <c r="V22" s="88">
        <f ca="1">IFERROR(__xludf.DUMMYFUNCTION("IMPORTRANGE(""https://docs.google.com/spreadsheets/d/1JtRfZkJMHtEhI5RdRHxYUG4FIZHqKDpNyIuN7A1Q0_k/edit?usp=sharing"",""พิษณุโลก!J109"")"),0)</f>
        <v>0</v>
      </c>
      <c r="W22" s="177">
        <f t="shared" ca="1" si="32"/>
        <v>0</v>
      </c>
      <c r="X22" s="88">
        <f ca="1">IFERROR(__xludf.DUMMYFUNCTION("IMPORTRANGE(""https://docs.google.com/spreadsheets/d/1JtRfZkJMHtEhI5RdRHxYUG4FIZHqKDpNyIuN7A1Q0_k/edit?usp=sharing"",""พิษณุโลก!I117"")"),0)</f>
        <v>0</v>
      </c>
      <c r="Y22" s="88">
        <f ca="1">IFERROR(__xludf.DUMMYFUNCTION("IMPORTRANGE(""https://docs.google.com/spreadsheets/d/1JtRfZkJMHtEhI5RdRHxYUG4FIZHqKDpNyIuN7A1Q0_k/edit?usp=sharing"",""พิษณุโลก!J117"")"),0)</f>
        <v>0</v>
      </c>
      <c r="Z22" s="177">
        <f t="shared" ca="1" si="34"/>
        <v>0</v>
      </c>
    </row>
    <row r="23" spans="1:26" ht="24" customHeight="1" x14ac:dyDescent="0.3">
      <c r="A23" s="172">
        <v>10</v>
      </c>
      <c r="B23" s="173" t="s">
        <v>45</v>
      </c>
      <c r="C23" s="174">
        <f t="shared" ca="1" si="21"/>
        <v>0</v>
      </c>
      <c r="D23" s="175">
        <f t="shared" ca="1" si="35"/>
        <v>0</v>
      </c>
      <c r="E23" s="176">
        <f ca="1">IFERROR(__xludf.DUMMYFUNCTION("IMPORTRANGE(""https://docs.google.com/spreadsheets/d/1-uDff_7J0KD5mKrp0Vvzr7lt3OU09vwQwhkpOPPYv2Y/edit?usp=sharing"",""งบพรบ!AX23"")"),0)</f>
        <v>0</v>
      </c>
      <c r="F23" s="176">
        <f ca="1">IFERROR(__xludf.DUMMYFUNCTION("IMPORTRANGE(""https://docs.google.com/spreadsheets/d/1-uDff_7J0KD5mKrp0Vvzr7lt3OU09vwQwhkpOPPYv2Y/edit?usp=sharing"",""งบพรบ!AY23"")"),0)</f>
        <v>0</v>
      </c>
      <c r="G23" s="176">
        <f ca="1">IFERROR(__xludf.DUMMYFUNCTION("IMPORTRANGE(""https://docs.google.com/spreadsheets/d/1-uDff_7J0KD5mKrp0Vvzr7lt3OU09vwQwhkpOPPYv2Y/edit?usp=sharing"",""งบพรบ!AZ23"")"),0)</f>
        <v>0</v>
      </c>
      <c r="H23" s="176">
        <f ca="1">IFERROR(__xludf.DUMMYFUNCTION("IMPORTRANGE(""https://docs.google.com/spreadsheets/d/1-uDff_7J0KD5mKrp0Vvzr7lt3OU09vwQwhkpOPPYv2Y/edit?usp=sharing"",""งบพรบ!BB23"")"),0)</f>
        <v>0</v>
      </c>
      <c r="I23" s="176">
        <f ca="1">IFERROR(__xludf.DUMMYFUNCTION("IMPORTRANGE(""https://docs.google.com/spreadsheets/d/1-uDff_7J0KD5mKrp0Vvzr7lt3OU09vwQwhkpOPPYv2Y/edit?usp=sharing"",""งบพรบ!BC23"")"),0)</f>
        <v>0</v>
      </c>
      <c r="J23" s="176">
        <f t="shared" ca="1" si="23"/>
        <v>0</v>
      </c>
      <c r="K23" s="181">
        <f t="shared" ca="1" si="24"/>
        <v>0</v>
      </c>
      <c r="L23" s="176">
        <f ca="1">IFERROR(__xludf.DUMMYFUNCTION("IMPORTRANGE(""https://docs.google.com/spreadsheets/d/1-uDff_7J0KD5mKrp0Vvzr7lt3OU09vwQwhkpOPPYv2Y/edit?usp=sharing"",""งบพรบ!BD23"")"),0)</f>
        <v>0</v>
      </c>
      <c r="M23" s="179">
        <f t="shared" ca="1" si="25"/>
        <v>0</v>
      </c>
      <c r="N23" s="179">
        <f t="shared" ca="1" si="26"/>
        <v>0</v>
      </c>
      <c r="O23" s="180">
        <f ca="1">IFERROR(__xludf.DUMMYFUNCTION("IMPORTRANGE(""https://docs.google.com/spreadsheets/d/1-uDff_7J0KD5mKrp0Vvzr7lt3OU09vwQwhkpOPPYv2Y/edit?usp=sharing"",""งบพรบ!BE23"")"),0)</f>
        <v>0</v>
      </c>
      <c r="P23" s="180">
        <f t="shared" ca="1" si="27"/>
        <v>0</v>
      </c>
      <c r="Q23" s="179">
        <f t="shared" ca="1" si="28"/>
        <v>0</v>
      </c>
      <c r="R23" s="88">
        <f ca="1">IFERROR(__xludf.DUMMYFUNCTION("IMPORTRANGE(""https://docs.google.com/spreadsheets/d/1xlcVZWUNn6SuWm0c307h32SiGkd9BaeQWlAktfD3KO8/edit?usp=sharing"",""เพชรบูรณ์!I108"")"),0)</f>
        <v>0</v>
      </c>
      <c r="S23" s="88">
        <f ca="1">IFERROR(__xludf.DUMMYFUNCTION("IMPORTRANGE(""https://docs.google.com/spreadsheets/d/1xlcVZWUNn6SuWm0c307h32SiGkd9BaeQWlAktfD3KO8/edit?usp=sharing"",""เพชรบูรณ์!J108"")"),0)</f>
        <v>0</v>
      </c>
      <c r="T23" s="177">
        <f t="shared" ca="1" si="30"/>
        <v>0</v>
      </c>
      <c r="U23" s="88">
        <f ca="1">IFERROR(__xludf.DUMMYFUNCTION("IMPORTRANGE(""https://docs.google.com/spreadsheets/d/1xlcVZWUNn6SuWm0c307h32SiGkd9BaeQWlAktfD3KO8/edit?usp=sharing"",""เพชรบูรณ์!I109"")"),0)</f>
        <v>0</v>
      </c>
      <c r="V23" s="88">
        <f ca="1">IFERROR(__xludf.DUMMYFUNCTION("IMPORTRANGE(""https://docs.google.com/spreadsheets/d/1xlcVZWUNn6SuWm0c307h32SiGkd9BaeQWlAktfD3KO8/edit?usp=sharing"",""เพชรบูรณ์!J109"")"),0)</f>
        <v>0</v>
      </c>
      <c r="W23" s="177">
        <f t="shared" ca="1" si="32"/>
        <v>0</v>
      </c>
      <c r="X23" s="88">
        <f ca="1">IFERROR(__xludf.DUMMYFUNCTION("IMPORTRANGE(""https://docs.google.com/spreadsheets/d/1xlcVZWUNn6SuWm0c307h32SiGkd9BaeQWlAktfD3KO8/edit?usp=sharing"",""เพชรบูรณ์!I117"")"),0)</f>
        <v>0</v>
      </c>
      <c r="Y23" s="88">
        <f ca="1">IFERROR(__xludf.DUMMYFUNCTION("IMPORTRANGE(""https://docs.google.com/spreadsheets/d/1xlcVZWUNn6SuWm0c307h32SiGkd9BaeQWlAktfD3KO8/edit?usp=sharing"",""เพชรบูรณ์!J117"")"),0)</f>
        <v>0</v>
      </c>
      <c r="Z23" s="177">
        <f t="shared" ca="1" si="34"/>
        <v>0</v>
      </c>
    </row>
    <row r="24" spans="1:26" ht="24" customHeight="1" x14ac:dyDescent="0.3">
      <c r="A24" s="172">
        <v>11</v>
      </c>
      <c r="B24" s="173" t="s">
        <v>46</v>
      </c>
      <c r="C24" s="174">
        <f t="shared" ca="1" si="21"/>
        <v>0</v>
      </c>
      <c r="D24" s="175">
        <f t="shared" ca="1" si="35"/>
        <v>0</v>
      </c>
      <c r="E24" s="176">
        <f ca="1">IFERROR(__xludf.DUMMYFUNCTION("IMPORTRANGE(""https://docs.google.com/spreadsheets/d/1-uDff_7J0KD5mKrp0Vvzr7lt3OU09vwQwhkpOPPYv2Y/edit?usp=sharing"",""งบพรบ!AX24"")"),0)</f>
        <v>0</v>
      </c>
      <c r="F24" s="176">
        <f ca="1">IFERROR(__xludf.DUMMYFUNCTION("IMPORTRANGE(""https://docs.google.com/spreadsheets/d/1-uDff_7J0KD5mKrp0Vvzr7lt3OU09vwQwhkpOPPYv2Y/edit?usp=sharing"",""งบพรบ!AY24"")"),0)</f>
        <v>0</v>
      </c>
      <c r="G24" s="176">
        <f ca="1">IFERROR(__xludf.DUMMYFUNCTION("IMPORTRANGE(""https://docs.google.com/spreadsheets/d/1-uDff_7J0KD5mKrp0Vvzr7lt3OU09vwQwhkpOPPYv2Y/edit?usp=sharing"",""งบพรบ!AZ24"")"),0)</f>
        <v>0</v>
      </c>
      <c r="H24" s="176">
        <f ca="1">IFERROR(__xludf.DUMMYFUNCTION("IMPORTRANGE(""https://docs.google.com/spreadsheets/d/1-uDff_7J0KD5mKrp0Vvzr7lt3OU09vwQwhkpOPPYv2Y/edit?usp=sharing"",""งบพรบ!BB24"")"),0)</f>
        <v>0</v>
      </c>
      <c r="I24" s="176">
        <f ca="1">IFERROR(__xludf.DUMMYFUNCTION("IMPORTRANGE(""https://docs.google.com/spreadsheets/d/1-uDff_7J0KD5mKrp0Vvzr7lt3OU09vwQwhkpOPPYv2Y/edit?usp=sharing"",""งบพรบ!BC24"")"),0)</f>
        <v>0</v>
      </c>
      <c r="J24" s="176">
        <f t="shared" ca="1" si="23"/>
        <v>0</v>
      </c>
      <c r="K24" s="181">
        <f t="shared" ca="1" si="24"/>
        <v>0</v>
      </c>
      <c r="L24" s="176">
        <f ca="1">IFERROR(__xludf.DUMMYFUNCTION("IMPORTRANGE(""https://docs.google.com/spreadsheets/d/1-uDff_7J0KD5mKrp0Vvzr7lt3OU09vwQwhkpOPPYv2Y/edit?usp=sharing"",""งบพรบ!BD24"")"),0)</f>
        <v>0</v>
      </c>
      <c r="M24" s="179">
        <f t="shared" ca="1" si="25"/>
        <v>0</v>
      </c>
      <c r="N24" s="179">
        <f t="shared" ca="1" si="26"/>
        <v>0</v>
      </c>
      <c r="O24" s="180">
        <f ca="1">IFERROR(__xludf.DUMMYFUNCTION("IMPORTRANGE(""https://docs.google.com/spreadsheets/d/1-uDff_7J0KD5mKrp0Vvzr7lt3OU09vwQwhkpOPPYv2Y/edit?usp=sharing"",""งบพรบ!BE24"")"),0)</f>
        <v>0</v>
      </c>
      <c r="P24" s="180">
        <f t="shared" ca="1" si="27"/>
        <v>0</v>
      </c>
      <c r="Q24" s="179">
        <f t="shared" ca="1" si="28"/>
        <v>0</v>
      </c>
      <c r="R24" s="88">
        <f ca="1">IFERROR(__xludf.DUMMYFUNCTION("IMPORTRANGE(""https://docs.google.com/spreadsheets/d/1lOVebEIsI9qjGXl6EX66luk7wiuP2tBaryw-wKvv4e0/edit?usp=sharing"",""แพร่!I108"")"),0)</f>
        <v>0</v>
      </c>
      <c r="S24" s="88">
        <f ca="1">IFERROR(__xludf.DUMMYFUNCTION("IMPORTRANGE(""https://docs.google.com/spreadsheets/d/1lOVebEIsI9qjGXl6EX66luk7wiuP2tBaryw-wKvv4e0/edit?usp=sharing"",""แพร่!J108"")"),0)</f>
        <v>0</v>
      </c>
      <c r="T24" s="177">
        <f t="shared" ca="1" si="30"/>
        <v>0</v>
      </c>
      <c r="U24" s="88">
        <f ca="1">IFERROR(__xludf.DUMMYFUNCTION("IMPORTRANGE(""https://docs.google.com/spreadsheets/d/1lOVebEIsI9qjGXl6EX66luk7wiuP2tBaryw-wKvv4e0/edit?usp=sharing"",""แพร่!I109"")"),0)</f>
        <v>0</v>
      </c>
      <c r="V24" s="88">
        <f ca="1">IFERROR(__xludf.DUMMYFUNCTION("IMPORTRANGE(""https://docs.google.com/spreadsheets/d/1lOVebEIsI9qjGXl6EX66luk7wiuP2tBaryw-wKvv4e0/edit?usp=sharing"",""แพร่!J109"")"),0)</f>
        <v>0</v>
      </c>
      <c r="W24" s="177">
        <f t="shared" ca="1" si="32"/>
        <v>0</v>
      </c>
      <c r="X24" s="88">
        <f ca="1">IFERROR(__xludf.DUMMYFUNCTION("IMPORTRANGE(""https://docs.google.com/spreadsheets/d/1lOVebEIsI9qjGXl6EX66luk7wiuP2tBaryw-wKvv4e0/edit?usp=sharing"",""แพร่!I117"")"),0)</f>
        <v>0</v>
      </c>
      <c r="Y24" s="88">
        <f ca="1">IFERROR(__xludf.DUMMYFUNCTION("IMPORTRANGE(""https://docs.google.com/spreadsheets/d/1lOVebEIsI9qjGXl6EX66luk7wiuP2tBaryw-wKvv4e0/edit?usp=sharing"",""แพร่!J117"")"),0)</f>
        <v>0</v>
      </c>
      <c r="Z24" s="177">
        <f t="shared" ca="1" si="34"/>
        <v>0</v>
      </c>
    </row>
    <row r="25" spans="1:26" ht="24" customHeight="1" x14ac:dyDescent="0.3">
      <c r="A25" s="172">
        <v>12</v>
      </c>
      <c r="B25" s="173" t="s">
        <v>47</v>
      </c>
      <c r="C25" s="174">
        <f t="shared" ca="1" si="21"/>
        <v>0</v>
      </c>
      <c r="D25" s="175">
        <f t="shared" ca="1" si="35"/>
        <v>0</v>
      </c>
      <c r="E25" s="176">
        <f ca="1">IFERROR(__xludf.DUMMYFUNCTION("IMPORTRANGE(""https://docs.google.com/spreadsheets/d/1-uDff_7J0KD5mKrp0Vvzr7lt3OU09vwQwhkpOPPYv2Y/edit?usp=sharing"",""งบพรบ!AX25"")"),0)</f>
        <v>0</v>
      </c>
      <c r="F25" s="176">
        <f ca="1">IFERROR(__xludf.DUMMYFUNCTION("IMPORTRANGE(""https://docs.google.com/spreadsheets/d/1-uDff_7J0KD5mKrp0Vvzr7lt3OU09vwQwhkpOPPYv2Y/edit?usp=sharing"",""งบพรบ!AY25"")"),0)</f>
        <v>0</v>
      </c>
      <c r="G25" s="176">
        <f ca="1">IFERROR(__xludf.DUMMYFUNCTION("IMPORTRANGE(""https://docs.google.com/spreadsheets/d/1-uDff_7J0KD5mKrp0Vvzr7lt3OU09vwQwhkpOPPYv2Y/edit?usp=sharing"",""งบพรบ!AZ25"")"),0)</f>
        <v>0</v>
      </c>
      <c r="H25" s="176">
        <f ca="1">IFERROR(__xludf.DUMMYFUNCTION("IMPORTRANGE(""https://docs.google.com/spreadsheets/d/1-uDff_7J0KD5mKrp0Vvzr7lt3OU09vwQwhkpOPPYv2Y/edit?usp=sharing"",""งบพรบ!BB25"")"),0)</f>
        <v>0</v>
      </c>
      <c r="I25" s="176">
        <f ca="1">IFERROR(__xludf.DUMMYFUNCTION("IMPORTRANGE(""https://docs.google.com/spreadsheets/d/1-uDff_7J0KD5mKrp0Vvzr7lt3OU09vwQwhkpOPPYv2Y/edit?usp=sharing"",""งบพรบ!BC25"")"),0)</f>
        <v>0</v>
      </c>
      <c r="J25" s="176">
        <f t="shared" ca="1" si="23"/>
        <v>0</v>
      </c>
      <c r="K25" s="181">
        <f t="shared" ca="1" si="24"/>
        <v>0</v>
      </c>
      <c r="L25" s="176">
        <f ca="1">IFERROR(__xludf.DUMMYFUNCTION("IMPORTRANGE(""https://docs.google.com/spreadsheets/d/1-uDff_7J0KD5mKrp0Vvzr7lt3OU09vwQwhkpOPPYv2Y/edit?usp=sharing"",""งบพรบ!BD25"")"),0)</f>
        <v>0</v>
      </c>
      <c r="M25" s="179">
        <f t="shared" ca="1" si="25"/>
        <v>0</v>
      </c>
      <c r="N25" s="179">
        <f t="shared" ca="1" si="26"/>
        <v>0</v>
      </c>
      <c r="O25" s="180">
        <f ca="1">IFERROR(__xludf.DUMMYFUNCTION("IMPORTRANGE(""https://docs.google.com/spreadsheets/d/1-uDff_7J0KD5mKrp0Vvzr7lt3OU09vwQwhkpOPPYv2Y/edit?usp=sharing"",""งบพรบ!BE25"")"),0)</f>
        <v>0</v>
      </c>
      <c r="P25" s="180">
        <f t="shared" ca="1" si="27"/>
        <v>0</v>
      </c>
      <c r="Q25" s="179">
        <f t="shared" ca="1" si="28"/>
        <v>0</v>
      </c>
      <c r="R25" s="88">
        <f ca="1">IFERROR(__xludf.DUMMYFUNCTION("IMPORTRANGE(""https://docs.google.com/spreadsheets/d/1dQrvX0vEcN7Gu0fnZ0B5S90AeR19zth4XlExFBeExMY/edit?usp=sharing"",""แม่ฮ่องสอน!I108"")"),0)</f>
        <v>0</v>
      </c>
      <c r="S25" s="88">
        <f ca="1">IFERROR(__xludf.DUMMYFUNCTION("IMPORTRANGE(""https://docs.google.com/spreadsheets/d/1dQrvX0vEcN7Gu0fnZ0B5S90AeR19zth4XlExFBeExMY/edit?usp=sharing"",""แม่ฮ่องสอน!J108"")"),0)</f>
        <v>0</v>
      </c>
      <c r="T25" s="177">
        <f t="shared" ca="1" si="30"/>
        <v>0</v>
      </c>
      <c r="U25" s="88">
        <f ca="1">IFERROR(__xludf.DUMMYFUNCTION("IMPORTRANGE(""https://docs.google.com/spreadsheets/d/1dQrvX0vEcN7Gu0fnZ0B5S90AeR19zth4XlExFBeExMY/edit?usp=sharing"",""แม่ฮ่องสอน!I109"")"),0)</f>
        <v>0</v>
      </c>
      <c r="V25" s="88">
        <f ca="1">IFERROR(__xludf.DUMMYFUNCTION("IMPORTRANGE(""https://docs.google.com/spreadsheets/d/1dQrvX0vEcN7Gu0fnZ0B5S90AeR19zth4XlExFBeExMY/edit?usp=sharing"",""แม่ฮ่องสอน!J109"")"),0)</f>
        <v>0</v>
      </c>
      <c r="W25" s="177">
        <f t="shared" ca="1" si="32"/>
        <v>0</v>
      </c>
      <c r="X25" s="88">
        <f ca="1">IFERROR(__xludf.DUMMYFUNCTION("IMPORTRANGE(""https://docs.google.com/spreadsheets/d/1dQrvX0vEcN7Gu0fnZ0B5S90AeR19zth4XlExFBeExMY/edit?usp=sharing"",""แม่ฮ่องสอน!I117"")"),0)</f>
        <v>0</v>
      </c>
      <c r="Y25" s="88">
        <f ca="1">IFERROR(__xludf.DUMMYFUNCTION("IMPORTRANGE(""https://docs.google.com/spreadsheets/d/1dQrvX0vEcN7Gu0fnZ0B5S90AeR19zth4XlExFBeExMY/edit?usp=sharing"",""แม่ฮ่องสอน!J117"")"),0)</f>
        <v>0</v>
      </c>
      <c r="Z25" s="177">
        <f t="shared" ca="1" si="34"/>
        <v>0</v>
      </c>
    </row>
    <row r="26" spans="1:26" ht="24" customHeight="1" x14ac:dyDescent="0.3">
      <c r="A26" s="172">
        <v>13</v>
      </c>
      <c r="B26" s="173" t="s">
        <v>48</v>
      </c>
      <c r="C26" s="174">
        <f t="shared" ca="1" si="21"/>
        <v>0</v>
      </c>
      <c r="D26" s="175">
        <f t="shared" ca="1" si="35"/>
        <v>0</v>
      </c>
      <c r="E26" s="176">
        <f ca="1">IFERROR(__xludf.DUMMYFUNCTION("IMPORTRANGE(""https://docs.google.com/spreadsheets/d/1-uDff_7J0KD5mKrp0Vvzr7lt3OU09vwQwhkpOPPYv2Y/edit?usp=sharing"",""งบพรบ!AX26"")"),0)</f>
        <v>0</v>
      </c>
      <c r="F26" s="176">
        <f ca="1">IFERROR(__xludf.DUMMYFUNCTION("IMPORTRANGE(""https://docs.google.com/spreadsheets/d/1-uDff_7J0KD5mKrp0Vvzr7lt3OU09vwQwhkpOPPYv2Y/edit?usp=sharing"",""งบพรบ!AY26"")"),0)</f>
        <v>0</v>
      </c>
      <c r="G26" s="176">
        <f ca="1">IFERROR(__xludf.DUMMYFUNCTION("IMPORTRANGE(""https://docs.google.com/spreadsheets/d/1-uDff_7J0KD5mKrp0Vvzr7lt3OU09vwQwhkpOPPYv2Y/edit?usp=sharing"",""งบพรบ!AZ26"")"),0)</f>
        <v>0</v>
      </c>
      <c r="H26" s="176">
        <f ca="1">IFERROR(__xludf.DUMMYFUNCTION("IMPORTRANGE(""https://docs.google.com/spreadsheets/d/1-uDff_7J0KD5mKrp0Vvzr7lt3OU09vwQwhkpOPPYv2Y/edit?usp=sharing"",""งบพรบ!BB26"")"),0)</f>
        <v>0</v>
      </c>
      <c r="I26" s="176">
        <f ca="1">IFERROR(__xludf.DUMMYFUNCTION("IMPORTRANGE(""https://docs.google.com/spreadsheets/d/1-uDff_7J0KD5mKrp0Vvzr7lt3OU09vwQwhkpOPPYv2Y/edit?usp=sharing"",""งบพรบ!BC26"")"),0)</f>
        <v>0</v>
      </c>
      <c r="J26" s="176">
        <f t="shared" ca="1" si="23"/>
        <v>0</v>
      </c>
      <c r="K26" s="181">
        <f t="shared" ca="1" si="24"/>
        <v>0</v>
      </c>
      <c r="L26" s="176">
        <f ca="1">IFERROR(__xludf.DUMMYFUNCTION("IMPORTRANGE(""https://docs.google.com/spreadsheets/d/1-uDff_7J0KD5mKrp0Vvzr7lt3OU09vwQwhkpOPPYv2Y/edit?usp=sharing"",""งบพรบ!BD26"")"),0)</f>
        <v>0</v>
      </c>
      <c r="M26" s="179">
        <f t="shared" ca="1" si="25"/>
        <v>0</v>
      </c>
      <c r="N26" s="179">
        <f t="shared" ca="1" si="26"/>
        <v>0</v>
      </c>
      <c r="O26" s="180">
        <f ca="1">IFERROR(__xludf.DUMMYFUNCTION("IMPORTRANGE(""https://docs.google.com/spreadsheets/d/1-uDff_7J0KD5mKrp0Vvzr7lt3OU09vwQwhkpOPPYv2Y/edit?usp=sharing"",""งบพรบ!BE26"")"),0)</f>
        <v>0</v>
      </c>
      <c r="P26" s="180">
        <f t="shared" ca="1" si="27"/>
        <v>0</v>
      </c>
      <c r="Q26" s="179">
        <f t="shared" ca="1" si="28"/>
        <v>0</v>
      </c>
      <c r="R26" s="88">
        <f ca="1">IFERROR(__xludf.DUMMYFUNCTION("IMPORTRANGE(""https://docs.google.com/spreadsheets/d/1DY4XTNNwjluuxqdfdn6qvOSlMRrZqUtmYcZR0ttFiG4/edit?usp=sharing"",""ลำปาง!I108"")"),0)</f>
        <v>0</v>
      </c>
      <c r="S26" s="88">
        <f ca="1">IFERROR(__xludf.DUMMYFUNCTION("IMPORTRANGE(""https://docs.google.com/spreadsheets/d/1DY4XTNNwjluuxqdfdn6qvOSlMRrZqUtmYcZR0ttFiG4/edit?usp=sharing"",""ลำปาง!J108"")"),0)</f>
        <v>0</v>
      </c>
      <c r="T26" s="177">
        <f t="shared" ca="1" si="30"/>
        <v>0</v>
      </c>
      <c r="U26" s="88">
        <f ca="1">IFERROR(__xludf.DUMMYFUNCTION("IMPORTRANGE(""https://docs.google.com/spreadsheets/d/1DY4XTNNwjluuxqdfdn6qvOSlMRrZqUtmYcZR0ttFiG4/edit?usp=sharing"",""ลำปาง!I109"")"),0)</f>
        <v>0</v>
      </c>
      <c r="V26" s="88">
        <f ca="1">IFERROR(__xludf.DUMMYFUNCTION("IMPORTRANGE(""https://docs.google.com/spreadsheets/d/1DY4XTNNwjluuxqdfdn6qvOSlMRrZqUtmYcZR0ttFiG4/edit?usp=sharing"",""ลำปาง!J109"")"),0)</f>
        <v>0</v>
      </c>
      <c r="W26" s="177">
        <f t="shared" ca="1" si="32"/>
        <v>0</v>
      </c>
      <c r="X26" s="88">
        <f ca="1">IFERROR(__xludf.DUMMYFUNCTION("IMPORTRANGE(""https://docs.google.com/spreadsheets/d/1DY4XTNNwjluuxqdfdn6qvOSlMRrZqUtmYcZR0ttFiG4/edit?usp=sharing"",""ลำปาง!I117"")"),0)</f>
        <v>0</v>
      </c>
      <c r="Y26" s="88">
        <f ca="1">IFERROR(__xludf.DUMMYFUNCTION("IMPORTRANGE(""https://docs.google.com/spreadsheets/d/1DY4XTNNwjluuxqdfdn6qvOSlMRrZqUtmYcZR0ttFiG4/edit?usp=sharing"",""ลำปาง!J117"")"),0)</f>
        <v>0</v>
      </c>
      <c r="Z26" s="177">
        <f t="shared" ca="1" si="34"/>
        <v>0</v>
      </c>
    </row>
    <row r="27" spans="1:26" ht="24" customHeight="1" x14ac:dyDescent="0.3">
      <c r="A27" s="172">
        <v>14</v>
      </c>
      <c r="B27" s="173" t="s">
        <v>49</v>
      </c>
      <c r="C27" s="174">
        <f t="shared" ca="1" si="21"/>
        <v>136300</v>
      </c>
      <c r="D27" s="175">
        <f t="shared" ca="1" si="35"/>
        <v>136300</v>
      </c>
      <c r="E27" s="176">
        <f ca="1">IFERROR(__xludf.DUMMYFUNCTION("IMPORTRANGE(""https://docs.google.com/spreadsheets/d/1-uDff_7J0KD5mKrp0Vvzr7lt3OU09vwQwhkpOPPYv2Y/edit?usp=sharing"",""งบพรบ!AX27"")"),85300)</f>
        <v>85300</v>
      </c>
      <c r="F27" s="176">
        <f ca="1">IFERROR(__xludf.DUMMYFUNCTION("IMPORTRANGE(""https://docs.google.com/spreadsheets/d/1-uDff_7J0KD5mKrp0Vvzr7lt3OU09vwQwhkpOPPYv2Y/edit?usp=sharing"",""งบพรบ!AY27"")"),51000)</f>
        <v>51000</v>
      </c>
      <c r="G27" s="176">
        <f ca="1">IFERROR(__xludf.DUMMYFUNCTION("IMPORTRANGE(""https://docs.google.com/spreadsheets/d/1-uDff_7J0KD5mKrp0Vvzr7lt3OU09vwQwhkpOPPYv2Y/edit?usp=sharing"",""งบพรบ!AZ27"")"),0)</f>
        <v>0</v>
      </c>
      <c r="H27" s="176">
        <f ca="1">IFERROR(__xludf.DUMMYFUNCTION("IMPORTRANGE(""https://docs.google.com/spreadsheets/d/1-uDff_7J0KD5mKrp0Vvzr7lt3OU09vwQwhkpOPPYv2Y/edit?usp=sharing"",""งบพรบ!BB27"")"),112000)</f>
        <v>112000</v>
      </c>
      <c r="I27" s="176">
        <f ca="1">IFERROR(__xludf.DUMMYFUNCTION("IMPORTRANGE(""https://docs.google.com/spreadsheets/d/1-uDff_7J0KD5mKrp0Vvzr7lt3OU09vwQwhkpOPPYv2Y/edit?usp=sharing"",""งบพรบ!BC27"")"),0)</f>
        <v>0</v>
      </c>
      <c r="J27" s="176">
        <f t="shared" ca="1" si="23"/>
        <v>40240</v>
      </c>
      <c r="K27" s="181">
        <f t="shared" ca="1" si="24"/>
        <v>29.523110785033015</v>
      </c>
      <c r="L27" s="176">
        <f ca="1">IFERROR(__xludf.DUMMYFUNCTION("IMPORTRANGE(""https://docs.google.com/spreadsheets/d/1-uDff_7J0KD5mKrp0Vvzr7lt3OU09vwQwhkpOPPYv2Y/edit?usp=sharing"",""งบพรบ!BD27"")"),40240)</f>
        <v>40240</v>
      </c>
      <c r="M27" s="179">
        <f t="shared" ca="1" si="25"/>
        <v>29.523110785033015</v>
      </c>
      <c r="N27" s="179">
        <f t="shared" ca="1" si="26"/>
        <v>35.928571428571431</v>
      </c>
      <c r="O27" s="180">
        <f ca="1">IFERROR(__xludf.DUMMYFUNCTION("IMPORTRANGE(""https://docs.google.com/spreadsheets/d/1-uDff_7J0KD5mKrp0Vvzr7lt3OU09vwQwhkpOPPYv2Y/edit?usp=sharing"",""งบพรบ!BE27"")"),0)</f>
        <v>0</v>
      </c>
      <c r="P27" s="180">
        <f t="shared" ca="1" si="27"/>
        <v>0</v>
      </c>
      <c r="Q27" s="179">
        <f t="shared" ca="1" si="28"/>
        <v>0</v>
      </c>
      <c r="R27" s="88">
        <f ca="1">IFERROR(__xludf.DUMMYFUNCTION("IMPORTRANGE(""https://docs.google.com/spreadsheets/d/1ICwG78r0OFT8biBlxnBF8r7she7gNSzOvJ958PWT09c/edit?usp=sharing"",""ลำพูน!I108"")"),30)</f>
        <v>30</v>
      </c>
      <c r="S27" s="88">
        <f ca="1">IFERROR(__xludf.DUMMYFUNCTION("IMPORTRANGE(""https://docs.google.com/spreadsheets/d/1ICwG78r0OFT8biBlxnBF8r7she7gNSzOvJ958PWT09c/edit?usp=sharing"",""ลำพูน!J108"")"),0)</f>
        <v>0</v>
      </c>
      <c r="T27" s="177">
        <f t="shared" ca="1" si="30"/>
        <v>0</v>
      </c>
      <c r="U27" s="88">
        <f ca="1">IFERROR(__xludf.DUMMYFUNCTION("IMPORTRANGE(""https://docs.google.com/spreadsheets/d/1ICwG78r0OFT8biBlxnBF8r7she7gNSzOvJ958PWT09c/edit?usp=sharing"",""ลำพูน!I109"")"),10)</f>
        <v>10</v>
      </c>
      <c r="V27" s="88">
        <f ca="1">IFERROR(__xludf.DUMMYFUNCTION("IMPORTRANGE(""https://docs.google.com/spreadsheets/d/1ICwG78r0OFT8biBlxnBF8r7she7gNSzOvJ958PWT09c/edit?usp=sharing"",""ลำพูน!J109"")"),0)</f>
        <v>0</v>
      </c>
      <c r="W27" s="177">
        <f t="shared" ca="1" si="32"/>
        <v>0</v>
      </c>
      <c r="X27" s="88">
        <f ca="1">IFERROR(__xludf.DUMMYFUNCTION("IMPORTRANGE(""https://docs.google.com/spreadsheets/d/1ICwG78r0OFT8biBlxnBF8r7she7gNSzOvJ958PWT09c/edit?usp=sharing"",""ลำพูน!I117"")"),10)</f>
        <v>10</v>
      </c>
      <c r="Y27" s="88">
        <f ca="1">IFERROR(__xludf.DUMMYFUNCTION("IMPORTRANGE(""https://docs.google.com/spreadsheets/d/1ICwG78r0OFT8biBlxnBF8r7she7gNSzOvJ958PWT09c/edit?usp=sharing"",""ลำพูน!J117"")"),0)</f>
        <v>0</v>
      </c>
      <c r="Z27" s="177">
        <f t="shared" ca="1" si="34"/>
        <v>0</v>
      </c>
    </row>
    <row r="28" spans="1:26" ht="24" customHeight="1" x14ac:dyDescent="0.3">
      <c r="A28" s="172">
        <v>15</v>
      </c>
      <c r="B28" s="173" t="s">
        <v>50</v>
      </c>
      <c r="C28" s="174">
        <f t="shared" ca="1" si="21"/>
        <v>0</v>
      </c>
      <c r="D28" s="175">
        <f t="shared" ca="1" si="35"/>
        <v>0</v>
      </c>
      <c r="E28" s="176">
        <f ca="1">IFERROR(__xludf.DUMMYFUNCTION("IMPORTRANGE(""https://docs.google.com/spreadsheets/d/1-uDff_7J0KD5mKrp0Vvzr7lt3OU09vwQwhkpOPPYv2Y/edit?usp=sharing"",""งบพรบ!AX28"")"),0)</f>
        <v>0</v>
      </c>
      <c r="F28" s="176">
        <f ca="1">IFERROR(__xludf.DUMMYFUNCTION("IMPORTRANGE(""https://docs.google.com/spreadsheets/d/1-uDff_7J0KD5mKrp0Vvzr7lt3OU09vwQwhkpOPPYv2Y/edit?usp=sharing"",""งบพรบ!AY28"")"),0)</f>
        <v>0</v>
      </c>
      <c r="G28" s="176">
        <f ca="1">IFERROR(__xludf.DUMMYFUNCTION("IMPORTRANGE(""https://docs.google.com/spreadsheets/d/1-uDff_7J0KD5mKrp0Vvzr7lt3OU09vwQwhkpOPPYv2Y/edit?usp=sharing"",""งบพรบ!AZ28"")"),0)</f>
        <v>0</v>
      </c>
      <c r="H28" s="176">
        <f ca="1">IFERROR(__xludf.DUMMYFUNCTION("IMPORTRANGE(""https://docs.google.com/spreadsheets/d/1-uDff_7J0KD5mKrp0Vvzr7lt3OU09vwQwhkpOPPYv2Y/edit?usp=sharing"",""งบพรบ!BB28"")"),0)</f>
        <v>0</v>
      </c>
      <c r="I28" s="176">
        <f ca="1">IFERROR(__xludf.DUMMYFUNCTION("IMPORTRANGE(""https://docs.google.com/spreadsheets/d/1-uDff_7J0KD5mKrp0Vvzr7lt3OU09vwQwhkpOPPYv2Y/edit?usp=sharing"",""งบพรบ!BC28"")"),0)</f>
        <v>0</v>
      </c>
      <c r="J28" s="176">
        <f t="shared" ca="1" si="23"/>
        <v>0</v>
      </c>
      <c r="K28" s="181">
        <f t="shared" ca="1" si="24"/>
        <v>0</v>
      </c>
      <c r="L28" s="176">
        <f ca="1">IFERROR(__xludf.DUMMYFUNCTION("IMPORTRANGE(""https://docs.google.com/spreadsheets/d/1-uDff_7J0KD5mKrp0Vvzr7lt3OU09vwQwhkpOPPYv2Y/edit?usp=sharing"",""งบพรบ!BD28"")"),0)</f>
        <v>0</v>
      </c>
      <c r="M28" s="179">
        <f t="shared" ca="1" si="25"/>
        <v>0</v>
      </c>
      <c r="N28" s="179">
        <f t="shared" ca="1" si="26"/>
        <v>0</v>
      </c>
      <c r="O28" s="180">
        <f ca="1">IFERROR(__xludf.DUMMYFUNCTION("IMPORTRANGE(""https://docs.google.com/spreadsheets/d/1-uDff_7J0KD5mKrp0Vvzr7lt3OU09vwQwhkpOPPYv2Y/edit?usp=sharing"",""งบพรบ!BE28"")"),0)</f>
        <v>0</v>
      </c>
      <c r="P28" s="180">
        <f t="shared" ca="1" si="27"/>
        <v>0</v>
      </c>
      <c r="Q28" s="179">
        <f t="shared" ca="1" si="28"/>
        <v>0</v>
      </c>
      <c r="R28" s="88">
        <f ca="1">IFERROR(__xludf.DUMMYFUNCTION("IMPORTRANGE(""https://docs.google.com/spreadsheets/d/1B0f2xJpZUC6Z0xXnqKlZtEPzsf6L84eP1r1Q15seqRM/edit?usp=sharing"",""สุโขทัย!I108"")"),0)</f>
        <v>0</v>
      </c>
      <c r="S28" s="88">
        <f ca="1">IFERROR(__xludf.DUMMYFUNCTION("IMPORTRANGE(""https://docs.google.com/spreadsheets/d/1B0f2xJpZUC6Z0xXnqKlZtEPzsf6L84eP1r1Q15seqRM/edit?usp=sharing"",""สุโขทัย!J108"")"),0)</f>
        <v>0</v>
      </c>
      <c r="T28" s="177">
        <f t="shared" ca="1" si="30"/>
        <v>0</v>
      </c>
      <c r="U28" s="88">
        <f ca="1">IFERROR(__xludf.DUMMYFUNCTION("IMPORTRANGE(""https://docs.google.com/spreadsheets/d/1B0f2xJpZUC6Z0xXnqKlZtEPzsf6L84eP1r1Q15seqRM/edit?usp=sharing"",""สุโขทัย!I109"")"),0)</f>
        <v>0</v>
      </c>
      <c r="V28" s="88">
        <f ca="1">IFERROR(__xludf.DUMMYFUNCTION("IMPORTRANGE(""https://docs.google.com/spreadsheets/d/1B0f2xJpZUC6Z0xXnqKlZtEPzsf6L84eP1r1Q15seqRM/edit?usp=sharing"",""สุโขทัย!J109"")"),0)</f>
        <v>0</v>
      </c>
      <c r="W28" s="177">
        <f t="shared" ca="1" si="32"/>
        <v>0</v>
      </c>
      <c r="X28" s="88">
        <f ca="1">IFERROR(__xludf.DUMMYFUNCTION("IMPORTRANGE(""https://docs.google.com/spreadsheets/d/1B0f2xJpZUC6Z0xXnqKlZtEPzsf6L84eP1r1Q15seqRM/edit?usp=sharing"",""สุโขทัย!I117"")"),0)</f>
        <v>0</v>
      </c>
      <c r="Y28" s="88">
        <f ca="1">IFERROR(__xludf.DUMMYFUNCTION("IMPORTRANGE(""https://docs.google.com/spreadsheets/d/1B0f2xJpZUC6Z0xXnqKlZtEPzsf6L84eP1r1Q15seqRM/edit?usp=sharing"",""สุโขทัย!J117"")"),0)</f>
        <v>0</v>
      </c>
      <c r="Z28" s="177">
        <f t="shared" ca="1" si="34"/>
        <v>0</v>
      </c>
    </row>
    <row r="29" spans="1:26" ht="24" customHeight="1" x14ac:dyDescent="0.3">
      <c r="A29" s="172">
        <v>16</v>
      </c>
      <c r="B29" s="173" t="s">
        <v>51</v>
      </c>
      <c r="C29" s="174">
        <f t="shared" ca="1" si="21"/>
        <v>0</v>
      </c>
      <c r="D29" s="175">
        <f t="shared" ca="1" si="35"/>
        <v>0</v>
      </c>
      <c r="E29" s="176">
        <f ca="1">IFERROR(__xludf.DUMMYFUNCTION("IMPORTRANGE(""https://docs.google.com/spreadsheets/d/1-uDff_7J0KD5mKrp0Vvzr7lt3OU09vwQwhkpOPPYv2Y/edit?usp=sharing"",""งบพรบ!AX29"")"),0)</f>
        <v>0</v>
      </c>
      <c r="F29" s="176">
        <f ca="1">IFERROR(__xludf.DUMMYFUNCTION("IMPORTRANGE(""https://docs.google.com/spreadsheets/d/1-uDff_7J0KD5mKrp0Vvzr7lt3OU09vwQwhkpOPPYv2Y/edit?usp=sharing"",""งบพรบ!AY29"")"),0)</f>
        <v>0</v>
      </c>
      <c r="G29" s="176">
        <f ca="1">IFERROR(__xludf.DUMMYFUNCTION("IMPORTRANGE(""https://docs.google.com/spreadsheets/d/1-uDff_7J0KD5mKrp0Vvzr7lt3OU09vwQwhkpOPPYv2Y/edit?usp=sharing"",""งบพรบ!AZ29"")"),0)</f>
        <v>0</v>
      </c>
      <c r="H29" s="176">
        <f ca="1">IFERROR(__xludf.DUMMYFUNCTION("IMPORTRANGE(""https://docs.google.com/spreadsheets/d/1-uDff_7J0KD5mKrp0Vvzr7lt3OU09vwQwhkpOPPYv2Y/edit?usp=sharing"",""งบพรบ!BB29"")"),0)</f>
        <v>0</v>
      </c>
      <c r="I29" s="176">
        <f ca="1">IFERROR(__xludf.DUMMYFUNCTION("IMPORTRANGE(""https://docs.google.com/spreadsheets/d/1-uDff_7J0KD5mKrp0Vvzr7lt3OU09vwQwhkpOPPYv2Y/edit?usp=sharing"",""งบพรบ!BC29"")"),0)</f>
        <v>0</v>
      </c>
      <c r="J29" s="176">
        <f t="shared" ca="1" si="23"/>
        <v>0</v>
      </c>
      <c r="K29" s="181">
        <f t="shared" ca="1" si="24"/>
        <v>0</v>
      </c>
      <c r="L29" s="176">
        <f ca="1">IFERROR(__xludf.DUMMYFUNCTION("IMPORTRANGE(""https://docs.google.com/spreadsheets/d/1-uDff_7J0KD5mKrp0Vvzr7lt3OU09vwQwhkpOPPYv2Y/edit?usp=sharing"",""งบพรบ!BD29"")"),0)</f>
        <v>0</v>
      </c>
      <c r="M29" s="179">
        <f t="shared" ca="1" si="25"/>
        <v>0</v>
      </c>
      <c r="N29" s="179">
        <f t="shared" ca="1" si="26"/>
        <v>0</v>
      </c>
      <c r="O29" s="180">
        <f ca="1">IFERROR(__xludf.DUMMYFUNCTION("IMPORTRANGE(""https://docs.google.com/spreadsheets/d/1-uDff_7J0KD5mKrp0Vvzr7lt3OU09vwQwhkpOPPYv2Y/edit?usp=sharing"",""งบพรบ!BE29"")"),0)</f>
        <v>0</v>
      </c>
      <c r="P29" s="180">
        <f t="shared" ca="1" si="27"/>
        <v>0</v>
      </c>
      <c r="Q29" s="179">
        <f t="shared" ca="1" si="28"/>
        <v>0</v>
      </c>
      <c r="R29" s="88">
        <f ca="1">IFERROR(__xludf.DUMMYFUNCTION("IMPORTRANGE(""https://docs.google.com/spreadsheets/d/1v0b9pFQCsKUVExMei7AgY2yQkdeNQvtOssygGsXbiKo/edit?usp=sharing"",""อุตรดิตถ์!I108"")"),0)</f>
        <v>0</v>
      </c>
      <c r="S29" s="88">
        <f ca="1">IFERROR(__xludf.DUMMYFUNCTION("IMPORTRANGE(""https://docs.google.com/spreadsheets/d/1v0b9pFQCsKUVExMei7AgY2yQkdeNQvtOssygGsXbiKo/edit?usp=sharing"",""อุตรดิตถ์!J108"")"),0)</f>
        <v>0</v>
      </c>
      <c r="T29" s="177">
        <f t="shared" ca="1" si="30"/>
        <v>0</v>
      </c>
      <c r="U29" s="88">
        <f ca="1">IFERROR(__xludf.DUMMYFUNCTION("IMPORTRANGE(""https://docs.google.com/spreadsheets/d/1v0b9pFQCsKUVExMei7AgY2yQkdeNQvtOssygGsXbiKo/edit?usp=sharing"",""อุตรดิตถ์!I109"")"),0)</f>
        <v>0</v>
      </c>
      <c r="V29" s="88">
        <f ca="1">IFERROR(__xludf.DUMMYFUNCTION("IMPORTRANGE(""https://docs.google.com/spreadsheets/d/1v0b9pFQCsKUVExMei7AgY2yQkdeNQvtOssygGsXbiKo/edit?usp=sharing"",""อุตรดิตถ์!J109"")"),0)</f>
        <v>0</v>
      </c>
      <c r="W29" s="177">
        <f t="shared" ca="1" si="32"/>
        <v>0</v>
      </c>
      <c r="X29" s="88">
        <f ca="1">IFERROR(__xludf.DUMMYFUNCTION("IMPORTRANGE(""https://docs.google.com/spreadsheets/d/1v0b9pFQCsKUVExMei7AgY2yQkdeNQvtOssygGsXbiKo/edit?usp=sharing"",""อุตรดิตถ์!I117"")"),0)</f>
        <v>0</v>
      </c>
      <c r="Y29" s="88">
        <f ca="1">IFERROR(__xludf.DUMMYFUNCTION("IMPORTRANGE(""https://docs.google.com/spreadsheets/d/1v0b9pFQCsKUVExMei7AgY2yQkdeNQvtOssygGsXbiKo/edit?usp=sharing"",""อุตรดิตถ์!J117"")"),0)</f>
        <v>0</v>
      </c>
      <c r="Z29" s="177">
        <f t="shared" ca="1" si="34"/>
        <v>0</v>
      </c>
    </row>
    <row r="30" spans="1:26" ht="24" customHeight="1" x14ac:dyDescent="0.3">
      <c r="A30" s="182">
        <v>17</v>
      </c>
      <c r="B30" s="183" t="s">
        <v>52</v>
      </c>
      <c r="C30" s="184">
        <f t="shared" ca="1" si="21"/>
        <v>0</v>
      </c>
      <c r="D30" s="185">
        <f t="shared" ca="1" si="35"/>
        <v>0</v>
      </c>
      <c r="E30" s="186">
        <f ca="1">IFERROR(__xludf.DUMMYFUNCTION("IMPORTRANGE(""https://docs.google.com/spreadsheets/d/1-uDff_7J0KD5mKrp0Vvzr7lt3OU09vwQwhkpOPPYv2Y/edit?usp=sharing"",""งบพรบ!AX30"")"),0)</f>
        <v>0</v>
      </c>
      <c r="F30" s="186">
        <f ca="1">IFERROR(__xludf.DUMMYFUNCTION("IMPORTRANGE(""https://docs.google.com/spreadsheets/d/1-uDff_7J0KD5mKrp0Vvzr7lt3OU09vwQwhkpOPPYv2Y/edit?usp=sharing"",""งบพรบ!AY30"")"),0)</f>
        <v>0</v>
      </c>
      <c r="G30" s="186">
        <f ca="1">IFERROR(__xludf.DUMMYFUNCTION("IMPORTRANGE(""https://docs.google.com/spreadsheets/d/1-uDff_7J0KD5mKrp0Vvzr7lt3OU09vwQwhkpOPPYv2Y/edit?usp=sharing"",""งบพรบ!AZ30"")"),0)</f>
        <v>0</v>
      </c>
      <c r="H30" s="186">
        <f ca="1">IFERROR(__xludf.DUMMYFUNCTION("IMPORTRANGE(""https://docs.google.com/spreadsheets/d/1-uDff_7J0KD5mKrp0Vvzr7lt3OU09vwQwhkpOPPYv2Y/edit?usp=sharing"",""งบพรบ!BB30"")"),0)</f>
        <v>0</v>
      </c>
      <c r="I30" s="186">
        <f ca="1">IFERROR(__xludf.DUMMYFUNCTION("IMPORTRANGE(""https://docs.google.com/spreadsheets/d/1-uDff_7J0KD5mKrp0Vvzr7lt3OU09vwQwhkpOPPYv2Y/edit?usp=sharing"",""งบพรบ!BC30"")"),0)</f>
        <v>0</v>
      </c>
      <c r="J30" s="186">
        <f t="shared" ca="1" si="23"/>
        <v>0</v>
      </c>
      <c r="K30" s="187">
        <f t="shared" ca="1" si="24"/>
        <v>0</v>
      </c>
      <c r="L30" s="186">
        <f ca="1">IFERROR(__xludf.DUMMYFUNCTION("IMPORTRANGE(""https://docs.google.com/spreadsheets/d/1-uDff_7J0KD5mKrp0Vvzr7lt3OU09vwQwhkpOPPYv2Y/edit?usp=sharing"",""งบพรบ!BD30"")"),0)</f>
        <v>0</v>
      </c>
      <c r="M30" s="188">
        <f t="shared" ca="1" si="25"/>
        <v>0</v>
      </c>
      <c r="N30" s="188">
        <f t="shared" ca="1" si="26"/>
        <v>0</v>
      </c>
      <c r="O30" s="189">
        <f ca="1">IFERROR(__xludf.DUMMYFUNCTION("IMPORTRANGE(""https://docs.google.com/spreadsheets/d/1-uDff_7J0KD5mKrp0Vvzr7lt3OU09vwQwhkpOPPYv2Y/edit?usp=sharing"",""งบพรบ!BE30"")"),0)</f>
        <v>0</v>
      </c>
      <c r="P30" s="189">
        <f t="shared" ca="1" si="27"/>
        <v>0</v>
      </c>
      <c r="Q30" s="188">
        <f t="shared" ca="1" si="28"/>
        <v>0</v>
      </c>
      <c r="R30" s="99">
        <f ca="1">IFERROR(__xludf.DUMMYFUNCTION("IMPORTRANGE(""https://docs.google.com/spreadsheets/d/1UsNK1e-WWiCo2PvGqdNfdme4m17_Ezd3J69EeeiQPD0/edit?usp=sharing"",""อุทัยธานี!I108"")"),0)</f>
        <v>0</v>
      </c>
      <c r="S30" s="99">
        <f ca="1">IFERROR(__xludf.DUMMYFUNCTION("IMPORTRANGE(""https://docs.google.com/spreadsheets/d/1UsNK1e-WWiCo2PvGqdNfdme4m17_Ezd3J69EeeiQPD0/edit?usp=sharing"",""อุทัยธานี!J108"")"),0)</f>
        <v>0</v>
      </c>
      <c r="T30" s="190">
        <f t="shared" ca="1" si="30"/>
        <v>0</v>
      </c>
      <c r="U30" s="99">
        <f ca="1">IFERROR(__xludf.DUMMYFUNCTION("IMPORTRANGE(""https://docs.google.com/spreadsheets/d/1UsNK1e-WWiCo2PvGqdNfdme4m17_Ezd3J69EeeiQPD0/edit?usp=sharing"",""อุทัยธานี!I109"")"),0)</f>
        <v>0</v>
      </c>
      <c r="V30" s="99">
        <f ca="1">IFERROR(__xludf.DUMMYFUNCTION("IMPORTRANGE(""https://docs.google.com/spreadsheets/d/1UsNK1e-WWiCo2PvGqdNfdme4m17_Ezd3J69EeeiQPD0/edit?usp=sharing"",""อุทัยธานี!J109"")"),0)</f>
        <v>0</v>
      </c>
      <c r="W30" s="190">
        <f t="shared" ca="1" si="32"/>
        <v>0</v>
      </c>
      <c r="X30" s="99">
        <f ca="1">IFERROR(__xludf.DUMMYFUNCTION("IMPORTRANGE(""https://docs.google.com/spreadsheets/d/1UsNK1e-WWiCo2PvGqdNfdme4m17_Ezd3J69EeeiQPD0/edit?usp=sharing"",""อุทัยธานี!I117"")"),0)</f>
        <v>0</v>
      </c>
      <c r="Y30" s="99">
        <f ca="1">IFERROR(__xludf.DUMMYFUNCTION("IMPORTRANGE(""https://docs.google.com/spreadsheets/d/1UsNK1e-WWiCo2PvGqdNfdme4m17_Ezd3J69EeeiQPD0/edit?usp=sharing"",""อุทัยธานี!J117"")"),0)</f>
        <v>0</v>
      </c>
      <c r="Z30" s="190">
        <f t="shared" ca="1" si="34"/>
        <v>0</v>
      </c>
    </row>
    <row r="31" spans="1:26" ht="21" customHeight="1" x14ac:dyDescent="0.3">
      <c r="A31" s="421" t="s">
        <v>53</v>
      </c>
      <c r="B31" s="422"/>
      <c r="C31" s="154">
        <f t="shared" ca="1" si="21"/>
        <v>697000</v>
      </c>
      <c r="D31" s="154">
        <f t="shared" ref="D31:I31" ca="1" si="36">SUM(D32:D51)</f>
        <v>697000</v>
      </c>
      <c r="E31" s="154">
        <f t="shared" ca="1" si="36"/>
        <v>328900</v>
      </c>
      <c r="F31" s="154">
        <f t="shared" ca="1" si="36"/>
        <v>368100</v>
      </c>
      <c r="G31" s="154">
        <f t="shared" ca="1" si="36"/>
        <v>0</v>
      </c>
      <c r="H31" s="154">
        <f t="shared" ca="1" si="36"/>
        <v>603600</v>
      </c>
      <c r="I31" s="154">
        <f t="shared" ca="1" si="36"/>
        <v>0</v>
      </c>
      <c r="J31" s="154">
        <f t="shared" ca="1" si="23"/>
        <v>75509.5</v>
      </c>
      <c r="K31" s="155">
        <f t="shared" ca="1" si="24"/>
        <v>10.833500717360115</v>
      </c>
      <c r="L31" s="154">
        <f ca="1">SUM(L32:L51)</f>
        <v>75509.5</v>
      </c>
      <c r="M31" s="156">
        <f t="shared" ca="1" si="25"/>
        <v>10.833500717360115</v>
      </c>
      <c r="N31" s="156">
        <f t="shared" ca="1" si="26"/>
        <v>12.509857521537443</v>
      </c>
      <c r="O31" s="157">
        <f ca="1">SUM(O32:O51)</f>
        <v>0</v>
      </c>
      <c r="P31" s="157">
        <f t="shared" ca="1" si="27"/>
        <v>0</v>
      </c>
      <c r="Q31" s="156">
        <f t="shared" ca="1" si="28"/>
        <v>0</v>
      </c>
      <c r="R31" s="68">
        <f t="shared" ref="R31:S31" ca="1" si="37">SUM(R32:R51)</f>
        <v>249</v>
      </c>
      <c r="S31" s="68">
        <f t="shared" ca="1" si="37"/>
        <v>0</v>
      </c>
      <c r="T31" s="154">
        <f t="shared" ca="1" si="30"/>
        <v>0</v>
      </c>
      <c r="U31" s="68">
        <f t="shared" ref="U31:V31" ca="1" si="38">SUM(U32:U51)</f>
        <v>83</v>
      </c>
      <c r="V31" s="68">
        <f t="shared" ca="1" si="38"/>
        <v>0</v>
      </c>
      <c r="W31" s="154">
        <f t="shared" ca="1" si="32"/>
        <v>0</v>
      </c>
      <c r="X31" s="68">
        <f t="shared" ref="X31:Y31" ca="1" si="39">SUM(X32:X51)</f>
        <v>83</v>
      </c>
      <c r="Y31" s="68">
        <f t="shared" ca="1" si="39"/>
        <v>0</v>
      </c>
      <c r="Z31" s="154">
        <f t="shared" ca="1" si="34"/>
        <v>0</v>
      </c>
    </row>
    <row r="32" spans="1:26" ht="21" customHeight="1" x14ac:dyDescent="0.3">
      <c r="A32" s="172">
        <v>1</v>
      </c>
      <c r="B32" s="173" t="s">
        <v>54</v>
      </c>
      <c r="C32" s="174">
        <f t="shared" ca="1" si="21"/>
        <v>0</v>
      </c>
      <c r="D32" s="175">
        <f t="shared" ref="D32:D51" ca="1" si="40">+E32+F32</f>
        <v>0</v>
      </c>
      <c r="E32" s="176">
        <f ca="1">IFERROR(__xludf.DUMMYFUNCTION("IMPORTRANGE(""https://docs.google.com/spreadsheets/d/1-uDff_7J0KD5mKrp0Vvzr7lt3OU09vwQwhkpOPPYv2Y/edit?usp=sharing"",""งบพรบ!AX32"")"),0)</f>
        <v>0</v>
      </c>
      <c r="F32" s="176">
        <f ca="1">IFERROR(__xludf.DUMMYFUNCTION("IMPORTRANGE(""https://docs.google.com/spreadsheets/d/1-uDff_7J0KD5mKrp0Vvzr7lt3OU09vwQwhkpOPPYv2Y/edit?usp=sharing"",""งบพรบ!AY32"")"),0)</f>
        <v>0</v>
      </c>
      <c r="G32" s="177">
        <f ca="1">IFERROR(__xludf.DUMMYFUNCTION("IMPORTRANGE(""https://docs.google.com/spreadsheets/d/1-uDff_7J0KD5mKrp0Vvzr7lt3OU09vwQwhkpOPPYv2Y/edit?usp=sharing"",""งบพรบ!AZ32"")"),0)</f>
        <v>0</v>
      </c>
      <c r="H32" s="177">
        <f ca="1">IFERROR(__xludf.DUMMYFUNCTION("IMPORTRANGE(""https://docs.google.com/spreadsheets/d/1-uDff_7J0KD5mKrp0Vvzr7lt3OU09vwQwhkpOPPYv2Y/edit?usp=sharing"",""งบพรบ!BB32"")"),0)</f>
        <v>0</v>
      </c>
      <c r="I32" s="177">
        <f ca="1">IFERROR(__xludf.DUMMYFUNCTION("IMPORTRANGE(""https://docs.google.com/spreadsheets/d/1-uDff_7J0KD5mKrp0Vvzr7lt3OU09vwQwhkpOPPYv2Y/edit?usp=sharing"",""งบพรบ!BC32"")"),0)</f>
        <v>0</v>
      </c>
      <c r="J32" s="177">
        <f t="shared" ca="1" si="23"/>
        <v>0</v>
      </c>
      <c r="K32" s="178">
        <f t="shared" ca="1" si="24"/>
        <v>0</v>
      </c>
      <c r="L32" s="177">
        <f ca="1">IFERROR(__xludf.DUMMYFUNCTION("IMPORTRANGE(""https://docs.google.com/spreadsheets/d/1-uDff_7J0KD5mKrp0Vvzr7lt3OU09vwQwhkpOPPYv2Y/edit?usp=sharing"",""งบพรบ!BD32"")"),0)</f>
        <v>0</v>
      </c>
      <c r="M32" s="179">
        <f t="shared" ca="1" si="25"/>
        <v>0</v>
      </c>
      <c r="N32" s="179">
        <f t="shared" ca="1" si="26"/>
        <v>0</v>
      </c>
      <c r="O32" s="180">
        <f ca="1">IFERROR(__xludf.DUMMYFUNCTION("IMPORTRANGE(""https://docs.google.com/spreadsheets/d/1-uDff_7J0KD5mKrp0Vvzr7lt3OU09vwQwhkpOPPYv2Y/edit?usp=sharing"",""งบพรบ!BE32"")"),0)</f>
        <v>0</v>
      </c>
      <c r="P32" s="180">
        <f t="shared" ca="1" si="27"/>
        <v>0</v>
      </c>
      <c r="Q32" s="179">
        <f t="shared" ca="1" si="28"/>
        <v>0</v>
      </c>
      <c r="R32" s="78">
        <f ca="1">IFERROR(__xludf.DUMMYFUNCTION("IMPORTRANGE(""https://docs.google.com/spreadsheets/d/1yhBcrRPreicbMKl9Bu_Snb2-OcQAF62RKfhTLhJ2eAA/edit?usp=sharing"",""กาฬสินธุ์!I108"")"),0)</f>
        <v>0</v>
      </c>
      <c r="S32" s="78">
        <f ca="1">IFERROR(__xludf.DUMMYFUNCTION("IMPORTRANGE(""https://docs.google.com/spreadsheets/d/1yhBcrRPreicbMKl9Bu_Snb2-OcQAF62RKfhTLhJ2eAA/edit?usp=sharing"",""กาฬสินธุ์!J108"")"),0)</f>
        <v>0</v>
      </c>
      <c r="T32" s="177">
        <f t="shared" ca="1" si="30"/>
        <v>0</v>
      </c>
      <c r="U32" s="78">
        <f ca="1">IFERROR(__xludf.DUMMYFUNCTION("IMPORTRANGE(""https://docs.google.com/spreadsheets/d/1yhBcrRPreicbMKl9Bu_Snb2-OcQAF62RKfhTLhJ2eAA/edit?usp=sharing"",""กาฬสินธุ์!I109"")"),0)</f>
        <v>0</v>
      </c>
      <c r="V32" s="78">
        <f ca="1">IFERROR(__xludf.DUMMYFUNCTION("IMPORTRANGE(""https://docs.google.com/spreadsheets/d/1yhBcrRPreicbMKl9Bu_Snb2-OcQAF62RKfhTLhJ2eAA/edit?usp=sharing"",""กาฬสินธุ์!J109"")"),0)</f>
        <v>0</v>
      </c>
      <c r="W32" s="177">
        <f t="shared" ca="1" si="32"/>
        <v>0</v>
      </c>
      <c r="X32" s="78">
        <f ca="1">IFERROR(__xludf.DUMMYFUNCTION("IMPORTRANGE(""https://docs.google.com/spreadsheets/d/1yhBcrRPreicbMKl9Bu_Snb2-OcQAF62RKfhTLhJ2eAA/edit?usp=sharing"",""กาฬสินธุ์!I117"")"),0)</f>
        <v>0</v>
      </c>
      <c r="Y32" s="78">
        <f ca="1">IFERROR(__xludf.DUMMYFUNCTION("IMPORTRANGE(""https://docs.google.com/spreadsheets/d/1yhBcrRPreicbMKl9Bu_Snb2-OcQAF62RKfhTLhJ2eAA/edit?usp=sharing"",""กาฬสินธุ์!J117"")"),0)</f>
        <v>0</v>
      </c>
      <c r="Z32" s="177">
        <f t="shared" ca="1" si="34"/>
        <v>0</v>
      </c>
    </row>
    <row r="33" spans="1:26" ht="21" customHeight="1" x14ac:dyDescent="0.3">
      <c r="A33" s="172">
        <v>2</v>
      </c>
      <c r="B33" s="173" t="s">
        <v>55</v>
      </c>
      <c r="C33" s="174">
        <f t="shared" ca="1" si="21"/>
        <v>72600</v>
      </c>
      <c r="D33" s="175">
        <f t="shared" ca="1" si="40"/>
        <v>72600</v>
      </c>
      <c r="E33" s="176">
        <f ca="1">IFERROR(__xludf.DUMMYFUNCTION("IMPORTRANGE(""https://docs.google.com/spreadsheets/d/1-uDff_7J0KD5mKrp0Vvzr7lt3OU09vwQwhkpOPPYv2Y/edit?usp=sharing"",""งบพรบ!AX33"")"),0)</f>
        <v>0</v>
      </c>
      <c r="F33" s="176">
        <f ca="1">IFERROR(__xludf.DUMMYFUNCTION("IMPORTRANGE(""https://docs.google.com/spreadsheets/d/1-uDff_7J0KD5mKrp0Vvzr7lt3OU09vwQwhkpOPPYv2Y/edit?usp=sharing"",""งบพรบ!AY33"")"),72600)</f>
        <v>72600</v>
      </c>
      <c r="G33" s="176">
        <f ca="1">IFERROR(__xludf.DUMMYFUNCTION("IMPORTRANGE(""https://docs.google.com/spreadsheets/d/1-uDff_7J0KD5mKrp0Vvzr7lt3OU09vwQwhkpOPPYv2Y/edit?usp=sharing"",""งบพรบ!AZ33"")"),0)</f>
        <v>0</v>
      </c>
      <c r="H33" s="176">
        <f ca="1">IFERROR(__xludf.DUMMYFUNCTION("IMPORTRANGE(""https://docs.google.com/spreadsheets/d/1-uDff_7J0KD5mKrp0Vvzr7lt3OU09vwQwhkpOPPYv2Y/edit?usp=sharing"",""งบพรบ!BB33"")"),72600)</f>
        <v>72600</v>
      </c>
      <c r="I33" s="176">
        <f ca="1">IFERROR(__xludf.DUMMYFUNCTION("IMPORTRANGE(""https://docs.google.com/spreadsheets/d/1-uDff_7J0KD5mKrp0Vvzr7lt3OU09vwQwhkpOPPYv2Y/edit?usp=sharing"",""งบพรบ!BC33"")"),0)</f>
        <v>0</v>
      </c>
      <c r="J33" s="176">
        <f t="shared" ca="1" si="23"/>
        <v>2440</v>
      </c>
      <c r="K33" s="181">
        <f t="shared" ca="1" si="24"/>
        <v>3.3608815426997247</v>
      </c>
      <c r="L33" s="176">
        <f ca="1">IFERROR(__xludf.DUMMYFUNCTION("IMPORTRANGE(""https://docs.google.com/spreadsheets/d/1-uDff_7J0KD5mKrp0Vvzr7lt3OU09vwQwhkpOPPYv2Y/edit?usp=sharing"",""งบพรบ!BD33"")"),2440)</f>
        <v>2440</v>
      </c>
      <c r="M33" s="179">
        <f t="shared" ca="1" si="25"/>
        <v>3.3608815426997247</v>
      </c>
      <c r="N33" s="179">
        <f t="shared" ca="1" si="26"/>
        <v>3.3608815426997247</v>
      </c>
      <c r="O33" s="180">
        <f ca="1">IFERROR(__xludf.DUMMYFUNCTION("IMPORTRANGE(""https://docs.google.com/spreadsheets/d/1-uDff_7J0KD5mKrp0Vvzr7lt3OU09vwQwhkpOPPYv2Y/edit?usp=sharing"",""งบพรบ!BE33"")"),0)</f>
        <v>0</v>
      </c>
      <c r="P33" s="180">
        <f t="shared" ca="1" si="27"/>
        <v>0</v>
      </c>
      <c r="Q33" s="179">
        <f t="shared" ca="1" si="28"/>
        <v>0</v>
      </c>
      <c r="R33" s="88">
        <f ca="1">IFERROR(__xludf.DUMMYFUNCTION("IMPORTRANGE(""https://docs.google.com/spreadsheets/d/1aHkj4IaQMThhwWwevcOymEh837vdxeC_PycurhTbGFA/edit?usp=sharing"",""ขอนแก่น!I108"")"),54)</f>
        <v>54</v>
      </c>
      <c r="S33" s="88">
        <f ca="1">IFERROR(__xludf.DUMMYFUNCTION("IMPORTRANGE(""https://docs.google.com/spreadsheets/d/1aHkj4IaQMThhwWwevcOymEh837vdxeC_PycurhTbGFA/edit?usp=sharing"",""ขอนแก่น!J108"")"),0)</f>
        <v>0</v>
      </c>
      <c r="T33" s="177">
        <f t="shared" ca="1" si="30"/>
        <v>0</v>
      </c>
      <c r="U33" s="88">
        <f ca="1">IFERROR(__xludf.DUMMYFUNCTION("IMPORTRANGE(""https://docs.google.com/spreadsheets/d/1aHkj4IaQMThhwWwevcOymEh837vdxeC_PycurhTbGFA/edit?usp=sharing"",""ขอนแก่น!I109"")"),18)</f>
        <v>18</v>
      </c>
      <c r="V33" s="88">
        <f ca="1">IFERROR(__xludf.DUMMYFUNCTION("IMPORTRANGE(""https://docs.google.com/spreadsheets/d/1aHkj4IaQMThhwWwevcOymEh837vdxeC_PycurhTbGFA/edit?usp=sharing"",""ขอนแก่น!J109"")"),0)</f>
        <v>0</v>
      </c>
      <c r="W33" s="177">
        <f t="shared" ca="1" si="32"/>
        <v>0</v>
      </c>
      <c r="X33" s="88">
        <f ca="1">IFERROR(__xludf.DUMMYFUNCTION("IMPORTRANGE(""https://docs.google.com/spreadsheets/d/1aHkj4IaQMThhwWwevcOymEh837vdxeC_PycurhTbGFA/edit?usp=sharing"",""ขอนแก่น!I117"")"),18)</f>
        <v>18</v>
      </c>
      <c r="Y33" s="88">
        <f ca="1">IFERROR(__xludf.DUMMYFUNCTION("IMPORTRANGE(""https://docs.google.com/spreadsheets/d/1aHkj4IaQMThhwWwevcOymEh837vdxeC_PycurhTbGFA/edit?usp=sharing"",""ขอนแก่น!J117"")"),0)</f>
        <v>0</v>
      </c>
      <c r="Z33" s="177">
        <f t="shared" ca="1" si="34"/>
        <v>0</v>
      </c>
    </row>
    <row r="34" spans="1:26" ht="21" customHeight="1" x14ac:dyDescent="0.3">
      <c r="A34" s="172">
        <v>3</v>
      </c>
      <c r="B34" s="173" t="s">
        <v>56</v>
      </c>
      <c r="C34" s="174">
        <f t="shared" ca="1" si="21"/>
        <v>0</v>
      </c>
      <c r="D34" s="175">
        <f t="shared" ca="1" si="40"/>
        <v>0</v>
      </c>
      <c r="E34" s="176">
        <f ca="1">IFERROR(__xludf.DUMMYFUNCTION("IMPORTRANGE(""https://docs.google.com/spreadsheets/d/1-uDff_7J0KD5mKrp0Vvzr7lt3OU09vwQwhkpOPPYv2Y/edit?usp=sharing"",""งบพรบ!AX34"")"),0)</f>
        <v>0</v>
      </c>
      <c r="F34" s="176">
        <f ca="1">IFERROR(__xludf.DUMMYFUNCTION("IMPORTRANGE(""https://docs.google.com/spreadsheets/d/1-uDff_7J0KD5mKrp0Vvzr7lt3OU09vwQwhkpOPPYv2Y/edit?usp=sharing"",""งบพรบ!AY34"")"),0)</f>
        <v>0</v>
      </c>
      <c r="G34" s="176">
        <f ca="1">IFERROR(__xludf.DUMMYFUNCTION("IMPORTRANGE(""https://docs.google.com/spreadsheets/d/1-uDff_7J0KD5mKrp0Vvzr7lt3OU09vwQwhkpOPPYv2Y/edit?usp=sharing"",""งบพรบ!AZ34"")"),0)</f>
        <v>0</v>
      </c>
      <c r="H34" s="176">
        <f ca="1">IFERROR(__xludf.DUMMYFUNCTION("IMPORTRANGE(""https://docs.google.com/spreadsheets/d/1-uDff_7J0KD5mKrp0Vvzr7lt3OU09vwQwhkpOPPYv2Y/edit?usp=sharing"",""งบพรบ!BB34"")"),0)</f>
        <v>0</v>
      </c>
      <c r="I34" s="176">
        <f ca="1">IFERROR(__xludf.DUMMYFUNCTION("IMPORTRANGE(""https://docs.google.com/spreadsheets/d/1-uDff_7J0KD5mKrp0Vvzr7lt3OU09vwQwhkpOPPYv2Y/edit?usp=sharing"",""งบพรบ!BC34"")"),0)</f>
        <v>0</v>
      </c>
      <c r="J34" s="176">
        <f t="shared" ca="1" si="23"/>
        <v>0</v>
      </c>
      <c r="K34" s="181">
        <f t="shared" ca="1" si="24"/>
        <v>0</v>
      </c>
      <c r="L34" s="176">
        <f ca="1">IFERROR(__xludf.DUMMYFUNCTION("IMPORTRANGE(""https://docs.google.com/spreadsheets/d/1-uDff_7J0KD5mKrp0Vvzr7lt3OU09vwQwhkpOPPYv2Y/edit?usp=sharing"",""งบพรบ!BD34"")"),0)</f>
        <v>0</v>
      </c>
      <c r="M34" s="179">
        <f t="shared" ca="1" si="25"/>
        <v>0</v>
      </c>
      <c r="N34" s="179">
        <f t="shared" ca="1" si="26"/>
        <v>0</v>
      </c>
      <c r="O34" s="180">
        <f ca="1">IFERROR(__xludf.DUMMYFUNCTION("IMPORTRANGE(""https://docs.google.com/spreadsheets/d/1-uDff_7J0KD5mKrp0Vvzr7lt3OU09vwQwhkpOPPYv2Y/edit?usp=sharing"",""งบพรบ!BE34"")"),0)</f>
        <v>0</v>
      </c>
      <c r="P34" s="180">
        <f t="shared" ca="1" si="27"/>
        <v>0</v>
      </c>
      <c r="Q34" s="179">
        <f t="shared" ca="1" si="28"/>
        <v>0</v>
      </c>
      <c r="R34" s="88">
        <f ca="1">IFERROR(__xludf.DUMMYFUNCTION("IMPORTRANGE(""https://docs.google.com/spreadsheets/d/1FvTu2DsIWUjP6WCWra38Bkj_oOl_sOMf14r5Fg5srxU/edit?usp=sharing"",""ชัยภูมิ!I108"")"),0)</f>
        <v>0</v>
      </c>
      <c r="S34" s="88">
        <f ca="1">IFERROR(__xludf.DUMMYFUNCTION("IMPORTRANGE(""https://docs.google.com/spreadsheets/d/1FvTu2DsIWUjP6WCWra38Bkj_oOl_sOMf14r5Fg5srxU/edit?usp=sharing"",""ชัยภูมิ!J108"")"),0)</f>
        <v>0</v>
      </c>
      <c r="T34" s="177">
        <f t="shared" ca="1" si="30"/>
        <v>0</v>
      </c>
      <c r="U34" s="88">
        <f ca="1">IFERROR(__xludf.DUMMYFUNCTION("IMPORTRANGE(""https://docs.google.com/spreadsheets/d/1FvTu2DsIWUjP6WCWra38Bkj_oOl_sOMf14r5Fg5srxU/edit?usp=sharing"",""ชัยภูมิ!I109"")"),0)</f>
        <v>0</v>
      </c>
      <c r="V34" s="88">
        <f ca="1">IFERROR(__xludf.DUMMYFUNCTION("IMPORTRANGE(""https://docs.google.com/spreadsheets/d/1FvTu2DsIWUjP6WCWra38Bkj_oOl_sOMf14r5Fg5srxU/edit?usp=sharing"",""ชัยภูมิ!J109"")"),0)</f>
        <v>0</v>
      </c>
      <c r="W34" s="177">
        <f t="shared" ca="1" si="32"/>
        <v>0</v>
      </c>
      <c r="X34" s="88">
        <f ca="1">IFERROR(__xludf.DUMMYFUNCTION("IMPORTRANGE(""https://docs.google.com/spreadsheets/d/1FvTu2DsIWUjP6WCWra38Bkj_oOl_sOMf14r5Fg5srxU/edit?usp=sharing"",""ชัยภูมิ!I117"")"),0)</f>
        <v>0</v>
      </c>
      <c r="Y34" s="88">
        <f ca="1">IFERROR(__xludf.DUMMYFUNCTION("IMPORTRANGE(""https://docs.google.com/spreadsheets/d/1FvTu2DsIWUjP6WCWra38Bkj_oOl_sOMf14r5Fg5srxU/edit?usp=sharing"",""ชัยภูมิ!J117"")"),0)</f>
        <v>0</v>
      </c>
      <c r="Z34" s="177">
        <f t="shared" ca="1" si="34"/>
        <v>0</v>
      </c>
    </row>
    <row r="35" spans="1:26" ht="21" customHeight="1" x14ac:dyDescent="0.3">
      <c r="A35" s="172">
        <v>4</v>
      </c>
      <c r="B35" s="173" t="s">
        <v>57</v>
      </c>
      <c r="C35" s="174">
        <f t="shared" ca="1" si="21"/>
        <v>0</v>
      </c>
      <c r="D35" s="175">
        <f t="shared" ca="1" si="40"/>
        <v>0</v>
      </c>
      <c r="E35" s="176">
        <f ca="1">IFERROR(__xludf.DUMMYFUNCTION("IMPORTRANGE(""https://docs.google.com/spreadsheets/d/1-uDff_7J0KD5mKrp0Vvzr7lt3OU09vwQwhkpOPPYv2Y/edit?usp=sharing"",""งบพรบ!AX35"")"),0)</f>
        <v>0</v>
      </c>
      <c r="F35" s="176">
        <f ca="1">IFERROR(__xludf.DUMMYFUNCTION("IMPORTRANGE(""https://docs.google.com/spreadsheets/d/1-uDff_7J0KD5mKrp0Vvzr7lt3OU09vwQwhkpOPPYv2Y/edit?usp=sharing"",""งบพรบ!AY35"")"),0)</f>
        <v>0</v>
      </c>
      <c r="G35" s="176">
        <f ca="1">IFERROR(__xludf.DUMMYFUNCTION("IMPORTRANGE(""https://docs.google.com/spreadsheets/d/1-uDff_7J0KD5mKrp0Vvzr7lt3OU09vwQwhkpOPPYv2Y/edit?usp=sharing"",""งบพรบ!AZ35"")"),0)</f>
        <v>0</v>
      </c>
      <c r="H35" s="176">
        <f ca="1">IFERROR(__xludf.DUMMYFUNCTION("IMPORTRANGE(""https://docs.google.com/spreadsheets/d/1-uDff_7J0KD5mKrp0Vvzr7lt3OU09vwQwhkpOPPYv2Y/edit?usp=sharing"",""งบพรบ!BB35"")"),0)</f>
        <v>0</v>
      </c>
      <c r="I35" s="176">
        <f ca="1">IFERROR(__xludf.DUMMYFUNCTION("IMPORTRANGE(""https://docs.google.com/spreadsheets/d/1-uDff_7J0KD5mKrp0Vvzr7lt3OU09vwQwhkpOPPYv2Y/edit?usp=sharing"",""งบพรบ!BC35"")"),0)</f>
        <v>0</v>
      </c>
      <c r="J35" s="176">
        <f t="shared" ca="1" si="23"/>
        <v>0</v>
      </c>
      <c r="K35" s="181">
        <f t="shared" ca="1" si="24"/>
        <v>0</v>
      </c>
      <c r="L35" s="176">
        <f ca="1">IFERROR(__xludf.DUMMYFUNCTION("IMPORTRANGE(""https://docs.google.com/spreadsheets/d/1-uDff_7J0KD5mKrp0Vvzr7lt3OU09vwQwhkpOPPYv2Y/edit?usp=sharing"",""งบพรบ!BD35"")"),0)</f>
        <v>0</v>
      </c>
      <c r="M35" s="179">
        <f t="shared" ca="1" si="25"/>
        <v>0</v>
      </c>
      <c r="N35" s="179">
        <f t="shared" ca="1" si="26"/>
        <v>0</v>
      </c>
      <c r="O35" s="180">
        <f ca="1">IFERROR(__xludf.DUMMYFUNCTION("IMPORTRANGE(""https://docs.google.com/spreadsheets/d/1-uDff_7J0KD5mKrp0Vvzr7lt3OU09vwQwhkpOPPYv2Y/edit?usp=sharing"",""งบพรบ!BE35"")"),0)</f>
        <v>0</v>
      </c>
      <c r="P35" s="180">
        <f t="shared" ca="1" si="27"/>
        <v>0</v>
      </c>
      <c r="Q35" s="179">
        <f t="shared" ca="1" si="28"/>
        <v>0</v>
      </c>
      <c r="R35" s="88">
        <f ca="1">IFERROR(__xludf.DUMMYFUNCTION("IMPORTRANGE(""https://docs.google.com/spreadsheets/d/1XVB7oCJ3pr-vBUdflwPQ8Z2LlzhnCvZaaYjAfP-647E/edit?usp=sharing"",""นครพนม!I108"")"),0)</f>
        <v>0</v>
      </c>
      <c r="S35" s="88">
        <f ca="1">IFERROR(__xludf.DUMMYFUNCTION("IMPORTRANGE(""https://docs.google.com/spreadsheets/d/1XVB7oCJ3pr-vBUdflwPQ8Z2LlzhnCvZaaYjAfP-647E/edit?usp=sharing"",""นครพนม!J108"")"),0)</f>
        <v>0</v>
      </c>
      <c r="T35" s="177">
        <f t="shared" ca="1" si="30"/>
        <v>0</v>
      </c>
      <c r="U35" s="88">
        <f ca="1">IFERROR(__xludf.DUMMYFUNCTION("IMPORTRANGE(""https://docs.google.com/spreadsheets/d/1XVB7oCJ3pr-vBUdflwPQ8Z2LlzhnCvZaaYjAfP-647E/edit?usp=sharing"",""นครพนม!I109"")"),0)</f>
        <v>0</v>
      </c>
      <c r="V35" s="88">
        <f ca="1">IFERROR(__xludf.DUMMYFUNCTION("IMPORTRANGE(""https://docs.google.com/spreadsheets/d/1XVB7oCJ3pr-vBUdflwPQ8Z2LlzhnCvZaaYjAfP-647E/edit?usp=sharing"",""นครพนม!J109"")"),0)</f>
        <v>0</v>
      </c>
      <c r="W35" s="177">
        <f t="shared" ca="1" si="32"/>
        <v>0</v>
      </c>
      <c r="X35" s="88">
        <f ca="1">IFERROR(__xludf.DUMMYFUNCTION("IMPORTRANGE(""https://docs.google.com/spreadsheets/d/1XVB7oCJ3pr-vBUdflwPQ8Z2LlzhnCvZaaYjAfP-647E/edit?usp=sharing"",""นครพนม!I117"")"),0)</f>
        <v>0</v>
      </c>
      <c r="Y35" s="88">
        <f ca="1">IFERROR(__xludf.DUMMYFUNCTION("IMPORTRANGE(""https://docs.google.com/spreadsheets/d/1XVB7oCJ3pr-vBUdflwPQ8Z2LlzhnCvZaaYjAfP-647E/edit?usp=sharing"",""นครพนม!J117"")"),0)</f>
        <v>0</v>
      </c>
      <c r="Z35" s="177">
        <f t="shared" ca="1" si="34"/>
        <v>0</v>
      </c>
    </row>
    <row r="36" spans="1:26" ht="21" customHeight="1" x14ac:dyDescent="0.3">
      <c r="A36" s="172">
        <v>5</v>
      </c>
      <c r="B36" s="173" t="s">
        <v>58</v>
      </c>
      <c r="C36" s="174">
        <f t="shared" ca="1" si="21"/>
        <v>0</v>
      </c>
      <c r="D36" s="175">
        <f t="shared" ca="1" si="40"/>
        <v>0</v>
      </c>
      <c r="E36" s="176">
        <f ca="1">IFERROR(__xludf.DUMMYFUNCTION("IMPORTRANGE(""https://docs.google.com/spreadsheets/d/1-uDff_7J0KD5mKrp0Vvzr7lt3OU09vwQwhkpOPPYv2Y/edit?usp=sharing"",""งบพรบ!AX36"")"),0)</f>
        <v>0</v>
      </c>
      <c r="F36" s="176">
        <f ca="1">IFERROR(__xludf.DUMMYFUNCTION("IMPORTRANGE(""https://docs.google.com/spreadsheets/d/1-uDff_7J0KD5mKrp0Vvzr7lt3OU09vwQwhkpOPPYv2Y/edit?usp=sharing"",""งบพรบ!AY36"")"),0)</f>
        <v>0</v>
      </c>
      <c r="G36" s="176">
        <f ca="1">IFERROR(__xludf.DUMMYFUNCTION("IMPORTRANGE(""https://docs.google.com/spreadsheets/d/1-uDff_7J0KD5mKrp0Vvzr7lt3OU09vwQwhkpOPPYv2Y/edit?usp=sharing"",""งบพรบ!AZ36"")"),0)</f>
        <v>0</v>
      </c>
      <c r="H36" s="176">
        <f ca="1">IFERROR(__xludf.DUMMYFUNCTION("IMPORTRANGE(""https://docs.google.com/spreadsheets/d/1-uDff_7J0KD5mKrp0Vvzr7lt3OU09vwQwhkpOPPYv2Y/edit?usp=sharing"",""งบพรบ!BB36"")"),0)</f>
        <v>0</v>
      </c>
      <c r="I36" s="176">
        <f ca="1">IFERROR(__xludf.DUMMYFUNCTION("IMPORTRANGE(""https://docs.google.com/spreadsheets/d/1-uDff_7J0KD5mKrp0Vvzr7lt3OU09vwQwhkpOPPYv2Y/edit?usp=sharing"",""งบพรบ!BC36"")"),0)</f>
        <v>0</v>
      </c>
      <c r="J36" s="176">
        <f t="shared" ca="1" si="23"/>
        <v>0</v>
      </c>
      <c r="K36" s="181">
        <f t="shared" ca="1" si="24"/>
        <v>0</v>
      </c>
      <c r="L36" s="176">
        <f ca="1">IFERROR(__xludf.DUMMYFUNCTION("IMPORTRANGE(""https://docs.google.com/spreadsheets/d/1-uDff_7J0KD5mKrp0Vvzr7lt3OU09vwQwhkpOPPYv2Y/edit?usp=sharing"",""งบพรบ!BD36"")"),0)</f>
        <v>0</v>
      </c>
      <c r="M36" s="179">
        <f t="shared" ca="1" si="25"/>
        <v>0</v>
      </c>
      <c r="N36" s="179">
        <f t="shared" ca="1" si="26"/>
        <v>0</v>
      </c>
      <c r="O36" s="180">
        <f ca="1">IFERROR(__xludf.DUMMYFUNCTION("IMPORTRANGE(""https://docs.google.com/spreadsheets/d/1-uDff_7J0KD5mKrp0Vvzr7lt3OU09vwQwhkpOPPYv2Y/edit?usp=sharing"",""งบพรบ!BE36"")"),0)</f>
        <v>0</v>
      </c>
      <c r="P36" s="180">
        <f t="shared" ca="1" si="27"/>
        <v>0</v>
      </c>
      <c r="Q36" s="179">
        <f t="shared" ca="1" si="28"/>
        <v>0</v>
      </c>
      <c r="R36" s="88">
        <f ca="1">IFERROR(__xludf.DUMMYFUNCTION("IMPORTRANGE(""https://docs.google.com/spreadsheets/d/1Mnpb-8PYAgn85W6KOTD40hc_Xc55CaLfHoGAbrZ8tls/edit?usp=sharing"",""นครราชสีมา!I108"")"),0)</f>
        <v>0</v>
      </c>
      <c r="S36" s="88">
        <f ca="1">IFERROR(__xludf.DUMMYFUNCTION("IMPORTRANGE(""https://docs.google.com/spreadsheets/d/1Mnpb-8PYAgn85W6KOTD40hc_Xc55CaLfHoGAbrZ8tls/edit?usp=sharing"",""นครราชสีมา!J108"")"),0)</f>
        <v>0</v>
      </c>
      <c r="T36" s="177">
        <f t="shared" ca="1" si="30"/>
        <v>0</v>
      </c>
      <c r="U36" s="88">
        <f ca="1">IFERROR(__xludf.DUMMYFUNCTION("IMPORTRANGE(""https://docs.google.com/spreadsheets/d/1Mnpb-8PYAgn85W6KOTD40hc_Xc55CaLfHoGAbrZ8tls/edit?usp=sharing"",""นครราชสีมา!I109"")"),0)</f>
        <v>0</v>
      </c>
      <c r="V36" s="88">
        <f ca="1">IFERROR(__xludf.DUMMYFUNCTION("IMPORTRANGE(""https://docs.google.com/spreadsheets/d/1Mnpb-8PYAgn85W6KOTD40hc_Xc55CaLfHoGAbrZ8tls/edit?usp=sharing"",""นครราชสีมา!J109"")"),0)</f>
        <v>0</v>
      </c>
      <c r="W36" s="177">
        <f t="shared" ca="1" si="32"/>
        <v>0</v>
      </c>
      <c r="X36" s="88">
        <f ca="1">IFERROR(__xludf.DUMMYFUNCTION("IMPORTRANGE(""https://docs.google.com/spreadsheets/d/1Mnpb-8PYAgn85W6KOTD40hc_Xc55CaLfHoGAbrZ8tls/edit?usp=sharing"",""นครราชสีมา!I117"")"),0)</f>
        <v>0</v>
      </c>
      <c r="Y36" s="88">
        <f ca="1">IFERROR(__xludf.DUMMYFUNCTION("IMPORTRANGE(""https://docs.google.com/spreadsheets/d/1Mnpb-8PYAgn85W6KOTD40hc_Xc55CaLfHoGAbrZ8tls/edit?usp=sharing"",""นครราชสีมา!J117"")"),0)</f>
        <v>0</v>
      </c>
      <c r="Z36" s="177">
        <f t="shared" ca="1" si="34"/>
        <v>0</v>
      </c>
    </row>
    <row r="37" spans="1:26" ht="21" customHeight="1" x14ac:dyDescent="0.3">
      <c r="A37" s="172">
        <v>6</v>
      </c>
      <c r="B37" s="173" t="s">
        <v>59</v>
      </c>
      <c r="C37" s="174">
        <f t="shared" ca="1" si="21"/>
        <v>151000</v>
      </c>
      <c r="D37" s="175">
        <f t="shared" ca="1" si="40"/>
        <v>151000</v>
      </c>
      <c r="E37" s="176">
        <f ca="1">IFERROR(__xludf.DUMMYFUNCTION("IMPORTRANGE(""https://docs.google.com/spreadsheets/d/1-uDff_7J0KD5mKrp0Vvzr7lt3OU09vwQwhkpOPPYv2Y/edit?usp=sharing"",""งบพรบ!AX37"")"),81100)</f>
        <v>81100</v>
      </c>
      <c r="F37" s="176">
        <f ca="1">IFERROR(__xludf.DUMMYFUNCTION("IMPORTRANGE(""https://docs.google.com/spreadsheets/d/1-uDff_7J0KD5mKrp0Vvzr7lt3OU09vwQwhkpOPPYv2Y/edit?usp=sharing"",""งบพรบ!AY37"")"),69900)</f>
        <v>69900</v>
      </c>
      <c r="G37" s="176">
        <f ca="1">IFERROR(__xludf.DUMMYFUNCTION("IMPORTRANGE(""https://docs.google.com/spreadsheets/d/1-uDff_7J0KD5mKrp0Vvzr7lt3OU09vwQwhkpOPPYv2Y/edit?usp=sharing"",""งบพรบ!AZ37"")"),0)</f>
        <v>0</v>
      </c>
      <c r="H37" s="176">
        <f ca="1">IFERROR(__xludf.DUMMYFUNCTION("IMPORTRANGE(""https://docs.google.com/spreadsheets/d/1-uDff_7J0KD5mKrp0Vvzr7lt3OU09vwQwhkpOPPYv2Y/edit?usp=sharing"",""งบพรบ!BB37"")"),127900)</f>
        <v>127900</v>
      </c>
      <c r="I37" s="176">
        <f ca="1">IFERROR(__xludf.DUMMYFUNCTION("IMPORTRANGE(""https://docs.google.com/spreadsheets/d/1-uDff_7J0KD5mKrp0Vvzr7lt3OU09vwQwhkpOPPYv2Y/edit?usp=sharing"",""งบพรบ!BC37"")"),0)</f>
        <v>0</v>
      </c>
      <c r="J37" s="176">
        <f t="shared" ca="1" si="23"/>
        <v>0</v>
      </c>
      <c r="K37" s="181">
        <f t="shared" ca="1" si="24"/>
        <v>0</v>
      </c>
      <c r="L37" s="176">
        <f ca="1">IFERROR(__xludf.DUMMYFUNCTION("IMPORTRANGE(""https://docs.google.com/spreadsheets/d/1-uDff_7J0KD5mKrp0Vvzr7lt3OU09vwQwhkpOPPYv2Y/edit?usp=sharing"",""งบพรบ!BD37"")"),0)</f>
        <v>0</v>
      </c>
      <c r="M37" s="179">
        <f t="shared" ca="1" si="25"/>
        <v>0</v>
      </c>
      <c r="N37" s="179">
        <f t="shared" ca="1" si="26"/>
        <v>0</v>
      </c>
      <c r="O37" s="180">
        <f ca="1">IFERROR(__xludf.DUMMYFUNCTION("IMPORTRANGE(""https://docs.google.com/spreadsheets/d/1-uDff_7J0KD5mKrp0Vvzr7lt3OU09vwQwhkpOPPYv2Y/edit?usp=sharing"",""งบพรบ!BE37"")"),0)</f>
        <v>0</v>
      </c>
      <c r="P37" s="180">
        <f t="shared" ca="1" si="27"/>
        <v>0</v>
      </c>
      <c r="Q37" s="179">
        <f t="shared" ca="1" si="28"/>
        <v>0</v>
      </c>
      <c r="R37" s="88">
        <f ca="1">IFERROR(__xludf.DUMMYFUNCTION("IMPORTRANGE(""https://docs.google.com/spreadsheets/d/1xoDLGBv9CYbyosIhki0kTq6IpYNj-gpjxfobnaDiut0/edit?usp=sharing"",""บึงกาฬ!I108"")"),51)</f>
        <v>51</v>
      </c>
      <c r="S37" s="88">
        <f ca="1">IFERROR(__xludf.DUMMYFUNCTION("IMPORTRANGE(""https://docs.google.com/spreadsheets/d/1xoDLGBv9CYbyosIhki0kTq6IpYNj-gpjxfobnaDiut0/edit?usp=sharing"",""บึงกาฬ!J108"")"),0)</f>
        <v>0</v>
      </c>
      <c r="T37" s="177">
        <f t="shared" ca="1" si="30"/>
        <v>0</v>
      </c>
      <c r="U37" s="88">
        <f ca="1">IFERROR(__xludf.DUMMYFUNCTION("IMPORTRANGE(""https://docs.google.com/spreadsheets/d/1xoDLGBv9CYbyosIhki0kTq6IpYNj-gpjxfobnaDiut0/edit?usp=sharing"",""บึงกาฬ!I109"")"),17)</f>
        <v>17</v>
      </c>
      <c r="V37" s="88">
        <f ca="1">IFERROR(__xludf.DUMMYFUNCTION("IMPORTRANGE(""https://docs.google.com/spreadsheets/d/1xoDLGBv9CYbyosIhki0kTq6IpYNj-gpjxfobnaDiut0/edit?usp=sharing"",""บึงกาฬ!J109"")"),0)</f>
        <v>0</v>
      </c>
      <c r="W37" s="177">
        <f t="shared" ca="1" si="32"/>
        <v>0</v>
      </c>
      <c r="X37" s="88">
        <f ca="1">IFERROR(__xludf.DUMMYFUNCTION("IMPORTRANGE(""https://docs.google.com/spreadsheets/d/1xoDLGBv9CYbyosIhki0kTq6IpYNj-gpjxfobnaDiut0/edit?usp=sharing"",""บึงกาฬ!I117"")"),17)</f>
        <v>17</v>
      </c>
      <c r="Y37" s="88">
        <f ca="1">IFERROR(__xludf.DUMMYFUNCTION("IMPORTRANGE(""https://docs.google.com/spreadsheets/d/1xoDLGBv9CYbyosIhki0kTq6IpYNj-gpjxfobnaDiut0/edit?usp=sharing"",""บึงกาฬ!J117"")"),0)</f>
        <v>0</v>
      </c>
      <c r="Z37" s="177">
        <f t="shared" ca="1" si="34"/>
        <v>0</v>
      </c>
    </row>
    <row r="38" spans="1:26" ht="21" customHeight="1" x14ac:dyDescent="0.3">
      <c r="A38" s="172">
        <v>7</v>
      </c>
      <c r="B38" s="173" t="s">
        <v>60</v>
      </c>
      <c r="C38" s="174">
        <f t="shared" ca="1" si="21"/>
        <v>134400</v>
      </c>
      <c r="D38" s="175">
        <f t="shared" ca="1" si="40"/>
        <v>134400</v>
      </c>
      <c r="E38" s="176">
        <f ca="1">IFERROR(__xludf.DUMMYFUNCTION("IMPORTRANGE(""https://docs.google.com/spreadsheets/d/1-uDff_7J0KD5mKrp0Vvzr7lt3OU09vwQwhkpOPPYv2Y/edit?usp=sharing"",""งบพรบ!AX38"")"),83400)</f>
        <v>83400</v>
      </c>
      <c r="F38" s="176">
        <f ca="1">IFERROR(__xludf.DUMMYFUNCTION("IMPORTRANGE(""https://docs.google.com/spreadsheets/d/1-uDff_7J0KD5mKrp0Vvzr7lt3OU09vwQwhkpOPPYv2Y/edit?usp=sharing"",""งบพรบ!AY38"")"),51000)</f>
        <v>51000</v>
      </c>
      <c r="G38" s="176">
        <f ca="1">IFERROR(__xludf.DUMMYFUNCTION("IMPORTRANGE(""https://docs.google.com/spreadsheets/d/1-uDff_7J0KD5mKrp0Vvzr7lt3OU09vwQwhkpOPPYv2Y/edit?usp=sharing"",""งบพรบ!AZ38"")"),0)</f>
        <v>0</v>
      </c>
      <c r="H38" s="176">
        <f ca="1">IFERROR(__xludf.DUMMYFUNCTION("IMPORTRANGE(""https://docs.google.com/spreadsheets/d/1-uDff_7J0KD5mKrp0Vvzr7lt3OU09vwQwhkpOPPYv2Y/edit?usp=sharing"",""งบพรบ!BB38"")"),111000)</f>
        <v>111000</v>
      </c>
      <c r="I38" s="176">
        <f ca="1">IFERROR(__xludf.DUMMYFUNCTION("IMPORTRANGE(""https://docs.google.com/spreadsheets/d/1-uDff_7J0KD5mKrp0Vvzr7lt3OU09vwQwhkpOPPYv2Y/edit?usp=sharing"",""งบพรบ!BC38"")"),0)</f>
        <v>0</v>
      </c>
      <c r="J38" s="176">
        <f t="shared" ca="1" si="23"/>
        <v>29981.5</v>
      </c>
      <c r="K38" s="181">
        <f t="shared" ca="1" si="24"/>
        <v>22.30766369047619</v>
      </c>
      <c r="L38" s="176">
        <f ca="1">IFERROR(__xludf.DUMMYFUNCTION("IMPORTRANGE(""https://docs.google.com/spreadsheets/d/1-uDff_7J0KD5mKrp0Vvzr7lt3OU09vwQwhkpOPPYv2Y/edit?usp=sharing"",""งบพรบ!BD38"")"),29981.5)</f>
        <v>29981.5</v>
      </c>
      <c r="M38" s="179">
        <f t="shared" ca="1" si="25"/>
        <v>22.30766369047619</v>
      </c>
      <c r="N38" s="179">
        <f t="shared" ca="1" si="26"/>
        <v>27.010360360360359</v>
      </c>
      <c r="O38" s="180">
        <f ca="1">IFERROR(__xludf.DUMMYFUNCTION("IMPORTRANGE(""https://docs.google.com/spreadsheets/d/1-uDff_7J0KD5mKrp0Vvzr7lt3OU09vwQwhkpOPPYv2Y/edit?usp=sharing"",""งบพรบ!BE38"")"),0)</f>
        <v>0</v>
      </c>
      <c r="P38" s="180">
        <f t="shared" ca="1" si="27"/>
        <v>0</v>
      </c>
      <c r="Q38" s="179">
        <f t="shared" ca="1" si="28"/>
        <v>0</v>
      </c>
      <c r="R38" s="92">
        <f ca="1">IFERROR(__xludf.DUMMYFUNCTION("IMPORTRANGE(""https://docs.google.com/spreadsheets/d/1MMPq-JyI6DSgQETxuSiXkesP-P7JHuemnE6QJIa-Nlw/edit?usp=sharing"",""บุรีรัมย์!I108"")"),30)</f>
        <v>30</v>
      </c>
      <c r="S38" s="92">
        <f ca="1">IFERROR(__xludf.DUMMYFUNCTION("IMPORTRANGE(""https://docs.google.com/spreadsheets/d/1MMPq-JyI6DSgQETxuSiXkesP-P7JHuemnE6QJIa-Nlw/edit?usp=sharing"",""บุรีรัมย์!J108"")"),0)</f>
        <v>0</v>
      </c>
      <c r="T38" s="177">
        <f t="shared" ca="1" si="30"/>
        <v>0</v>
      </c>
      <c r="U38" s="92">
        <f ca="1">IFERROR(__xludf.DUMMYFUNCTION("IMPORTRANGE(""https://docs.google.com/spreadsheets/d/1MMPq-JyI6DSgQETxuSiXkesP-P7JHuemnE6QJIa-Nlw/edit?usp=sharing"",""บุรีรัมย์!I109"")"),10)</f>
        <v>10</v>
      </c>
      <c r="V38" s="92">
        <f ca="1">IFERROR(__xludf.DUMMYFUNCTION("IMPORTRANGE(""https://docs.google.com/spreadsheets/d/1MMPq-JyI6DSgQETxuSiXkesP-P7JHuemnE6QJIa-Nlw/edit?usp=sharing"",""บุรีรัมย์!J109"")"),0)</f>
        <v>0</v>
      </c>
      <c r="W38" s="177">
        <f t="shared" ca="1" si="32"/>
        <v>0</v>
      </c>
      <c r="X38" s="92">
        <f ca="1">IFERROR(__xludf.DUMMYFUNCTION("IMPORTRANGE(""https://docs.google.com/spreadsheets/d/1MMPq-JyI6DSgQETxuSiXkesP-P7JHuemnE6QJIa-Nlw/edit?usp=sharing"",""บุรีรัมย์!I117"")"),10)</f>
        <v>10</v>
      </c>
      <c r="Y38" s="92">
        <f ca="1">IFERROR(__xludf.DUMMYFUNCTION("IMPORTRANGE(""https://docs.google.com/spreadsheets/d/1MMPq-JyI6DSgQETxuSiXkesP-P7JHuemnE6QJIa-Nlw/edit?usp=sharing"",""บุรีรัมย์!J117"")"),0)</f>
        <v>0</v>
      </c>
      <c r="Z38" s="177">
        <f t="shared" ca="1" si="34"/>
        <v>0</v>
      </c>
    </row>
    <row r="39" spans="1:26" ht="21" customHeight="1" x14ac:dyDescent="0.3">
      <c r="A39" s="172">
        <v>8</v>
      </c>
      <c r="B39" s="173" t="s">
        <v>61</v>
      </c>
      <c r="C39" s="174">
        <f t="shared" ca="1" si="21"/>
        <v>51000</v>
      </c>
      <c r="D39" s="175">
        <f t="shared" ca="1" si="40"/>
        <v>51000</v>
      </c>
      <c r="E39" s="176">
        <f ca="1">IFERROR(__xludf.DUMMYFUNCTION("IMPORTRANGE(""https://docs.google.com/spreadsheets/d/1-uDff_7J0KD5mKrp0Vvzr7lt3OU09vwQwhkpOPPYv2Y/edit?usp=sharing"",""งบพรบ!AX39"")"),0)</f>
        <v>0</v>
      </c>
      <c r="F39" s="176">
        <f ca="1">IFERROR(__xludf.DUMMYFUNCTION("IMPORTRANGE(""https://docs.google.com/spreadsheets/d/1-uDff_7J0KD5mKrp0Vvzr7lt3OU09vwQwhkpOPPYv2Y/edit?usp=sharing"",""งบพรบ!AY39"")"),51000)</f>
        <v>51000</v>
      </c>
      <c r="G39" s="176">
        <f ca="1">IFERROR(__xludf.DUMMYFUNCTION("IMPORTRANGE(""https://docs.google.com/spreadsheets/d/1-uDff_7J0KD5mKrp0Vvzr7lt3OU09vwQwhkpOPPYv2Y/edit?usp=sharing"",""งบพรบ!AZ39"")"),0)</f>
        <v>0</v>
      </c>
      <c r="H39" s="176">
        <f ca="1">IFERROR(__xludf.DUMMYFUNCTION("IMPORTRANGE(""https://docs.google.com/spreadsheets/d/1-uDff_7J0KD5mKrp0Vvzr7lt3OU09vwQwhkpOPPYv2Y/edit?usp=sharing"",""งบพรบ!BB39"")"),51000)</f>
        <v>51000</v>
      </c>
      <c r="I39" s="176">
        <f ca="1">IFERROR(__xludf.DUMMYFUNCTION("IMPORTRANGE(""https://docs.google.com/spreadsheets/d/1-uDff_7J0KD5mKrp0Vvzr7lt3OU09vwQwhkpOPPYv2Y/edit?usp=sharing"",""งบพรบ!BC39"")"),0)</f>
        <v>0</v>
      </c>
      <c r="J39" s="176">
        <f t="shared" ca="1" si="23"/>
        <v>0</v>
      </c>
      <c r="K39" s="181">
        <f t="shared" ca="1" si="24"/>
        <v>0</v>
      </c>
      <c r="L39" s="176">
        <f ca="1">IFERROR(__xludf.DUMMYFUNCTION("IMPORTRANGE(""https://docs.google.com/spreadsheets/d/1-uDff_7J0KD5mKrp0Vvzr7lt3OU09vwQwhkpOPPYv2Y/edit?usp=sharing"",""งบพรบ!BD39"")"),0)</f>
        <v>0</v>
      </c>
      <c r="M39" s="179">
        <f t="shared" ca="1" si="25"/>
        <v>0</v>
      </c>
      <c r="N39" s="179">
        <f t="shared" ca="1" si="26"/>
        <v>0</v>
      </c>
      <c r="O39" s="180">
        <f ca="1">IFERROR(__xludf.DUMMYFUNCTION("IMPORTRANGE(""https://docs.google.com/spreadsheets/d/1-uDff_7J0KD5mKrp0Vvzr7lt3OU09vwQwhkpOPPYv2Y/edit?usp=sharing"",""งบพรบ!BE39"")"),0)</f>
        <v>0</v>
      </c>
      <c r="P39" s="180">
        <f t="shared" ca="1" si="27"/>
        <v>0</v>
      </c>
      <c r="Q39" s="179">
        <f t="shared" ca="1" si="28"/>
        <v>0</v>
      </c>
      <c r="R39" s="92">
        <f ca="1">IFERROR(__xludf.DUMMYFUNCTION("IMPORTRANGE(""https://docs.google.com/spreadsheets/d/1l6IZ8xUPgMrESzcTYwhA1k_tPjeQjJPTqlm8Gd9eU5g/edit?usp=sharing"",""มหาสารคาม!I108"")"),30)</f>
        <v>30</v>
      </c>
      <c r="S39" s="92">
        <f ca="1">IFERROR(__xludf.DUMMYFUNCTION("IMPORTRANGE(""https://docs.google.com/spreadsheets/d/1l6IZ8xUPgMrESzcTYwhA1k_tPjeQjJPTqlm8Gd9eU5g/edit?usp=sharing"",""มหาสารคาม!J108"")"),0)</f>
        <v>0</v>
      </c>
      <c r="T39" s="177">
        <f t="shared" ca="1" si="30"/>
        <v>0</v>
      </c>
      <c r="U39" s="92">
        <f ca="1">IFERROR(__xludf.DUMMYFUNCTION("IMPORTRANGE(""https://docs.google.com/spreadsheets/d/1l6IZ8xUPgMrESzcTYwhA1k_tPjeQjJPTqlm8Gd9eU5g/edit?usp=sharing"",""มหาสารคาม!I109"")"),10)</f>
        <v>10</v>
      </c>
      <c r="V39" s="92">
        <f ca="1">IFERROR(__xludf.DUMMYFUNCTION("IMPORTRANGE(""https://docs.google.com/spreadsheets/d/1l6IZ8xUPgMrESzcTYwhA1k_tPjeQjJPTqlm8Gd9eU5g/edit?usp=sharing"",""มหาสารคาม!J109"")"),0)</f>
        <v>0</v>
      </c>
      <c r="W39" s="177">
        <f t="shared" ca="1" si="32"/>
        <v>0</v>
      </c>
      <c r="X39" s="92">
        <f ca="1">IFERROR(__xludf.DUMMYFUNCTION("IMPORTRANGE(""https://docs.google.com/spreadsheets/d/1l6IZ8xUPgMrESzcTYwhA1k_tPjeQjJPTqlm8Gd9eU5g/edit?usp=sharing"",""มหาสารคาม!I117"")"),10)</f>
        <v>10</v>
      </c>
      <c r="Y39" s="92">
        <f ca="1">IFERROR(__xludf.DUMMYFUNCTION("IMPORTRANGE(""https://docs.google.com/spreadsheets/d/1l6IZ8xUPgMrESzcTYwhA1k_tPjeQjJPTqlm8Gd9eU5g/edit?usp=sharing"",""มหาสารคาม!J117"")"),0)</f>
        <v>0</v>
      </c>
      <c r="Z39" s="177">
        <f t="shared" ca="1" si="34"/>
        <v>0</v>
      </c>
    </row>
    <row r="40" spans="1:26" ht="21" customHeight="1" x14ac:dyDescent="0.3">
      <c r="A40" s="172">
        <v>9</v>
      </c>
      <c r="B40" s="173" t="s">
        <v>62</v>
      </c>
      <c r="C40" s="174">
        <f t="shared" ca="1" si="21"/>
        <v>157900</v>
      </c>
      <c r="D40" s="175">
        <f t="shared" ca="1" si="40"/>
        <v>157900</v>
      </c>
      <c r="E40" s="176">
        <f ca="1">IFERROR(__xludf.DUMMYFUNCTION("IMPORTRANGE(""https://docs.google.com/spreadsheets/d/1-uDff_7J0KD5mKrp0Vvzr7lt3OU09vwQwhkpOPPYv2Y/edit?usp=sharing"",""งบพรบ!AX40"")"),85300)</f>
        <v>85300</v>
      </c>
      <c r="F40" s="176">
        <f ca="1">IFERROR(__xludf.DUMMYFUNCTION("IMPORTRANGE(""https://docs.google.com/spreadsheets/d/1-uDff_7J0KD5mKrp0Vvzr7lt3OU09vwQwhkpOPPYv2Y/edit?usp=sharing"",""งบพรบ!AY40"")"),72600)</f>
        <v>72600</v>
      </c>
      <c r="G40" s="176">
        <f ca="1">IFERROR(__xludf.DUMMYFUNCTION("IMPORTRANGE(""https://docs.google.com/spreadsheets/d/1-uDff_7J0KD5mKrp0Vvzr7lt3OU09vwQwhkpOPPYv2Y/edit?usp=sharing"",""งบพรบ!AZ40"")"),0)</f>
        <v>0</v>
      </c>
      <c r="H40" s="176">
        <f ca="1">IFERROR(__xludf.DUMMYFUNCTION("IMPORTRANGE(""https://docs.google.com/spreadsheets/d/1-uDff_7J0KD5mKrp0Vvzr7lt3OU09vwQwhkpOPPYv2Y/edit?usp=sharing"",""งบพรบ!BB40"")"),133600)</f>
        <v>133600</v>
      </c>
      <c r="I40" s="176">
        <f ca="1">IFERROR(__xludf.DUMMYFUNCTION("IMPORTRANGE(""https://docs.google.com/spreadsheets/d/1-uDff_7J0KD5mKrp0Vvzr7lt3OU09vwQwhkpOPPYv2Y/edit?usp=sharing"",""งบพรบ!BC40"")"),0)</f>
        <v>0</v>
      </c>
      <c r="J40" s="176">
        <f t="shared" ca="1" si="23"/>
        <v>26553</v>
      </c>
      <c r="K40" s="181">
        <f t="shared" ca="1" si="24"/>
        <v>16.816339455351489</v>
      </c>
      <c r="L40" s="176">
        <f ca="1">IFERROR(__xludf.DUMMYFUNCTION("IMPORTRANGE(""https://docs.google.com/spreadsheets/d/1-uDff_7J0KD5mKrp0Vvzr7lt3OU09vwQwhkpOPPYv2Y/edit?usp=sharing"",""งบพรบ!BD40"")"),26553)</f>
        <v>26553</v>
      </c>
      <c r="M40" s="179">
        <f t="shared" ca="1" si="25"/>
        <v>16.816339455351489</v>
      </c>
      <c r="N40" s="179">
        <f t="shared" ca="1" si="26"/>
        <v>19.875</v>
      </c>
      <c r="O40" s="180">
        <f ca="1">IFERROR(__xludf.DUMMYFUNCTION("IMPORTRANGE(""https://docs.google.com/spreadsheets/d/1-uDff_7J0KD5mKrp0Vvzr7lt3OU09vwQwhkpOPPYv2Y/edit?usp=sharing"",""งบพรบ!BE40"")"),0)</f>
        <v>0</v>
      </c>
      <c r="P40" s="180">
        <f t="shared" ca="1" si="27"/>
        <v>0</v>
      </c>
      <c r="Q40" s="179">
        <f t="shared" ca="1" si="28"/>
        <v>0</v>
      </c>
      <c r="R40" s="92">
        <f ca="1">IFERROR(__xludf.DUMMYFUNCTION("IMPORTRANGE(""https://docs.google.com/spreadsheets/d/1uB74YLqNjWX6FObjekfB2NtSYigTQyR2rq9u4Ub2Sq4/edit?usp=sharing"",""มุกดาหาร!I108"")"),54)</f>
        <v>54</v>
      </c>
      <c r="S40" s="92">
        <f ca="1">IFERROR(__xludf.DUMMYFUNCTION("IMPORTRANGE(""https://docs.google.com/spreadsheets/d/1uB74YLqNjWX6FObjekfB2NtSYigTQyR2rq9u4Ub2Sq4/edit?usp=sharing"",""มุกดาหาร!J108"")"),0)</f>
        <v>0</v>
      </c>
      <c r="T40" s="177">
        <f t="shared" ca="1" si="30"/>
        <v>0</v>
      </c>
      <c r="U40" s="92">
        <f ca="1">IFERROR(__xludf.DUMMYFUNCTION("IMPORTRANGE(""https://docs.google.com/spreadsheets/d/1uB74YLqNjWX6FObjekfB2NtSYigTQyR2rq9u4Ub2Sq4/edit?usp=sharing"",""มุกดาหาร!I109"")"),18)</f>
        <v>18</v>
      </c>
      <c r="V40" s="92">
        <f ca="1">IFERROR(__xludf.DUMMYFUNCTION("IMPORTRANGE(""https://docs.google.com/spreadsheets/d/1uB74YLqNjWX6FObjekfB2NtSYigTQyR2rq9u4Ub2Sq4/edit?usp=sharing"",""มุกดาหาร!J109"")"),0)</f>
        <v>0</v>
      </c>
      <c r="W40" s="177">
        <f t="shared" ca="1" si="32"/>
        <v>0</v>
      </c>
      <c r="X40" s="92">
        <f ca="1">IFERROR(__xludf.DUMMYFUNCTION("IMPORTRANGE(""https://docs.google.com/spreadsheets/d/1uB74YLqNjWX6FObjekfB2NtSYigTQyR2rq9u4Ub2Sq4/edit?usp=sharing"",""มุกดาหาร!I117"")"),18)</f>
        <v>18</v>
      </c>
      <c r="Y40" s="92">
        <f ca="1">IFERROR(__xludf.DUMMYFUNCTION("IMPORTRANGE(""https://docs.google.com/spreadsheets/d/1uB74YLqNjWX6FObjekfB2NtSYigTQyR2rq9u4Ub2Sq4/edit?usp=sharing"",""มุกดาหาร!J117"")"),0)</f>
        <v>0</v>
      </c>
      <c r="Z40" s="177">
        <f t="shared" ca="1" si="34"/>
        <v>0</v>
      </c>
    </row>
    <row r="41" spans="1:26" ht="21" customHeight="1" x14ac:dyDescent="0.3">
      <c r="A41" s="172">
        <v>10</v>
      </c>
      <c r="B41" s="173" t="s">
        <v>63</v>
      </c>
      <c r="C41" s="174">
        <f t="shared" ca="1" si="21"/>
        <v>0</v>
      </c>
      <c r="D41" s="175">
        <f t="shared" ca="1" si="40"/>
        <v>0</v>
      </c>
      <c r="E41" s="176">
        <f ca="1">IFERROR(__xludf.DUMMYFUNCTION("IMPORTRANGE(""https://docs.google.com/spreadsheets/d/1-uDff_7J0KD5mKrp0Vvzr7lt3OU09vwQwhkpOPPYv2Y/edit?usp=sharing"",""งบพรบ!AX41"")"),0)</f>
        <v>0</v>
      </c>
      <c r="F41" s="176">
        <f ca="1">IFERROR(__xludf.DUMMYFUNCTION("IMPORTRANGE(""https://docs.google.com/spreadsheets/d/1-uDff_7J0KD5mKrp0Vvzr7lt3OU09vwQwhkpOPPYv2Y/edit?usp=sharing"",""งบพรบ!AY41"")"),0)</f>
        <v>0</v>
      </c>
      <c r="G41" s="176">
        <f ca="1">IFERROR(__xludf.DUMMYFUNCTION("IMPORTRANGE(""https://docs.google.com/spreadsheets/d/1-uDff_7J0KD5mKrp0Vvzr7lt3OU09vwQwhkpOPPYv2Y/edit?usp=sharing"",""งบพรบ!AZ41"")"),0)</f>
        <v>0</v>
      </c>
      <c r="H41" s="176">
        <f ca="1">IFERROR(__xludf.DUMMYFUNCTION("IMPORTRANGE(""https://docs.google.com/spreadsheets/d/1-uDff_7J0KD5mKrp0Vvzr7lt3OU09vwQwhkpOPPYv2Y/edit?usp=sharing"",""งบพรบ!BB41"")"),0)</f>
        <v>0</v>
      </c>
      <c r="I41" s="176">
        <f ca="1">IFERROR(__xludf.DUMMYFUNCTION("IMPORTRANGE(""https://docs.google.com/spreadsheets/d/1-uDff_7J0KD5mKrp0Vvzr7lt3OU09vwQwhkpOPPYv2Y/edit?usp=sharing"",""งบพรบ!BC41"")"),0)</f>
        <v>0</v>
      </c>
      <c r="J41" s="176">
        <f t="shared" ca="1" si="23"/>
        <v>0</v>
      </c>
      <c r="K41" s="181">
        <f t="shared" ca="1" si="24"/>
        <v>0</v>
      </c>
      <c r="L41" s="176">
        <f ca="1">IFERROR(__xludf.DUMMYFUNCTION("IMPORTRANGE(""https://docs.google.com/spreadsheets/d/1-uDff_7J0KD5mKrp0Vvzr7lt3OU09vwQwhkpOPPYv2Y/edit?usp=sharing"",""งบพรบ!BD41"")"),0)</f>
        <v>0</v>
      </c>
      <c r="M41" s="179">
        <f t="shared" ca="1" si="25"/>
        <v>0</v>
      </c>
      <c r="N41" s="179">
        <f t="shared" ca="1" si="26"/>
        <v>0</v>
      </c>
      <c r="O41" s="180">
        <f ca="1">IFERROR(__xludf.DUMMYFUNCTION("IMPORTRANGE(""https://docs.google.com/spreadsheets/d/1-uDff_7J0KD5mKrp0Vvzr7lt3OU09vwQwhkpOPPYv2Y/edit?usp=sharing"",""งบพรบ!BE41"")"),0)</f>
        <v>0</v>
      </c>
      <c r="P41" s="180">
        <f t="shared" ca="1" si="27"/>
        <v>0</v>
      </c>
      <c r="Q41" s="179">
        <f t="shared" ca="1" si="28"/>
        <v>0</v>
      </c>
      <c r="R41" s="92">
        <f ca="1">IFERROR(__xludf.DUMMYFUNCTION("IMPORTRANGE(""https://docs.google.com/spreadsheets/d/1NexK3geCPxCTO1fzNF8dPec7yZyUx3OaWkFBC9HsQOo/edit?usp=sharing"",""ยโสธร!I108"")"),0)</f>
        <v>0</v>
      </c>
      <c r="S41" s="92">
        <f ca="1">IFERROR(__xludf.DUMMYFUNCTION("IMPORTRANGE(""https://docs.google.com/spreadsheets/d/1NexK3geCPxCTO1fzNF8dPec7yZyUx3OaWkFBC9HsQOo/edit?usp=sharing"",""ยโสธร!J108"")"),0)</f>
        <v>0</v>
      </c>
      <c r="T41" s="177">
        <f t="shared" ca="1" si="30"/>
        <v>0</v>
      </c>
      <c r="U41" s="92">
        <f ca="1">IFERROR(__xludf.DUMMYFUNCTION("IMPORTRANGE(""https://docs.google.com/spreadsheets/d/1NexK3geCPxCTO1fzNF8dPec7yZyUx3OaWkFBC9HsQOo/edit?usp=sharing"",""ยโสธร!I109"")"),0)</f>
        <v>0</v>
      </c>
      <c r="V41" s="92">
        <f ca="1">IFERROR(__xludf.DUMMYFUNCTION("IMPORTRANGE(""https://docs.google.com/spreadsheets/d/1NexK3geCPxCTO1fzNF8dPec7yZyUx3OaWkFBC9HsQOo/edit?usp=sharing"",""ยโสธร!J109"")"),0)</f>
        <v>0</v>
      </c>
      <c r="W41" s="177">
        <f t="shared" ca="1" si="32"/>
        <v>0</v>
      </c>
      <c r="X41" s="92">
        <f ca="1">IFERROR(__xludf.DUMMYFUNCTION("IMPORTRANGE(""https://docs.google.com/spreadsheets/d/1NexK3geCPxCTO1fzNF8dPec7yZyUx3OaWkFBC9HsQOo/edit?usp=sharing"",""ยโสธร!I117"")"),0)</f>
        <v>0</v>
      </c>
      <c r="Y41" s="92">
        <f ca="1">IFERROR(__xludf.DUMMYFUNCTION("IMPORTRANGE(""https://docs.google.com/spreadsheets/d/1NexK3geCPxCTO1fzNF8dPec7yZyUx3OaWkFBC9HsQOo/edit?usp=sharing"",""ยโสธร!J117"")"),0)</f>
        <v>0</v>
      </c>
      <c r="Z41" s="177">
        <f t="shared" ca="1" si="34"/>
        <v>0</v>
      </c>
    </row>
    <row r="42" spans="1:26" ht="21" customHeight="1" x14ac:dyDescent="0.3">
      <c r="A42" s="172">
        <v>11</v>
      </c>
      <c r="B42" s="173" t="s">
        <v>64</v>
      </c>
      <c r="C42" s="174">
        <f t="shared" ca="1" si="21"/>
        <v>0</v>
      </c>
      <c r="D42" s="175">
        <f t="shared" ca="1" si="40"/>
        <v>0</v>
      </c>
      <c r="E42" s="176">
        <f ca="1">IFERROR(__xludf.DUMMYFUNCTION("IMPORTRANGE(""https://docs.google.com/spreadsheets/d/1-uDff_7J0KD5mKrp0Vvzr7lt3OU09vwQwhkpOPPYv2Y/edit?usp=sharing"",""งบพรบ!AX42"")"),0)</f>
        <v>0</v>
      </c>
      <c r="F42" s="176">
        <f ca="1">IFERROR(__xludf.DUMMYFUNCTION("IMPORTRANGE(""https://docs.google.com/spreadsheets/d/1-uDff_7J0KD5mKrp0Vvzr7lt3OU09vwQwhkpOPPYv2Y/edit?usp=sharing"",""งบพรบ!AY42"")"),0)</f>
        <v>0</v>
      </c>
      <c r="G42" s="176">
        <f ca="1">IFERROR(__xludf.DUMMYFUNCTION("IMPORTRANGE(""https://docs.google.com/spreadsheets/d/1-uDff_7J0KD5mKrp0Vvzr7lt3OU09vwQwhkpOPPYv2Y/edit?usp=sharing"",""งบพรบ!AZ42"")"),0)</f>
        <v>0</v>
      </c>
      <c r="H42" s="176">
        <f ca="1">IFERROR(__xludf.DUMMYFUNCTION("IMPORTRANGE(""https://docs.google.com/spreadsheets/d/1-uDff_7J0KD5mKrp0Vvzr7lt3OU09vwQwhkpOPPYv2Y/edit?usp=sharing"",""งบพรบ!BB42"")"),0)</f>
        <v>0</v>
      </c>
      <c r="I42" s="176">
        <f ca="1">IFERROR(__xludf.DUMMYFUNCTION("IMPORTRANGE(""https://docs.google.com/spreadsheets/d/1-uDff_7J0KD5mKrp0Vvzr7lt3OU09vwQwhkpOPPYv2Y/edit?usp=sharing"",""งบพรบ!BC42"")"),0)</f>
        <v>0</v>
      </c>
      <c r="J42" s="176">
        <f t="shared" ca="1" si="23"/>
        <v>0</v>
      </c>
      <c r="K42" s="181">
        <f t="shared" ca="1" si="24"/>
        <v>0</v>
      </c>
      <c r="L42" s="176">
        <f ca="1">IFERROR(__xludf.DUMMYFUNCTION("IMPORTRANGE(""https://docs.google.com/spreadsheets/d/1-uDff_7J0KD5mKrp0Vvzr7lt3OU09vwQwhkpOPPYv2Y/edit?usp=sharing"",""งบพรบ!BD42"")"),0)</f>
        <v>0</v>
      </c>
      <c r="M42" s="179">
        <f t="shared" ca="1" si="25"/>
        <v>0</v>
      </c>
      <c r="N42" s="179">
        <f t="shared" ca="1" si="26"/>
        <v>0</v>
      </c>
      <c r="O42" s="180">
        <f ca="1">IFERROR(__xludf.DUMMYFUNCTION("IMPORTRANGE(""https://docs.google.com/spreadsheets/d/1-uDff_7J0KD5mKrp0Vvzr7lt3OU09vwQwhkpOPPYv2Y/edit?usp=sharing"",""งบพรบ!BE42"")"),0)</f>
        <v>0</v>
      </c>
      <c r="P42" s="180">
        <f t="shared" ca="1" si="27"/>
        <v>0</v>
      </c>
      <c r="Q42" s="179">
        <f t="shared" ca="1" si="28"/>
        <v>0</v>
      </c>
      <c r="R42" s="88">
        <f ca="1">IFERROR(__xludf.DUMMYFUNCTION("IMPORTRANGE(""https://docs.google.com/spreadsheets/d/1v_cJrbBlyqmnHPReHk44g9NrMRdENNlSy_E_c5M9fIg/edit?usp=sharing"",""ร้อยเอ็ด!I108"")"),0)</f>
        <v>0</v>
      </c>
      <c r="S42" s="88">
        <f ca="1">IFERROR(__xludf.DUMMYFUNCTION("IMPORTRANGE(""https://docs.google.com/spreadsheets/d/1v_cJrbBlyqmnHPReHk44g9NrMRdENNlSy_E_c5M9fIg/edit?usp=sharing"",""ร้อยเอ็ด!J108"")"),0)</f>
        <v>0</v>
      </c>
      <c r="T42" s="177">
        <f t="shared" ca="1" si="30"/>
        <v>0</v>
      </c>
      <c r="U42" s="88">
        <f ca="1">IFERROR(__xludf.DUMMYFUNCTION("IMPORTRANGE(""https://docs.google.com/spreadsheets/d/1v_cJrbBlyqmnHPReHk44g9NrMRdENNlSy_E_c5M9fIg/edit?usp=sharing"",""ร้อยเอ็ด!I109"")"),0)</f>
        <v>0</v>
      </c>
      <c r="V42" s="88">
        <f ca="1">IFERROR(__xludf.DUMMYFUNCTION("IMPORTRANGE(""https://docs.google.com/spreadsheets/d/1v_cJrbBlyqmnHPReHk44g9NrMRdENNlSy_E_c5M9fIg/edit?usp=sharing"",""ร้อยเอ็ด!J109"")"),0)</f>
        <v>0</v>
      </c>
      <c r="W42" s="177">
        <f t="shared" ca="1" si="32"/>
        <v>0</v>
      </c>
      <c r="X42" s="88">
        <f ca="1">IFERROR(__xludf.DUMMYFUNCTION("IMPORTRANGE(""https://docs.google.com/spreadsheets/d/1v_cJrbBlyqmnHPReHk44g9NrMRdENNlSy_E_c5M9fIg/edit?usp=sharing"",""ร้อยเอ็ด!I117"")"),0)</f>
        <v>0</v>
      </c>
      <c r="Y42" s="88">
        <f ca="1">IFERROR(__xludf.DUMMYFUNCTION("IMPORTRANGE(""https://docs.google.com/spreadsheets/d/1v_cJrbBlyqmnHPReHk44g9NrMRdENNlSy_E_c5M9fIg/edit?usp=sharing"",""ร้อยเอ็ด!J117"")"),0)</f>
        <v>0</v>
      </c>
      <c r="Z42" s="177">
        <f t="shared" ca="1" si="34"/>
        <v>0</v>
      </c>
    </row>
    <row r="43" spans="1:26" ht="21" customHeight="1" x14ac:dyDescent="0.3">
      <c r="A43" s="172">
        <v>12</v>
      </c>
      <c r="B43" s="173" t="s">
        <v>65</v>
      </c>
      <c r="C43" s="174">
        <f t="shared" ca="1" si="21"/>
        <v>0</v>
      </c>
      <c r="D43" s="175">
        <f t="shared" ca="1" si="40"/>
        <v>0</v>
      </c>
      <c r="E43" s="176">
        <f ca="1">IFERROR(__xludf.DUMMYFUNCTION("IMPORTRANGE(""https://docs.google.com/spreadsheets/d/1-uDff_7J0KD5mKrp0Vvzr7lt3OU09vwQwhkpOPPYv2Y/edit?usp=sharing"",""งบพรบ!AX43"")"),0)</f>
        <v>0</v>
      </c>
      <c r="F43" s="176">
        <f ca="1">IFERROR(__xludf.DUMMYFUNCTION("IMPORTRANGE(""https://docs.google.com/spreadsheets/d/1-uDff_7J0KD5mKrp0Vvzr7lt3OU09vwQwhkpOPPYv2Y/edit?usp=sharing"",""งบพรบ!AY43"")"),0)</f>
        <v>0</v>
      </c>
      <c r="G43" s="176">
        <f ca="1">IFERROR(__xludf.DUMMYFUNCTION("IMPORTRANGE(""https://docs.google.com/spreadsheets/d/1-uDff_7J0KD5mKrp0Vvzr7lt3OU09vwQwhkpOPPYv2Y/edit?usp=sharing"",""งบพรบ!AZ43"")"),0)</f>
        <v>0</v>
      </c>
      <c r="H43" s="176">
        <f ca="1">IFERROR(__xludf.DUMMYFUNCTION("IMPORTRANGE(""https://docs.google.com/spreadsheets/d/1-uDff_7J0KD5mKrp0Vvzr7lt3OU09vwQwhkpOPPYv2Y/edit?usp=sharing"",""งบพรบ!BB43"")"),0)</f>
        <v>0</v>
      </c>
      <c r="I43" s="176">
        <f ca="1">IFERROR(__xludf.DUMMYFUNCTION("IMPORTRANGE(""https://docs.google.com/spreadsheets/d/1-uDff_7J0KD5mKrp0Vvzr7lt3OU09vwQwhkpOPPYv2Y/edit?usp=sharing"",""งบพรบ!BC43"")"),0)</f>
        <v>0</v>
      </c>
      <c r="J43" s="176">
        <f t="shared" ca="1" si="23"/>
        <v>0</v>
      </c>
      <c r="K43" s="181">
        <f t="shared" ca="1" si="24"/>
        <v>0</v>
      </c>
      <c r="L43" s="176">
        <f ca="1">IFERROR(__xludf.DUMMYFUNCTION("IMPORTRANGE(""https://docs.google.com/spreadsheets/d/1-uDff_7J0KD5mKrp0Vvzr7lt3OU09vwQwhkpOPPYv2Y/edit?usp=sharing"",""งบพรบ!BD43"")"),0)</f>
        <v>0</v>
      </c>
      <c r="M43" s="179">
        <f t="shared" ca="1" si="25"/>
        <v>0</v>
      </c>
      <c r="N43" s="179">
        <f t="shared" ca="1" si="26"/>
        <v>0</v>
      </c>
      <c r="O43" s="180">
        <f ca="1">IFERROR(__xludf.DUMMYFUNCTION("IMPORTRANGE(""https://docs.google.com/spreadsheets/d/1-uDff_7J0KD5mKrp0Vvzr7lt3OU09vwQwhkpOPPYv2Y/edit?usp=sharing"",""งบพรบ!BE43"")"),0)</f>
        <v>0</v>
      </c>
      <c r="P43" s="180">
        <f t="shared" ca="1" si="27"/>
        <v>0</v>
      </c>
      <c r="Q43" s="179">
        <f t="shared" ca="1" si="28"/>
        <v>0</v>
      </c>
      <c r="R43" s="88">
        <f ca="1">IFERROR(__xludf.DUMMYFUNCTION("IMPORTRANGE(""https://docs.google.com/spreadsheets/d/1Ul4RCpCX66NxYADU1QpwAPjOmBzW64SsT11s1wzXw_c/edit?usp=sharing"",""เลย!I108"")"),0)</f>
        <v>0</v>
      </c>
      <c r="S43" s="88">
        <f ca="1">IFERROR(__xludf.DUMMYFUNCTION("IMPORTRANGE(""https://docs.google.com/spreadsheets/d/1Ul4RCpCX66NxYADU1QpwAPjOmBzW64SsT11s1wzXw_c/edit?usp=sharing"",""เลย!J108"")"),0)</f>
        <v>0</v>
      </c>
      <c r="T43" s="177">
        <f t="shared" ca="1" si="30"/>
        <v>0</v>
      </c>
      <c r="U43" s="88">
        <f ca="1">IFERROR(__xludf.DUMMYFUNCTION("IMPORTRANGE(""https://docs.google.com/spreadsheets/d/1Ul4RCpCX66NxYADU1QpwAPjOmBzW64SsT11s1wzXw_c/edit?usp=sharing"",""เลย!I109"")"),0)</f>
        <v>0</v>
      </c>
      <c r="V43" s="88">
        <f ca="1">IFERROR(__xludf.DUMMYFUNCTION("IMPORTRANGE(""https://docs.google.com/spreadsheets/d/1Ul4RCpCX66NxYADU1QpwAPjOmBzW64SsT11s1wzXw_c/edit?usp=sharing"",""เลย!J109"")"),0)</f>
        <v>0</v>
      </c>
      <c r="W43" s="177">
        <f t="shared" ca="1" si="32"/>
        <v>0</v>
      </c>
      <c r="X43" s="88">
        <f ca="1">IFERROR(__xludf.DUMMYFUNCTION("IMPORTRANGE(""https://docs.google.com/spreadsheets/d/1Ul4RCpCX66NxYADU1QpwAPjOmBzW64SsT11s1wzXw_c/edit?usp=sharing"",""เลย!I117"")"),0)</f>
        <v>0</v>
      </c>
      <c r="Y43" s="88">
        <f ca="1">IFERROR(__xludf.DUMMYFUNCTION("IMPORTRANGE(""https://docs.google.com/spreadsheets/d/1Ul4RCpCX66NxYADU1QpwAPjOmBzW64SsT11s1wzXw_c/edit?usp=sharing"",""เลย!J117"")"),0)</f>
        <v>0</v>
      </c>
      <c r="Z43" s="177">
        <f t="shared" ca="1" si="34"/>
        <v>0</v>
      </c>
    </row>
    <row r="44" spans="1:26" ht="21" customHeight="1" x14ac:dyDescent="0.3">
      <c r="A44" s="172">
        <v>13</v>
      </c>
      <c r="B44" s="173" t="s">
        <v>66</v>
      </c>
      <c r="C44" s="174">
        <f t="shared" ca="1" si="21"/>
        <v>0</v>
      </c>
      <c r="D44" s="175">
        <f t="shared" ca="1" si="40"/>
        <v>0</v>
      </c>
      <c r="E44" s="176">
        <f ca="1">IFERROR(__xludf.DUMMYFUNCTION("IMPORTRANGE(""https://docs.google.com/spreadsheets/d/1-uDff_7J0KD5mKrp0Vvzr7lt3OU09vwQwhkpOPPYv2Y/edit?usp=sharing"",""งบพรบ!AX44"")"),0)</f>
        <v>0</v>
      </c>
      <c r="F44" s="176">
        <f ca="1">IFERROR(__xludf.DUMMYFUNCTION("IMPORTRANGE(""https://docs.google.com/spreadsheets/d/1-uDff_7J0KD5mKrp0Vvzr7lt3OU09vwQwhkpOPPYv2Y/edit?usp=sharing"",""งบพรบ!AY44"")"),0)</f>
        <v>0</v>
      </c>
      <c r="G44" s="176">
        <f ca="1">IFERROR(__xludf.DUMMYFUNCTION("IMPORTRANGE(""https://docs.google.com/spreadsheets/d/1-uDff_7J0KD5mKrp0Vvzr7lt3OU09vwQwhkpOPPYv2Y/edit?usp=sharing"",""งบพรบ!AZ44"")"),0)</f>
        <v>0</v>
      </c>
      <c r="H44" s="176">
        <f ca="1">IFERROR(__xludf.DUMMYFUNCTION("IMPORTRANGE(""https://docs.google.com/spreadsheets/d/1-uDff_7J0KD5mKrp0Vvzr7lt3OU09vwQwhkpOPPYv2Y/edit?usp=sharing"",""งบพรบ!BB44"")"),0)</f>
        <v>0</v>
      </c>
      <c r="I44" s="176">
        <f ca="1">IFERROR(__xludf.DUMMYFUNCTION("IMPORTRANGE(""https://docs.google.com/spreadsheets/d/1-uDff_7J0KD5mKrp0Vvzr7lt3OU09vwQwhkpOPPYv2Y/edit?usp=sharing"",""งบพรบ!BC44"")"),0)</f>
        <v>0</v>
      </c>
      <c r="J44" s="176">
        <f t="shared" ca="1" si="23"/>
        <v>0</v>
      </c>
      <c r="K44" s="181">
        <f t="shared" ca="1" si="24"/>
        <v>0</v>
      </c>
      <c r="L44" s="176">
        <f ca="1">IFERROR(__xludf.DUMMYFUNCTION("IMPORTRANGE(""https://docs.google.com/spreadsheets/d/1-uDff_7J0KD5mKrp0Vvzr7lt3OU09vwQwhkpOPPYv2Y/edit?usp=sharing"",""งบพรบ!BD44"")"),0)</f>
        <v>0</v>
      </c>
      <c r="M44" s="179">
        <f t="shared" ca="1" si="25"/>
        <v>0</v>
      </c>
      <c r="N44" s="179">
        <f t="shared" ca="1" si="26"/>
        <v>0</v>
      </c>
      <c r="O44" s="180">
        <f ca="1">IFERROR(__xludf.DUMMYFUNCTION("IMPORTRANGE(""https://docs.google.com/spreadsheets/d/1-uDff_7J0KD5mKrp0Vvzr7lt3OU09vwQwhkpOPPYv2Y/edit?usp=sharing"",""งบพรบ!BE44"")"),0)</f>
        <v>0</v>
      </c>
      <c r="P44" s="180">
        <f t="shared" ca="1" si="27"/>
        <v>0</v>
      </c>
      <c r="Q44" s="179">
        <f t="shared" ca="1" si="28"/>
        <v>0</v>
      </c>
      <c r="R44" s="88">
        <f ca="1">IFERROR(__xludf.DUMMYFUNCTION("IMPORTRANGE(""https://docs.google.com/spreadsheets/d/1bRrNKwbHDVktQG10isr5vbWRtt5spIZPpkOSWgbT5ug/edit?usp=sharing"",""ศรีสะเกษ!I108"")"),0)</f>
        <v>0</v>
      </c>
      <c r="S44" s="88">
        <f ca="1">IFERROR(__xludf.DUMMYFUNCTION("IMPORTRANGE(""https://docs.google.com/spreadsheets/d/1bRrNKwbHDVktQG10isr5vbWRtt5spIZPpkOSWgbT5ug/edit?usp=sharing"",""ศรีสะเกษ!J108"")"),0)</f>
        <v>0</v>
      </c>
      <c r="T44" s="177">
        <f t="shared" ca="1" si="30"/>
        <v>0</v>
      </c>
      <c r="U44" s="88">
        <f ca="1">IFERROR(__xludf.DUMMYFUNCTION("IMPORTRANGE(""https://docs.google.com/spreadsheets/d/1bRrNKwbHDVktQG10isr5vbWRtt5spIZPpkOSWgbT5ug/edit?usp=sharing"",""ศรีสะเกษ!I109"")"),0)</f>
        <v>0</v>
      </c>
      <c r="V44" s="88">
        <f ca="1">IFERROR(__xludf.DUMMYFUNCTION("IMPORTRANGE(""https://docs.google.com/spreadsheets/d/1bRrNKwbHDVktQG10isr5vbWRtt5spIZPpkOSWgbT5ug/edit?usp=sharing"",""ศรีสะเกษ!J109"")"),0)</f>
        <v>0</v>
      </c>
      <c r="W44" s="177">
        <f t="shared" ca="1" si="32"/>
        <v>0</v>
      </c>
      <c r="X44" s="88">
        <f ca="1">IFERROR(__xludf.DUMMYFUNCTION("IMPORTRANGE(""https://docs.google.com/spreadsheets/d/1bRrNKwbHDVktQG10isr5vbWRtt5spIZPpkOSWgbT5ug/edit?usp=sharing"",""ศรีสะเกษ!I117"")"),0)</f>
        <v>0</v>
      </c>
      <c r="Y44" s="88">
        <f ca="1">IFERROR(__xludf.DUMMYFUNCTION("IMPORTRANGE(""https://docs.google.com/spreadsheets/d/1bRrNKwbHDVktQG10isr5vbWRtt5spIZPpkOSWgbT5ug/edit?usp=sharing"",""ศรีสะเกษ!J117"")"),0)</f>
        <v>0</v>
      </c>
      <c r="Z44" s="177">
        <f t="shared" ca="1" si="34"/>
        <v>0</v>
      </c>
    </row>
    <row r="45" spans="1:26" ht="21" customHeight="1" x14ac:dyDescent="0.3">
      <c r="A45" s="172">
        <v>14</v>
      </c>
      <c r="B45" s="173" t="s">
        <v>67</v>
      </c>
      <c r="C45" s="174">
        <f t="shared" ca="1" si="21"/>
        <v>0</v>
      </c>
      <c r="D45" s="175">
        <f t="shared" ca="1" si="40"/>
        <v>0</v>
      </c>
      <c r="E45" s="176">
        <f ca="1">IFERROR(__xludf.DUMMYFUNCTION("IMPORTRANGE(""https://docs.google.com/spreadsheets/d/1-uDff_7J0KD5mKrp0Vvzr7lt3OU09vwQwhkpOPPYv2Y/edit?usp=sharing"",""งบพรบ!AX45"")"),0)</f>
        <v>0</v>
      </c>
      <c r="F45" s="176">
        <f ca="1">IFERROR(__xludf.DUMMYFUNCTION("IMPORTRANGE(""https://docs.google.com/spreadsheets/d/1-uDff_7J0KD5mKrp0Vvzr7lt3OU09vwQwhkpOPPYv2Y/edit?usp=sharing"",""งบพรบ!AY45"")"),0)</f>
        <v>0</v>
      </c>
      <c r="G45" s="176">
        <f ca="1">IFERROR(__xludf.DUMMYFUNCTION("IMPORTRANGE(""https://docs.google.com/spreadsheets/d/1-uDff_7J0KD5mKrp0Vvzr7lt3OU09vwQwhkpOPPYv2Y/edit?usp=sharing"",""งบพรบ!AZ45"")"),0)</f>
        <v>0</v>
      </c>
      <c r="H45" s="176">
        <f ca="1">IFERROR(__xludf.DUMMYFUNCTION("IMPORTRANGE(""https://docs.google.com/spreadsheets/d/1-uDff_7J0KD5mKrp0Vvzr7lt3OU09vwQwhkpOPPYv2Y/edit?usp=sharing"",""งบพรบ!BB45"")"),0)</f>
        <v>0</v>
      </c>
      <c r="I45" s="176">
        <f ca="1">IFERROR(__xludf.DUMMYFUNCTION("IMPORTRANGE(""https://docs.google.com/spreadsheets/d/1-uDff_7J0KD5mKrp0Vvzr7lt3OU09vwQwhkpOPPYv2Y/edit?usp=sharing"",""งบพรบ!BC45"")"),0)</f>
        <v>0</v>
      </c>
      <c r="J45" s="176">
        <f t="shared" ca="1" si="23"/>
        <v>0</v>
      </c>
      <c r="K45" s="181">
        <f t="shared" ca="1" si="24"/>
        <v>0</v>
      </c>
      <c r="L45" s="176">
        <f ca="1">IFERROR(__xludf.DUMMYFUNCTION("IMPORTRANGE(""https://docs.google.com/spreadsheets/d/1-uDff_7J0KD5mKrp0Vvzr7lt3OU09vwQwhkpOPPYv2Y/edit?usp=sharing"",""งบพรบ!BD45"")"),0)</f>
        <v>0</v>
      </c>
      <c r="M45" s="179">
        <f t="shared" ca="1" si="25"/>
        <v>0</v>
      </c>
      <c r="N45" s="179">
        <f t="shared" ca="1" si="26"/>
        <v>0</v>
      </c>
      <c r="O45" s="180">
        <f ca="1">IFERROR(__xludf.DUMMYFUNCTION("IMPORTRANGE(""https://docs.google.com/spreadsheets/d/1-uDff_7J0KD5mKrp0Vvzr7lt3OU09vwQwhkpOPPYv2Y/edit?usp=sharing"",""งบพรบ!BE45"")"),0)</f>
        <v>0</v>
      </c>
      <c r="P45" s="180">
        <f t="shared" ca="1" si="27"/>
        <v>0</v>
      </c>
      <c r="Q45" s="179">
        <f t="shared" ca="1" si="28"/>
        <v>0</v>
      </c>
      <c r="R45" s="88">
        <f ca="1">IFERROR(__xludf.DUMMYFUNCTION("IMPORTRANGE(""https://docs.google.com/spreadsheets/d/17P34_Ow5kFBfdQD0qspb2UuPX5zpi6WMrQzslghyvrI/edit?usp=sharing"",""สกลนคร!I108"")"),0)</f>
        <v>0</v>
      </c>
      <c r="S45" s="88">
        <f ca="1">IFERROR(__xludf.DUMMYFUNCTION("IMPORTRANGE(""https://docs.google.com/spreadsheets/d/17P34_Ow5kFBfdQD0qspb2UuPX5zpi6WMrQzslghyvrI/edit?usp=sharing"",""สกลนคร!J108"")"),0)</f>
        <v>0</v>
      </c>
      <c r="T45" s="177">
        <f t="shared" ca="1" si="30"/>
        <v>0</v>
      </c>
      <c r="U45" s="88">
        <f ca="1">IFERROR(__xludf.DUMMYFUNCTION("IMPORTRANGE(""https://docs.google.com/spreadsheets/d/17P34_Ow5kFBfdQD0qspb2UuPX5zpi6WMrQzslghyvrI/edit?usp=sharing"",""สกลนคร!I109"")"),0)</f>
        <v>0</v>
      </c>
      <c r="V45" s="88">
        <f ca="1">IFERROR(__xludf.DUMMYFUNCTION("IMPORTRANGE(""https://docs.google.com/spreadsheets/d/17P34_Ow5kFBfdQD0qspb2UuPX5zpi6WMrQzslghyvrI/edit?usp=sharing"",""สกลนคร!J109"")"),0)</f>
        <v>0</v>
      </c>
      <c r="W45" s="177">
        <f t="shared" ca="1" si="32"/>
        <v>0</v>
      </c>
      <c r="X45" s="88">
        <f ca="1">IFERROR(__xludf.DUMMYFUNCTION("IMPORTRANGE(""https://docs.google.com/spreadsheets/d/17P34_Ow5kFBfdQD0qspb2UuPX5zpi6WMrQzslghyvrI/edit?usp=sharing"",""สกลนคร!I117"")"),0)</f>
        <v>0</v>
      </c>
      <c r="Y45" s="88">
        <f ca="1">IFERROR(__xludf.DUMMYFUNCTION("IMPORTRANGE(""https://docs.google.com/spreadsheets/d/17P34_Ow5kFBfdQD0qspb2UuPX5zpi6WMrQzslghyvrI/edit?usp=sharing"",""สกลนคร!J117"")"),0)</f>
        <v>0</v>
      </c>
      <c r="Z45" s="177">
        <f t="shared" ca="1" si="34"/>
        <v>0</v>
      </c>
    </row>
    <row r="46" spans="1:26" ht="21" customHeight="1" x14ac:dyDescent="0.3">
      <c r="A46" s="172">
        <v>15</v>
      </c>
      <c r="B46" s="173" t="s">
        <v>68</v>
      </c>
      <c r="C46" s="174">
        <f t="shared" ca="1" si="21"/>
        <v>0</v>
      </c>
      <c r="D46" s="175">
        <f t="shared" ca="1" si="40"/>
        <v>0</v>
      </c>
      <c r="E46" s="176">
        <f ca="1">IFERROR(__xludf.DUMMYFUNCTION("IMPORTRANGE(""https://docs.google.com/spreadsheets/d/1-uDff_7J0KD5mKrp0Vvzr7lt3OU09vwQwhkpOPPYv2Y/edit?usp=sharing"",""งบพรบ!AX46"")"),0)</f>
        <v>0</v>
      </c>
      <c r="F46" s="176">
        <f ca="1">IFERROR(__xludf.DUMMYFUNCTION("IMPORTRANGE(""https://docs.google.com/spreadsheets/d/1-uDff_7J0KD5mKrp0Vvzr7lt3OU09vwQwhkpOPPYv2Y/edit?usp=sharing"",""งบพรบ!AY46"")"),0)</f>
        <v>0</v>
      </c>
      <c r="G46" s="176">
        <f ca="1">IFERROR(__xludf.DUMMYFUNCTION("IMPORTRANGE(""https://docs.google.com/spreadsheets/d/1-uDff_7J0KD5mKrp0Vvzr7lt3OU09vwQwhkpOPPYv2Y/edit?usp=sharing"",""งบพรบ!AZ46"")"),0)</f>
        <v>0</v>
      </c>
      <c r="H46" s="176">
        <f ca="1">IFERROR(__xludf.DUMMYFUNCTION("IMPORTRANGE(""https://docs.google.com/spreadsheets/d/1-uDff_7J0KD5mKrp0Vvzr7lt3OU09vwQwhkpOPPYv2Y/edit?usp=sharing"",""งบพรบ!BB46"")"),0)</f>
        <v>0</v>
      </c>
      <c r="I46" s="176">
        <f ca="1">IFERROR(__xludf.DUMMYFUNCTION("IMPORTRANGE(""https://docs.google.com/spreadsheets/d/1-uDff_7J0KD5mKrp0Vvzr7lt3OU09vwQwhkpOPPYv2Y/edit?usp=sharing"",""งบพรบ!BC46"")"),0)</f>
        <v>0</v>
      </c>
      <c r="J46" s="176">
        <f t="shared" ca="1" si="23"/>
        <v>0</v>
      </c>
      <c r="K46" s="181">
        <f t="shared" ca="1" si="24"/>
        <v>0</v>
      </c>
      <c r="L46" s="176">
        <f ca="1">IFERROR(__xludf.DUMMYFUNCTION("IMPORTRANGE(""https://docs.google.com/spreadsheets/d/1-uDff_7J0KD5mKrp0Vvzr7lt3OU09vwQwhkpOPPYv2Y/edit?usp=sharing"",""งบพรบ!BD46"")"),0)</f>
        <v>0</v>
      </c>
      <c r="M46" s="179">
        <f t="shared" ca="1" si="25"/>
        <v>0</v>
      </c>
      <c r="N46" s="179">
        <f t="shared" ca="1" si="26"/>
        <v>0</v>
      </c>
      <c r="O46" s="180">
        <f ca="1">IFERROR(__xludf.DUMMYFUNCTION("IMPORTRANGE(""https://docs.google.com/spreadsheets/d/1-uDff_7J0KD5mKrp0Vvzr7lt3OU09vwQwhkpOPPYv2Y/edit?usp=sharing"",""งบพรบ!BE46"")"),0)</f>
        <v>0</v>
      </c>
      <c r="P46" s="180">
        <f t="shared" ca="1" si="27"/>
        <v>0</v>
      </c>
      <c r="Q46" s="179">
        <f t="shared" ca="1" si="28"/>
        <v>0</v>
      </c>
      <c r="R46" s="88">
        <f ca="1">IFERROR(__xludf.DUMMYFUNCTION("IMPORTRANGE(""https://docs.google.com/spreadsheets/d/1yswqbM3-AEpThF3ZSUa1AcmHnmRTF1vlJ1CZGcJ8YuU/edit?usp=sharing"",""สุรินทร์!I108"")"),0)</f>
        <v>0</v>
      </c>
      <c r="S46" s="88">
        <f ca="1">IFERROR(__xludf.DUMMYFUNCTION("IMPORTRANGE(""https://docs.google.com/spreadsheets/d/1yswqbM3-AEpThF3ZSUa1AcmHnmRTF1vlJ1CZGcJ8YuU/edit?usp=sharing"",""สุรินทร์!J108"")"),0)</f>
        <v>0</v>
      </c>
      <c r="T46" s="177">
        <f t="shared" ca="1" si="30"/>
        <v>0</v>
      </c>
      <c r="U46" s="88">
        <f ca="1">IFERROR(__xludf.DUMMYFUNCTION("IMPORTRANGE(""https://docs.google.com/spreadsheets/d/1yswqbM3-AEpThF3ZSUa1AcmHnmRTF1vlJ1CZGcJ8YuU/edit?usp=sharing"",""สุรินทร์!I109"")"),0)</f>
        <v>0</v>
      </c>
      <c r="V46" s="88">
        <f ca="1">IFERROR(__xludf.DUMMYFUNCTION("IMPORTRANGE(""https://docs.google.com/spreadsheets/d/1yswqbM3-AEpThF3ZSUa1AcmHnmRTF1vlJ1CZGcJ8YuU/edit?usp=sharing"",""สุรินทร์!J109"")"),0)</f>
        <v>0</v>
      </c>
      <c r="W46" s="177">
        <f t="shared" ca="1" si="32"/>
        <v>0</v>
      </c>
      <c r="X46" s="88">
        <f ca="1">IFERROR(__xludf.DUMMYFUNCTION("IMPORTRANGE(""https://docs.google.com/spreadsheets/d/1yswqbM3-AEpThF3ZSUa1AcmHnmRTF1vlJ1CZGcJ8YuU/edit?usp=sharing"",""สุรินทร์!I117"")"),0)</f>
        <v>0</v>
      </c>
      <c r="Y46" s="88">
        <f ca="1">IFERROR(__xludf.DUMMYFUNCTION("IMPORTRANGE(""https://docs.google.com/spreadsheets/d/1yswqbM3-AEpThF3ZSUa1AcmHnmRTF1vlJ1CZGcJ8YuU/edit?usp=sharing"",""สุรินทร์!J117"")"),0)</f>
        <v>0</v>
      </c>
      <c r="Z46" s="177">
        <f t="shared" ca="1" si="34"/>
        <v>0</v>
      </c>
    </row>
    <row r="47" spans="1:26" ht="21" customHeight="1" x14ac:dyDescent="0.3">
      <c r="A47" s="172">
        <v>16</v>
      </c>
      <c r="B47" s="173" t="s">
        <v>69</v>
      </c>
      <c r="C47" s="174">
        <f t="shared" ca="1" si="21"/>
        <v>0</v>
      </c>
      <c r="D47" s="175">
        <f t="shared" ca="1" si="40"/>
        <v>0</v>
      </c>
      <c r="E47" s="176">
        <f ca="1">IFERROR(__xludf.DUMMYFUNCTION("IMPORTRANGE(""https://docs.google.com/spreadsheets/d/1-uDff_7J0KD5mKrp0Vvzr7lt3OU09vwQwhkpOPPYv2Y/edit?usp=sharing"",""งบพรบ!AX47"")"),0)</f>
        <v>0</v>
      </c>
      <c r="F47" s="176">
        <f ca="1">IFERROR(__xludf.DUMMYFUNCTION("IMPORTRANGE(""https://docs.google.com/spreadsheets/d/1-uDff_7J0KD5mKrp0Vvzr7lt3OU09vwQwhkpOPPYv2Y/edit?usp=sharing"",""งบพรบ!AY47"")"),0)</f>
        <v>0</v>
      </c>
      <c r="G47" s="176">
        <f ca="1">IFERROR(__xludf.DUMMYFUNCTION("IMPORTRANGE(""https://docs.google.com/spreadsheets/d/1-uDff_7J0KD5mKrp0Vvzr7lt3OU09vwQwhkpOPPYv2Y/edit?usp=sharing"",""งบพรบ!AZ47"")"),0)</f>
        <v>0</v>
      </c>
      <c r="H47" s="176">
        <f ca="1">IFERROR(__xludf.DUMMYFUNCTION("IMPORTRANGE(""https://docs.google.com/spreadsheets/d/1-uDff_7J0KD5mKrp0Vvzr7lt3OU09vwQwhkpOPPYv2Y/edit?usp=sharing"",""งบพรบ!BB47"")"),0)</f>
        <v>0</v>
      </c>
      <c r="I47" s="176">
        <f ca="1">IFERROR(__xludf.DUMMYFUNCTION("IMPORTRANGE(""https://docs.google.com/spreadsheets/d/1-uDff_7J0KD5mKrp0Vvzr7lt3OU09vwQwhkpOPPYv2Y/edit?usp=sharing"",""งบพรบ!BC47"")"),0)</f>
        <v>0</v>
      </c>
      <c r="J47" s="176">
        <f t="shared" ca="1" si="23"/>
        <v>0</v>
      </c>
      <c r="K47" s="181">
        <f t="shared" ca="1" si="24"/>
        <v>0</v>
      </c>
      <c r="L47" s="176">
        <f ca="1">IFERROR(__xludf.DUMMYFUNCTION("IMPORTRANGE(""https://docs.google.com/spreadsheets/d/1-uDff_7J0KD5mKrp0Vvzr7lt3OU09vwQwhkpOPPYv2Y/edit?usp=sharing"",""งบพรบ!BD47"")"),0)</f>
        <v>0</v>
      </c>
      <c r="M47" s="179">
        <f t="shared" ca="1" si="25"/>
        <v>0</v>
      </c>
      <c r="N47" s="179">
        <f t="shared" ca="1" si="26"/>
        <v>0</v>
      </c>
      <c r="O47" s="180">
        <f ca="1">IFERROR(__xludf.DUMMYFUNCTION("IMPORTRANGE(""https://docs.google.com/spreadsheets/d/1-uDff_7J0KD5mKrp0Vvzr7lt3OU09vwQwhkpOPPYv2Y/edit?usp=sharing"",""งบพรบ!BE47"")"),0)</f>
        <v>0</v>
      </c>
      <c r="P47" s="180">
        <f t="shared" ca="1" si="27"/>
        <v>0</v>
      </c>
      <c r="Q47" s="179">
        <f t="shared" ca="1" si="28"/>
        <v>0</v>
      </c>
      <c r="R47" s="88">
        <f ca="1">IFERROR(__xludf.DUMMYFUNCTION("IMPORTRANGE(""https://docs.google.com/spreadsheets/d/13JHU_EFbsQOUQ0JSQ3dWy1VTRosIWcDq6Nc99z2qzdc/edit?usp=sharing"",""หนองคาย!I108"")"),0)</f>
        <v>0</v>
      </c>
      <c r="S47" s="88">
        <f ca="1">IFERROR(__xludf.DUMMYFUNCTION("IMPORTRANGE(""https://docs.google.com/spreadsheets/d/13JHU_EFbsQOUQ0JSQ3dWy1VTRosIWcDq6Nc99z2qzdc/edit?usp=sharing"",""หนองคาย!J108"")"),0)</f>
        <v>0</v>
      </c>
      <c r="T47" s="177">
        <f t="shared" ca="1" si="30"/>
        <v>0</v>
      </c>
      <c r="U47" s="88">
        <f ca="1">IFERROR(__xludf.DUMMYFUNCTION("IMPORTRANGE(""https://docs.google.com/spreadsheets/d/13JHU_EFbsQOUQ0JSQ3dWy1VTRosIWcDq6Nc99z2qzdc/edit?usp=sharing"",""หนองคาย!I109"")"),0)</f>
        <v>0</v>
      </c>
      <c r="V47" s="88">
        <f ca="1">IFERROR(__xludf.DUMMYFUNCTION("IMPORTRANGE(""https://docs.google.com/spreadsheets/d/13JHU_EFbsQOUQ0JSQ3dWy1VTRosIWcDq6Nc99z2qzdc/edit?usp=sharing"",""หนองคาย!J109"")"),0)</f>
        <v>0</v>
      </c>
      <c r="W47" s="177">
        <f t="shared" ca="1" si="32"/>
        <v>0</v>
      </c>
      <c r="X47" s="88">
        <f ca="1">IFERROR(__xludf.DUMMYFUNCTION("IMPORTRANGE(""https://docs.google.com/spreadsheets/d/13JHU_EFbsQOUQ0JSQ3dWy1VTRosIWcDq6Nc99z2qzdc/edit?usp=sharing"",""หนองคาย!I117"")"),0)</f>
        <v>0</v>
      </c>
      <c r="Y47" s="88">
        <f ca="1">IFERROR(__xludf.DUMMYFUNCTION("IMPORTRANGE(""https://docs.google.com/spreadsheets/d/13JHU_EFbsQOUQ0JSQ3dWy1VTRosIWcDq6Nc99z2qzdc/edit?usp=sharing"",""หนองคาย!J117"")"),0)</f>
        <v>0</v>
      </c>
      <c r="Z47" s="177">
        <f t="shared" ca="1" si="34"/>
        <v>0</v>
      </c>
    </row>
    <row r="48" spans="1:26" ht="21" customHeight="1" x14ac:dyDescent="0.3">
      <c r="A48" s="172">
        <v>17</v>
      </c>
      <c r="B48" s="173" t="s">
        <v>70</v>
      </c>
      <c r="C48" s="174">
        <f t="shared" ca="1" si="21"/>
        <v>0</v>
      </c>
      <c r="D48" s="175">
        <f t="shared" ca="1" si="40"/>
        <v>0</v>
      </c>
      <c r="E48" s="176">
        <f ca="1">IFERROR(__xludf.DUMMYFUNCTION("IMPORTRANGE(""https://docs.google.com/spreadsheets/d/1-uDff_7J0KD5mKrp0Vvzr7lt3OU09vwQwhkpOPPYv2Y/edit?usp=sharing"",""งบพรบ!AX48"")"),0)</f>
        <v>0</v>
      </c>
      <c r="F48" s="176">
        <f ca="1">IFERROR(__xludf.DUMMYFUNCTION("IMPORTRANGE(""https://docs.google.com/spreadsheets/d/1-uDff_7J0KD5mKrp0Vvzr7lt3OU09vwQwhkpOPPYv2Y/edit?usp=sharing"",""งบพรบ!AY48"")"),0)</f>
        <v>0</v>
      </c>
      <c r="G48" s="176">
        <f ca="1">IFERROR(__xludf.DUMMYFUNCTION("IMPORTRANGE(""https://docs.google.com/spreadsheets/d/1-uDff_7J0KD5mKrp0Vvzr7lt3OU09vwQwhkpOPPYv2Y/edit?usp=sharing"",""งบพรบ!AZ48"")"),0)</f>
        <v>0</v>
      </c>
      <c r="H48" s="176">
        <f ca="1">IFERROR(__xludf.DUMMYFUNCTION("IMPORTRANGE(""https://docs.google.com/spreadsheets/d/1-uDff_7J0KD5mKrp0Vvzr7lt3OU09vwQwhkpOPPYv2Y/edit?usp=sharing"",""งบพรบ!BB48"")"),0)</f>
        <v>0</v>
      </c>
      <c r="I48" s="176">
        <f ca="1">IFERROR(__xludf.DUMMYFUNCTION("IMPORTRANGE(""https://docs.google.com/spreadsheets/d/1-uDff_7J0KD5mKrp0Vvzr7lt3OU09vwQwhkpOPPYv2Y/edit?usp=sharing"",""งบพรบ!BC48"")"),0)</f>
        <v>0</v>
      </c>
      <c r="J48" s="176">
        <f t="shared" ca="1" si="23"/>
        <v>0</v>
      </c>
      <c r="K48" s="181">
        <f t="shared" ca="1" si="24"/>
        <v>0</v>
      </c>
      <c r="L48" s="176">
        <f ca="1">IFERROR(__xludf.DUMMYFUNCTION("IMPORTRANGE(""https://docs.google.com/spreadsheets/d/1-uDff_7J0KD5mKrp0Vvzr7lt3OU09vwQwhkpOPPYv2Y/edit?usp=sharing"",""งบพรบ!BD48"")"),0)</f>
        <v>0</v>
      </c>
      <c r="M48" s="179">
        <f t="shared" ca="1" si="25"/>
        <v>0</v>
      </c>
      <c r="N48" s="179">
        <f t="shared" ca="1" si="26"/>
        <v>0</v>
      </c>
      <c r="O48" s="180">
        <f ca="1">IFERROR(__xludf.DUMMYFUNCTION("IMPORTRANGE(""https://docs.google.com/spreadsheets/d/1-uDff_7J0KD5mKrp0Vvzr7lt3OU09vwQwhkpOPPYv2Y/edit?usp=sharing"",""งบพรบ!BE48"")"),0)</f>
        <v>0</v>
      </c>
      <c r="P48" s="180">
        <f t="shared" ca="1" si="27"/>
        <v>0</v>
      </c>
      <c r="Q48" s="179">
        <f t="shared" ca="1" si="28"/>
        <v>0</v>
      </c>
      <c r="R48" s="88">
        <f ca="1">IFERROR(__xludf.DUMMYFUNCTION("IMPORTRANGE(""https://docs.google.com/spreadsheets/d/1Hx73zIEgVdDZZaYSTc46Dqv64atFhpr3GelxLbaIN8A/edit?usp=sharing"",""หนองบัวลำภู!I108"")"),0)</f>
        <v>0</v>
      </c>
      <c r="S48" s="88">
        <f ca="1">IFERROR(__xludf.DUMMYFUNCTION("IMPORTRANGE(""https://docs.google.com/spreadsheets/d/1Hx73zIEgVdDZZaYSTc46Dqv64atFhpr3GelxLbaIN8A/edit?usp=sharing"",""หนองบัวลำภู!J108"")"),0)</f>
        <v>0</v>
      </c>
      <c r="T48" s="177">
        <f t="shared" ca="1" si="30"/>
        <v>0</v>
      </c>
      <c r="U48" s="88">
        <f ca="1">IFERROR(__xludf.DUMMYFUNCTION("IMPORTRANGE(""https://docs.google.com/spreadsheets/d/1Hx73zIEgVdDZZaYSTc46Dqv64atFhpr3GelxLbaIN8A/edit?usp=sharing"",""หนองบัวลำภู!I109"")"),0)</f>
        <v>0</v>
      </c>
      <c r="V48" s="88">
        <f ca="1">IFERROR(__xludf.DUMMYFUNCTION("IMPORTRANGE(""https://docs.google.com/spreadsheets/d/1Hx73zIEgVdDZZaYSTc46Dqv64atFhpr3GelxLbaIN8A/edit?usp=sharing"",""หนองบัวลำภู!J109"")"),0)</f>
        <v>0</v>
      </c>
      <c r="W48" s="177">
        <f t="shared" ca="1" si="32"/>
        <v>0</v>
      </c>
      <c r="X48" s="88">
        <f ca="1">IFERROR(__xludf.DUMMYFUNCTION("IMPORTRANGE(""https://docs.google.com/spreadsheets/d/1Hx73zIEgVdDZZaYSTc46Dqv64atFhpr3GelxLbaIN8A/edit?usp=sharing"",""หนองบัวลำภู!I117"")"),0)</f>
        <v>0</v>
      </c>
      <c r="Y48" s="88">
        <f ca="1">IFERROR(__xludf.DUMMYFUNCTION("IMPORTRANGE(""https://docs.google.com/spreadsheets/d/1Hx73zIEgVdDZZaYSTc46Dqv64atFhpr3GelxLbaIN8A/edit?usp=sharing"",""หนองบัวลำภู!J117"")"),0)</f>
        <v>0</v>
      </c>
      <c r="Z48" s="177">
        <f t="shared" ca="1" si="34"/>
        <v>0</v>
      </c>
    </row>
    <row r="49" spans="1:26" ht="21" customHeight="1" x14ac:dyDescent="0.3">
      <c r="A49" s="172">
        <v>18</v>
      </c>
      <c r="B49" s="173" t="s">
        <v>71</v>
      </c>
      <c r="C49" s="174">
        <f t="shared" ca="1" si="21"/>
        <v>130100</v>
      </c>
      <c r="D49" s="175">
        <f t="shared" ca="1" si="40"/>
        <v>130100</v>
      </c>
      <c r="E49" s="176">
        <f ca="1">IFERROR(__xludf.DUMMYFUNCTION("IMPORTRANGE(""https://docs.google.com/spreadsheets/d/1-uDff_7J0KD5mKrp0Vvzr7lt3OU09vwQwhkpOPPYv2Y/edit?usp=sharing"",""งบพรบ!AX49"")"),79100)</f>
        <v>79100</v>
      </c>
      <c r="F49" s="176">
        <f ca="1">IFERROR(__xludf.DUMMYFUNCTION("IMPORTRANGE(""https://docs.google.com/spreadsheets/d/1-uDff_7J0KD5mKrp0Vvzr7lt3OU09vwQwhkpOPPYv2Y/edit?usp=sharing"",""งบพรบ!AY49"")"),51000)</f>
        <v>51000</v>
      </c>
      <c r="G49" s="176">
        <f ca="1">IFERROR(__xludf.DUMMYFUNCTION("IMPORTRANGE(""https://docs.google.com/spreadsheets/d/1-uDff_7J0KD5mKrp0Vvzr7lt3OU09vwQwhkpOPPYv2Y/edit?usp=sharing"",""งบพรบ!AZ49"")"),0)</f>
        <v>0</v>
      </c>
      <c r="H49" s="176">
        <f ca="1">IFERROR(__xludf.DUMMYFUNCTION("IMPORTRANGE(""https://docs.google.com/spreadsheets/d/1-uDff_7J0KD5mKrp0Vvzr7lt3OU09vwQwhkpOPPYv2Y/edit?usp=sharing"",""งบพรบ!BB49"")"),107500)</f>
        <v>107500</v>
      </c>
      <c r="I49" s="176">
        <f ca="1">IFERROR(__xludf.DUMMYFUNCTION("IMPORTRANGE(""https://docs.google.com/spreadsheets/d/1-uDff_7J0KD5mKrp0Vvzr7lt3OU09vwQwhkpOPPYv2Y/edit?usp=sharing"",""งบพรบ!BC49"")"),0)</f>
        <v>0</v>
      </c>
      <c r="J49" s="176">
        <f t="shared" ca="1" si="23"/>
        <v>16535</v>
      </c>
      <c r="K49" s="181">
        <f t="shared" ca="1" si="24"/>
        <v>12.709454265949271</v>
      </c>
      <c r="L49" s="176">
        <f ca="1">IFERROR(__xludf.DUMMYFUNCTION("IMPORTRANGE(""https://docs.google.com/spreadsheets/d/1-uDff_7J0KD5mKrp0Vvzr7lt3OU09vwQwhkpOPPYv2Y/edit?usp=sharing"",""งบพรบ!BD49"")"),16535)</f>
        <v>16535</v>
      </c>
      <c r="M49" s="179">
        <f t="shared" ca="1" si="25"/>
        <v>12.709454265949271</v>
      </c>
      <c r="N49" s="179">
        <f t="shared" ca="1" si="26"/>
        <v>15.381395348837209</v>
      </c>
      <c r="O49" s="180">
        <f ca="1">IFERROR(__xludf.DUMMYFUNCTION("IMPORTRANGE(""https://docs.google.com/spreadsheets/d/1-uDff_7J0KD5mKrp0Vvzr7lt3OU09vwQwhkpOPPYv2Y/edit?usp=sharing"",""งบพรบ!BE49"")"),0)</f>
        <v>0</v>
      </c>
      <c r="P49" s="180">
        <f t="shared" ca="1" si="27"/>
        <v>0</v>
      </c>
      <c r="Q49" s="179">
        <f t="shared" ca="1" si="28"/>
        <v>0</v>
      </c>
      <c r="R49" s="88">
        <f ca="1">IFERROR(__xludf.DUMMYFUNCTION("IMPORTRANGE(""https://docs.google.com/spreadsheets/d/1lFxr3ctmjFN90yc-xV6jrQ9Ty8BKYVBWnAZ15wcNIJc/edit?usp=sharing"",""อำนาจเจริญ!I108"")"),30)</f>
        <v>30</v>
      </c>
      <c r="S49" s="88">
        <f ca="1">IFERROR(__xludf.DUMMYFUNCTION("IMPORTRANGE(""https://docs.google.com/spreadsheets/d/1lFxr3ctmjFN90yc-xV6jrQ9Ty8BKYVBWnAZ15wcNIJc/edit?usp=sharing"",""อำนาจเจริญ!J108"")"),0)</f>
        <v>0</v>
      </c>
      <c r="T49" s="177">
        <f t="shared" ca="1" si="30"/>
        <v>0</v>
      </c>
      <c r="U49" s="88">
        <f ca="1">IFERROR(__xludf.DUMMYFUNCTION("IMPORTRANGE(""https://docs.google.com/spreadsheets/d/1lFxr3ctmjFN90yc-xV6jrQ9Ty8BKYVBWnAZ15wcNIJc/edit?usp=sharing"",""อำนาจเจริญ!I109"")"),10)</f>
        <v>10</v>
      </c>
      <c r="V49" s="88">
        <f ca="1">IFERROR(__xludf.DUMMYFUNCTION("IMPORTRANGE(""https://docs.google.com/spreadsheets/d/1lFxr3ctmjFN90yc-xV6jrQ9Ty8BKYVBWnAZ15wcNIJc/edit?usp=sharing"",""อำนาจเจริญ!J109"")"),0)</f>
        <v>0</v>
      </c>
      <c r="W49" s="177">
        <f t="shared" ca="1" si="32"/>
        <v>0</v>
      </c>
      <c r="X49" s="88">
        <f ca="1">IFERROR(__xludf.DUMMYFUNCTION("IMPORTRANGE(""https://docs.google.com/spreadsheets/d/1lFxr3ctmjFN90yc-xV6jrQ9Ty8BKYVBWnAZ15wcNIJc/edit?usp=sharing"",""อำนาจเจริญ!I117"")"),10)</f>
        <v>10</v>
      </c>
      <c r="Y49" s="88">
        <f ca="1">IFERROR(__xludf.DUMMYFUNCTION("IMPORTRANGE(""https://docs.google.com/spreadsheets/d/1lFxr3ctmjFN90yc-xV6jrQ9Ty8BKYVBWnAZ15wcNIJc/edit?usp=sharing"",""อำนาจเจริญ!J117"")"),0)</f>
        <v>0</v>
      </c>
      <c r="Z49" s="177">
        <f t="shared" ca="1" si="34"/>
        <v>0</v>
      </c>
    </row>
    <row r="50" spans="1:26" ht="21" customHeight="1" x14ac:dyDescent="0.3">
      <c r="A50" s="172">
        <v>19</v>
      </c>
      <c r="B50" s="173" t="s">
        <v>72</v>
      </c>
      <c r="C50" s="174">
        <f t="shared" ca="1" si="21"/>
        <v>0</v>
      </c>
      <c r="D50" s="175">
        <f t="shared" ca="1" si="40"/>
        <v>0</v>
      </c>
      <c r="E50" s="176">
        <f ca="1">IFERROR(__xludf.DUMMYFUNCTION("IMPORTRANGE(""https://docs.google.com/spreadsheets/d/1-uDff_7J0KD5mKrp0Vvzr7lt3OU09vwQwhkpOPPYv2Y/edit?usp=sharing"",""งบพรบ!AX50"")"),0)</f>
        <v>0</v>
      </c>
      <c r="F50" s="176">
        <f ca="1">IFERROR(__xludf.DUMMYFUNCTION("IMPORTRANGE(""https://docs.google.com/spreadsheets/d/1-uDff_7J0KD5mKrp0Vvzr7lt3OU09vwQwhkpOPPYv2Y/edit?usp=sharing"",""งบพรบ!AY50"")"),0)</f>
        <v>0</v>
      </c>
      <c r="G50" s="176">
        <f ca="1">IFERROR(__xludf.DUMMYFUNCTION("IMPORTRANGE(""https://docs.google.com/spreadsheets/d/1-uDff_7J0KD5mKrp0Vvzr7lt3OU09vwQwhkpOPPYv2Y/edit?usp=sharing"",""งบพรบ!AZ50"")"),0)</f>
        <v>0</v>
      </c>
      <c r="H50" s="176">
        <f ca="1">IFERROR(__xludf.DUMMYFUNCTION("IMPORTRANGE(""https://docs.google.com/spreadsheets/d/1-uDff_7J0KD5mKrp0Vvzr7lt3OU09vwQwhkpOPPYv2Y/edit?usp=sharing"",""งบพรบ!BB50"")"),0)</f>
        <v>0</v>
      </c>
      <c r="I50" s="176">
        <f ca="1">IFERROR(__xludf.DUMMYFUNCTION("IMPORTRANGE(""https://docs.google.com/spreadsheets/d/1-uDff_7J0KD5mKrp0Vvzr7lt3OU09vwQwhkpOPPYv2Y/edit?usp=sharing"",""งบพรบ!BC50"")"),0)</f>
        <v>0</v>
      </c>
      <c r="J50" s="176">
        <f t="shared" ca="1" si="23"/>
        <v>0</v>
      </c>
      <c r="K50" s="181">
        <f t="shared" ca="1" si="24"/>
        <v>0</v>
      </c>
      <c r="L50" s="176">
        <f ca="1">IFERROR(__xludf.DUMMYFUNCTION("IMPORTRANGE(""https://docs.google.com/spreadsheets/d/1-uDff_7J0KD5mKrp0Vvzr7lt3OU09vwQwhkpOPPYv2Y/edit?usp=sharing"",""งบพรบ!BD50"")"),0)</f>
        <v>0</v>
      </c>
      <c r="M50" s="179">
        <f t="shared" ca="1" si="25"/>
        <v>0</v>
      </c>
      <c r="N50" s="179">
        <f t="shared" ca="1" si="26"/>
        <v>0</v>
      </c>
      <c r="O50" s="180">
        <f ca="1">IFERROR(__xludf.DUMMYFUNCTION("IMPORTRANGE(""https://docs.google.com/spreadsheets/d/1-uDff_7J0KD5mKrp0Vvzr7lt3OU09vwQwhkpOPPYv2Y/edit?usp=sharing"",""งบพรบ!BE50"")"),0)</f>
        <v>0</v>
      </c>
      <c r="P50" s="180">
        <f t="shared" ca="1" si="27"/>
        <v>0</v>
      </c>
      <c r="Q50" s="179">
        <f t="shared" ca="1" si="28"/>
        <v>0</v>
      </c>
      <c r="R50" s="88">
        <f ca="1">IFERROR(__xludf.DUMMYFUNCTION("IMPORTRANGE(""https://docs.google.com/spreadsheets/d/1gF7RJpRnL-1oyjyeWxs5SFWEH7y8ahOZsQlyp2A2e-A/edit?usp=sharing"",""อุดรธานี!I108"")"),0)</f>
        <v>0</v>
      </c>
      <c r="S50" s="88">
        <f ca="1">IFERROR(__xludf.DUMMYFUNCTION("IMPORTRANGE(""https://docs.google.com/spreadsheets/d/1gF7RJpRnL-1oyjyeWxs5SFWEH7y8ahOZsQlyp2A2e-A/edit?usp=sharing"",""อุดรธานี!J108"")"),0)</f>
        <v>0</v>
      </c>
      <c r="T50" s="177">
        <f t="shared" ca="1" si="30"/>
        <v>0</v>
      </c>
      <c r="U50" s="88">
        <f ca="1">IFERROR(__xludf.DUMMYFUNCTION("IMPORTRANGE(""https://docs.google.com/spreadsheets/d/1gF7RJpRnL-1oyjyeWxs5SFWEH7y8ahOZsQlyp2A2e-A/edit?usp=sharing"",""อุดรธานี!I109"")"),0)</f>
        <v>0</v>
      </c>
      <c r="V50" s="88">
        <f ca="1">IFERROR(__xludf.DUMMYFUNCTION("IMPORTRANGE(""https://docs.google.com/spreadsheets/d/1gF7RJpRnL-1oyjyeWxs5SFWEH7y8ahOZsQlyp2A2e-A/edit?usp=sharing"",""อุดรธานี!J109"")"),0)</f>
        <v>0</v>
      </c>
      <c r="W50" s="177">
        <f t="shared" ca="1" si="32"/>
        <v>0</v>
      </c>
      <c r="X50" s="88">
        <f ca="1">IFERROR(__xludf.DUMMYFUNCTION("IMPORTRANGE(""https://docs.google.com/spreadsheets/d/1gF7RJpRnL-1oyjyeWxs5SFWEH7y8ahOZsQlyp2A2e-A/edit?usp=sharing"",""อุดรธานี!I117"")"),0)</f>
        <v>0</v>
      </c>
      <c r="Y50" s="88">
        <f ca="1">IFERROR(__xludf.DUMMYFUNCTION("IMPORTRANGE(""https://docs.google.com/spreadsheets/d/1gF7RJpRnL-1oyjyeWxs5SFWEH7y8ahOZsQlyp2A2e-A/edit?usp=sharing"",""อุดรธานี!J117"")"),0)</f>
        <v>0</v>
      </c>
      <c r="Z50" s="177">
        <f t="shared" ca="1" si="34"/>
        <v>0</v>
      </c>
    </row>
    <row r="51" spans="1:26" ht="21" customHeight="1" x14ac:dyDescent="0.3">
      <c r="A51" s="172">
        <v>20</v>
      </c>
      <c r="B51" s="173" t="s">
        <v>73</v>
      </c>
      <c r="C51" s="174">
        <f t="shared" ca="1" si="21"/>
        <v>0</v>
      </c>
      <c r="D51" s="175">
        <f t="shared" ca="1" si="40"/>
        <v>0</v>
      </c>
      <c r="E51" s="176">
        <f ca="1">IFERROR(__xludf.DUMMYFUNCTION("IMPORTRANGE(""https://docs.google.com/spreadsheets/d/1-uDff_7J0KD5mKrp0Vvzr7lt3OU09vwQwhkpOPPYv2Y/edit?usp=sharing"",""งบพรบ!AX51"")"),0)</f>
        <v>0</v>
      </c>
      <c r="F51" s="176">
        <f ca="1">IFERROR(__xludf.DUMMYFUNCTION("IMPORTRANGE(""https://docs.google.com/spreadsheets/d/1-uDff_7J0KD5mKrp0Vvzr7lt3OU09vwQwhkpOPPYv2Y/edit?usp=sharing"",""งบพรบ!AY51"")"),0)</f>
        <v>0</v>
      </c>
      <c r="G51" s="176">
        <f ca="1">IFERROR(__xludf.DUMMYFUNCTION("IMPORTRANGE(""https://docs.google.com/spreadsheets/d/1-uDff_7J0KD5mKrp0Vvzr7lt3OU09vwQwhkpOPPYv2Y/edit?usp=sharing"",""งบพรบ!AZ51"")"),0)</f>
        <v>0</v>
      </c>
      <c r="H51" s="176">
        <f ca="1">IFERROR(__xludf.DUMMYFUNCTION("IMPORTRANGE(""https://docs.google.com/spreadsheets/d/1-uDff_7J0KD5mKrp0Vvzr7lt3OU09vwQwhkpOPPYv2Y/edit?usp=sharing"",""งบพรบ!BB51"")"),0)</f>
        <v>0</v>
      </c>
      <c r="I51" s="176">
        <f ca="1">IFERROR(__xludf.DUMMYFUNCTION("IMPORTRANGE(""https://docs.google.com/spreadsheets/d/1-uDff_7J0KD5mKrp0Vvzr7lt3OU09vwQwhkpOPPYv2Y/edit?usp=sharing"",""งบพรบ!BC51"")"),0)</f>
        <v>0</v>
      </c>
      <c r="J51" s="176">
        <f t="shared" ca="1" si="23"/>
        <v>0</v>
      </c>
      <c r="K51" s="181">
        <f t="shared" ca="1" si="24"/>
        <v>0</v>
      </c>
      <c r="L51" s="176">
        <f ca="1">IFERROR(__xludf.DUMMYFUNCTION("IMPORTRANGE(""https://docs.google.com/spreadsheets/d/1-uDff_7J0KD5mKrp0Vvzr7lt3OU09vwQwhkpOPPYv2Y/edit?usp=sharing"",""งบพรบ!BD51"")"),0)</f>
        <v>0</v>
      </c>
      <c r="M51" s="179">
        <f t="shared" ca="1" si="25"/>
        <v>0</v>
      </c>
      <c r="N51" s="179">
        <f t="shared" ca="1" si="26"/>
        <v>0</v>
      </c>
      <c r="O51" s="180">
        <f ca="1">IFERROR(__xludf.DUMMYFUNCTION("IMPORTRANGE(""https://docs.google.com/spreadsheets/d/1-uDff_7J0KD5mKrp0Vvzr7lt3OU09vwQwhkpOPPYv2Y/edit?usp=sharing"",""งบพรบ!BE51"")"),0)</f>
        <v>0</v>
      </c>
      <c r="P51" s="180">
        <f t="shared" ca="1" si="27"/>
        <v>0</v>
      </c>
      <c r="Q51" s="179">
        <f t="shared" ca="1" si="28"/>
        <v>0</v>
      </c>
      <c r="R51" s="99">
        <f ca="1">IFERROR(__xludf.DUMMYFUNCTION("IMPORTRANGE(""https://docs.google.com/spreadsheets/d/1kfLP0j3INXRa8bTDpcEmoWewMBV61jlFlfzczfjWIgc/edit?usp=sharing"",""อุบลราชธานี!I108"")"),0)</f>
        <v>0</v>
      </c>
      <c r="S51" s="99">
        <f ca="1">IFERROR(__xludf.DUMMYFUNCTION("IMPORTRANGE(""https://docs.google.com/spreadsheets/d/1kfLP0j3INXRa8bTDpcEmoWewMBV61jlFlfzczfjWIgc/edit?usp=sharing"",""อุบลราชธานี!J108"")"),0)</f>
        <v>0</v>
      </c>
      <c r="T51" s="177">
        <f t="shared" ca="1" si="30"/>
        <v>0</v>
      </c>
      <c r="U51" s="99">
        <f ca="1">IFERROR(__xludf.DUMMYFUNCTION("IMPORTRANGE(""https://docs.google.com/spreadsheets/d/1kfLP0j3INXRa8bTDpcEmoWewMBV61jlFlfzczfjWIgc/edit?usp=sharing"",""อุบลราชธานี!I109"")"),0)</f>
        <v>0</v>
      </c>
      <c r="V51" s="99">
        <f ca="1">IFERROR(__xludf.DUMMYFUNCTION("IMPORTRANGE(""https://docs.google.com/spreadsheets/d/1kfLP0j3INXRa8bTDpcEmoWewMBV61jlFlfzczfjWIgc/edit?usp=sharing"",""อุบลราชธานี!J109"")"),0)</f>
        <v>0</v>
      </c>
      <c r="W51" s="177">
        <f t="shared" ca="1" si="32"/>
        <v>0</v>
      </c>
      <c r="X51" s="99">
        <f ca="1">IFERROR(__xludf.DUMMYFUNCTION("IMPORTRANGE(""https://docs.google.com/spreadsheets/d/1kfLP0j3INXRa8bTDpcEmoWewMBV61jlFlfzczfjWIgc/edit?usp=sharing"",""อุบลราชธานี!I117"")"),0)</f>
        <v>0</v>
      </c>
      <c r="Y51" s="99">
        <f ca="1">IFERROR(__xludf.DUMMYFUNCTION("IMPORTRANGE(""https://docs.google.com/spreadsheets/d/1kfLP0j3INXRa8bTDpcEmoWewMBV61jlFlfzczfjWIgc/edit?usp=sharing"",""อุบลราชธานี!J117"")"),0)</f>
        <v>0</v>
      </c>
      <c r="Z51" s="177">
        <f t="shared" ca="1" si="34"/>
        <v>0</v>
      </c>
    </row>
    <row r="52" spans="1:26" ht="21" customHeight="1" x14ac:dyDescent="0.3">
      <c r="A52" s="423" t="s">
        <v>74</v>
      </c>
      <c r="B52" s="422"/>
      <c r="C52" s="154">
        <f t="shared" ca="1" si="21"/>
        <v>205600</v>
      </c>
      <c r="D52" s="154">
        <f t="shared" ref="D52:I52" ca="1" si="41">SUM(D53:D73)</f>
        <v>205600</v>
      </c>
      <c r="E52" s="154">
        <f t="shared" ca="1" si="41"/>
        <v>76200</v>
      </c>
      <c r="F52" s="154">
        <f t="shared" ca="1" si="41"/>
        <v>129400</v>
      </c>
      <c r="G52" s="154">
        <f t="shared" ca="1" si="41"/>
        <v>0</v>
      </c>
      <c r="H52" s="154">
        <f t="shared" ca="1" si="41"/>
        <v>183900</v>
      </c>
      <c r="I52" s="154">
        <f t="shared" ca="1" si="41"/>
        <v>0</v>
      </c>
      <c r="J52" s="154">
        <f t="shared" ca="1" si="23"/>
        <v>108464</v>
      </c>
      <c r="K52" s="155">
        <f t="shared" ca="1" si="24"/>
        <v>52.754863813229569</v>
      </c>
      <c r="L52" s="154">
        <f ca="1">SUM(L53:L73)</f>
        <v>108464</v>
      </c>
      <c r="M52" s="156">
        <f t="shared" ca="1" si="25"/>
        <v>52.754863813229569</v>
      </c>
      <c r="N52" s="156">
        <f t="shared" ca="1" si="26"/>
        <v>58.979880369766178</v>
      </c>
      <c r="O52" s="157">
        <f ca="1">SUM(O53:O73)</f>
        <v>0</v>
      </c>
      <c r="P52" s="157">
        <f t="shared" ca="1" si="27"/>
        <v>0</v>
      </c>
      <c r="Q52" s="156">
        <f t="shared" ca="1" si="28"/>
        <v>0</v>
      </c>
      <c r="R52" s="68">
        <f t="shared" ref="R52:S52" ca="1" si="42">SUM(R53:R73)</f>
        <v>93</v>
      </c>
      <c r="S52" s="68">
        <f t="shared" ca="1" si="42"/>
        <v>0</v>
      </c>
      <c r="T52" s="154">
        <f t="shared" ca="1" si="30"/>
        <v>0</v>
      </c>
      <c r="U52" s="68">
        <f t="shared" ref="U52:V52" ca="1" si="43">SUM(U53:U73)</f>
        <v>31</v>
      </c>
      <c r="V52" s="68">
        <f t="shared" ca="1" si="43"/>
        <v>0</v>
      </c>
      <c r="W52" s="154">
        <f t="shared" ca="1" si="32"/>
        <v>0</v>
      </c>
      <c r="X52" s="68">
        <f t="shared" ref="X52:Y52" ca="1" si="44">SUM(X53:X73)</f>
        <v>31</v>
      </c>
      <c r="Y52" s="68">
        <f t="shared" ca="1" si="44"/>
        <v>0</v>
      </c>
      <c r="Z52" s="154">
        <f t="shared" ca="1" si="34"/>
        <v>0</v>
      </c>
    </row>
    <row r="53" spans="1:26" ht="21" customHeight="1" x14ac:dyDescent="0.3">
      <c r="A53" s="172">
        <v>1</v>
      </c>
      <c r="B53" s="173" t="s">
        <v>75</v>
      </c>
      <c r="C53" s="174">
        <f t="shared" ca="1" si="21"/>
        <v>0</v>
      </c>
      <c r="D53" s="175">
        <f t="shared" ref="D53:D73" ca="1" si="45">+E53+F53</f>
        <v>0</v>
      </c>
      <c r="E53" s="176">
        <f ca="1">IFERROR(__xludf.DUMMYFUNCTION("IMPORTRANGE(""https://docs.google.com/spreadsheets/d/1-uDff_7J0KD5mKrp0Vvzr7lt3OU09vwQwhkpOPPYv2Y/edit?usp=sharing"",""งบพรบ!AX53"")"),0)</f>
        <v>0</v>
      </c>
      <c r="F53" s="176">
        <f ca="1">IFERROR(__xludf.DUMMYFUNCTION("IMPORTRANGE(""https://docs.google.com/spreadsheets/d/1-uDff_7J0KD5mKrp0Vvzr7lt3OU09vwQwhkpOPPYv2Y/edit?usp=sharing"",""งบพรบ!AY53"")"),0)</f>
        <v>0</v>
      </c>
      <c r="G53" s="177">
        <f ca="1">IFERROR(__xludf.DUMMYFUNCTION("IMPORTRANGE(""https://docs.google.com/spreadsheets/d/1-uDff_7J0KD5mKrp0Vvzr7lt3OU09vwQwhkpOPPYv2Y/edit?usp=sharing"",""งบพรบ!AZ53"")"),0)</f>
        <v>0</v>
      </c>
      <c r="H53" s="177">
        <f ca="1">IFERROR(__xludf.DUMMYFUNCTION("IMPORTRANGE(""https://docs.google.com/spreadsheets/d/1-uDff_7J0KD5mKrp0Vvzr7lt3OU09vwQwhkpOPPYv2Y/edit?usp=sharing"",""งบพรบ!BB53"")"),0)</f>
        <v>0</v>
      </c>
      <c r="I53" s="177">
        <f ca="1">IFERROR(__xludf.DUMMYFUNCTION("IMPORTRANGE(""https://docs.google.com/spreadsheets/d/1-uDff_7J0KD5mKrp0Vvzr7lt3OU09vwQwhkpOPPYv2Y/edit?usp=sharing"",""งบพรบ!BC53"")"),0)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IFERROR(__xludf.DUMMYFUNCTION("IMPORTRANGE(""https://docs.google.com/spreadsheets/d/1-uDff_7J0KD5mKrp0Vvzr7lt3OU09vwQwhkpOPPYv2Y/edit?usp=sharing"",""งบพรบ!BD53"")"),0)</f>
        <v>0</v>
      </c>
      <c r="M53" s="179">
        <f t="shared" ca="1" si="25"/>
        <v>0</v>
      </c>
      <c r="N53" s="179">
        <f t="shared" ca="1" si="26"/>
        <v>0</v>
      </c>
      <c r="O53" s="180">
        <f ca="1">IFERROR(__xludf.DUMMYFUNCTION("IMPORTRANGE(""https://docs.google.com/spreadsheets/d/1-uDff_7J0KD5mKrp0Vvzr7lt3OU09vwQwhkpOPPYv2Y/edit?usp=sharing"",""งบพรบ!BE53"")"),0)</f>
        <v>0</v>
      </c>
      <c r="P53" s="180">
        <f t="shared" ca="1" si="27"/>
        <v>0</v>
      </c>
      <c r="Q53" s="179">
        <f t="shared" ca="1" si="28"/>
        <v>0</v>
      </c>
      <c r="R53" s="78">
        <f ca="1">IFERROR(__xludf.DUMMYFUNCTION("IMPORTRANGE(""https://docs.google.com/spreadsheets/d/13wPX838HrBrQMCywv1BsuMkt4PEKTChp52zj44s2izQ/edit?usp=sharing"",""กาญจนบุรี!I108"")"),0)</f>
        <v>0</v>
      </c>
      <c r="S53" s="78">
        <f ca="1">IFERROR(__xludf.DUMMYFUNCTION("IMPORTRANGE(""https://docs.google.com/spreadsheets/d/13wPX838HrBrQMCywv1BsuMkt4PEKTChp52zj44s2izQ/edit?usp=sharing"",""กาญจนบุรี!J108"")"),0)</f>
        <v>0</v>
      </c>
      <c r="T53" s="177">
        <f t="shared" ca="1" si="30"/>
        <v>0</v>
      </c>
      <c r="U53" s="78">
        <f ca="1">IFERROR(__xludf.DUMMYFUNCTION("IMPORTRANGE(""https://docs.google.com/spreadsheets/d/13wPX838HrBrQMCywv1BsuMkt4PEKTChp52zj44s2izQ/edit?usp=sharing"",""กาญจนบุรี!I109"")"),0)</f>
        <v>0</v>
      </c>
      <c r="V53" s="78">
        <f ca="1">IFERROR(__xludf.DUMMYFUNCTION("IMPORTRANGE(""https://docs.google.com/spreadsheets/d/13wPX838HrBrQMCywv1BsuMkt4PEKTChp52zj44s2izQ/edit?usp=sharing"",""กาญจนบุรี!J109"")"),0)</f>
        <v>0</v>
      </c>
      <c r="W53" s="177">
        <f t="shared" ca="1" si="32"/>
        <v>0</v>
      </c>
      <c r="X53" s="78">
        <f ca="1">IFERROR(__xludf.DUMMYFUNCTION("IMPORTRANGE(""https://docs.google.com/spreadsheets/d/13wPX838HrBrQMCywv1BsuMkt4PEKTChp52zj44s2izQ/edit?usp=sharing"",""กาญจนบุรี!I117"")"),0)</f>
        <v>0</v>
      </c>
      <c r="Y53" s="78">
        <f ca="1">IFERROR(__xludf.DUMMYFUNCTION("IMPORTRANGE(""https://docs.google.com/spreadsheets/d/13wPX838HrBrQMCywv1BsuMkt4PEKTChp52zj44s2izQ/edit?usp=sharing"",""กาญจนบุรี!J117"")"),0)</f>
        <v>0</v>
      </c>
      <c r="Z53" s="177">
        <f t="shared" ca="1" si="34"/>
        <v>0</v>
      </c>
    </row>
    <row r="54" spans="1:26" ht="21" customHeight="1" x14ac:dyDescent="0.3">
      <c r="A54" s="172">
        <v>2</v>
      </c>
      <c r="B54" s="173" t="s">
        <v>76</v>
      </c>
      <c r="C54" s="174">
        <f t="shared" ca="1" si="21"/>
        <v>0</v>
      </c>
      <c r="D54" s="175">
        <f t="shared" ca="1" si="45"/>
        <v>0</v>
      </c>
      <c r="E54" s="176">
        <f ca="1">IFERROR(__xludf.DUMMYFUNCTION("IMPORTRANGE(""https://docs.google.com/spreadsheets/d/1-uDff_7J0KD5mKrp0Vvzr7lt3OU09vwQwhkpOPPYv2Y/edit?usp=sharing"",""งบพรบ!AX54"")"),0)</f>
        <v>0</v>
      </c>
      <c r="F54" s="176">
        <f ca="1">IFERROR(__xludf.DUMMYFUNCTION("IMPORTRANGE(""https://docs.google.com/spreadsheets/d/1-uDff_7J0KD5mKrp0Vvzr7lt3OU09vwQwhkpOPPYv2Y/edit?usp=sharing"",""งบพรบ!AY54"")"),0)</f>
        <v>0</v>
      </c>
      <c r="G54" s="176">
        <f ca="1">IFERROR(__xludf.DUMMYFUNCTION("IMPORTRANGE(""https://docs.google.com/spreadsheets/d/1-uDff_7J0KD5mKrp0Vvzr7lt3OU09vwQwhkpOPPYv2Y/edit?usp=sharing"",""งบพรบ!AZ54"")"),0)</f>
        <v>0</v>
      </c>
      <c r="H54" s="176">
        <f ca="1">IFERROR(__xludf.DUMMYFUNCTION("IMPORTRANGE(""https://docs.google.com/spreadsheets/d/1-uDff_7J0KD5mKrp0Vvzr7lt3OU09vwQwhkpOPPYv2Y/edit?usp=sharing"",""งบพรบ!BB54"")"),0)</f>
        <v>0</v>
      </c>
      <c r="I54" s="176">
        <f ca="1">IFERROR(__xludf.DUMMYFUNCTION("IMPORTRANGE(""https://docs.google.com/spreadsheets/d/1-uDff_7J0KD5mKrp0Vvzr7lt3OU09vwQwhkpOPPYv2Y/edit?usp=sharing"",""งบพรบ!BC54"")"),0)</f>
        <v>0</v>
      </c>
      <c r="J54" s="176">
        <f t="shared" ca="1" si="23"/>
        <v>0</v>
      </c>
      <c r="K54" s="181">
        <f t="shared" ca="1" si="24"/>
        <v>0</v>
      </c>
      <c r="L54" s="176">
        <f ca="1">IFERROR(__xludf.DUMMYFUNCTION("IMPORTRANGE(""https://docs.google.com/spreadsheets/d/1-uDff_7J0KD5mKrp0Vvzr7lt3OU09vwQwhkpOPPYv2Y/edit?usp=sharing"",""งบพรบ!BD54"")"),0)</f>
        <v>0</v>
      </c>
      <c r="M54" s="179">
        <f t="shared" ca="1" si="25"/>
        <v>0</v>
      </c>
      <c r="N54" s="179">
        <f t="shared" ca="1" si="26"/>
        <v>0</v>
      </c>
      <c r="O54" s="180">
        <f ca="1">IFERROR(__xludf.DUMMYFUNCTION("IMPORTRANGE(""https://docs.google.com/spreadsheets/d/1-uDff_7J0KD5mKrp0Vvzr7lt3OU09vwQwhkpOPPYv2Y/edit?usp=sharing"",""งบพรบ!BE54"")"),0)</f>
        <v>0</v>
      </c>
      <c r="P54" s="180">
        <f t="shared" ca="1" si="27"/>
        <v>0</v>
      </c>
      <c r="Q54" s="179">
        <f t="shared" ca="1" si="28"/>
        <v>0</v>
      </c>
      <c r="R54" s="88">
        <f ca="1">IFERROR(__xludf.DUMMYFUNCTION("IMPORTRANGE(""https://docs.google.com/spreadsheets/d/1ddFKvqj1W1NEiWytbGlB1zMx_ykJDVtmfEQ-6-lIUBA/edit?usp=sharing"",""จันทบุรี!I108"")"),0)</f>
        <v>0</v>
      </c>
      <c r="S54" s="88">
        <f ca="1">IFERROR(__xludf.DUMMYFUNCTION("IMPORTRANGE(""https://docs.google.com/spreadsheets/d/1ddFKvqj1W1NEiWytbGlB1zMx_ykJDVtmfEQ-6-lIUBA/edit?usp=sharing"",""จันทบุรี!J108"")"),0)</f>
        <v>0</v>
      </c>
      <c r="T54" s="177">
        <f t="shared" ca="1" si="30"/>
        <v>0</v>
      </c>
      <c r="U54" s="88">
        <f ca="1">IFERROR(__xludf.DUMMYFUNCTION("IMPORTRANGE(""https://docs.google.com/spreadsheets/d/1ddFKvqj1W1NEiWytbGlB1zMx_ykJDVtmfEQ-6-lIUBA/edit?usp=sharing"",""จันทบุรี!I109"")"),0)</f>
        <v>0</v>
      </c>
      <c r="V54" s="88">
        <f ca="1">IFERROR(__xludf.DUMMYFUNCTION("IMPORTRANGE(""https://docs.google.com/spreadsheets/d/1ddFKvqj1W1NEiWytbGlB1zMx_ykJDVtmfEQ-6-lIUBA/edit?usp=sharing"",""จันทบุรี!J109"")"),0)</f>
        <v>0</v>
      </c>
      <c r="W54" s="177">
        <f t="shared" ca="1" si="32"/>
        <v>0</v>
      </c>
      <c r="X54" s="88">
        <f ca="1">IFERROR(__xludf.DUMMYFUNCTION("IMPORTRANGE(""https://docs.google.com/spreadsheets/d/1ddFKvqj1W1NEiWytbGlB1zMx_ykJDVtmfEQ-6-lIUBA/edit?usp=sharing"",""จันทบุรี!I117"")"),0)</f>
        <v>0</v>
      </c>
      <c r="Y54" s="88">
        <f ca="1">IFERROR(__xludf.DUMMYFUNCTION("IMPORTRANGE(""https://docs.google.com/spreadsheets/d/1ddFKvqj1W1NEiWytbGlB1zMx_ykJDVtmfEQ-6-lIUBA/edit?usp=sharing"",""จันทบุรี!J117"")"),0)</f>
        <v>0</v>
      </c>
      <c r="Z54" s="177">
        <f t="shared" ca="1" si="34"/>
        <v>0</v>
      </c>
    </row>
    <row r="55" spans="1:26" ht="21" customHeight="1" x14ac:dyDescent="0.3">
      <c r="A55" s="172">
        <v>3</v>
      </c>
      <c r="B55" s="173" t="s">
        <v>77</v>
      </c>
      <c r="C55" s="174">
        <f t="shared" ca="1" si="21"/>
        <v>0</v>
      </c>
      <c r="D55" s="175">
        <f t="shared" ca="1" si="45"/>
        <v>0</v>
      </c>
      <c r="E55" s="176">
        <f ca="1">IFERROR(__xludf.DUMMYFUNCTION("IMPORTRANGE(""https://docs.google.com/spreadsheets/d/1-uDff_7J0KD5mKrp0Vvzr7lt3OU09vwQwhkpOPPYv2Y/edit?usp=sharing"",""งบพรบ!AX55"")"),0)</f>
        <v>0</v>
      </c>
      <c r="F55" s="176">
        <f ca="1">IFERROR(__xludf.DUMMYFUNCTION("IMPORTRANGE(""https://docs.google.com/spreadsheets/d/1-uDff_7J0KD5mKrp0Vvzr7lt3OU09vwQwhkpOPPYv2Y/edit?usp=sharing"",""งบพรบ!AY55"")"),0)</f>
        <v>0</v>
      </c>
      <c r="G55" s="176">
        <f ca="1">IFERROR(__xludf.DUMMYFUNCTION("IMPORTRANGE(""https://docs.google.com/spreadsheets/d/1-uDff_7J0KD5mKrp0Vvzr7lt3OU09vwQwhkpOPPYv2Y/edit?usp=sharing"",""งบพรบ!AZ55"")"),0)</f>
        <v>0</v>
      </c>
      <c r="H55" s="176">
        <f ca="1">IFERROR(__xludf.DUMMYFUNCTION("IMPORTRANGE(""https://docs.google.com/spreadsheets/d/1-uDff_7J0KD5mKrp0Vvzr7lt3OU09vwQwhkpOPPYv2Y/edit?usp=sharing"",""งบพรบ!BB55"")"),0)</f>
        <v>0</v>
      </c>
      <c r="I55" s="176">
        <f ca="1">IFERROR(__xludf.DUMMYFUNCTION("IMPORTRANGE(""https://docs.google.com/spreadsheets/d/1-uDff_7J0KD5mKrp0Vvzr7lt3OU09vwQwhkpOPPYv2Y/edit?usp=sharing"",""งบพรบ!BC55"")"),0)</f>
        <v>0</v>
      </c>
      <c r="J55" s="176">
        <f t="shared" ca="1" si="23"/>
        <v>0</v>
      </c>
      <c r="K55" s="181">
        <f t="shared" ca="1" si="24"/>
        <v>0</v>
      </c>
      <c r="L55" s="176">
        <f ca="1">IFERROR(__xludf.DUMMYFUNCTION("IMPORTRANGE(""https://docs.google.com/spreadsheets/d/1-uDff_7J0KD5mKrp0Vvzr7lt3OU09vwQwhkpOPPYv2Y/edit?usp=sharing"",""งบพรบ!BD55"")"),0)</f>
        <v>0</v>
      </c>
      <c r="M55" s="179">
        <f t="shared" ca="1" si="25"/>
        <v>0</v>
      </c>
      <c r="N55" s="179">
        <f t="shared" ca="1" si="26"/>
        <v>0</v>
      </c>
      <c r="O55" s="180">
        <f ca="1">IFERROR(__xludf.DUMMYFUNCTION("IMPORTRANGE(""https://docs.google.com/spreadsheets/d/1-uDff_7J0KD5mKrp0Vvzr7lt3OU09vwQwhkpOPPYv2Y/edit?usp=sharing"",""งบพรบ!BE55"")"),0)</f>
        <v>0</v>
      </c>
      <c r="P55" s="180">
        <f t="shared" ca="1" si="27"/>
        <v>0</v>
      </c>
      <c r="Q55" s="179">
        <f t="shared" ca="1" si="28"/>
        <v>0</v>
      </c>
      <c r="R55" s="88">
        <f ca="1">IFERROR(__xludf.DUMMYFUNCTION("IMPORTRANGE(""https://docs.google.com/spreadsheets/d/1T1PQvRODqOBZk8BRht_U031fIS1beLA0Ub2CEytj2q0/edit?usp=sharing"",""ฉะเชิงเทรา!I108"")"),0)</f>
        <v>0</v>
      </c>
      <c r="S55" s="88">
        <f ca="1">IFERROR(__xludf.DUMMYFUNCTION("IMPORTRANGE(""https://docs.google.com/spreadsheets/d/1T1PQvRODqOBZk8BRht_U031fIS1beLA0Ub2CEytj2q0/edit?usp=sharing"",""ฉะเชิงเทรา!J108"")"),0)</f>
        <v>0</v>
      </c>
      <c r="T55" s="177">
        <f t="shared" ca="1" si="30"/>
        <v>0</v>
      </c>
      <c r="U55" s="88">
        <f ca="1">IFERROR(__xludf.DUMMYFUNCTION("IMPORTRANGE(""https://docs.google.com/spreadsheets/d/1T1PQvRODqOBZk8BRht_U031fIS1beLA0Ub2CEytj2q0/edit?usp=sharing"",""ฉะเชิงเทรา!I109"")"),0)</f>
        <v>0</v>
      </c>
      <c r="V55" s="88">
        <f ca="1">IFERROR(__xludf.DUMMYFUNCTION("IMPORTRANGE(""https://docs.google.com/spreadsheets/d/1T1PQvRODqOBZk8BRht_U031fIS1beLA0Ub2CEytj2q0/edit?usp=sharing"",""ฉะเชิงเทรา!J109"")"),0)</f>
        <v>0</v>
      </c>
      <c r="W55" s="177">
        <f t="shared" ca="1" si="32"/>
        <v>0</v>
      </c>
      <c r="X55" s="88">
        <f ca="1">IFERROR(__xludf.DUMMYFUNCTION("IMPORTRANGE(""https://docs.google.com/spreadsheets/d/1T1PQvRODqOBZk8BRht_U031fIS1beLA0Ub2CEytj2q0/edit?usp=sharing"",""ฉะเชิงเทรา!I117"")"),0)</f>
        <v>0</v>
      </c>
      <c r="Y55" s="88">
        <f ca="1">IFERROR(__xludf.DUMMYFUNCTION("IMPORTRANGE(""https://docs.google.com/spreadsheets/d/1T1PQvRODqOBZk8BRht_U031fIS1beLA0Ub2CEytj2q0/edit?usp=sharing"",""ฉะเชิงเทรา!J117"")"),0)</f>
        <v>0</v>
      </c>
      <c r="Z55" s="177">
        <f t="shared" ca="1" si="34"/>
        <v>0</v>
      </c>
    </row>
    <row r="56" spans="1:26" ht="21" customHeight="1" x14ac:dyDescent="0.3">
      <c r="A56" s="172">
        <v>4</v>
      </c>
      <c r="B56" s="173" t="s">
        <v>78</v>
      </c>
      <c r="C56" s="174">
        <f t="shared" ca="1" si="21"/>
        <v>0</v>
      </c>
      <c r="D56" s="175">
        <f t="shared" ca="1" si="45"/>
        <v>0</v>
      </c>
      <c r="E56" s="176">
        <f ca="1">IFERROR(__xludf.DUMMYFUNCTION("IMPORTRANGE(""https://docs.google.com/spreadsheets/d/1-uDff_7J0KD5mKrp0Vvzr7lt3OU09vwQwhkpOPPYv2Y/edit?usp=sharing"",""งบพรบ!AX56"")"),0)</f>
        <v>0</v>
      </c>
      <c r="F56" s="176">
        <f ca="1">IFERROR(__xludf.DUMMYFUNCTION("IMPORTRANGE(""https://docs.google.com/spreadsheets/d/1-uDff_7J0KD5mKrp0Vvzr7lt3OU09vwQwhkpOPPYv2Y/edit?usp=sharing"",""งบพรบ!AY56"")"),0)</f>
        <v>0</v>
      </c>
      <c r="G56" s="176">
        <f ca="1">IFERROR(__xludf.DUMMYFUNCTION("IMPORTRANGE(""https://docs.google.com/spreadsheets/d/1-uDff_7J0KD5mKrp0Vvzr7lt3OU09vwQwhkpOPPYv2Y/edit?usp=sharing"",""งบพรบ!AZ56"")"),0)</f>
        <v>0</v>
      </c>
      <c r="H56" s="176">
        <f ca="1">IFERROR(__xludf.DUMMYFUNCTION("IMPORTRANGE(""https://docs.google.com/spreadsheets/d/1-uDff_7J0KD5mKrp0Vvzr7lt3OU09vwQwhkpOPPYv2Y/edit?usp=sharing"",""งบพรบ!BB56"")"),0)</f>
        <v>0</v>
      </c>
      <c r="I56" s="176">
        <f ca="1">IFERROR(__xludf.DUMMYFUNCTION("IMPORTRANGE(""https://docs.google.com/spreadsheets/d/1-uDff_7J0KD5mKrp0Vvzr7lt3OU09vwQwhkpOPPYv2Y/edit?usp=sharing"",""งบพรบ!BC56"")"),0)</f>
        <v>0</v>
      </c>
      <c r="J56" s="176">
        <f t="shared" ca="1" si="23"/>
        <v>0</v>
      </c>
      <c r="K56" s="181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IFERROR(__xludf.DUMMYFUNCTION("IMPORTRANGE(""https://docs.google.com/spreadsheets/d/1-uDff_7J0KD5mKrp0Vvzr7lt3OU09vwQwhkpOPPYv2Y/edit?usp=sharing"",""งบพรบ!BD56"")"),0)</f>
        <v>0</v>
      </c>
      <c r="M56" s="179">
        <f t="shared" ca="1" si="25"/>
        <v>0</v>
      </c>
      <c r="N56" s="179">
        <f t="shared" ca="1" si="26"/>
        <v>0</v>
      </c>
      <c r="O56" s="180">
        <f ca="1">IFERROR(__xludf.DUMMYFUNCTION("IMPORTRANGE(""https://docs.google.com/spreadsheets/d/1-uDff_7J0KD5mKrp0Vvzr7lt3OU09vwQwhkpOPPYv2Y/edit?usp=sharing"",""งบพรบ!BE56"")"),0)</f>
        <v>0</v>
      </c>
      <c r="P56" s="180">
        <f t="shared" ca="1" si="27"/>
        <v>0</v>
      </c>
      <c r="Q56" s="179">
        <f t="shared" ca="1" si="28"/>
        <v>0</v>
      </c>
      <c r="R56" s="88">
        <f ca="1">IFERROR(__xludf.DUMMYFUNCTION("IMPORTRANGE(""https://docs.google.com/spreadsheets/d/11tr1B-Bhyr79v2bkwVh5h_fR-PStkgjlZtkrZpYurG0/edit?usp=sharing"",""ชลบุรี!I108"")"),0)</f>
        <v>0</v>
      </c>
      <c r="S56" s="88">
        <f ca="1">IFERROR(__xludf.DUMMYFUNCTION("IMPORTRANGE(""https://docs.google.com/spreadsheets/d/11tr1B-Bhyr79v2bkwVh5h_fR-PStkgjlZtkrZpYurG0/edit?usp=sharing"",""ชลบุรี!J108"")"),0)</f>
        <v>0</v>
      </c>
      <c r="T56" s="177">
        <f t="shared" ca="1" si="30"/>
        <v>0</v>
      </c>
      <c r="U56" s="88">
        <f ca="1">IFERROR(__xludf.DUMMYFUNCTION("IMPORTRANGE(""https://docs.google.com/spreadsheets/d/11tr1B-Bhyr79v2bkwVh5h_fR-PStkgjlZtkrZpYurG0/edit?usp=sharing"",""ชลบุรี!I109"")"),0)</f>
        <v>0</v>
      </c>
      <c r="V56" s="88">
        <f ca="1">IFERROR(__xludf.DUMMYFUNCTION("IMPORTRANGE(""https://docs.google.com/spreadsheets/d/11tr1B-Bhyr79v2bkwVh5h_fR-PStkgjlZtkrZpYurG0/edit?usp=sharing"",""ชลบุรี!J109"")"),0)</f>
        <v>0</v>
      </c>
      <c r="W56" s="177">
        <f t="shared" ca="1" si="32"/>
        <v>0</v>
      </c>
      <c r="X56" s="88">
        <f ca="1">IFERROR(__xludf.DUMMYFUNCTION("IMPORTRANGE(""https://docs.google.com/spreadsheets/d/11tr1B-Bhyr79v2bkwVh5h_fR-PStkgjlZtkrZpYurG0/edit?usp=sharing"",""ชลบุรี!I117"")"),0)</f>
        <v>0</v>
      </c>
      <c r="Y56" s="88">
        <f ca="1">IFERROR(__xludf.DUMMYFUNCTION("IMPORTRANGE(""https://docs.google.com/spreadsheets/d/11tr1B-Bhyr79v2bkwVh5h_fR-PStkgjlZtkrZpYurG0/edit?usp=sharing"",""ชลบุรี!J117"")"),0)</f>
        <v>0</v>
      </c>
      <c r="Z56" s="177">
        <f t="shared" ca="1" si="34"/>
        <v>0</v>
      </c>
    </row>
    <row r="57" spans="1:26" ht="21" customHeight="1" x14ac:dyDescent="0.3">
      <c r="A57" s="172">
        <v>5</v>
      </c>
      <c r="B57" s="173" t="s">
        <v>79</v>
      </c>
      <c r="C57" s="174">
        <f t="shared" ca="1" si="21"/>
        <v>0</v>
      </c>
      <c r="D57" s="175">
        <f t="shared" ca="1" si="45"/>
        <v>0</v>
      </c>
      <c r="E57" s="176">
        <f ca="1">IFERROR(__xludf.DUMMYFUNCTION("IMPORTRANGE(""https://docs.google.com/spreadsheets/d/1-uDff_7J0KD5mKrp0Vvzr7lt3OU09vwQwhkpOPPYv2Y/edit?usp=sharing"",""งบพรบ!AX57"")"),0)</f>
        <v>0</v>
      </c>
      <c r="F57" s="176">
        <f ca="1">IFERROR(__xludf.DUMMYFUNCTION("IMPORTRANGE(""https://docs.google.com/spreadsheets/d/1-uDff_7J0KD5mKrp0Vvzr7lt3OU09vwQwhkpOPPYv2Y/edit?usp=sharing"",""งบพรบ!AY57"")"),0)</f>
        <v>0</v>
      </c>
      <c r="G57" s="176">
        <f ca="1">IFERROR(__xludf.DUMMYFUNCTION("IMPORTRANGE(""https://docs.google.com/spreadsheets/d/1-uDff_7J0KD5mKrp0Vvzr7lt3OU09vwQwhkpOPPYv2Y/edit?usp=sharing"",""งบพรบ!AZ57"")"),0)</f>
        <v>0</v>
      </c>
      <c r="H57" s="176">
        <f ca="1">IFERROR(__xludf.DUMMYFUNCTION("IMPORTRANGE(""https://docs.google.com/spreadsheets/d/1-uDff_7J0KD5mKrp0Vvzr7lt3OU09vwQwhkpOPPYv2Y/edit?usp=sharing"",""งบพรบ!BB57"")"),0)</f>
        <v>0</v>
      </c>
      <c r="I57" s="176">
        <f ca="1">IFERROR(__xludf.DUMMYFUNCTION("IMPORTRANGE(""https://docs.google.com/spreadsheets/d/1-uDff_7J0KD5mKrp0Vvzr7lt3OU09vwQwhkpOPPYv2Y/edit?usp=sharing"",""งบพรบ!BC57"")"),0)</f>
        <v>0</v>
      </c>
      <c r="J57" s="176">
        <f t="shared" ca="1" si="23"/>
        <v>0</v>
      </c>
      <c r="K57" s="181">
        <f t="shared" ca="1" si="24"/>
        <v>0</v>
      </c>
      <c r="L57" s="176">
        <f ca="1">IFERROR(__xludf.DUMMYFUNCTION("IMPORTRANGE(""https://docs.google.com/spreadsheets/d/1-uDff_7J0KD5mKrp0Vvzr7lt3OU09vwQwhkpOPPYv2Y/edit?usp=sharing"",""งบพรบ!BD57"")"),0)</f>
        <v>0</v>
      </c>
      <c r="M57" s="179">
        <f t="shared" ca="1" si="25"/>
        <v>0</v>
      </c>
      <c r="N57" s="179">
        <f t="shared" ca="1" si="26"/>
        <v>0</v>
      </c>
      <c r="O57" s="180">
        <f ca="1">IFERROR(__xludf.DUMMYFUNCTION("IMPORTRANGE(""https://docs.google.com/spreadsheets/d/1-uDff_7J0KD5mKrp0Vvzr7lt3OU09vwQwhkpOPPYv2Y/edit?usp=sharing"",""งบพรบ!BE57"")"),0)</f>
        <v>0</v>
      </c>
      <c r="P57" s="180">
        <f t="shared" ca="1" si="27"/>
        <v>0</v>
      </c>
      <c r="Q57" s="179">
        <f t="shared" ca="1" si="28"/>
        <v>0</v>
      </c>
      <c r="R57" s="88">
        <f ca="1">IFERROR(__xludf.DUMMYFUNCTION("IMPORTRANGE(""https://docs.google.com/spreadsheets/d/1hh-FVnSX0vozXhGluamEcS54Dw9_zqW0N7qJUWgJ0Sw/edit?usp=sharing"",""ชัยนาท!I108"")"),0)</f>
        <v>0</v>
      </c>
      <c r="S57" s="88">
        <f ca="1">IFERROR(__xludf.DUMMYFUNCTION("IMPORTRANGE(""https://docs.google.com/spreadsheets/d/1hh-FVnSX0vozXhGluamEcS54Dw9_zqW0N7qJUWgJ0Sw/edit?usp=sharing"",""ชัยนาท!J108"")"),0)</f>
        <v>0</v>
      </c>
      <c r="T57" s="177">
        <f t="shared" ca="1" si="30"/>
        <v>0</v>
      </c>
      <c r="U57" s="88">
        <f ca="1">IFERROR(__xludf.DUMMYFUNCTION("IMPORTRANGE(""https://docs.google.com/spreadsheets/d/1hh-FVnSX0vozXhGluamEcS54Dw9_zqW0N7qJUWgJ0Sw/edit?usp=sharing"",""ชัยนาท!I109"")"),0)</f>
        <v>0</v>
      </c>
      <c r="V57" s="88">
        <f ca="1">IFERROR(__xludf.DUMMYFUNCTION("IMPORTRANGE(""https://docs.google.com/spreadsheets/d/1hh-FVnSX0vozXhGluamEcS54Dw9_zqW0N7qJUWgJ0Sw/edit?usp=sharing"",""ชัยนาท!J109"")"),0)</f>
        <v>0</v>
      </c>
      <c r="W57" s="177">
        <f t="shared" ca="1" si="32"/>
        <v>0</v>
      </c>
      <c r="X57" s="88">
        <f ca="1">IFERROR(__xludf.DUMMYFUNCTION("IMPORTRANGE(""https://docs.google.com/spreadsheets/d/1hh-FVnSX0vozXhGluamEcS54Dw9_zqW0N7qJUWgJ0Sw/edit?usp=sharing"",""ชัยนาท!I117"")"),0)</f>
        <v>0</v>
      </c>
      <c r="Y57" s="88">
        <f ca="1">IFERROR(__xludf.DUMMYFUNCTION("IMPORTRANGE(""https://docs.google.com/spreadsheets/d/1hh-FVnSX0vozXhGluamEcS54Dw9_zqW0N7qJUWgJ0Sw/edit?usp=sharing"",""ชัยนาท!J117"")"),0)</f>
        <v>0</v>
      </c>
      <c r="Z57" s="177">
        <f t="shared" ca="1" si="34"/>
        <v>0</v>
      </c>
    </row>
    <row r="58" spans="1:26" ht="21" customHeight="1" x14ac:dyDescent="0.3">
      <c r="A58" s="172">
        <v>6</v>
      </c>
      <c r="B58" s="173" t="s">
        <v>80</v>
      </c>
      <c r="C58" s="174">
        <f t="shared" ca="1" si="21"/>
        <v>0</v>
      </c>
      <c r="D58" s="175">
        <f t="shared" ca="1" si="45"/>
        <v>0</v>
      </c>
      <c r="E58" s="176">
        <f ca="1">IFERROR(__xludf.DUMMYFUNCTION("IMPORTRANGE(""https://docs.google.com/spreadsheets/d/1-uDff_7J0KD5mKrp0Vvzr7lt3OU09vwQwhkpOPPYv2Y/edit?usp=sharing"",""งบพรบ!AX58"")"),0)</f>
        <v>0</v>
      </c>
      <c r="F58" s="176">
        <f ca="1">IFERROR(__xludf.DUMMYFUNCTION("IMPORTRANGE(""https://docs.google.com/spreadsheets/d/1-uDff_7J0KD5mKrp0Vvzr7lt3OU09vwQwhkpOPPYv2Y/edit?usp=sharing"",""งบพรบ!AY58"")"),0)</f>
        <v>0</v>
      </c>
      <c r="G58" s="176">
        <f ca="1">IFERROR(__xludf.DUMMYFUNCTION("IMPORTRANGE(""https://docs.google.com/spreadsheets/d/1-uDff_7J0KD5mKrp0Vvzr7lt3OU09vwQwhkpOPPYv2Y/edit?usp=sharing"",""งบพรบ!AZ58"")"),0)</f>
        <v>0</v>
      </c>
      <c r="H58" s="176">
        <f ca="1">IFERROR(__xludf.DUMMYFUNCTION("IMPORTRANGE(""https://docs.google.com/spreadsheets/d/1-uDff_7J0KD5mKrp0Vvzr7lt3OU09vwQwhkpOPPYv2Y/edit?usp=sharing"",""งบพรบ!BB58"")"),0)</f>
        <v>0</v>
      </c>
      <c r="I58" s="176">
        <f ca="1">IFERROR(__xludf.DUMMYFUNCTION("IMPORTRANGE(""https://docs.google.com/spreadsheets/d/1-uDff_7J0KD5mKrp0Vvzr7lt3OU09vwQwhkpOPPYv2Y/edit?usp=sharing"",""งบพรบ!BC58"")"),0)</f>
        <v>0</v>
      </c>
      <c r="J58" s="176">
        <f t="shared" ca="1" si="23"/>
        <v>0</v>
      </c>
      <c r="K58" s="181">
        <f t="shared" ca="1" si="24"/>
        <v>0</v>
      </c>
      <c r="L58" s="176">
        <f ca="1">IFERROR(__xludf.DUMMYFUNCTION("IMPORTRANGE(""https://docs.google.com/spreadsheets/d/1-uDff_7J0KD5mKrp0Vvzr7lt3OU09vwQwhkpOPPYv2Y/edit?usp=sharing"",""งบพรบ!BD58"")"),0)</f>
        <v>0</v>
      </c>
      <c r="M58" s="179">
        <f t="shared" ca="1" si="25"/>
        <v>0</v>
      </c>
      <c r="N58" s="179">
        <f t="shared" ca="1" si="26"/>
        <v>0</v>
      </c>
      <c r="O58" s="180">
        <f ca="1">IFERROR(__xludf.DUMMYFUNCTION("IMPORTRANGE(""https://docs.google.com/spreadsheets/d/1-uDff_7J0KD5mKrp0Vvzr7lt3OU09vwQwhkpOPPYv2Y/edit?usp=sharing"",""งบพรบ!BE58"")"),0)</f>
        <v>0</v>
      </c>
      <c r="P58" s="180">
        <f t="shared" ca="1" si="27"/>
        <v>0</v>
      </c>
      <c r="Q58" s="179">
        <f t="shared" ca="1" si="28"/>
        <v>0</v>
      </c>
      <c r="R58" s="88">
        <f ca="1">IFERROR(__xludf.DUMMYFUNCTION("IMPORTRANGE(""https://docs.google.com/spreadsheets/d/1jkqa6GXxSacMcY1eN8AHjMNJ_7dDXMJVRLDlaFSOdPM/edit?usp=sharing"",""ตราด!I108"")"),0)</f>
        <v>0</v>
      </c>
      <c r="S58" s="88">
        <f ca="1">IFERROR(__xludf.DUMMYFUNCTION("IMPORTRANGE(""https://docs.google.com/spreadsheets/d/1jkqa6GXxSacMcY1eN8AHjMNJ_7dDXMJVRLDlaFSOdPM/edit?usp=sharing"",""ตราด!J108"")"),0)</f>
        <v>0</v>
      </c>
      <c r="T58" s="177">
        <f t="shared" ca="1" si="30"/>
        <v>0</v>
      </c>
      <c r="U58" s="88">
        <f ca="1">IFERROR(__xludf.DUMMYFUNCTION("IMPORTRANGE(""https://docs.google.com/spreadsheets/d/1jkqa6GXxSacMcY1eN8AHjMNJ_7dDXMJVRLDlaFSOdPM/edit?usp=sharing"",""ตราด!I109"")"),0)</f>
        <v>0</v>
      </c>
      <c r="V58" s="88">
        <f ca="1">IFERROR(__xludf.DUMMYFUNCTION("IMPORTRANGE(""https://docs.google.com/spreadsheets/d/1jkqa6GXxSacMcY1eN8AHjMNJ_7dDXMJVRLDlaFSOdPM/edit?usp=sharing"",""ตราด!J109"")"),0)</f>
        <v>0</v>
      </c>
      <c r="W58" s="177">
        <f t="shared" ca="1" si="32"/>
        <v>0</v>
      </c>
      <c r="X58" s="88">
        <f ca="1">IFERROR(__xludf.DUMMYFUNCTION("IMPORTRANGE(""https://docs.google.com/spreadsheets/d/1jkqa6GXxSacMcY1eN8AHjMNJ_7dDXMJVRLDlaFSOdPM/edit?usp=sharing"",""ตราด!I117"")"),0)</f>
        <v>0</v>
      </c>
      <c r="Y58" s="88">
        <f ca="1">IFERROR(__xludf.DUMMYFUNCTION("IMPORTRANGE(""https://docs.google.com/spreadsheets/d/1jkqa6GXxSacMcY1eN8AHjMNJ_7dDXMJVRLDlaFSOdPM/edit?usp=sharing"",""ตราด!J117"")"),0)</f>
        <v>0</v>
      </c>
      <c r="Z58" s="177">
        <f t="shared" ca="1" si="34"/>
        <v>0</v>
      </c>
    </row>
    <row r="59" spans="1:26" ht="21" customHeight="1" x14ac:dyDescent="0.3">
      <c r="A59" s="172">
        <v>7</v>
      </c>
      <c r="B59" s="173" t="s">
        <v>81</v>
      </c>
      <c r="C59" s="174">
        <f t="shared" ca="1" si="21"/>
        <v>0</v>
      </c>
      <c r="D59" s="175">
        <f t="shared" ca="1" si="45"/>
        <v>0</v>
      </c>
      <c r="E59" s="176">
        <f ca="1">IFERROR(__xludf.DUMMYFUNCTION("IMPORTRANGE(""https://docs.google.com/spreadsheets/d/1-uDff_7J0KD5mKrp0Vvzr7lt3OU09vwQwhkpOPPYv2Y/edit?usp=sharing"",""งบพรบ!AX59"")"),0)</f>
        <v>0</v>
      </c>
      <c r="F59" s="176">
        <f ca="1">IFERROR(__xludf.DUMMYFUNCTION("IMPORTRANGE(""https://docs.google.com/spreadsheets/d/1-uDff_7J0KD5mKrp0Vvzr7lt3OU09vwQwhkpOPPYv2Y/edit?usp=sharing"",""งบพรบ!AY59"")"),0)</f>
        <v>0</v>
      </c>
      <c r="G59" s="176">
        <f ca="1">IFERROR(__xludf.DUMMYFUNCTION("IMPORTRANGE(""https://docs.google.com/spreadsheets/d/1-uDff_7J0KD5mKrp0Vvzr7lt3OU09vwQwhkpOPPYv2Y/edit?usp=sharing"",""งบพรบ!AZ59"")"),0)</f>
        <v>0</v>
      </c>
      <c r="H59" s="176">
        <f ca="1">IFERROR(__xludf.DUMMYFUNCTION("IMPORTRANGE(""https://docs.google.com/spreadsheets/d/1-uDff_7J0KD5mKrp0Vvzr7lt3OU09vwQwhkpOPPYv2Y/edit?usp=sharing"",""งบพรบ!BB59"")"),0)</f>
        <v>0</v>
      </c>
      <c r="I59" s="176">
        <f ca="1">IFERROR(__xludf.DUMMYFUNCTION("IMPORTRANGE(""https://docs.google.com/spreadsheets/d/1-uDff_7J0KD5mKrp0Vvzr7lt3OU09vwQwhkpOPPYv2Y/edit?usp=sharing"",""งบพรบ!BC59"")"),0)</f>
        <v>0</v>
      </c>
      <c r="J59" s="176">
        <f t="shared" ca="1" si="23"/>
        <v>0</v>
      </c>
      <c r="K59" s="181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IFERROR(__xludf.DUMMYFUNCTION("IMPORTRANGE(""https://docs.google.com/spreadsheets/d/1-uDff_7J0KD5mKrp0Vvzr7lt3OU09vwQwhkpOPPYv2Y/edit?usp=sharing"",""งบพรบ!BD59"")"),0)</f>
        <v>0</v>
      </c>
      <c r="M59" s="179">
        <f t="shared" ca="1" si="25"/>
        <v>0</v>
      </c>
      <c r="N59" s="179">
        <f t="shared" ca="1" si="26"/>
        <v>0</v>
      </c>
      <c r="O59" s="180">
        <f ca="1">IFERROR(__xludf.DUMMYFUNCTION("IMPORTRANGE(""https://docs.google.com/spreadsheets/d/1-uDff_7J0KD5mKrp0Vvzr7lt3OU09vwQwhkpOPPYv2Y/edit?usp=sharing"",""งบพรบ!BE59"")"),0)</f>
        <v>0</v>
      </c>
      <c r="P59" s="180">
        <f t="shared" ca="1" si="27"/>
        <v>0</v>
      </c>
      <c r="Q59" s="179">
        <f t="shared" ca="1" si="28"/>
        <v>0</v>
      </c>
      <c r="R59" s="88">
        <f ca="1">IFERROR(__xludf.DUMMYFUNCTION("IMPORTRANGE(""https://docs.google.com/spreadsheets/d/18hSgUJ3VwClqi_qtULmmW3cLr0oe3OKaSYoKzdpTsYQ/edit?usp=sharing"",""นครนายก!I108"")"),0)</f>
        <v>0</v>
      </c>
      <c r="S59" s="88">
        <f ca="1">IFERROR(__xludf.DUMMYFUNCTION("IMPORTRANGE(""https://docs.google.com/spreadsheets/d/18hSgUJ3VwClqi_qtULmmW3cLr0oe3OKaSYoKzdpTsYQ/edit?usp=sharing"",""นครนายก!J108"")"),0)</f>
        <v>0</v>
      </c>
      <c r="T59" s="177">
        <f t="shared" ca="1" si="30"/>
        <v>0</v>
      </c>
      <c r="U59" s="88">
        <f ca="1">IFERROR(__xludf.DUMMYFUNCTION("IMPORTRANGE(""https://docs.google.com/spreadsheets/d/18hSgUJ3VwClqi_qtULmmW3cLr0oe3OKaSYoKzdpTsYQ/edit?usp=sharing"",""นครนายก!I109"")"),0)</f>
        <v>0</v>
      </c>
      <c r="V59" s="88">
        <f ca="1">IFERROR(__xludf.DUMMYFUNCTION("IMPORTRANGE(""https://docs.google.com/spreadsheets/d/18hSgUJ3VwClqi_qtULmmW3cLr0oe3OKaSYoKzdpTsYQ/edit?usp=sharing"",""นครนายก!J109"")"),0)</f>
        <v>0</v>
      </c>
      <c r="W59" s="177">
        <f t="shared" ca="1" si="32"/>
        <v>0</v>
      </c>
      <c r="X59" s="88">
        <f ca="1">IFERROR(__xludf.DUMMYFUNCTION("IMPORTRANGE(""https://docs.google.com/spreadsheets/d/18hSgUJ3VwClqi_qtULmmW3cLr0oe3OKaSYoKzdpTsYQ/edit?usp=sharing"",""นครนายก!I117"")"),0)</f>
        <v>0</v>
      </c>
      <c r="Y59" s="88">
        <f ca="1">IFERROR(__xludf.DUMMYFUNCTION("IMPORTRANGE(""https://docs.google.com/spreadsheets/d/18hSgUJ3VwClqi_qtULmmW3cLr0oe3OKaSYoKzdpTsYQ/edit?usp=sharing"",""นครนายก!J117"")"),0)</f>
        <v>0</v>
      </c>
      <c r="Z59" s="177">
        <f t="shared" ca="1" si="34"/>
        <v>0</v>
      </c>
    </row>
    <row r="60" spans="1:26" ht="21" customHeight="1" x14ac:dyDescent="0.3">
      <c r="A60" s="172">
        <v>8</v>
      </c>
      <c r="B60" s="173" t="s">
        <v>82</v>
      </c>
      <c r="C60" s="174">
        <f t="shared" ca="1" si="21"/>
        <v>0</v>
      </c>
      <c r="D60" s="175">
        <f t="shared" ca="1" si="45"/>
        <v>0</v>
      </c>
      <c r="E60" s="176">
        <f ca="1">IFERROR(__xludf.DUMMYFUNCTION("IMPORTRANGE(""https://docs.google.com/spreadsheets/d/1-uDff_7J0KD5mKrp0Vvzr7lt3OU09vwQwhkpOPPYv2Y/edit?usp=sharing"",""งบพรบ!AX60"")"),0)</f>
        <v>0</v>
      </c>
      <c r="F60" s="176">
        <f ca="1">IFERROR(__xludf.DUMMYFUNCTION("IMPORTRANGE(""https://docs.google.com/spreadsheets/d/1-uDff_7J0KD5mKrp0Vvzr7lt3OU09vwQwhkpOPPYv2Y/edit?usp=sharing"",""งบพรบ!AY60"")"),0)</f>
        <v>0</v>
      </c>
      <c r="G60" s="176">
        <f ca="1">IFERROR(__xludf.DUMMYFUNCTION("IMPORTRANGE(""https://docs.google.com/spreadsheets/d/1-uDff_7J0KD5mKrp0Vvzr7lt3OU09vwQwhkpOPPYv2Y/edit?usp=sharing"",""งบพรบ!AZ60"")"),0)</f>
        <v>0</v>
      </c>
      <c r="H60" s="176">
        <f ca="1">IFERROR(__xludf.DUMMYFUNCTION("IMPORTRANGE(""https://docs.google.com/spreadsheets/d/1-uDff_7J0KD5mKrp0Vvzr7lt3OU09vwQwhkpOPPYv2Y/edit?usp=sharing"",""งบพรบ!BB60"")"),0)</f>
        <v>0</v>
      </c>
      <c r="I60" s="176">
        <f ca="1">IFERROR(__xludf.DUMMYFUNCTION("IMPORTRANGE(""https://docs.google.com/spreadsheets/d/1-uDff_7J0KD5mKrp0Vvzr7lt3OU09vwQwhkpOPPYv2Y/edit?usp=sharing"",""งบพรบ!BC60"")"),0)</f>
        <v>0</v>
      </c>
      <c r="J60" s="176">
        <f t="shared" ca="1" si="23"/>
        <v>0</v>
      </c>
      <c r="K60" s="181">
        <f t="shared" ca="1" si="24"/>
        <v>0</v>
      </c>
      <c r="L60" s="176">
        <f ca="1">IFERROR(__xludf.DUMMYFUNCTION("IMPORTRANGE(""https://docs.google.com/spreadsheets/d/1-uDff_7J0KD5mKrp0Vvzr7lt3OU09vwQwhkpOPPYv2Y/edit?usp=sharing"",""งบพรบ!BD60"")"),0)</f>
        <v>0</v>
      </c>
      <c r="M60" s="179">
        <f t="shared" ca="1" si="25"/>
        <v>0</v>
      </c>
      <c r="N60" s="179">
        <f t="shared" ca="1" si="26"/>
        <v>0</v>
      </c>
      <c r="O60" s="180">
        <f ca="1">IFERROR(__xludf.DUMMYFUNCTION("IMPORTRANGE(""https://docs.google.com/spreadsheets/d/1-uDff_7J0KD5mKrp0Vvzr7lt3OU09vwQwhkpOPPYv2Y/edit?usp=sharing"",""งบพรบ!BE60"")"),0)</f>
        <v>0</v>
      </c>
      <c r="P60" s="180">
        <f t="shared" ca="1" si="27"/>
        <v>0</v>
      </c>
      <c r="Q60" s="179">
        <f t="shared" ca="1" si="28"/>
        <v>0</v>
      </c>
      <c r="R60" s="88">
        <f ca="1">IFERROR(__xludf.DUMMYFUNCTION("IMPORTRANGE(""https://docs.google.com/spreadsheets/d/1YTZo6WM2dQ6Ix6FSdnL5P7uVnVKu40sxZu975tgG10E/edit?usp=sharing"",""นครปฐม!I108"")"),0)</f>
        <v>0</v>
      </c>
      <c r="S60" s="88">
        <f ca="1">IFERROR(__xludf.DUMMYFUNCTION("IMPORTRANGE(""https://docs.google.com/spreadsheets/d/1YTZo6WM2dQ6Ix6FSdnL5P7uVnVKu40sxZu975tgG10E/edit?usp=sharing"",""นครปฐม!J108"")"),0)</f>
        <v>0</v>
      </c>
      <c r="T60" s="177">
        <f t="shared" ca="1" si="30"/>
        <v>0</v>
      </c>
      <c r="U60" s="88">
        <f ca="1">IFERROR(__xludf.DUMMYFUNCTION("IMPORTRANGE(""https://docs.google.com/spreadsheets/d/1YTZo6WM2dQ6Ix6FSdnL5P7uVnVKu40sxZu975tgG10E/edit?usp=sharing"",""นครปฐม!I109"")"),0)</f>
        <v>0</v>
      </c>
      <c r="V60" s="88">
        <f ca="1">IFERROR(__xludf.DUMMYFUNCTION("IMPORTRANGE(""https://docs.google.com/spreadsheets/d/1YTZo6WM2dQ6Ix6FSdnL5P7uVnVKu40sxZu975tgG10E/edit?usp=sharing"",""นครปฐม!J109"")"),0)</f>
        <v>0</v>
      </c>
      <c r="W60" s="177">
        <f t="shared" ca="1" si="32"/>
        <v>0</v>
      </c>
      <c r="X60" s="88">
        <f ca="1">IFERROR(__xludf.DUMMYFUNCTION("IMPORTRANGE(""https://docs.google.com/spreadsheets/d/1YTZo6WM2dQ6Ix6FSdnL5P7uVnVKu40sxZu975tgG10E/edit?usp=sharing"",""นครปฐม!I117"")"),0)</f>
        <v>0</v>
      </c>
      <c r="Y60" s="88">
        <f ca="1">IFERROR(__xludf.DUMMYFUNCTION("IMPORTRANGE(""https://docs.google.com/spreadsheets/d/1YTZo6WM2dQ6Ix6FSdnL5P7uVnVKu40sxZu975tgG10E/edit?usp=sharing"",""นครปฐม!J117"")"),0)</f>
        <v>0</v>
      </c>
      <c r="Z60" s="177">
        <f t="shared" ca="1" si="34"/>
        <v>0</v>
      </c>
    </row>
    <row r="61" spans="1:26" ht="21" customHeight="1" x14ac:dyDescent="0.3">
      <c r="A61" s="172">
        <v>9</v>
      </c>
      <c r="B61" s="173" t="s">
        <v>83</v>
      </c>
      <c r="C61" s="174">
        <f t="shared" ca="1" si="21"/>
        <v>0</v>
      </c>
      <c r="D61" s="175">
        <f t="shared" ca="1" si="45"/>
        <v>0</v>
      </c>
      <c r="E61" s="176">
        <f ca="1">IFERROR(__xludf.DUMMYFUNCTION("IMPORTRANGE(""https://docs.google.com/spreadsheets/d/1-uDff_7J0KD5mKrp0Vvzr7lt3OU09vwQwhkpOPPYv2Y/edit?usp=sharing"",""งบพรบ!AX61"")"),0)</f>
        <v>0</v>
      </c>
      <c r="F61" s="176">
        <f ca="1">IFERROR(__xludf.DUMMYFUNCTION("IMPORTRANGE(""https://docs.google.com/spreadsheets/d/1-uDff_7J0KD5mKrp0Vvzr7lt3OU09vwQwhkpOPPYv2Y/edit?usp=sharing"",""งบพรบ!AY61"")"),0)</f>
        <v>0</v>
      </c>
      <c r="G61" s="176">
        <f ca="1">IFERROR(__xludf.DUMMYFUNCTION("IMPORTRANGE(""https://docs.google.com/spreadsheets/d/1-uDff_7J0KD5mKrp0Vvzr7lt3OU09vwQwhkpOPPYv2Y/edit?usp=sharing"",""งบพรบ!AZ61"")"),0)</f>
        <v>0</v>
      </c>
      <c r="H61" s="176">
        <f ca="1">IFERROR(__xludf.DUMMYFUNCTION("IMPORTRANGE(""https://docs.google.com/spreadsheets/d/1-uDff_7J0KD5mKrp0Vvzr7lt3OU09vwQwhkpOPPYv2Y/edit?usp=sharing"",""งบพรบ!BB61"")"),0)</f>
        <v>0</v>
      </c>
      <c r="I61" s="176">
        <f ca="1">IFERROR(__xludf.DUMMYFUNCTION("IMPORTRANGE(""https://docs.google.com/spreadsheets/d/1-uDff_7J0KD5mKrp0Vvzr7lt3OU09vwQwhkpOPPYv2Y/edit?usp=sharing"",""งบพรบ!BC61"")"),0)</f>
        <v>0</v>
      </c>
      <c r="J61" s="176">
        <f t="shared" ca="1" si="23"/>
        <v>0</v>
      </c>
      <c r="K61" s="181">
        <f t="shared" ca="1" si="24"/>
        <v>0</v>
      </c>
      <c r="L61" s="176">
        <f ca="1">IFERROR(__xludf.DUMMYFUNCTION("IMPORTRANGE(""https://docs.google.com/spreadsheets/d/1-uDff_7J0KD5mKrp0Vvzr7lt3OU09vwQwhkpOPPYv2Y/edit?usp=sharing"",""งบพรบ!BD61"")"),0)</f>
        <v>0</v>
      </c>
      <c r="M61" s="179">
        <f t="shared" ca="1" si="25"/>
        <v>0</v>
      </c>
      <c r="N61" s="179">
        <f t="shared" ca="1" si="26"/>
        <v>0</v>
      </c>
      <c r="O61" s="180">
        <f ca="1">IFERROR(__xludf.DUMMYFUNCTION("IMPORTRANGE(""https://docs.google.com/spreadsheets/d/1-uDff_7J0KD5mKrp0Vvzr7lt3OU09vwQwhkpOPPYv2Y/edit?usp=sharing"",""งบพรบ!BE61"")"),0)</f>
        <v>0</v>
      </c>
      <c r="P61" s="180">
        <f t="shared" ca="1" si="27"/>
        <v>0</v>
      </c>
      <c r="Q61" s="179">
        <f t="shared" ca="1" si="28"/>
        <v>0</v>
      </c>
      <c r="R61" s="88">
        <f ca="1">IFERROR(__xludf.DUMMYFUNCTION("IMPORTRANGE(""https://docs.google.com/spreadsheets/d/1OYoGg4WDg5RIzwGeB10padOxJF9E_Vljuvvct_M7RDo/edit?usp=sharing"",""ปทุมธานี!I108"")"),0)</f>
        <v>0</v>
      </c>
      <c r="S61" s="88">
        <f ca="1">IFERROR(__xludf.DUMMYFUNCTION("IMPORTRANGE(""https://docs.google.com/spreadsheets/d/1OYoGg4WDg5RIzwGeB10padOxJF9E_Vljuvvct_M7RDo/edit?usp=sharing"",""ปทุมธานี!J108"")"),0)</f>
        <v>0</v>
      </c>
      <c r="T61" s="177">
        <f t="shared" ca="1" si="30"/>
        <v>0</v>
      </c>
      <c r="U61" s="88">
        <f ca="1">IFERROR(__xludf.DUMMYFUNCTION("IMPORTRANGE(""https://docs.google.com/spreadsheets/d/1OYoGg4WDg5RIzwGeB10padOxJF9E_Vljuvvct_M7RDo/edit?usp=sharing"",""ปทุมธานี!I109"")"),0)</f>
        <v>0</v>
      </c>
      <c r="V61" s="88">
        <f ca="1">IFERROR(__xludf.DUMMYFUNCTION("IMPORTRANGE(""https://docs.google.com/spreadsheets/d/1OYoGg4WDg5RIzwGeB10padOxJF9E_Vljuvvct_M7RDo/edit?usp=sharing"",""ปทุมธานี!J109"")"),0)</f>
        <v>0</v>
      </c>
      <c r="W61" s="177">
        <f t="shared" ca="1" si="32"/>
        <v>0</v>
      </c>
      <c r="X61" s="88">
        <f ca="1">IFERROR(__xludf.DUMMYFUNCTION("IMPORTRANGE(""https://docs.google.com/spreadsheets/d/1OYoGg4WDg5RIzwGeB10padOxJF9E_Vljuvvct_M7RDo/edit?usp=sharing"",""ปทุมธานี!I117"")"),0)</f>
        <v>0</v>
      </c>
      <c r="Y61" s="88">
        <f ca="1">IFERROR(__xludf.DUMMYFUNCTION("IMPORTRANGE(""https://docs.google.com/spreadsheets/d/1OYoGg4WDg5RIzwGeB10padOxJF9E_Vljuvvct_M7RDo/edit?usp=sharing"",""ปทุมธานี!J117"")"),0)</f>
        <v>0</v>
      </c>
      <c r="Z61" s="177">
        <f t="shared" ca="1" si="34"/>
        <v>0</v>
      </c>
    </row>
    <row r="62" spans="1:26" ht="21" customHeight="1" x14ac:dyDescent="0.3">
      <c r="A62" s="172">
        <v>10</v>
      </c>
      <c r="B62" s="173" t="s">
        <v>84</v>
      </c>
      <c r="C62" s="174">
        <f t="shared" ca="1" si="21"/>
        <v>0</v>
      </c>
      <c r="D62" s="175">
        <f t="shared" ca="1" si="45"/>
        <v>0</v>
      </c>
      <c r="E62" s="176">
        <f ca="1">IFERROR(__xludf.DUMMYFUNCTION("IMPORTRANGE(""https://docs.google.com/spreadsheets/d/1-uDff_7J0KD5mKrp0Vvzr7lt3OU09vwQwhkpOPPYv2Y/edit?usp=sharing"",""งบพรบ!AX62"")"),0)</f>
        <v>0</v>
      </c>
      <c r="F62" s="176">
        <f ca="1">IFERROR(__xludf.DUMMYFUNCTION("IMPORTRANGE(""https://docs.google.com/spreadsheets/d/1-uDff_7J0KD5mKrp0Vvzr7lt3OU09vwQwhkpOPPYv2Y/edit?usp=sharing"",""งบพรบ!AY62"")"),0)</f>
        <v>0</v>
      </c>
      <c r="G62" s="176">
        <f ca="1">IFERROR(__xludf.DUMMYFUNCTION("IMPORTRANGE(""https://docs.google.com/spreadsheets/d/1-uDff_7J0KD5mKrp0Vvzr7lt3OU09vwQwhkpOPPYv2Y/edit?usp=sharing"",""งบพรบ!AZ62"")"),0)</f>
        <v>0</v>
      </c>
      <c r="H62" s="176">
        <f ca="1">IFERROR(__xludf.DUMMYFUNCTION("IMPORTRANGE(""https://docs.google.com/spreadsheets/d/1-uDff_7J0KD5mKrp0Vvzr7lt3OU09vwQwhkpOPPYv2Y/edit?usp=sharing"",""งบพรบ!BB62"")"),0)</f>
        <v>0</v>
      </c>
      <c r="I62" s="176">
        <f ca="1">IFERROR(__xludf.DUMMYFUNCTION("IMPORTRANGE(""https://docs.google.com/spreadsheets/d/1-uDff_7J0KD5mKrp0Vvzr7lt3OU09vwQwhkpOPPYv2Y/edit?usp=sharing"",""งบพรบ!BC62"")"),0)</f>
        <v>0</v>
      </c>
      <c r="J62" s="176">
        <f t="shared" ca="1" si="23"/>
        <v>0</v>
      </c>
      <c r="K62" s="181">
        <f t="shared" ca="1" si="24"/>
        <v>0</v>
      </c>
      <c r="L62" s="176">
        <f ca="1">IFERROR(__xludf.DUMMYFUNCTION("IMPORTRANGE(""https://docs.google.com/spreadsheets/d/1-uDff_7J0KD5mKrp0Vvzr7lt3OU09vwQwhkpOPPYv2Y/edit?usp=sharing"",""งบพรบ!BD62"")"),0)</f>
        <v>0</v>
      </c>
      <c r="M62" s="179">
        <f t="shared" ca="1" si="25"/>
        <v>0</v>
      </c>
      <c r="N62" s="179">
        <f t="shared" ca="1" si="26"/>
        <v>0</v>
      </c>
      <c r="O62" s="180">
        <f ca="1">IFERROR(__xludf.DUMMYFUNCTION("IMPORTRANGE(""https://docs.google.com/spreadsheets/d/1-uDff_7J0KD5mKrp0Vvzr7lt3OU09vwQwhkpOPPYv2Y/edit?usp=sharing"",""งบพรบ!BE62"")"),0)</f>
        <v>0</v>
      </c>
      <c r="P62" s="180">
        <f t="shared" ca="1" si="27"/>
        <v>0</v>
      </c>
      <c r="Q62" s="179">
        <f t="shared" ca="1" si="28"/>
        <v>0</v>
      </c>
      <c r="R62" s="88">
        <f ca="1">IFERROR(__xludf.DUMMYFUNCTION("IMPORTRANGE(""https://docs.google.com/spreadsheets/d/1GbCIE4D4wk9FUozzqk7SxfDMxDVBwVmI5zcaVUSzKAc/edit?usp=sharing"",""ประจวบคีรีขันธ์!I108"")"),0)</f>
        <v>0</v>
      </c>
      <c r="S62" s="88">
        <f ca="1">IFERROR(__xludf.DUMMYFUNCTION("IMPORTRANGE(""https://docs.google.com/spreadsheets/d/1GbCIE4D4wk9FUozzqk7SxfDMxDVBwVmI5zcaVUSzKAc/edit?usp=sharing"",""ประจวบคีรีขันธ์!J108"")"),0)</f>
        <v>0</v>
      </c>
      <c r="T62" s="177">
        <f t="shared" ca="1" si="30"/>
        <v>0</v>
      </c>
      <c r="U62" s="88">
        <f ca="1">IFERROR(__xludf.DUMMYFUNCTION("IMPORTRANGE(""https://docs.google.com/spreadsheets/d/1GbCIE4D4wk9FUozzqk7SxfDMxDVBwVmI5zcaVUSzKAc/edit?usp=sharing"",""ประจวบคีรีขันธ์!I109"")"),0)</f>
        <v>0</v>
      </c>
      <c r="V62" s="88">
        <f ca="1">IFERROR(__xludf.DUMMYFUNCTION("IMPORTRANGE(""https://docs.google.com/spreadsheets/d/1GbCIE4D4wk9FUozzqk7SxfDMxDVBwVmI5zcaVUSzKAc/edit?usp=sharing"",""ประจวบคีรีขันธ์!J109"")"),0)</f>
        <v>0</v>
      </c>
      <c r="W62" s="177">
        <f t="shared" ca="1" si="32"/>
        <v>0</v>
      </c>
      <c r="X62" s="88">
        <f ca="1">IFERROR(__xludf.DUMMYFUNCTION("IMPORTRANGE(""https://docs.google.com/spreadsheets/d/1GbCIE4D4wk9FUozzqk7SxfDMxDVBwVmI5zcaVUSzKAc/edit?usp=sharing"",""ประจวบคีรีขันธ์!I117"")"),0)</f>
        <v>0</v>
      </c>
      <c r="Y62" s="88">
        <f ca="1">IFERROR(__xludf.DUMMYFUNCTION("IMPORTRANGE(""https://docs.google.com/spreadsheets/d/1GbCIE4D4wk9FUozzqk7SxfDMxDVBwVmI5zcaVUSzKAc/edit?usp=sharing"",""ประจวบคีรีขันธ์!J117"")"),0)</f>
        <v>0</v>
      </c>
      <c r="Z62" s="177">
        <f t="shared" ca="1" si="34"/>
        <v>0</v>
      </c>
    </row>
    <row r="63" spans="1:26" ht="21" customHeight="1" x14ac:dyDescent="0.3">
      <c r="A63" s="172">
        <v>11</v>
      </c>
      <c r="B63" s="173" t="s">
        <v>85</v>
      </c>
      <c r="C63" s="174">
        <f t="shared" ca="1" si="21"/>
        <v>205600</v>
      </c>
      <c r="D63" s="175">
        <f t="shared" ca="1" si="45"/>
        <v>205600</v>
      </c>
      <c r="E63" s="176">
        <f ca="1">IFERROR(__xludf.DUMMYFUNCTION("IMPORTRANGE(""https://docs.google.com/spreadsheets/d/1-uDff_7J0KD5mKrp0Vvzr7lt3OU09vwQwhkpOPPYv2Y/edit?usp=sharing"",""งบพรบ!AX63"")"),76200)</f>
        <v>76200</v>
      </c>
      <c r="F63" s="176">
        <f ca="1">IFERROR(__xludf.DUMMYFUNCTION("IMPORTRANGE(""https://docs.google.com/spreadsheets/d/1-uDff_7J0KD5mKrp0Vvzr7lt3OU09vwQwhkpOPPYv2Y/edit?usp=sharing"",""งบพรบ!AY63"")"),129400)</f>
        <v>129400</v>
      </c>
      <c r="G63" s="176">
        <f ca="1">IFERROR(__xludf.DUMMYFUNCTION("IMPORTRANGE(""https://docs.google.com/spreadsheets/d/1-uDff_7J0KD5mKrp0Vvzr7lt3OU09vwQwhkpOPPYv2Y/edit?usp=sharing"",""งบพรบ!AZ63"")"),0)</f>
        <v>0</v>
      </c>
      <c r="H63" s="176">
        <f ca="1">IFERROR(__xludf.DUMMYFUNCTION("IMPORTRANGE(""https://docs.google.com/spreadsheets/d/1-uDff_7J0KD5mKrp0Vvzr7lt3OU09vwQwhkpOPPYv2Y/edit?usp=sharing"",""งบพรบ!BB63"")"),183900)</f>
        <v>183900</v>
      </c>
      <c r="I63" s="176">
        <f ca="1">IFERROR(__xludf.DUMMYFUNCTION("IMPORTRANGE(""https://docs.google.com/spreadsheets/d/1-uDff_7J0KD5mKrp0Vvzr7lt3OU09vwQwhkpOPPYv2Y/edit?usp=sharing"",""งบพรบ!BC63"")"),0)</f>
        <v>0</v>
      </c>
      <c r="J63" s="176">
        <f t="shared" ca="1" si="23"/>
        <v>108464</v>
      </c>
      <c r="K63" s="181">
        <f t="shared" ca="1" si="24"/>
        <v>52.754863813229569</v>
      </c>
      <c r="L63" s="176">
        <f ca="1">IFERROR(__xludf.DUMMYFUNCTION("IMPORTRANGE(""https://docs.google.com/spreadsheets/d/1-uDff_7J0KD5mKrp0Vvzr7lt3OU09vwQwhkpOPPYv2Y/edit?usp=sharing"",""งบพรบ!BD63"")"),108464)</f>
        <v>108464</v>
      </c>
      <c r="M63" s="179">
        <f t="shared" ca="1" si="25"/>
        <v>52.754863813229569</v>
      </c>
      <c r="N63" s="179">
        <f t="shared" ca="1" si="26"/>
        <v>58.979880369766178</v>
      </c>
      <c r="O63" s="180">
        <f ca="1">IFERROR(__xludf.DUMMYFUNCTION("IMPORTRANGE(""https://docs.google.com/spreadsheets/d/1-uDff_7J0KD5mKrp0Vvzr7lt3OU09vwQwhkpOPPYv2Y/edit?usp=sharing"",""งบพรบ!BE63"")"),0)</f>
        <v>0</v>
      </c>
      <c r="P63" s="180">
        <f t="shared" ca="1" si="27"/>
        <v>0</v>
      </c>
      <c r="Q63" s="179">
        <f t="shared" ca="1" si="28"/>
        <v>0</v>
      </c>
      <c r="R63" s="88">
        <f ca="1">IFERROR(__xludf.DUMMYFUNCTION("IMPORTRANGE(""https://docs.google.com/spreadsheets/d/1vVf6wykvW_lAyu7Yo9L4hUTqHqIeP_qcVuxCtosJEbg/edit?usp=sharing"",""ปราจีนบุรี!I108"")"),93)</f>
        <v>93</v>
      </c>
      <c r="S63" s="88">
        <f ca="1">IFERROR(__xludf.DUMMYFUNCTION("IMPORTRANGE(""https://docs.google.com/spreadsheets/d/1vVf6wykvW_lAyu7Yo9L4hUTqHqIeP_qcVuxCtosJEbg/edit?usp=sharing"",""ปราจีนบุรี!J108"")"),0)</f>
        <v>0</v>
      </c>
      <c r="T63" s="177">
        <f t="shared" ca="1" si="30"/>
        <v>0</v>
      </c>
      <c r="U63" s="88">
        <f ca="1">IFERROR(__xludf.DUMMYFUNCTION("IMPORTRANGE(""https://docs.google.com/spreadsheets/d/1vVf6wykvW_lAyu7Yo9L4hUTqHqIeP_qcVuxCtosJEbg/edit?usp=sharing"",""ปราจีนบุรี!I109"")"),31)</f>
        <v>31</v>
      </c>
      <c r="V63" s="88">
        <f ca="1">IFERROR(__xludf.DUMMYFUNCTION("IMPORTRANGE(""https://docs.google.com/spreadsheets/d/1vVf6wykvW_lAyu7Yo9L4hUTqHqIeP_qcVuxCtosJEbg/edit?usp=sharing"",""ปราจีนบุรี!J109"")"),0)</f>
        <v>0</v>
      </c>
      <c r="W63" s="177">
        <f t="shared" ca="1" si="32"/>
        <v>0</v>
      </c>
      <c r="X63" s="88">
        <f ca="1">IFERROR(__xludf.DUMMYFUNCTION("IMPORTRANGE(""https://docs.google.com/spreadsheets/d/1vVf6wykvW_lAyu7Yo9L4hUTqHqIeP_qcVuxCtosJEbg/edit?usp=sharing"",""ปราจีนบุรี!I117"")"),31)</f>
        <v>31</v>
      </c>
      <c r="Y63" s="88">
        <f ca="1">IFERROR(__xludf.DUMMYFUNCTION("IMPORTRANGE(""https://docs.google.com/spreadsheets/d/1vVf6wykvW_lAyu7Yo9L4hUTqHqIeP_qcVuxCtosJEbg/edit?usp=sharing"",""ปราจีนบุรี!J117"")"),0)</f>
        <v>0</v>
      </c>
      <c r="Z63" s="177">
        <f t="shared" ca="1" si="34"/>
        <v>0</v>
      </c>
    </row>
    <row r="64" spans="1:26" ht="21" customHeight="1" x14ac:dyDescent="0.3">
      <c r="A64" s="172">
        <v>12</v>
      </c>
      <c r="B64" s="173" t="s">
        <v>86</v>
      </c>
      <c r="C64" s="174">
        <f t="shared" ca="1" si="21"/>
        <v>0</v>
      </c>
      <c r="D64" s="175">
        <f t="shared" ca="1" si="45"/>
        <v>0</v>
      </c>
      <c r="E64" s="176">
        <f ca="1">IFERROR(__xludf.DUMMYFUNCTION("IMPORTRANGE(""https://docs.google.com/spreadsheets/d/1-uDff_7J0KD5mKrp0Vvzr7lt3OU09vwQwhkpOPPYv2Y/edit?usp=sharing"",""งบพรบ!AX64"")"),0)</f>
        <v>0</v>
      </c>
      <c r="F64" s="176">
        <f ca="1">IFERROR(__xludf.DUMMYFUNCTION("IMPORTRANGE(""https://docs.google.com/spreadsheets/d/1-uDff_7J0KD5mKrp0Vvzr7lt3OU09vwQwhkpOPPYv2Y/edit?usp=sharing"",""งบพรบ!AY64"")"),0)</f>
        <v>0</v>
      </c>
      <c r="G64" s="176">
        <f ca="1">IFERROR(__xludf.DUMMYFUNCTION("IMPORTRANGE(""https://docs.google.com/spreadsheets/d/1-uDff_7J0KD5mKrp0Vvzr7lt3OU09vwQwhkpOPPYv2Y/edit?usp=sharing"",""งบพรบ!AZ64"")"),0)</f>
        <v>0</v>
      </c>
      <c r="H64" s="176">
        <f ca="1">IFERROR(__xludf.DUMMYFUNCTION("IMPORTRANGE(""https://docs.google.com/spreadsheets/d/1-uDff_7J0KD5mKrp0Vvzr7lt3OU09vwQwhkpOPPYv2Y/edit?usp=sharing"",""งบพรบ!BB64"")"),0)</f>
        <v>0</v>
      </c>
      <c r="I64" s="176">
        <f ca="1">IFERROR(__xludf.DUMMYFUNCTION("IMPORTRANGE(""https://docs.google.com/spreadsheets/d/1-uDff_7J0KD5mKrp0Vvzr7lt3OU09vwQwhkpOPPYv2Y/edit?usp=sharing"",""งบพรบ!BC64"")"),0)</f>
        <v>0</v>
      </c>
      <c r="J64" s="176">
        <f t="shared" ca="1" si="23"/>
        <v>0</v>
      </c>
      <c r="K64" s="181">
        <f t="shared" ca="1" si="24"/>
        <v>0</v>
      </c>
      <c r="L64" s="176">
        <f ca="1">IFERROR(__xludf.DUMMYFUNCTION("IMPORTRANGE(""https://docs.google.com/spreadsheets/d/1-uDff_7J0KD5mKrp0Vvzr7lt3OU09vwQwhkpOPPYv2Y/edit?usp=sharing"",""งบพรบ!BD64"")"),0)</f>
        <v>0</v>
      </c>
      <c r="M64" s="179">
        <f t="shared" ca="1" si="25"/>
        <v>0</v>
      </c>
      <c r="N64" s="179">
        <f t="shared" ca="1" si="26"/>
        <v>0</v>
      </c>
      <c r="O64" s="180">
        <f ca="1">IFERROR(__xludf.DUMMYFUNCTION("IMPORTRANGE(""https://docs.google.com/spreadsheets/d/1-uDff_7J0KD5mKrp0Vvzr7lt3OU09vwQwhkpOPPYv2Y/edit?usp=sharing"",""งบพรบ!BE64"")"),0)</f>
        <v>0</v>
      </c>
      <c r="P64" s="180">
        <f t="shared" ca="1" si="27"/>
        <v>0</v>
      </c>
      <c r="Q64" s="179">
        <f t="shared" ca="1" si="28"/>
        <v>0</v>
      </c>
      <c r="R64" s="88">
        <f ca="1">IFERROR(__xludf.DUMMYFUNCTION("IMPORTRANGE(""https://docs.google.com/spreadsheets/d/1BIDqLLg5jk3v59G8NlR8rk5xfQDKne0sAvZHSj7TI6I/edit?usp=sharing"",""พระนครศรีอยุธยา!I108"")"),0)</f>
        <v>0</v>
      </c>
      <c r="S64" s="88">
        <f ca="1">IFERROR(__xludf.DUMMYFUNCTION("IMPORTRANGE(""https://docs.google.com/spreadsheets/d/1BIDqLLg5jk3v59G8NlR8rk5xfQDKne0sAvZHSj7TI6I/edit?usp=sharing"",""พระนครศรีอยุธยา!J108"")"),0)</f>
        <v>0</v>
      </c>
      <c r="T64" s="177">
        <f t="shared" ca="1" si="30"/>
        <v>0</v>
      </c>
      <c r="U64" s="88">
        <f ca="1">IFERROR(__xludf.DUMMYFUNCTION("IMPORTRANGE(""https://docs.google.com/spreadsheets/d/1BIDqLLg5jk3v59G8NlR8rk5xfQDKne0sAvZHSj7TI6I/edit?usp=sharing"",""พระนครศรีอยุธยา!I109"")"),0)</f>
        <v>0</v>
      </c>
      <c r="V64" s="88">
        <f ca="1">IFERROR(__xludf.DUMMYFUNCTION("IMPORTRANGE(""https://docs.google.com/spreadsheets/d/1BIDqLLg5jk3v59G8NlR8rk5xfQDKne0sAvZHSj7TI6I/edit?usp=sharing"",""พระนครศรีอยุธยา!J109"")"),0)</f>
        <v>0</v>
      </c>
      <c r="W64" s="177">
        <f t="shared" ca="1" si="32"/>
        <v>0</v>
      </c>
      <c r="X64" s="88">
        <f ca="1">IFERROR(__xludf.DUMMYFUNCTION("IMPORTRANGE(""https://docs.google.com/spreadsheets/d/1BIDqLLg5jk3v59G8NlR8rk5xfQDKne0sAvZHSj7TI6I/edit?usp=sharing"",""พระนครศรีอยุธยา!I117"")"),0)</f>
        <v>0</v>
      </c>
      <c r="Y64" s="88">
        <f ca="1">IFERROR(__xludf.DUMMYFUNCTION("IMPORTRANGE(""https://docs.google.com/spreadsheets/d/1BIDqLLg5jk3v59G8NlR8rk5xfQDKne0sAvZHSj7TI6I/edit?usp=sharing"",""พระนครศรีอยุธยา!J117"")"),0)</f>
        <v>0</v>
      </c>
      <c r="Z64" s="177">
        <f t="shared" ca="1" si="34"/>
        <v>0</v>
      </c>
    </row>
    <row r="65" spans="1:26" ht="21" customHeight="1" x14ac:dyDescent="0.3">
      <c r="A65" s="172">
        <v>13</v>
      </c>
      <c r="B65" s="173" t="s">
        <v>87</v>
      </c>
      <c r="C65" s="174">
        <f t="shared" ca="1" si="21"/>
        <v>0</v>
      </c>
      <c r="D65" s="175">
        <f t="shared" ca="1" si="45"/>
        <v>0</v>
      </c>
      <c r="E65" s="176">
        <f ca="1">IFERROR(__xludf.DUMMYFUNCTION("IMPORTRANGE(""https://docs.google.com/spreadsheets/d/1-uDff_7J0KD5mKrp0Vvzr7lt3OU09vwQwhkpOPPYv2Y/edit?usp=sharing"",""งบพรบ!AX65"")"),0)</f>
        <v>0</v>
      </c>
      <c r="F65" s="176">
        <f ca="1">IFERROR(__xludf.DUMMYFUNCTION("IMPORTRANGE(""https://docs.google.com/spreadsheets/d/1-uDff_7J0KD5mKrp0Vvzr7lt3OU09vwQwhkpOPPYv2Y/edit?usp=sharing"",""งบพรบ!AY65"")"),0)</f>
        <v>0</v>
      </c>
      <c r="G65" s="176">
        <f ca="1">IFERROR(__xludf.DUMMYFUNCTION("IMPORTRANGE(""https://docs.google.com/spreadsheets/d/1-uDff_7J0KD5mKrp0Vvzr7lt3OU09vwQwhkpOPPYv2Y/edit?usp=sharing"",""งบพรบ!AZ65"")"),0)</f>
        <v>0</v>
      </c>
      <c r="H65" s="176">
        <f ca="1">IFERROR(__xludf.DUMMYFUNCTION("IMPORTRANGE(""https://docs.google.com/spreadsheets/d/1-uDff_7J0KD5mKrp0Vvzr7lt3OU09vwQwhkpOPPYv2Y/edit?usp=sharing"",""งบพรบ!BB65"")"),0)</f>
        <v>0</v>
      </c>
      <c r="I65" s="176">
        <f ca="1">IFERROR(__xludf.DUMMYFUNCTION("IMPORTRANGE(""https://docs.google.com/spreadsheets/d/1-uDff_7J0KD5mKrp0Vvzr7lt3OU09vwQwhkpOPPYv2Y/edit?usp=sharing"",""งบพรบ!BC65"")"),0)</f>
        <v>0</v>
      </c>
      <c r="J65" s="176">
        <f t="shared" ca="1" si="23"/>
        <v>0</v>
      </c>
      <c r="K65" s="181">
        <f t="shared" ca="1" si="24"/>
        <v>0</v>
      </c>
      <c r="L65" s="176">
        <f ca="1">IFERROR(__xludf.DUMMYFUNCTION("IMPORTRANGE(""https://docs.google.com/spreadsheets/d/1-uDff_7J0KD5mKrp0Vvzr7lt3OU09vwQwhkpOPPYv2Y/edit?usp=sharing"",""งบพรบ!BD65"")"),0)</f>
        <v>0</v>
      </c>
      <c r="M65" s="179">
        <f t="shared" ca="1" si="25"/>
        <v>0</v>
      </c>
      <c r="N65" s="179">
        <f t="shared" ca="1" si="26"/>
        <v>0</v>
      </c>
      <c r="O65" s="180">
        <f ca="1">IFERROR(__xludf.DUMMYFUNCTION("IMPORTRANGE(""https://docs.google.com/spreadsheets/d/1-uDff_7J0KD5mKrp0Vvzr7lt3OU09vwQwhkpOPPYv2Y/edit?usp=sharing"",""งบพรบ!BE65"")"),0)</f>
        <v>0</v>
      </c>
      <c r="P65" s="180">
        <f t="shared" ca="1" si="27"/>
        <v>0</v>
      </c>
      <c r="Q65" s="179">
        <f t="shared" ca="1" si="28"/>
        <v>0</v>
      </c>
      <c r="R65" s="88">
        <f ca="1">IFERROR(__xludf.DUMMYFUNCTION("IMPORTRANGE(""https://docs.google.com/spreadsheets/d/1YXvxf8Yu6_rV4hTBrwMqAcAnv6DfhUxh5emyM3CJp_w/edit?usp=sharing"",""เพชรบุรี!I108"")"),0)</f>
        <v>0</v>
      </c>
      <c r="S65" s="88">
        <f ca="1">IFERROR(__xludf.DUMMYFUNCTION("IMPORTRANGE(""https://docs.google.com/spreadsheets/d/1YXvxf8Yu6_rV4hTBrwMqAcAnv6DfhUxh5emyM3CJp_w/edit?usp=sharing"",""เพชรบุรี!J108"")"),0)</f>
        <v>0</v>
      </c>
      <c r="T65" s="177">
        <f t="shared" ca="1" si="30"/>
        <v>0</v>
      </c>
      <c r="U65" s="88">
        <f ca="1">IFERROR(__xludf.DUMMYFUNCTION("IMPORTRANGE(""https://docs.google.com/spreadsheets/d/1YXvxf8Yu6_rV4hTBrwMqAcAnv6DfhUxh5emyM3CJp_w/edit?usp=sharing"",""เพชรบุรี!I109"")"),0)</f>
        <v>0</v>
      </c>
      <c r="V65" s="88">
        <f ca="1">IFERROR(__xludf.DUMMYFUNCTION("IMPORTRANGE(""https://docs.google.com/spreadsheets/d/1YXvxf8Yu6_rV4hTBrwMqAcAnv6DfhUxh5emyM3CJp_w/edit?usp=sharing"",""เพชรบุรี!J109"")"),0)</f>
        <v>0</v>
      </c>
      <c r="W65" s="177">
        <f t="shared" ca="1" si="32"/>
        <v>0</v>
      </c>
      <c r="X65" s="88">
        <f ca="1">IFERROR(__xludf.DUMMYFUNCTION("IMPORTRANGE(""https://docs.google.com/spreadsheets/d/1YXvxf8Yu6_rV4hTBrwMqAcAnv6DfhUxh5emyM3CJp_w/edit?usp=sharing"",""เพชรบุรี!I117"")"),0)</f>
        <v>0</v>
      </c>
      <c r="Y65" s="88">
        <f ca="1">IFERROR(__xludf.DUMMYFUNCTION("IMPORTRANGE(""https://docs.google.com/spreadsheets/d/1YXvxf8Yu6_rV4hTBrwMqAcAnv6DfhUxh5emyM3CJp_w/edit?usp=sharing"",""เพชรบุรี!J117"")"),0)</f>
        <v>0</v>
      </c>
      <c r="Z65" s="177">
        <f t="shared" ca="1" si="34"/>
        <v>0</v>
      </c>
    </row>
    <row r="66" spans="1:26" ht="21" customHeight="1" x14ac:dyDescent="0.3">
      <c r="A66" s="172">
        <v>14</v>
      </c>
      <c r="B66" s="173" t="s">
        <v>88</v>
      </c>
      <c r="C66" s="174">
        <f t="shared" ca="1" si="21"/>
        <v>0</v>
      </c>
      <c r="D66" s="175">
        <f t="shared" ca="1" si="45"/>
        <v>0</v>
      </c>
      <c r="E66" s="176">
        <f ca="1">IFERROR(__xludf.DUMMYFUNCTION("IMPORTRANGE(""https://docs.google.com/spreadsheets/d/1-uDff_7J0KD5mKrp0Vvzr7lt3OU09vwQwhkpOPPYv2Y/edit?usp=sharing"",""งบพรบ!AX66"")"),0)</f>
        <v>0</v>
      </c>
      <c r="F66" s="176">
        <f ca="1">IFERROR(__xludf.DUMMYFUNCTION("IMPORTRANGE(""https://docs.google.com/spreadsheets/d/1-uDff_7J0KD5mKrp0Vvzr7lt3OU09vwQwhkpOPPYv2Y/edit?usp=sharing"",""งบพรบ!AY66"")"),0)</f>
        <v>0</v>
      </c>
      <c r="G66" s="176">
        <f ca="1">IFERROR(__xludf.DUMMYFUNCTION("IMPORTRANGE(""https://docs.google.com/spreadsheets/d/1-uDff_7J0KD5mKrp0Vvzr7lt3OU09vwQwhkpOPPYv2Y/edit?usp=sharing"",""งบพรบ!AZ66"")"),0)</f>
        <v>0</v>
      </c>
      <c r="H66" s="176">
        <f ca="1">IFERROR(__xludf.DUMMYFUNCTION("IMPORTRANGE(""https://docs.google.com/spreadsheets/d/1-uDff_7J0KD5mKrp0Vvzr7lt3OU09vwQwhkpOPPYv2Y/edit?usp=sharing"",""งบพรบ!BB66"")"),0)</f>
        <v>0</v>
      </c>
      <c r="I66" s="176">
        <f ca="1">IFERROR(__xludf.DUMMYFUNCTION("IMPORTRANGE(""https://docs.google.com/spreadsheets/d/1-uDff_7J0KD5mKrp0Vvzr7lt3OU09vwQwhkpOPPYv2Y/edit?usp=sharing"",""งบพรบ!BC66"")"),0)</f>
        <v>0</v>
      </c>
      <c r="J66" s="176">
        <f t="shared" ca="1" si="23"/>
        <v>0</v>
      </c>
      <c r="K66" s="181">
        <f t="shared" ca="1" si="24"/>
        <v>0</v>
      </c>
      <c r="L66" s="176">
        <f ca="1">IFERROR(__xludf.DUMMYFUNCTION("IMPORTRANGE(""https://docs.google.com/spreadsheets/d/1-uDff_7J0KD5mKrp0Vvzr7lt3OU09vwQwhkpOPPYv2Y/edit?usp=sharing"",""งบพรบ!BD66"")"),0)</f>
        <v>0</v>
      </c>
      <c r="M66" s="179">
        <f t="shared" ca="1" si="25"/>
        <v>0</v>
      </c>
      <c r="N66" s="179">
        <f t="shared" ca="1" si="26"/>
        <v>0</v>
      </c>
      <c r="O66" s="180">
        <f ca="1">IFERROR(__xludf.DUMMYFUNCTION("IMPORTRANGE(""https://docs.google.com/spreadsheets/d/1-uDff_7J0KD5mKrp0Vvzr7lt3OU09vwQwhkpOPPYv2Y/edit?usp=sharing"",""งบพรบ!BE66"")"),0)</f>
        <v>0</v>
      </c>
      <c r="P66" s="180">
        <f t="shared" ca="1" si="27"/>
        <v>0</v>
      </c>
      <c r="Q66" s="179">
        <f t="shared" ca="1" si="28"/>
        <v>0</v>
      </c>
      <c r="R66" s="88">
        <f ca="1">IFERROR(__xludf.DUMMYFUNCTION("IMPORTRANGE(""https://docs.google.com/spreadsheets/d/19KBlQQs7uwvsao6t2n-KvW3Ax8J8uRRfZPq1zPbXgKc/edit?usp=sharing"",""ระยอง!I108"")"),0)</f>
        <v>0</v>
      </c>
      <c r="S66" s="88">
        <f ca="1">IFERROR(__xludf.DUMMYFUNCTION("IMPORTRANGE(""https://docs.google.com/spreadsheets/d/19KBlQQs7uwvsao6t2n-KvW3Ax8J8uRRfZPq1zPbXgKc/edit?usp=sharing"",""ระยอง!J108"")"),0)</f>
        <v>0</v>
      </c>
      <c r="T66" s="177">
        <f t="shared" ca="1" si="30"/>
        <v>0</v>
      </c>
      <c r="U66" s="88">
        <f ca="1">IFERROR(__xludf.DUMMYFUNCTION("IMPORTRANGE(""https://docs.google.com/spreadsheets/d/19KBlQQs7uwvsao6t2n-KvW3Ax8J8uRRfZPq1zPbXgKc/edit?usp=sharing"",""ระยอง!I109"")"),0)</f>
        <v>0</v>
      </c>
      <c r="V66" s="88">
        <f ca="1">IFERROR(__xludf.DUMMYFUNCTION("IMPORTRANGE(""https://docs.google.com/spreadsheets/d/19KBlQQs7uwvsao6t2n-KvW3Ax8J8uRRfZPq1zPbXgKc/edit?usp=sharing"",""ระยอง!J109"")"),0)</f>
        <v>0</v>
      </c>
      <c r="W66" s="177">
        <f t="shared" ca="1" si="32"/>
        <v>0</v>
      </c>
      <c r="X66" s="88">
        <f ca="1">IFERROR(__xludf.DUMMYFUNCTION("IMPORTRANGE(""https://docs.google.com/spreadsheets/d/19KBlQQs7uwvsao6t2n-KvW3Ax8J8uRRfZPq1zPbXgKc/edit?usp=sharing"",""ระยอง!I117"")"),0)</f>
        <v>0</v>
      </c>
      <c r="Y66" s="88">
        <f ca="1">IFERROR(__xludf.DUMMYFUNCTION("IMPORTRANGE(""https://docs.google.com/spreadsheets/d/19KBlQQs7uwvsao6t2n-KvW3Ax8J8uRRfZPq1zPbXgKc/edit?usp=sharing"",""ระยอง!J117"")"),0)</f>
        <v>0</v>
      </c>
      <c r="Z66" s="177">
        <f t="shared" ca="1" si="34"/>
        <v>0</v>
      </c>
    </row>
    <row r="67" spans="1:26" ht="21" customHeight="1" x14ac:dyDescent="0.3">
      <c r="A67" s="172">
        <v>15</v>
      </c>
      <c r="B67" s="173" t="s">
        <v>89</v>
      </c>
      <c r="C67" s="174">
        <f t="shared" ca="1" si="21"/>
        <v>0</v>
      </c>
      <c r="D67" s="175">
        <f t="shared" ca="1" si="45"/>
        <v>0</v>
      </c>
      <c r="E67" s="176">
        <f ca="1">IFERROR(__xludf.DUMMYFUNCTION("IMPORTRANGE(""https://docs.google.com/spreadsheets/d/1-uDff_7J0KD5mKrp0Vvzr7lt3OU09vwQwhkpOPPYv2Y/edit?usp=sharing"",""งบพรบ!AX67"")"),0)</f>
        <v>0</v>
      </c>
      <c r="F67" s="176">
        <f ca="1">IFERROR(__xludf.DUMMYFUNCTION("IMPORTRANGE(""https://docs.google.com/spreadsheets/d/1-uDff_7J0KD5mKrp0Vvzr7lt3OU09vwQwhkpOPPYv2Y/edit?usp=sharing"",""งบพรบ!AY67"")"),0)</f>
        <v>0</v>
      </c>
      <c r="G67" s="176">
        <f ca="1">IFERROR(__xludf.DUMMYFUNCTION("IMPORTRANGE(""https://docs.google.com/spreadsheets/d/1-uDff_7J0KD5mKrp0Vvzr7lt3OU09vwQwhkpOPPYv2Y/edit?usp=sharing"",""งบพรบ!AZ67"")"),0)</f>
        <v>0</v>
      </c>
      <c r="H67" s="176">
        <f ca="1">IFERROR(__xludf.DUMMYFUNCTION("IMPORTRANGE(""https://docs.google.com/spreadsheets/d/1-uDff_7J0KD5mKrp0Vvzr7lt3OU09vwQwhkpOPPYv2Y/edit?usp=sharing"",""งบพรบ!BB67"")"),0)</f>
        <v>0</v>
      </c>
      <c r="I67" s="176">
        <f ca="1">IFERROR(__xludf.DUMMYFUNCTION("IMPORTRANGE(""https://docs.google.com/spreadsheets/d/1-uDff_7J0KD5mKrp0Vvzr7lt3OU09vwQwhkpOPPYv2Y/edit?usp=sharing"",""งบพรบ!BC67"")"),0)</f>
        <v>0</v>
      </c>
      <c r="J67" s="176">
        <f t="shared" ca="1" si="23"/>
        <v>0</v>
      </c>
      <c r="K67" s="181">
        <f t="shared" ca="1" si="24"/>
        <v>0</v>
      </c>
      <c r="L67" s="176">
        <f ca="1">IFERROR(__xludf.DUMMYFUNCTION("IMPORTRANGE(""https://docs.google.com/spreadsheets/d/1-uDff_7J0KD5mKrp0Vvzr7lt3OU09vwQwhkpOPPYv2Y/edit?usp=sharing"",""งบพรบ!BD67"")"),0)</f>
        <v>0</v>
      </c>
      <c r="M67" s="179">
        <f t="shared" ca="1" si="25"/>
        <v>0</v>
      </c>
      <c r="N67" s="179">
        <f t="shared" ca="1" si="26"/>
        <v>0</v>
      </c>
      <c r="O67" s="180">
        <f ca="1">IFERROR(__xludf.DUMMYFUNCTION("IMPORTRANGE(""https://docs.google.com/spreadsheets/d/1-uDff_7J0KD5mKrp0Vvzr7lt3OU09vwQwhkpOPPYv2Y/edit?usp=sharing"",""งบพรบ!BE67"")"),0)</f>
        <v>0</v>
      </c>
      <c r="P67" s="180">
        <f t="shared" ca="1" si="27"/>
        <v>0</v>
      </c>
      <c r="Q67" s="179">
        <f t="shared" ca="1" si="28"/>
        <v>0</v>
      </c>
      <c r="R67" s="88">
        <f ca="1">IFERROR(__xludf.DUMMYFUNCTION("IMPORTRANGE(""https://docs.google.com/spreadsheets/d/1jQ6P4QcrGM89YfqcC_PxOHGCMq5ezhucwJd8ci-NHng/edit?usp=sharing"",""ราชบุรี!I108"")"),0)</f>
        <v>0</v>
      </c>
      <c r="S67" s="88">
        <f ca="1">IFERROR(__xludf.DUMMYFUNCTION("IMPORTRANGE(""https://docs.google.com/spreadsheets/d/1jQ6P4QcrGM89YfqcC_PxOHGCMq5ezhucwJd8ci-NHng/edit?usp=sharing"",""ราชบุรี!J108"")"),0)</f>
        <v>0</v>
      </c>
      <c r="T67" s="177">
        <f t="shared" ca="1" si="30"/>
        <v>0</v>
      </c>
      <c r="U67" s="88">
        <f ca="1">IFERROR(__xludf.DUMMYFUNCTION("IMPORTRANGE(""https://docs.google.com/spreadsheets/d/1jQ6P4QcrGM89YfqcC_PxOHGCMq5ezhucwJd8ci-NHng/edit?usp=sharing"",""ราชบุรี!I109"")"),0)</f>
        <v>0</v>
      </c>
      <c r="V67" s="88">
        <f ca="1">IFERROR(__xludf.DUMMYFUNCTION("IMPORTRANGE(""https://docs.google.com/spreadsheets/d/1jQ6P4QcrGM89YfqcC_PxOHGCMq5ezhucwJd8ci-NHng/edit?usp=sharing"",""ราชบุรี!J109"")"),0)</f>
        <v>0</v>
      </c>
      <c r="W67" s="177">
        <f t="shared" ca="1" si="32"/>
        <v>0</v>
      </c>
      <c r="X67" s="88">
        <f ca="1">IFERROR(__xludf.DUMMYFUNCTION("IMPORTRANGE(""https://docs.google.com/spreadsheets/d/1jQ6P4QcrGM89YfqcC_PxOHGCMq5ezhucwJd8ci-NHng/edit?usp=sharing"",""ราชบุรี!I117"")"),0)</f>
        <v>0</v>
      </c>
      <c r="Y67" s="88">
        <f ca="1">IFERROR(__xludf.DUMMYFUNCTION("IMPORTRANGE(""https://docs.google.com/spreadsheets/d/1jQ6P4QcrGM89YfqcC_PxOHGCMq5ezhucwJd8ci-NHng/edit?usp=sharing"",""ราชบุรี!J117"")"),0)</f>
        <v>0</v>
      </c>
      <c r="Z67" s="177">
        <f t="shared" ca="1" si="34"/>
        <v>0</v>
      </c>
    </row>
    <row r="68" spans="1:26" ht="24" customHeight="1" x14ac:dyDescent="0.3">
      <c r="A68" s="172">
        <v>16</v>
      </c>
      <c r="B68" s="173" t="s">
        <v>90</v>
      </c>
      <c r="C68" s="174">
        <f t="shared" ca="1" si="21"/>
        <v>0</v>
      </c>
      <c r="D68" s="175">
        <f t="shared" ca="1" si="45"/>
        <v>0</v>
      </c>
      <c r="E68" s="176">
        <f ca="1">IFERROR(__xludf.DUMMYFUNCTION("IMPORTRANGE(""https://docs.google.com/spreadsheets/d/1-uDff_7J0KD5mKrp0Vvzr7lt3OU09vwQwhkpOPPYv2Y/edit?usp=sharing"",""งบพรบ!AX68"")"),0)</f>
        <v>0</v>
      </c>
      <c r="F68" s="176">
        <f ca="1">IFERROR(__xludf.DUMMYFUNCTION("IMPORTRANGE(""https://docs.google.com/spreadsheets/d/1-uDff_7J0KD5mKrp0Vvzr7lt3OU09vwQwhkpOPPYv2Y/edit?usp=sharing"",""งบพรบ!AY68"")"),0)</f>
        <v>0</v>
      </c>
      <c r="G68" s="176">
        <f ca="1">IFERROR(__xludf.DUMMYFUNCTION("IMPORTRANGE(""https://docs.google.com/spreadsheets/d/1-uDff_7J0KD5mKrp0Vvzr7lt3OU09vwQwhkpOPPYv2Y/edit?usp=sharing"",""งบพรบ!AZ68"")"),0)</f>
        <v>0</v>
      </c>
      <c r="H68" s="176">
        <f ca="1">IFERROR(__xludf.DUMMYFUNCTION("IMPORTRANGE(""https://docs.google.com/spreadsheets/d/1-uDff_7J0KD5mKrp0Vvzr7lt3OU09vwQwhkpOPPYv2Y/edit?usp=sharing"",""งบพรบ!BB68"")"),0)</f>
        <v>0</v>
      </c>
      <c r="I68" s="176">
        <f ca="1">IFERROR(__xludf.DUMMYFUNCTION("IMPORTRANGE(""https://docs.google.com/spreadsheets/d/1-uDff_7J0KD5mKrp0Vvzr7lt3OU09vwQwhkpOPPYv2Y/edit?usp=sharing"",""งบพรบ!BC68"")"),0)</f>
        <v>0</v>
      </c>
      <c r="J68" s="176">
        <f t="shared" ca="1" si="23"/>
        <v>0</v>
      </c>
      <c r="K68" s="181">
        <f t="shared" ca="1" si="24"/>
        <v>0</v>
      </c>
      <c r="L68" s="176">
        <f ca="1">IFERROR(__xludf.DUMMYFUNCTION("IMPORTRANGE(""https://docs.google.com/spreadsheets/d/1-uDff_7J0KD5mKrp0Vvzr7lt3OU09vwQwhkpOPPYv2Y/edit?usp=sharing"",""งบพรบ!BD68"")"),0)</f>
        <v>0</v>
      </c>
      <c r="M68" s="179">
        <f t="shared" ca="1" si="25"/>
        <v>0</v>
      </c>
      <c r="N68" s="179">
        <f t="shared" ca="1" si="26"/>
        <v>0</v>
      </c>
      <c r="O68" s="180">
        <f ca="1">IFERROR(__xludf.DUMMYFUNCTION("IMPORTRANGE(""https://docs.google.com/spreadsheets/d/1-uDff_7J0KD5mKrp0Vvzr7lt3OU09vwQwhkpOPPYv2Y/edit?usp=sharing"",""งบพรบ!BE68"")"),0)</f>
        <v>0</v>
      </c>
      <c r="P68" s="180">
        <f t="shared" ca="1" si="27"/>
        <v>0</v>
      </c>
      <c r="Q68" s="179">
        <f t="shared" ca="1" si="28"/>
        <v>0</v>
      </c>
      <c r="R68" s="92">
        <f ca="1">IFERROR(__xludf.DUMMYFUNCTION("IMPORTRANGE(""https://docs.google.com/spreadsheets/d/1lufeA2cfFqM-elVq2hznhDzC6Pr7wkJ9ZG_sYNGCMCU/edit?usp=sharing"",""ลพบุรี!I108"")"),0)</f>
        <v>0</v>
      </c>
      <c r="S68" s="92">
        <f ca="1">IFERROR(__xludf.DUMMYFUNCTION("IMPORTRANGE(""https://docs.google.com/spreadsheets/d/1lufeA2cfFqM-elVq2hznhDzC6Pr7wkJ9ZG_sYNGCMCU/edit?usp=sharing"",""ลพบุรี!J108"")"),0)</f>
        <v>0</v>
      </c>
      <c r="T68" s="177">
        <f t="shared" ca="1" si="30"/>
        <v>0</v>
      </c>
      <c r="U68" s="92">
        <f ca="1">IFERROR(__xludf.DUMMYFUNCTION("IMPORTRANGE(""https://docs.google.com/spreadsheets/d/1lufeA2cfFqM-elVq2hznhDzC6Pr7wkJ9ZG_sYNGCMCU/edit?usp=sharing"",""ลพบุรี!I109"")"),0)</f>
        <v>0</v>
      </c>
      <c r="V68" s="92">
        <f ca="1">IFERROR(__xludf.DUMMYFUNCTION("IMPORTRANGE(""https://docs.google.com/spreadsheets/d/1lufeA2cfFqM-elVq2hznhDzC6Pr7wkJ9ZG_sYNGCMCU/edit?usp=sharing"",""ลพบุรี!J109"")"),0)</f>
        <v>0</v>
      </c>
      <c r="W68" s="177">
        <f t="shared" ca="1" si="32"/>
        <v>0</v>
      </c>
      <c r="X68" s="92">
        <f ca="1">IFERROR(__xludf.DUMMYFUNCTION("IMPORTRANGE(""https://docs.google.com/spreadsheets/d/1lufeA2cfFqM-elVq2hznhDzC6Pr7wkJ9ZG_sYNGCMCU/edit?usp=sharing"",""ลพบุรี!I117"")"),0)</f>
        <v>0</v>
      </c>
      <c r="Y68" s="92">
        <f ca="1">IFERROR(__xludf.DUMMYFUNCTION("IMPORTRANGE(""https://docs.google.com/spreadsheets/d/1lufeA2cfFqM-elVq2hznhDzC6Pr7wkJ9ZG_sYNGCMCU/edit?usp=sharing"",""ลพบุรี!J117"")"),0)</f>
        <v>0</v>
      </c>
      <c r="Z68" s="177">
        <f t="shared" ca="1" si="34"/>
        <v>0</v>
      </c>
    </row>
    <row r="69" spans="1:26" ht="21" customHeight="1" x14ac:dyDescent="0.3">
      <c r="A69" s="172">
        <v>17</v>
      </c>
      <c r="B69" s="173" t="s">
        <v>91</v>
      </c>
      <c r="C69" s="174">
        <f t="shared" ca="1" si="21"/>
        <v>0</v>
      </c>
      <c r="D69" s="175">
        <f t="shared" ca="1" si="45"/>
        <v>0</v>
      </c>
      <c r="E69" s="176">
        <f ca="1">IFERROR(__xludf.DUMMYFUNCTION("IMPORTRANGE(""https://docs.google.com/spreadsheets/d/1-uDff_7J0KD5mKrp0Vvzr7lt3OU09vwQwhkpOPPYv2Y/edit?usp=sharing"",""งบพรบ!AX69"")"),0)</f>
        <v>0</v>
      </c>
      <c r="F69" s="176">
        <f ca="1">IFERROR(__xludf.DUMMYFUNCTION("IMPORTRANGE(""https://docs.google.com/spreadsheets/d/1-uDff_7J0KD5mKrp0Vvzr7lt3OU09vwQwhkpOPPYv2Y/edit?usp=sharing"",""งบพรบ!AY69"")"),0)</f>
        <v>0</v>
      </c>
      <c r="G69" s="176">
        <f ca="1">IFERROR(__xludf.DUMMYFUNCTION("IMPORTRANGE(""https://docs.google.com/spreadsheets/d/1-uDff_7J0KD5mKrp0Vvzr7lt3OU09vwQwhkpOPPYv2Y/edit?usp=sharing"",""งบพรบ!AZ69"")"),0)</f>
        <v>0</v>
      </c>
      <c r="H69" s="176">
        <f ca="1">IFERROR(__xludf.DUMMYFUNCTION("IMPORTRANGE(""https://docs.google.com/spreadsheets/d/1-uDff_7J0KD5mKrp0Vvzr7lt3OU09vwQwhkpOPPYv2Y/edit?usp=sharing"",""งบพรบ!BB69"")"),0)</f>
        <v>0</v>
      </c>
      <c r="I69" s="176">
        <f ca="1">IFERROR(__xludf.DUMMYFUNCTION("IMPORTRANGE(""https://docs.google.com/spreadsheets/d/1-uDff_7J0KD5mKrp0Vvzr7lt3OU09vwQwhkpOPPYv2Y/edit?usp=sharing"",""งบพรบ!BC69"")"),0)</f>
        <v>0</v>
      </c>
      <c r="J69" s="176">
        <f t="shared" ca="1" si="23"/>
        <v>0</v>
      </c>
      <c r="K69" s="181">
        <f t="shared" ca="1" si="24"/>
        <v>0</v>
      </c>
      <c r="L69" s="176">
        <f ca="1">IFERROR(__xludf.DUMMYFUNCTION("IMPORTRANGE(""https://docs.google.com/spreadsheets/d/1-uDff_7J0KD5mKrp0Vvzr7lt3OU09vwQwhkpOPPYv2Y/edit?usp=sharing"",""งบพรบ!BD69"")"),0)</f>
        <v>0</v>
      </c>
      <c r="M69" s="179">
        <f t="shared" ca="1" si="25"/>
        <v>0</v>
      </c>
      <c r="N69" s="179">
        <f t="shared" ca="1" si="26"/>
        <v>0</v>
      </c>
      <c r="O69" s="180">
        <f ca="1">IFERROR(__xludf.DUMMYFUNCTION("IMPORTRANGE(""https://docs.google.com/spreadsheets/d/1-uDff_7J0KD5mKrp0Vvzr7lt3OU09vwQwhkpOPPYv2Y/edit?usp=sharing"",""งบพรบ!BE69"")"),0)</f>
        <v>0</v>
      </c>
      <c r="P69" s="180">
        <f t="shared" ca="1" si="27"/>
        <v>0</v>
      </c>
      <c r="Q69" s="179">
        <f t="shared" ca="1" si="28"/>
        <v>0</v>
      </c>
      <c r="R69" s="88">
        <f ca="1">IFERROR(__xludf.DUMMYFUNCTION("IMPORTRANGE(""https://docs.google.com/spreadsheets/d/10oOiF7loTyfsTkbd4MpaIm0HQ9SwB7IYHdIUvt-U1Uc/edit?usp=sharing"",""สระแก้ว!I108"")"),0)</f>
        <v>0</v>
      </c>
      <c r="S69" s="88">
        <f ca="1">IFERROR(__xludf.DUMMYFUNCTION("IMPORTRANGE(""https://docs.google.com/spreadsheets/d/10oOiF7loTyfsTkbd4MpaIm0HQ9SwB7IYHdIUvt-U1Uc/edit?usp=sharing"",""สระแก้ว!J108"")"),0)</f>
        <v>0</v>
      </c>
      <c r="T69" s="177">
        <f t="shared" ca="1" si="30"/>
        <v>0</v>
      </c>
      <c r="U69" s="88">
        <f ca="1">IFERROR(__xludf.DUMMYFUNCTION("IMPORTRANGE(""https://docs.google.com/spreadsheets/d/10oOiF7loTyfsTkbd4MpaIm0HQ9SwB7IYHdIUvt-U1Uc/edit?usp=sharing"",""สระแก้ว!I109"")"),0)</f>
        <v>0</v>
      </c>
      <c r="V69" s="88">
        <f ca="1">IFERROR(__xludf.DUMMYFUNCTION("IMPORTRANGE(""https://docs.google.com/spreadsheets/d/10oOiF7loTyfsTkbd4MpaIm0HQ9SwB7IYHdIUvt-U1Uc/edit?usp=sharing"",""สระแก้ว!J109"")"),0)</f>
        <v>0</v>
      </c>
      <c r="W69" s="177">
        <f t="shared" ca="1" si="32"/>
        <v>0</v>
      </c>
      <c r="X69" s="88">
        <f ca="1">IFERROR(__xludf.DUMMYFUNCTION("IMPORTRANGE(""https://docs.google.com/spreadsheets/d/10oOiF7loTyfsTkbd4MpaIm0HQ9SwB7IYHdIUvt-U1Uc/edit?usp=sharing"",""สระแก้ว!I117"")"),0)</f>
        <v>0</v>
      </c>
      <c r="Y69" s="88">
        <f ca="1">IFERROR(__xludf.DUMMYFUNCTION("IMPORTRANGE(""https://docs.google.com/spreadsheets/d/10oOiF7loTyfsTkbd4MpaIm0HQ9SwB7IYHdIUvt-U1Uc/edit?usp=sharing"",""สระแก้ว!J117"")"),0)</f>
        <v>0</v>
      </c>
      <c r="Z69" s="177">
        <f t="shared" ca="1" si="34"/>
        <v>0</v>
      </c>
    </row>
    <row r="70" spans="1:26" ht="21" customHeight="1" x14ac:dyDescent="0.3">
      <c r="A70" s="172">
        <v>18</v>
      </c>
      <c r="B70" s="173" t="s">
        <v>92</v>
      </c>
      <c r="C70" s="174">
        <f t="shared" ca="1" si="21"/>
        <v>0</v>
      </c>
      <c r="D70" s="175">
        <f t="shared" ca="1" si="45"/>
        <v>0</v>
      </c>
      <c r="E70" s="176">
        <f ca="1">IFERROR(__xludf.DUMMYFUNCTION("IMPORTRANGE(""https://docs.google.com/spreadsheets/d/1-uDff_7J0KD5mKrp0Vvzr7lt3OU09vwQwhkpOPPYv2Y/edit?usp=sharing"",""งบพรบ!AX70"")"),0)</f>
        <v>0</v>
      </c>
      <c r="F70" s="176">
        <f ca="1">IFERROR(__xludf.DUMMYFUNCTION("IMPORTRANGE(""https://docs.google.com/spreadsheets/d/1-uDff_7J0KD5mKrp0Vvzr7lt3OU09vwQwhkpOPPYv2Y/edit?usp=sharing"",""งบพรบ!AY70"")"),0)</f>
        <v>0</v>
      </c>
      <c r="G70" s="176">
        <f ca="1">IFERROR(__xludf.DUMMYFUNCTION("IMPORTRANGE(""https://docs.google.com/spreadsheets/d/1-uDff_7J0KD5mKrp0Vvzr7lt3OU09vwQwhkpOPPYv2Y/edit?usp=sharing"",""งบพรบ!AZ70"")"),0)</f>
        <v>0</v>
      </c>
      <c r="H70" s="176">
        <f ca="1">IFERROR(__xludf.DUMMYFUNCTION("IMPORTRANGE(""https://docs.google.com/spreadsheets/d/1-uDff_7J0KD5mKrp0Vvzr7lt3OU09vwQwhkpOPPYv2Y/edit?usp=sharing"",""งบพรบ!BB70"")"),0)</f>
        <v>0</v>
      </c>
      <c r="I70" s="176">
        <f ca="1">IFERROR(__xludf.DUMMYFUNCTION("IMPORTRANGE(""https://docs.google.com/spreadsheets/d/1-uDff_7J0KD5mKrp0Vvzr7lt3OU09vwQwhkpOPPYv2Y/edit?usp=sharing"",""งบพรบ!BC70"")"),0)</f>
        <v>0</v>
      </c>
      <c r="J70" s="176">
        <f t="shared" ca="1" si="23"/>
        <v>0</v>
      </c>
      <c r="K70" s="181">
        <f t="shared" ca="1" si="24"/>
        <v>0</v>
      </c>
      <c r="L70" s="176">
        <f ca="1">IFERROR(__xludf.DUMMYFUNCTION("IMPORTRANGE(""https://docs.google.com/spreadsheets/d/1-uDff_7J0KD5mKrp0Vvzr7lt3OU09vwQwhkpOPPYv2Y/edit?usp=sharing"",""งบพรบ!BD70"")"),0)</f>
        <v>0</v>
      </c>
      <c r="M70" s="179">
        <f t="shared" ca="1" si="25"/>
        <v>0</v>
      </c>
      <c r="N70" s="179">
        <f t="shared" ca="1" si="26"/>
        <v>0</v>
      </c>
      <c r="O70" s="180">
        <f ca="1">IFERROR(__xludf.DUMMYFUNCTION("IMPORTRANGE(""https://docs.google.com/spreadsheets/d/1-uDff_7J0KD5mKrp0Vvzr7lt3OU09vwQwhkpOPPYv2Y/edit?usp=sharing"",""งบพรบ!BE70"")"),0)</f>
        <v>0</v>
      </c>
      <c r="P70" s="180">
        <f t="shared" ca="1" si="27"/>
        <v>0</v>
      </c>
      <c r="Q70" s="179">
        <f t="shared" ca="1" si="28"/>
        <v>0</v>
      </c>
      <c r="R70" s="88">
        <f ca="1">IFERROR(__xludf.DUMMYFUNCTION("IMPORTRANGE(""https://docs.google.com/spreadsheets/d/1xmPlrr1QbdSIKvl1dWUl9K4PjAfSL9oeMr_37QVzcxc/edit?usp=sharing"",""สระบุรี!I108"")"),0)</f>
        <v>0</v>
      </c>
      <c r="S70" s="88">
        <f ca="1">IFERROR(__xludf.DUMMYFUNCTION("IMPORTRANGE(""https://docs.google.com/spreadsheets/d/1xmPlrr1QbdSIKvl1dWUl9K4PjAfSL9oeMr_37QVzcxc/edit?usp=sharing"",""สระบุรี!J108"")"),0)</f>
        <v>0</v>
      </c>
      <c r="T70" s="177">
        <f t="shared" ca="1" si="30"/>
        <v>0</v>
      </c>
      <c r="U70" s="88">
        <f ca="1">IFERROR(__xludf.DUMMYFUNCTION("IMPORTRANGE(""https://docs.google.com/spreadsheets/d/1xmPlrr1QbdSIKvl1dWUl9K4PjAfSL9oeMr_37QVzcxc/edit?usp=sharing"",""สระบุรี!I109"")"),0)</f>
        <v>0</v>
      </c>
      <c r="V70" s="88">
        <f ca="1">IFERROR(__xludf.DUMMYFUNCTION("IMPORTRANGE(""https://docs.google.com/spreadsheets/d/1xmPlrr1QbdSIKvl1dWUl9K4PjAfSL9oeMr_37QVzcxc/edit?usp=sharing"",""สระบุรี!J109"")"),0)</f>
        <v>0</v>
      </c>
      <c r="W70" s="177">
        <f t="shared" ca="1" si="32"/>
        <v>0</v>
      </c>
      <c r="X70" s="88">
        <f ca="1">IFERROR(__xludf.DUMMYFUNCTION("IMPORTRANGE(""https://docs.google.com/spreadsheets/d/1xmPlrr1QbdSIKvl1dWUl9K4PjAfSL9oeMr_37QVzcxc/edit?usp=sharing"",""สระบุรี!I117"")"),0)</f>
        <v>0</v>
      </c>
      <c r="Y70" s="88">
        <f ca="1">IFERROR(__xludf.DUMMYFUNCTION("IMPORTRANGE(""https://docs.google.com/spreadsheets/d/1xmPlrr1QbdSIKvl1dWUl9K4PjAfSL9oeMr_37QVzcxc/edit?usp=sharing"",""สระบุรี!J117"")"),0)</f>
        <v>0</v>
      </c>
      <c r="Z70" s="177">
        <f t="shared" ca="1" si="34"/>
        <v>0</v>
      </c>
    </row>
    <row r="71" spans="1:26" ht="21" customHeight="1" x14ac:dyDescent="0.3">
      <c r="A71" s="172">
        <v>19</v>
      </c>
      <c r="B71" s="173" t="s">
        <v>93</v>
      </c>
      <c r="C71" s="174">
        <f t="shared" ca="1" si="21"/>
        <v>0</v>
      </c>
      <c r="D71" s="175">
        <f t="shared" ca="1" si="45"/>
        <v>0</v>
      </c>
      <c r="E71" s="176">
        <f ca="1">IFERROR(__xludf.DUMMYFUNCTION("IMPORTRANGE(""https://docs.google.com/spreadsheets/d/1-uDff_7J0KD5mKrp0Vvzr7lt3OU09vwQwhkpOPPYv2Y/edit?usp=sharing"",""งบพรบ!AX71"")"),0)</f>
        <v>0</v>
      </c>
      <c r="F71" s="176">
        <f ca="1">IFERROR(__xludf.DUMMYFUNCTION("IMPORTRANGE(""https://docs.google.com/spreadsheets/d/1-uDff_7J0KD5mKrp0Vvzr7lt3OU09vwQwhkpOPPYv2Y/edit?usp=sharing"",""งบพรบ!AY71"")"),0)</f>
        <v>0</v>
      </c>
      <c r="G71" s="176">
        <f ca="1">IFERROR(__xludf.DUMMYFUNCTION("IMPORTRANGE(""https://docs.google.com/spreadsheets/d/1-uDff_7J0KD5mKrp0Vvzr7lt3OU09vwQwhkpOPPYv2Y/edit?usp=sharing"",""งบพรบ!AZ71"")"),0)</f>
        <v>0</v>
      </c>
      <c r="H71" s="176">
        <f ca="1">IFERROR(__xludf.DUMMYFUNCTION("IMPORTRANGE(""https://docs.google.com/spreadsheets/d/1-uDff_7J0KD5mKrp0Vvzr7lt3OU09vwQwhkpOPPYv2Y/edit?usp=sharing"",""งบพรบ!BB71"")"),0)</f>
        <v>0</v>
      </c>
      <c r="I71" s="176">
        <f ca="1">IFERROR(__xludf.DUMMYFUNCTION("IMPORTRANGE(""https://docs.google.com/spreadsheets/d/1-uDff_7J0KD5mKrp0Vvzr7lt3OU09vwQwhkpOPPYv2Y/edit?usp=sharing"",""งบพรบ!BC71"")"),0)</f>
        <v>0</v>
      </c>
      <c r="J71" s="176">
        <f t="shared" ca="1" si="23"/>
        <v>0</v>
      </c>
      <c r="K71" s="181">
        <f t="shared" ca="1" si="24"/>
        <v>0</v>
      </c>
      <c r="L71" s="176">
        <f ca="1">IFERROR(__xludf.DUMMYFUNCTION("IMPORTRANGE(""https://docs.google.com/spreadsheets/d/1-uDff_7J0KD5mKrp0Vvzr7lt3OU09vwQwhkpOPPYv2Y/edit?usp=sharing"",""งบพรบ!BD71"")"),0)</f>
        <v>0</v>
      </c>
      <c r="M71" s="179">
        <f t="shared" ca="1" si="25"/>
        <v>0</v>
      </c>
      <c r="N71" s="179">
        <f t="shared" ca="1" si="26"/>
        <v>0</v>
      </c>
      <c r="O71" s="180">
        <f ca="1">IFERROR(__xludf.DUMMYFUNCTION("IMPORTRANGE(""https://docs.google.com/spreadsheets/d/1-uDff_7J0KD5mKrp0Vvzr7lt3OU09vwQwhkpOPPYv2Y/edit?usp=sharing"",""งบพรบ!BE71"")"),0)</f>
        <v>0</v>
      </c>
      <c r="P71" s="180">
        <f t="shared" ca="1" si="27"/>
        <v>0</v>
      </c>
      <c r="Q71" s="179">
        <f t="shared" ca="1" si="28"/>
        <v>0</v>
      </c>
      <c r="R71" s="88">
        <f ca="1">IFERROR(__xludf.DUMMYFUNCTION("IMPORTRANGE(""https://docs.google.com/spreadsheets/d/1j51vR6CYVGhABJpv6tkstgok82RLpXieLzW1yOY5rHw/edit?usp=sharing"",""สิงห์บุรี!I108"")"),0)</f>
        <v>0</v>
      </c>
      <c r="S71" s="88">
        <f ca="1">IFERROR(__xludf.DUMMYFUNCTION("IMPORTRANGE(""https://docs.google.com/spreadsheets/d/1j51vR6CYVGhABJpv6tkstgok82RLpXieLzW1yOY5rHw/edit?usp=sharing"",""สิงห์บุรี!J108"")"),0)</f>
        <v>0</v>
      </c>
      <c r="T71" s="177">
        <f t="shared" ca="1" si="30"/>
        <v>0</v>
      </c>
      <c r="U71" s="88">
        <f ca="1">IFERROR(__xludf.DUMMYFUNCTION("IMPORTRANGE(""https://docs.google.com/spreadsheets/d/1j51vR6CYVGhABJpv6tkstgok82RLpXieLzW1yOY5rHw/edit?usp=sharing"",""สิงห์บุรี!I109"")"),0)</f>
        <v>0</v>
      </c>
      <c r="V71" s="88">
        <f ca="1">IFERROR(__xludf.DUMMYFUNCTION("IMPORTRANGE(""https://docs.google.com/spreadsheets/d/1j51vR6CYVGhABJpv6tkstgok82RLpXieLzW1yOY5rHw/edit?usp=sharing"",""สิงห์บุรี!J109"")"),0)</f>
        <v>0</v>
      </c>
      <c r="W71" s="177">
        <f t="shared" ca="1" si="32"/>
        <v>0</v>
      </c>
      <c r="X71" s="88">
        <f ca="1">IFERROR(__xludf.DUMMYFUNCTION("IMPORTRANGE(""https://docs.google.com/spreadsheets/d/1j51vR6CYVGhABJpv6tkstgok82RLpXieLzW1yOY5rHw/edit?usp=sharing"",""สิงห์บุรี!I117"")"),0)</f>
        <v>0</v>
      </c>
      <c r="Y71" s="88">
        <f ca="1">IFERROR(__xludf.DUMMYFUNCTION("IMPORTRANGE(""https://docs.google.com/spreadsheets/d/1j51vR6CYVGhABJpv6tkstgok82RLpXieLzW1yOY5rHw/edit?usp=sharing"",""สิงห์บุรี!J117"")"),0)</f>
        <v>0</v>
      </c>
      <c r="Z71" s="177">
        <f t="shared" ca="1" si="34"/>
        <v>0</v>
      </c>
    </row>
    <row r="72" spans="1:26" ht="21" customHeight="1" x14ac:dyDescent="0.3">
      <c r="A72" s="172">
        <v>20</v>
      </c>
      <c r="B72" s="173" t="s">
        <v>94</v>
      </c>
      <c r="C72" s="174">
        <f t="shared" ca="1" si="21"/>
        <v>0</v>
      </c>
      <c r="D72" s="175">
        <f t="shared" ca="1" si="45"/>
        <v>0</v>
      </c>
      <c r="E72" s="176">
        <f ca="1">IFERROR(__xludf.DUMMYFUNCTION("IMPORTRANGE(""https://docs.google.com/spreadsheets/d/1-uDff_7J0KD5mKrp0Vvzr7lt3OU09vwQwhkpOPPYv2Y/edit?usp=sharing"",""งบพรบ!AX72"")"),0)</f>
        <v>0</v>
      </c>
      <c r="F72" s="176">
        <f ca="1">IFERROR(__xludf.DUMMYFUNCTION("IMPORTRANGE(""https://docs.google.com/spreadsheets/d/1-uDff_7J0KD5mKrp0Vvzr7lt3OU09vwQwhkpOPPYv2Y/edit?usp=sharing"",""งบพรบ!AY72"")"),0)</f>
        <v>0</v>
      </c>
      <c r="G72" s="176">
        <f ca="1">IFERROR(__xludf.DUMMYFUNCTION("IMPORTRANGE(""https://docs.google.com/spreadsheets/d/1-uDff_7J0KD5mKrp0Vvzr7lt3OU09vwQwhkpOPPYv2Y/edit?usp=sharing"",""งบพรบ!AZ72"")"),0)</f>
        <v>0</v>
      </c>
      <c r="H72" s="176">
        <f ca="1">IFERROR(__xludf.DUMMYFUNCTION("IMPORTRANGE(""https://docs.google.com/spreadsheets/d/1-uDff_7J0KD5mKrp0Vvzr7lt3OU09vwQwhkpOPPYv2Y/edit?usp=sharing"",""งบพรบ!BB72"")"),0)</f>
        <v>0</v>
      </c>
      <c r="I72" s="176">
        <f ca="1">IFERROR(__xludf.DUMMYFUNCTION("IMPORTRANGE(""https://docs.google.com/spreadsheets/d/1-uDff_7J0KD5mKrp0Vvzr7lt3OU09vwQwhkpOPPYv2Y/edit?usp=sharing"",""งบพรบ!BC72"")"),0)</f>
        <v>0</v>
      </c>
      <c r="J72" s="176">
        <f t="shared" ca="1" si="23"/>
        <v>0</v>
      </c>
      <c r="K72" s="181">
        <f t="shared" ca="1" si="24"/>
        <v>0</v>
      </c>
      <c r="L72" s="176">
        <f ca="1">IFERROR(__xludf.DUMMYFUNCTION("IMPORTRANGE(""https://docs.google.com/spreadsheets/d/1-uDff_7J0KD5mKrp0Vvzr7lt3OU09vwQwhkpOPPYv2Y/edit?usp=sharing"",""งบพรบ!BD72"")"),0)</f>
        <v>0</v>
      </c>
      <c r="M72" s="179">
        <f t="shared" ca="1" si="25"/>
        <v>0</v>
      </c>
      <c r="N72" s="179">
        <f t="shared" ca="1" si="26"/>
        <v>0</v>
      </c>
      <c r="O72" s="180">
        <f ca="1">IFERROR(__xludf.DUMMYFUNCTION("IMPORTRANGE(""https://docs.google.com/spreadsheets/d/1-uDff_7J0KD5mKrp0Vvzr7lt3OU09vwQwhkpOPPYv2Y/edit?usp=sharing"",""งบพรบ!BE72"")"),0)</f>
        <v>0</v>
      </c>
      <c r="P72" s="180">
        <f t="shared" ca="1" si="27"/>
        <v>0</v>
      </c>
      <c r="Q72" s="179">
        <f t="shared" ca="1" si="28"/>
        <v>0</v>
      </c>
      <c r="R72" s="88">
        <f ca="1">IFERROR(__xludf.DUMMYFUNCTION("IMPORTRANGE(""https://docs.google.com/spreadsheets/d/1H1EalTWKUSzO4Z1-1CwzoDUaVffgrThEBe2sl74kKG0/edit?usp=sharing"",""สุพรรณบุรี!I108"")"),0)</f>
        <v>0</v>
      </c>
      <c r="S72" s="88">
        <f ca="1">IFERROR(__xludf.DUMMYFUNCTION("IMPORTRANGE(""https://docs.google.com/spreadsheets/d/1H1EalTWKUSzO4Z1-1CwzoDUaVffgrThEBe2sl74kKG0/edit?usp=sharing"",""สุพรรณบุรี!J108"")"),0)</f>
        <v>0</v>
      </c>
      <c r="T72" s="177">
        <f t="shared" ca="1" si="30"/>
        <v>0</v>
      </c>
      <c r="U72" s="88">
        <f ca="1">IFERROR(__xludf.DUMMYFUNCTION("IMPORTRANGE(""https://docs.google.com/spreadsheets/d/1H1EalTWKUSzO4Z1-1CwzoDUaVffgrThEBe2sl74kKG0/edit?usp=sharing"",""สุพรรณบุรี!I109"")"),0)</f>
        <v>0</v>
      </c>
      <c r="V72" s="88">
        <f ca="1">IFERROR(__xludf.DUMMYFUNCTION("IMPORTRANGE(""https://docs.google.com/spreadsheets/d/1H1EalTWKUSzO4Z1-1CwzoDUaVffgrThEBe2sl74kKG0/edit?usp=sharing"",""สุพรรณบุรี!J109"")"),0)</f>
        <v>0</v>
      </c>
      <c r="W72" s="177">
        <f t="shared" ca="1" si="32"/>
        <v>0</v>
      </c>
      <c r="X72" s="88">
        <f ca="1">IFERROR(__xludf.DUMMYFUNCTION("IMPORTRANGE(""https://docs.google.com/spreadsheets/d/1H1EalTWKUSzO4Z1-1CwzoDUaVffgrThEBe2sl74kKG0/edit?usp=sharing"",""สุพรรณบุรี!I117"")"),0)</f>
        <v>0</v>
      </c>
      <c r="Y72" s="88">
        <f ca="1">IFERROR(__xludf.DUMMYFUNCTION("IMPORTRANGE(""https://docs.google.com/spreadsheets/d/1H1EalTWKUSzO4Z1-1CwzoDUaVffgrThEBe2sl74kKG0/edit?usp=sharing"",""สุพรรณบุรี!J117"")"),0)</f>
        <v>0</v>
      </c>
      <c r="Z72" s="177">
        <f t="shared" ca="1" si="34"/>
        <v>0</v>
      </c>
    </row>
    <row r="73" spans="1:26" ht="21" customHeight="1" x14ac:dyDescent="0.3">
      <c r="A73" s="182">
        <v>21</v>
      </c>
      <c r="B73" s="183" t="s">
        <v>95</v>
      </c>
      <c r="C73" s="184">
        <f t="shared" ca="1" si="21"/>
        <v>0</v>
      </c>
      <c r="D73" s="185">
        <f t="shared" ca="1" si="45"/>
        <v>0</v>
      </c>
      <c r="E73" s="186">
        <f ca="1">IFERROR(__xludf.DUMMYFUNCTION("IMPORTRANGE(""https://docs.google.com/spreadsheets/d/1-uDff_7J0KD5mKrp0Vvzr7lt3OU09vwQwhkpOPPYv2Y/edit?usp=sharing"",""งบพรบ!AX73"")"),0)</f>
        <v>0</v>
      </c>
      <c r="F73" s="186">
        <f ca="1">IFERROR(__xludf.DUMMYFUNCTION("IMPORTRANGE(""https://docs.google.com/spreadsheets/d/1-uDff_7J0KD5mKrp0Vvzr7lt3OU09vwQwhkpOPPYv2Y/edit?usp=sharing"",""งบพรบ!AY73"")"),0)</f>
        <v>0</v>
      </c>
      <c r="G73" s="186">
        <f ca="1">IFERROR(__xludf.DUMMYFUNCTION("IMPORTRANGE(""https://docs.google.com/spreadsheets/d/1-uDff_7J0KD5mKrp0Vvzr7lt3OU09vwQwhkpOPPYv2Y/edit?usp=sharing"",""งบพรบ!AZ73"")"),0)</f>
        <v>0</v>
      </c>
      <c r="H73" s="186">
        <f ca="1">IFERROR(__xludf.DUMMYFUNCTION("IMPORTRANGE(""https://docs.google.com/spreadsheets/d/1-uDff_7J0KD5mKrp0Vvzr7lt3OU09vwQwhkpOPPYv2Y/edit?usp=sharing"",""งบพรบ!BB73"")"),0)</f>
        <v>0</v>
      </c>
      <c r="I73" s="186">
        <f ca="1">IFERROR(__xludf.DUMMYFUNCTION("IMPORTRANGE(""https://docs.google.com/spreadsheets/d/1-uDff_7J0KD5mKrp0Vvzr7lt3OU09vwQwhkpOPPYv2Y/edit?usp=sharing"",""งบพรบ!BC73"")"),0)</f>
        <v>0</v>
      </c>
      <c r="J73" s="186">
        <f t="shared" ca="1" si="23"/>
        <v>0</v>
      </c>
      <c r="K73" s="187">
        <f t="shared" ca="1" si="24"/>
        <v>0</v>
      </c>
      <c r="L73" s="186">
        <f ca="1">IFERROR(__xludf.DUMMYFUNCTION("IMPORTRANGE(""https://docs.google.com/spreadsheets/d/1-uDff_7J0KD5mKrp0Vvzr7lt3OU09vwQwhkpOPPYv2Y/edit?usp=sharing"",""งบพรบ!BD73"")"),0)</f>
        <v>0</v>
      </c>
      <c r="M73" s="188">
        <f t="shared" ca="1" si="25"/>
        <v>0</v>
      </c>
      <c r="N73" s="188">
        <f t="shared" ca="1" si="26"/>
        <v>0</v>
      </c>
      <c r="O73" s="189">
        <f ca="1">IFERROR(__xludf.DUMMYFUNCTION("IMPORTRANGE(""https://docs.google.com/spreadsheets/d/1-uDff_7J0KD5mKrp0Vvzr7lt3OU09vwQwhkpOPPYv2Y/edit?usp=sharing"",""งบพรบ!BE73"")"),0)</f>
        <v>0</v>
      </c>
      <c r="P73" s="189">
        <f t="shared" ca="1" si="27"/>
        <v>0</v>
      </c>
      <c r="Q73" s="188">
        <f t="shared" ca="1" si="28"/>
        <v>0</v>
      </c>
      <c r="R73" s="99">
        <f ca="1">IFERROR(__xludf.DUMMYFUNCTION("IMPORTRANGE(""https://docs.google.com/spreadsheets/d/1BmIruG_sIrJLYao_Pdr7zVArWsfoBt2692TMi6x_854/edit?usp=sharing"",""อ่างทอง!I108"")"),0)</f>
        <v>0</v>
      </c>
      <c r="S73" s="99">
        <f ca="1">IFERROR(__xludf.DUMMYFUNCTION("IMPORTRANGE(""https://docs.google.com/spreadsheets/d/1BmIruG_sIrJLYao_Pdr7zVArWsfoBt2692TMi6x_854/edit?usp=sharing"",""อ่างทอง!J108"")"),0)</f>
        <v>0</v>
      </c>
      <c r="T73" s="190">
        <f t="shared" ca="1" si="30"/>
        <v>0</v>
      </c>
      <c r="U73" s="99">
        <f ca="1">IFERROR(__xludf.DUMMYFUNCTION("IMPORTRANGE(""https://docs.google.com/spreadsheets/d/1BmIruG_sIrJLYao_Pdr7zVArWsfoBt2692TMi6x_854/edit?usp=sharing"",""อ่างทอง!I109"")"),0)</f>
        <v>0</v>
      </c>
      <c r="V73" s="99">
        <f ca="1">IFERROR(__xludf.DUMMYFUNCTION("IMPORTRANGE(""https://docs.google.com/spreadsheets/d/1BmIruG_sIrJLYao_Pdr7zVArWsfoBt2692TMi6x_854/edit?usp=sharing"",""อ่างทอง!J109"")"),0)</f>
        <v>0</v>
      </c>
      <c r="W73" s="190">
        <f t="shared" ca="1" si="32"/>
        <v>0</v>
      </c>
      <c r="X73" s="99">
        <f ca="1">IFERROR(__xludf.DUMMYFUNCTION("IMPORTRANGE(""https://docs.google.com/spreadsheets/d/1BmIruG_sIrJLYao_Pdr7zVArWsfoBt2692TMi6x_854/edit?usp=sharing"",""อ่างทอง!I117"")"),0)</f>
        <v>0</v>
      </c>
      <c r="Y73" s="99">
        <f ca="1">IFERROR(__xludf.DUMMYFUNCTION("IMPORTRANGE(""https://docs.google.com/spreadsheets/d/1BmIruG_sIrJLYao_Pdr7zVArWsfoBt2692TMi6x_854/edit?usp=sharing"",""อ่างทอง!J117"")"),0)</f>
        <v>0</v>
      </c>
      <c r="Z73" s="190">
        <f t="shared" ca="1" si="34"/>
        <v>0</v>
      </c>
    </row>
    <row r="74" spans="1:26" ht="21" customHeight="1" x14ac:dyDescent="0.3">
      <c r="A74" s="421" t="s">
        <v>96</v>
      </c>
      <c r="B74" s="422"/>
      <c r="C74" s="154">
        <f t="shared" ca="1" si="21"/>
        <v>0</v>
      </c>
      <c r="D74" s="154">
        <f t="shared" ref="D74:I74" ca="1" si="46">SUM(D75:D88)</f>
        <v>0</v>
      </c>
      <c r="E74" s="154">
        <f t="shared" ca="1" si="46"/>
        <v>0</v>
      </c>
      <c r="F74" s="154">
        <f t="shared" ca="1" si="46"/>
        <v>0</v>
      </c>
      <c r="G74" s="154">
        <f t="shared" ca="1" si="46"/>
        <v>0</v>
      </c>
      <c r="H74" s="154">
        <f t="shared" ca="1" si="46"/>
        <v>0</v>
      </c>
      <c r="I74" s="154">
        <f t="shared" ca="1" si="46"/>
        <v>0</v>
      </c>
      <c r="J74" s="154">
        <f t="shared" ca="1" si="23"/>
        <v>0</v>
      </c>
      <c r="K74" s="155">
        <f t="shared" ca="1" si="24"/>
        <v>0</v>
      </c>
      <c r="L74" s="154">
        <f ca="1">SUM(L75:L88)</f>
        <v>0</v>
      </c>
      <c r="M74" s="156">
        <f t="shared" ca="1" si="25"/>
        <v>0</v>
      </c>
      <c r="N74" s="156">
        <f t="shared" ca="1" si="26"/>
        <v>0</v>
      </c>
      <c r="O74" s="157">
        <f ca="1">SUM(O75:O88)</f>
        <v>0</v>
      </c>
      <c r="P74" s="157">
        <f t="shared" ca="1" si="27"/>
        <v>0</v>
      </c>
      <c r="Q74" s="156">
        <f t="shared" ca="1" si="28"/>
        <v>0</v>
      </c>
      <c r="R74" s="68">
        <f t="shared" ref="R74:S74" ca="1" si="47">SUM(R75:R88)</f>
        <v>0</v>
      </c>
      <c r="S74" s="68">
        <f t="shared" ca="1" si="47"/>
        <v>0</v>
      </c>
      <c r="T74" s="154">
        <f t="shared" ca="1" si="30"/>
        <v>0</v>
      </c>
      <c r="U74" s="68">
        <f t="shared" ref="U74:V74" ca="1" si="48">SUM(U75:U88)</f>
        <v>0</v>
      </c>
      <c r="V74" s="68">
        <f t="shared" ca="1" si="48"/>
        <v>0</v>
      </c>
      <c r="W74" s="154">
        <f t="shared" ca="1" si="32"/>
        <v>0</v>
      </c>
      <c r="X74" s="68">
        <f t="shared" ref="X74:Y74" ca="1" si="49">SUM(X75:X88)</f>
        <v>0</v>
      </c>
      <c r="Y74" s="68">
        <f t="shared" ca="1" si="49"/>
        <v>0</v>
      </c>
      <c r="Z74" s="154">
        <f t="shared" ca="1" si="34"/>
        <v>0</v>
      </c>
    </row>
    <row r="75" spans="1:26" ht="21" customHeight="1" x14ac:dyDescent="0.3">
      <c r="A75" s="172">
        <v>1</v>
      </c>
      <c r="B75" s="173" t="s">
        <v>97</v>
      </c>
      <c r="C75" s="174">
        <f t="shared" ca="1" si="21"/>
        <v>0</v>
      </c>
      <c r="D75" s="175">
        <f t="shared" ref="D75:D88" ca="1" si="50">+E75+F75</f>
        <v>0</v>
      </c>
      <c r="E75" s="176">
        <f ca="1">IFERROR(__xludf.DUMMYFUNCTION("IMPORTRANGE(""https://docs.google.com/spreadsheets/d/1-uDff_7J0KD5mKrp0Vvzr7lt3OU09vwQwhkpOPPYv2Y/edit?usp=sharing"",""งบพรบ!AX75"")"),0)</f>
        <v>0</v>
      </c>
      <c r="F75" s="176">
        <f ca="1">IFERROR(__xludf.DUMMYFUNCTION("IMPORTRANGE(""https://docs.google.com/spreadsheets/d/1-uDff_7J0KD5mKrp0Vvzr7lt3OU09vwQwhkpOPPYv2Y/edit?usp=sharing"",""งบพรบ!AY75"")"),0)</f>
        <v>0</v>
      </c>
      <c r="G75" s="176">
        <f ca="1">IFERROR(__xludf.DUMMYFUNCTION("IMPORTRANGE(""https://docs.google.com/spreadsheets/d/1-uDff_7J0KD5mKrp0Vvzr7lt3OU09vwQwhkpOPPYv2Y/edit?usp=sharing"",""งบพรบ!AZ75"")"),0)</f>
        <v>0</v>
      </c>
      <c r="H75" s="176">
        <f ca="1">IFERROR(__xludf.DUMMYFUNCTION("IMPORTRANGE(""https://docs.google.com/spreadsheets/d/1-uDff_7J0KD5mKrp0Vvzr7lt3OU09vwQwhkpOPPYv2Y/edit?usp=sharing"",""งบพรบ!BB75"")"),0)</f>
        <v>0</v>
      </c>
      <c r="I75" s="176">
        <f ca="1">IFERROR(__xludf.DUMMYFUNCTION("IMPORTRANGE(""https://docs.google.com/spreadsheets/d/1-uDff_7J0KD5mKrp0Vvzr7lt3OU09vwQwhkpOPPYv2Y/edit?usp=sharing"",""งบพรบ!BC75"")"),0)</f>
        <v>0</v>
      </c>
      <c r="J75" s="176">
        <f t="shared" ca="1" si="23"/>
        <v>0</v>
      </c>
      <c r="K75" s="181">
        <f t="shared" ca="1" si="24"/>
        <v>0</v>
      </c>
      <c r="L75" s="176">
        <f ca="1">IFERROR(__xludf.DUMMYFUNCTION("IMPORTRANGE(""https://docs.google.com/spreadsheets/d/1-uDff_7J0KD5mKrp0Vvzr7lt3OU09vwQwhkpOPPYv2Y/edit?usp=sharing"",""งบพรบ!BD75"")"),0)</f>
        <v>0</v>
      </c>
      <c r="M75" s="179">
        <f t="shared" ca="1" si="25"/>
        <v>0</v>
      </c>
      <c r="N75" s="179">
        <f t="shared" ca="1" si="26"/>
        <v>0</v>
      </c>
      <c r="O75" s="180">
        <f ca="1">IFERROR(__xludf.DUMMYFUNCTION("IMPORTRANGE(""https://docs.google.com/spreadsheets/d/1-uDff_7J0KD5mKrp0Vvzr7lt3OU09vwQwhkpOPPYv2Y/edit?usp=sharing"",""งบพรบ!BE75"")"),0)</f>
        <v>0</v>
      </c>
      <c r="P75" s="180">
        <f t="shared" ca="1" si="27"/>
        <v>0</v>
      </c>
      <c r="Q75" s="179">
        <f t="shared" ca="1" si="28"/>
        <v>0</v>
      </c>
      <c r="R75" s="78">
        <f ca="1">IFERROR(__xludf.DUMMYFUNCTION("IMPORTRANGE(""https://docs.google.com/spreadsheets/d/1kKUcYdkIfrgTSj8iHHHB2MD2FAtwyyocFgqGQn6ADyI/edit?usp=sharing"",""กระบี่!I108"")"),0)</f>
        <v>0</v>
      </c>
      <c r="S75" s="78">
        <f ca="1">IFERROR(__xludf.DUMMYFUNCTION("IMPORTRANGE(""https://docs.google.com/spreadsheets/d/1kKUcYdkIfrgTSj8iHHHB2MD2FAtwyyocFgqGQn6ADyI/edit?usp=sharing"",""กระบี่!J108"")"),0)</f>
        <v>0</v>
      </c>
      <c r="T75" s="177">
        <f t="shared" ca="1" si="30"/>
        <v>0</v>
      </c>
      <c r="U75" s="78">
        <f ca="1">IFERROR(__xludf.DUMMYFUNCTION("IMPORTRANGE(""https://docs.google.com/spreadsheets/d/1kKUcYdkIfrgTSj8iHHHB2MD2FAtwyyocFgqGQn6ADyI/edit?usp=sharing"",""กระบี่!I109"")"),0)</f>
        <v>0</v>
      </c>
      <c r="V75" s="78">
        <f ca="1">IFERROR(__xludf.DUMMYFUNCTION("IMPORTRANGE(""https://docs.google.com/spreadsheets/d/1kKUcYdkIfrgTSj8iHHHB2MD2FAtwyyocFgqGQn6ADyI/edit?usp=sharing"",""กระบี่!J109"")"),0)</f>
        <v>0</v>
      </c>
      <c r="W75" s="177">
        <f t="shared" ca="1" si="32"/>
        <v>0</v>
      </c>
      <c r="X75" s="78">
        <f ca="1">IFERROR(__xludf.DUMMYFUNCTION("IMPORTRANGE(""https://docs.google.com/spreadsheets/d/1kKUcYdkIfrgTSj8iHHHB2MD2FAtwyyocFgqGQn6ADyI/edit?usp=sharing"",""กระบี่!I117"")"),0)</f>
        <v>0</v>
      </c>
      <c r="Y75" s="78">
        <f ca="1">IFERROR(__xludf.DUMMYFUNCTION("IMPORTRANGE(""https://docs.google.com/spreadsheets/d/1kKUcYdkIfrgTSj8iHHHB2MD2FAtwyyocFgqGQn6ADyI/edit?usp=sharing"",""กระบี่!J117"")"),0)</f>
        <v>0</v>
      </c>
      <c r="Z75" s="177">
        <f t="shared" ca="1" si="34"/>
        <v>0</v>
      </c>
    </row>
    <row r="76" spans="1:26" ht="21" customHeight="1" x14ac:dyDescent="0.3">
      <c r="A76" s="172">
        <v>2</v>
      </c>
      <c r="B76" s="173" t="s">
        <v>98</v>
      </c>
      <c r="C76" s="174">
        <f t="shared" ca="1" si="21"/>
        <v>0</v>
      </c>
      <c r="D76" s="175">
        <f t="shared" ca="1" si="50"/>
        <v>0</v>
      </c>
      <c r="E76" s="176">
        <f ca="1">IFERROR(__xludf.DUMMYFUNCTION("IMPORTRANGE(""https://docs.google.com/spreadsheets/d/1-uDff_7J0KD5mKrp0Vvzr7lt3OU09vwQwhkpOPPYv2Y/edit?usp=sharing"",""งบพรบ!AX76"")"),0)</f>
        <v>0</v>
      </c>
      <c r="F76" s="176">
        <f ca="1">IFERROR(__xludf.DUMMYFUNCTION("IMPORTRANGE(""https://docs.google.com/spreadsheets/d/1-uDff_7J0KD5mKrp0Vvzr7lt3OU09vwQwhkpOPPYv2Y/edit?usp=sharing"",""งบพรบ!AY76"")"),0)</f>
        <v>0</v>
      </c>
      <c r="G76" s="176">
        <f ca="1">IFERROR(__xludf.DUMMYFUNCTION("IMPORTRANGE(""https://docs.google.com/spreadsheets/d/1-uDff_7J0KD5mKrp0Vvzr7lt3OU09vwQwhkpOPPYv2Y/edit?usp=sharing"",""งบพรบ!AZ76"")"),0)</f>
        <v>0</v>
      </c>
      <c r="H76" s="176">
        <f ca="1">IFERROR(__xludf.DUMMYFUNCTION("IMPORTRANGE(""https://docs.google.com/spreadsheets/d/1-uDff_7J0KD5mKrp0Vvzr7lt3OU09vwQwhkpOPPYv2Y/edit?usp=sharing"",""งบพรบ!BB76"")"),0)</f>
        <v>0</v>
      </c>
      <c r="I76" s="176">
        <f ca="1">IFERROR(__xludf.DUMMYFUNCTION("IMPORTRANGE(""https://docs.google.com/spreadsheets/d/1-uDff_7J0KD5mKrp0Vvzr7lt3OU09vwQwhkpOPPYv2Y/edit?usp=sharing"",""งบพรบ!BC76"")"),0)</f>
        <v>0</v>
      </c>
      <c r="J76" s="176">
        <f t="shared" ca="1" si="23"/>
        <v>0</v>
      </c>
      <c r="K76" s="181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IFERROR(__xludf.DUMMYFUNCTION("IMPORTRANGE(""https://docs.google.com/spreadsheets/d/1-uDff_7J0KD5mKrp0Vvzr7lt3OU09vwQwhkpOPPYv2Y/edit?usp=sharing"",""งบพรบ!BD76"")"),0)</f>
        <v>0</v>
      </c>
      <c r="M76" s="179">
        <f t="shared" ca="1" si="25"/>
        <v>0</v>
      </c>
      <c r="N76" s="179">
        <f t="shared" ca="1" si="26"/>
        <v>0</v>
      </c>
      <c r="O76" s="180">
        <f ca="1">IFERROR(__xludf.DUMMYFUNCTION("IMPORTRANGE(""https://docs.google.com/spreadsheets/d/1-uDff_7J0KD5mKrp0Vvzr7lt3OU09vwQwhkpOPPYv2Y/edit?usp=sharing"",""งบพรบ!BE76"")"),0)</f>
        <v>0</v>
      </c>
      <c r="P76" s="180">
        <f t="shared" ca="1" si="27"/>
        <v>0</v>
      </c>
      <c r="Q76" s="179">
        <f t="shared" ca="1" si="28"/>
        <v>0</v>
      </c>
      <c r="R76" s="88">
        <f ca="1">IFERROR(__xludf.DUMMYFUNCTION("IMPORTRANGE(""https://docs.google.com/spreadsheets/d/1GwtLaSlNZkLk7iDqcyZz22giiy40b_usZZBXYciEN1U/edit?usp=sharing"",""ชุมพร!I108"")"),0)</f>
        <v>0</v>
      </c>
      <c r="S76" s="88">
        <f ca="1">IFERROR(__xludf.DUMMYFUNCTION("IMPORTRANGE(""https://docs.google.com/spreadsheets/d/1GwtLaSlNZkLk7iDqcyZz22giiy40b_usZZBXYciEN1U/edit?usp=sharing"",""ชุมพร!J108"")"),0)</f>
        <v>0</v>
      </c>
      <c r="T76" s="177">
        <f t="shared" ca="1" si="30"/>
        <v>0</v>
      </c>
      <c r="U76" s="88">
        <f ca="1">IFERROR(__xludf.DUMMYFUNCTION("IMPORTRANGE(""https://docs.google.com/spreadsheets/d/1GwtLaSlNZkLk7iDqcyZz22giiy40b_usZZBXYciEN1U/edit?usp=sharing"",""ชุมพร!I109"")"),0)</f>
        <v>0</v>
      </c>
      <c r="V76" s="88">
        <f ca="1">IFERROR(__xludf.DUMMYFUNCTION("IMPORTRANGE(""https://docs.google.com/spreadsheets/d/1GwtLaSlNZkLk7iDqcyZz22giiy40b_usZZBXYciEN1U/edit?usp=sharing"",""ชุมพร!J109"")"),0)</f>
        <v>0</v>
      </c>
      <c r="W76" s="177">
        <f t="shared" ca="1" si="32"/>
        <v>0</v>
      </c>
      <c r="X76" s="88">
        <f ca="1">IFERROR(__xludf.DUMMYFUNCTION("IMPORTRANGE(""https://docs.google.com/spreadsheets/d/1GwtLaSlNZkLk7iDqcyZz22giiy40b_usZZBXYciEN1U/edit?usp=sharing"",""ชุมพร!I117"")"),0)</f>
        <v>0</v>
      </c>
      <c r="Y76" s="88">
        <f ca="1">IFERROR(__xludf.DUMMYFUNCTION("IMPORTRANGE(""https://docs.google.com/spreadsheets/d/1GwtLaSlNZkLk7iDqcyZz22giiy40b_usZZBXYciEN1U/edit?usp=sharing"",""ชุมพร!J117"")"),0)</f>
        <v>0</v>
      </c>
      <c r="Z76" s="177">
        <f t="shared" ca="1" si="34"/>
        <v>0</v>
      </c>
    </row>
    <row r="77" spans="1:26" ht="21" customHeight="1" x14ac:dyDescent="0.3">
      <c r="A77" s="172">
        <v>3</v>
      </c>
      <c r="B77" s="173" t="s">
        <v>99</v>
      </c>
      <c r="C77" s="174">
        <f t="shared" ca="1" si="21"/>
        <v>0</v>
      </c>
      <c r="D77" s="175">
        <f t="shared" ca="1" si="50"/>
        <v>0</v>
      </c>
      <c r="E77" s="176">
        <f ca="1">IFERROR(__xludf.DUMMYFUNCTION("IMPORTRANGE(""https://docs.google.com/spreadsheets/d/1-uDff_7J0KD5mKrp0Vvzr7lt3OU09vwQwhkpOPPYv2Y/edit?usp=sharing"",""งบพรบ!AX77"")"),0)</f>
        <v>0</v>
      </c>
      <c r="F77" s="176">
        <f ca="1">IFERROR(__xludf.DUMMYFUNCTION("IMPORTRANGE(""https://docs.google.com/spreadsheets/d/1-uDff_7J0KD5mKrp0Vvzr7lt3OU09vwQwhkpOPPYv2Y/edit?usp=sharing"",""งบพรบ!AY77"")"),0)</f>
        <v>0</v>
      </c>
      <c r="G77" s="176">
        <f ca="1">IFERROR(__xludf.DUMMYFUNCTION("IMPORTRANGE(""https://docs.google.com/spreadsheets/d/1-uDff_7J0KD5mKrp0Vvzr7lt3OU09vwQwhkpOPPYv2Y/edit?usp=sharing"",""งบพรบ!AZ77"")"),0)</f>
        <v>0</v>
      </c>
      <c r="H77" s="176">
        <f ca="1">IFERROR(__xludf.DUMMYFUNCTION("IMPORTRANGE(""https://docs.google.com/spreadsheets/d/1-uDff_7J0KD5mKrp0Vvzr7lt3OU09vwQwhkpOPPYv2Y/edit?usp=sharing"",""งบพรบ!BB77"")"),0)</f>
        <v>0</v>
      </c>
      <c r="I77" s="176">
        <f ca="1">IFERROR(__xludf.DUMMYFUNCTION("IMPORTRANGE(""https://docs.google.com/spreadsheets/d/1-uDff_7J0KD5mKrp0Vvzr7lt3OU09vwQwhkpOPPYv2Y/edit?usp=sharing"",""งบพรบ!BC77"")"),0)</f>
        <v>0</v>
      </c>
      <c r="J77" s="176">
        <f t="shared" ca="1" si="23"/>
        <v>0</v>
      </c>
      <c r="K77" s="181">
        <f t="shared" ca="1" si="24"/>
        <v>0</v>
      </c>
      <c r="L77" s="176">
        <f ca="1">IFERROR(__xludf.DUMMYFUNCTION("IMPORTRANGE(""https://docs.google.com/spreadsheets/d/1-uDff_7J0KD5mKrp0Vvzr7lt3OU09vwQwhkpOPPYv2Y/edit?usp=sharing"",""งบพรบ!BD77"")"),0)</f>
        <v>0</v>
      </c>
      <c r="M77" s="179">
        <f t="shared" ca="1" si="25"/>
        <v>0</v>
      </c>
      <c r="N77" s="179">
        <f t="shared" ca="1" si="26"/>
        <v>0</v>
      </c>
      <c r="O77" s="180">
        <f ca="1">IFERROR(__xludf.DUMMYFUNCTION("IMPORTRANGE(""https://docs.google.com/spreadsheets/d/1-uDff_7J0KD5mKrp0Vvzr7lt3OU09vwQwhkpOPPYv2Y/edit?usp=sharing"",""งบพรบ!BE77"")"),0)</f>
        <v>0</v>
      </c>
      <c r="P77" s="180">
        <f t="shared" ca="1" si="27"/>
        <v>0</v>
      </c>
      <c r="Q77" s="179">
        <f t="shared" ca="1" si="28"/>
        <v>0</v>
      </c>
      <c r="R77" s="88">
        <f ca="1">IFERROR(__xludf.DUMMYFUNCTION("IMPORTRANGE(""https://docs.google.com/spreadsheets/d/16pAz3pOhQEZBhvFNMa5KGgZS6iKWpsKX0pg6tQmwFpo/edit?usp=sharing"",""ตรัง!I108"")"),0)</f>
        <v>0</v>
      </c>
      <c r="S77" s="88">
        <f ca="1">IFERROR(__xludf.DUMMYFUNCTION("IMPORTRANGE(""https://docs.google.com/spreadsheets/d/16pAz3pOhQEZBhvFNMa5KGgZS6iKWpsKX0pg6tQmwFpo/edit?usp=sharing"",""ตรัง!J108"")"),0)</f>
        <v>0</v>
      </c>
      <c r="T77" s="177">
        <f t="shared" ca="1" si="30"/>
        <v>0</v>
      </c>
      <c r="U77" s="88">
        <f ca="1">IFERROR(__xludf.DUMMYFUNCTION("IMPORTRANGE(""https://docs.google.com/spreadsheets/d/16pAz3pOhQEZBhvFNMa5KGgZS6iKWpsKX0pg6tQmwFpo/edit?usp=sharing"",""ตรัง!I109"")"),0)</f>
        <v>0</v>
      </c>
      <c r="V77" s="88">
        <f ca="1">IFERROR(__xludf.DUMMYFUNCTION("IMPORTRANGE(""https://docs.google.com/spreadsheets/d/16pAz3pOhQEZBhvFNMa5KGgZS6iKWpsKX0pg6tQmwFpo/edit?usp=sharing"",""ตรัง!J109"")"),0)</f>
        <v>0</v>
      </c>
      <c r="W77" s="177">
        <f t="shared" ca="1" si="32"/>
        <v>0</v>
      </c>
      <c r="X77" s="88">
        <f ca="1">IFERROR(__xludf.DUMMYFUNCTION("IMPORTRANGE(""https://docs.google.com/spreadsheets/d/16pAz3pOhQEZBhvFNMa5KGgZS6iKWpsKX0pg6tQmwFpo/edit?usp=sharing"",""ตรัง!I117"")"),0)</f>
        <v>0</v>
      </c>
      <c r="Y77" s="88">
        <f ca="1">IFERROR(__xludf.DUMMYFUNCTION("IMPORTRANGE(""https://docs.google.com/spreadsheets/d/16pAz3pOhQEZBhvFNMa5KGgZS6iKWpsKX0pg6tQmwFpo/edit?usp=sharing"",""ตรัง!J117"")"),0)</f>
        <v>0</v>
      </c>
      <c r="Z77" s="177">
        <f t="shared" ca="1" si="34"/>
        <v>0</v>
      </c>
    </row>
    <row r="78" spans="1:26" ht="21" customHeight="1" x14ac:dyDescent="0.3">
      <c r="A78" s="172">
        <v>4</v>
      </c>
      <c r="B78" s="173" t="s">
        <v>100</v>
      </c>
      <c r="C78" s="174">
        <f t="shared" ca="1" si="21"/>
        <v>0</v>
      </c>
      <c r="D78" s="175">
        <f t="shared" ca="1" si="50"/>
        <v>0</v>
      </c>
      <c r="E78" s="176">
        <f ca="1">IFERROR(__xludf.DUMMYFUNCTION("IMPORTRANGE(""https://docs.google.com/spreadsheets/d/1-uDff_7J0KD5mKrp0Vvzr7lt3OU09vwQwhkpOPPYv2Y/edit?usp=sharing"",""งบพรบ!AX78"")"),0)</f>
        <v>0</v>
      </c>
      <c r="F78" s="176">
        <f ca="1">IFERROR(__xludf.DUMMYFUNCTION("IMPORTRANGE(""https://docs.google.com/spreadsheets/d/1-uDff_7J0KD5mKrp0Vvzr7lt3OU09vwQwhkpOPPYv2Y/edit?usp=sharing"",""งบพรบ!AY78"")"),0)</f>
        <v>0</v>
      </c>
      <c r="G78" s="176">
        <f ca="1">IFERROR(__xludf.DUMMYFUNCTION("IMPORTRANGE(""https://docs.google.com/spreadsheets/d/1-uDff_7J0KD5mKrp0Vvzr7lt3OU09vwQwhkpOPPYv2Y/edit?usp=sharing"",""งบพรบ!AZ78"")"),0)</f>
        <v>0</v>
      </c>
      <c r="H78" s="176">
        <f ca="1">IFERROR(__xludf.DUMMYFUNCTION("IMPORTRANGE(""https://docs.google.com/spreadsheets/d/1-uDff_7J0KD5mKrp0Vvzr7lt3OU09vwQwhkpOPPYv2Y/edit?usp=sharing"",""งบพรบ!BB78"")"),0)</f>
        <v>0</v>
      </c>
      <c r="I78" s="176">
        <f ca="1">IFERROR(__xludf.DUMMYFUNCTION("IMPORTRANGE(""https://docs.google.com/spreadsheets/d/1-uDff_7J0KD5mKrp0Vvzr7lt3OU09vwQwhkpOPPYv2Y/edit?usp=sharing"",""งบพรบ!BC78"")"),0)</f>
        <v>0</v>
      </c>
      <c r="J78" s="176">
        <f t="shared" ca="1" si="23"/>
        <v>0</v>
      </c>
      <c r="K78" s="181">
        <f t="shared" ca="1" si="24"/>
        <v>0</v>
      </c>
      <c r="L78" s="176">
        <f ca="1">IFERROR(__xludf.DUMMYFUNCTION("IMPORTRANGE(""https://docs.google.com/spreadsheets/d/1-uDff_7J0KD5mKrp0Vvzr7lt3OU09vwQwhkpOPPYv2Y/edit?usp=sharing"",""งบพรบ!BD78"")"),0)</f>
        <v>0</v>
      </c>
      <c r="M78" s="179">
        <f t="shared" ca="1" si="25"/>
        <v>0</v>
      </c>
      <c r="N78" s="179">
        <f t="shared" ca="1" si="26"/>
        <v>0</v>
      </c>
      <c r="O78" s="180">
        <f ca="1">IFERROR(__xludf.DUMMYFUNCTION("IMPORTRANGE(""https://docs.google.com/spreadsheets/d/1-uDff_7J0KD5mKrp0Vvzr7lt3OU09vwQwhkpOPPYv2Y/edit?usp=sharing"",""งบพรบ!BE78"")"),0)</f>
        <v>0</v>
      </c>
      <c r="P78" s="180">
        <f t="shared" ca="1" si="27"/>
        <v>0</v>
      </c>
      <c r="Q78" s="179">
        <f t="shared" ca="1" si="28"/>
        <v>0</v>
      </c>
      <c r="R78" s="88">
        <f ca="1">IFERROR(__xludf.DUMMYFUNCTION("IMPORTRANGE(""https://docs.google.com/spreadsheets/d/1Dj4jcHCTV9JXKCaMoheSXS52JE63kDKyG7bPXnFogHk/edit?usp=sharing"",""นครศรีธรรมราช!I108"")"),0)</f>
        <v>0</v>
      </c>
      <c r="S78" s="88">
        <f ca="1">IFERROR(__xludf.DUMMYFUNCTION("IMPORTRANGE(""https://docs.google.com/spreadsheets/d/1Dj4jcHCTV9JXKCaMoheSXS52JE63kDKyG7bPXnFogHk/edit?usp=sharing"",""นครศรีธรรมราช!J108"")"),0)</f>
        <v>0</v>
      </c>
      <c r="T78" s="177">
        <f t="shared" ca="1" si="30"/>
        <v>0</v>
      </c>
      <c r="U78" s="88">
        <f ca="1">IFERROR(__xludf.DUMMYFUNCTION("IMPORTRANGE(""https://docs.google.com/spreadsheets/d/1Dj4jcHCTV9JXKCaMoheSXS52JE63kDKyG7bPXnFogHk/edit?usp=sharing"",""นครศรีธรรมราช!I109"")"),0)</f>
        <v>0</v>
      </c>
      <c r="V78" s="88">
        <f ca="1">IFERROR(__xludf.DUMMYFUNCTION("IMPORTRANGE(""https://docs.google.com/spreadsheets/d/1Dj4jcHCTV9JXKCaMoheSXS52JE63kDKyG7bPXnFogHk/edit?usp=sharing"",""นครศรีธรรมราช!J109"")"),0)</f>
        <v>0</v>
      </c>
      <c r="W78" s="177">
        <f t="shared" ca="1" si="32"/>
        <v>0</v>
      </c>
      <c r="X78" s="88">
        <f ca="1">IFERROR(__xludf.DUMMYFUNCTION("IMPORTRANGE(""https://docs.google.com/spreadsheets/d/1Dj4jcHCTV9JXKCaMoheSXS52JE63kDKyG7bPXnFogHk/edit?usp=sharing"",""นครศรีธรรมราช!I117"")"),0)</f>
        <v>0</v>
      </c>
      <c r="Y78" s="88">
        <f ca="1">IFERROR(__xludf.DUMMYFUNCTION("IMPORTRANGE(""https://docs.google.com/spreadsheets/d/1Dj4jcHCTV9JXKCaMoheSXS52JE63kDKyG7bPXnFogHk/edit?usp=sharing"",""นครศรีธรรมราช!J117"")"),0)</f>
        <v>0</v>
      </c>
      <c r="Z78" s="177">
        <f t="shared" ca="1" si="34"/>
        <v>0</v>
      </c>
    </row>
    <row r="79" spans="1:26" ht="21" customHeight="1" x14ac:dyDescent="0.3">
      <c r="A79" s="172">
        <v>5</v>
      </c>
      <c r="B79" s="173" t="s">
        <v>101</v>
      </c>
      <c r="C79" s="174">
        <f t="shared" ca="1" si="21"/>
        <v>0</v>
      </c>
      <c r="D79" s="175">
        <f t="shared" ca="1" si="50"/>
        <v>0</v>
      </c>
      <c r="E79" s="176">
        <f ca="1">IFERROR(__xludf.DUMMYFUNCTION("IMPORTRANGE(""https://docs.google.com/spreadsheets/d/1-uDff_7J0KD5mKrp0Vvzr7lt3OU09vwQwhkpOPPYv2Y/edit?usp=sharing"",""งบพรบ!AX79"")"),0)</f>
        <v>0</v>
      </c>
      <c r="F79" s="176">
        <f ca="1">IFERROR(__xludf.DUMMYFUNCTION("IMPORTRANGE(""https://docs.google.com/spreadsheets/d/1-uDff_7J0KD5mKrp0Vvzr7lt3OU09vwQwhkpOPPYv2Y/edit?usp=sharing"",""งบพรบ!AY79"")"),0)</f>
        <v>0</v>
      </c>
      <c r="G79" s="176">
        <f ca="1">IFERROR(__xludf.DUMMYFUNCTION("IMPORTRANGE(""https://docs.google.com/spreadsheets/d/1-uDff_7J0KD5mKrp0Vvzr7lt3OU09vwQwhkpOPPYv2Y/edit?usp=sharing"",""งบพรบ!AZ79"")"),0)</f>
        <v>0</v>
      </c>
      <c r="H79" s="176">
        <f ca="1">IFERROR(__xludf.DUMMYFUNCTION("IMPORTRANGE(""https://docs.google.com/spreadsheets/d/1-uDff_7J0KD5mKrp0Vvzr7lt3OU09vwQwhkpOPPYv2Y/edit?usp=sharing"",""งบพรบ!BB79"")"),0)</f>
        <v>0</v>
      </c>
      <c r="I79" s="176">
        <f ca="1">IFERROR(__xludf.DUMMYFUNCTION("IMPORTRANGE(""https://docs.google.com/spreadsheets/d/1-uDff_7J0KD5mKrp0Vvzr7lt3OU09vwQwhkpOPPYv2Y/edit?usp=sharing"",""งบพรบ!BC79"")"),0)</f>
        <v>0</v>
      </c>
      <c r="J79" s="176">
        <f t="shared" ca="1" si="23"/>
        <v>0</v>
      </c>
      <c r="K79" s="181">
        <f t="shared" ca="1" si="24"/>
        <v>0</v>
      </c>
      <c r="L79" s="176">
        <f ca="1">IFERROR(__xludf.DUMMYFUNCTION("IMPORTRANGE(""https://docs.google.com/spreadsheets/d/1-uDff_7J0KD5mKrp0Vvzr7lt3OU09vwQwhkpOPPYv2Y/edit?usp=sharing"",""งบพรบ!BD79"")"),0)</f>
        <v>0</v>
      </c>
      <c r="M79" s="179">
        <f t="shared" ca="1" si="25"/>
        <v>0</v>
      </c>
      <c r="N79" s="179">
        <f t="shared" ca="1" si="26"/>
        <v>0</v>
      </c>
      <c r="O79" s="180">
        <f ca="1">IFERROR(__xludf.DUMMYFUNCTION("IMPORTRANGE(""https://docs.google.com/spreadsheets/d/1-uDff_7J0KD5mKrp0Vvzr7lt3OU09vwQwhkpOPPYv2Y/edit?usp=sharing"",""งบพรบ!BE79"")"),0)</f>
        <v>0</v>
      </c>
      <c r="P79" s="180">
        <f t="shared" ca="1" si="27"/>
        <v>0</v>
      </c>
      <c r="Q79" s="179">
        <f t="shared" ca="1" si="28"/>
        <v>0</v>
      </c>
      <c r="R79" s="88">
        <f ca="1">IFERROR(__xludf.DUMMYFUNCTION("IMPORTRANGE(""https://docs.google.com/spreadsheets/d/1iodCdmuK2GR3jzUwk8tpccY2JHQQA-87DLOtJP-ooyU/edit?usp=sharing"",""นราธิวาส!I108"")"),0)</f>
        <v>0</v>
      </c>
      <c r="S79" s="88">
        <f ca="1">IFERROR(__xludf.DUMMYFUNCTION("IMPORTRANGE(""https://docs.google.com/spreadsheets/d/1iodCdmuK2GR3jzUwk8tpccY2JHQQA-87DLOtJP-ooyU/edit?usp=sharing"",""นราธิวาส!J108"")"),0)</f>
        <v>0</v>
      </c>
      <c r="T79" s="177">
        <f t="shared" ca="1" si="30"/>
        <v>0</v>
      </c>
      <c r="U79" s="88">
        <f ca="1">IFERROR(__xludf.DUMMYFUNCTION("IMPORTRANGE(""https://docs.google.com/spreadsheets/d/1iodCdmuK2GR3jzUwk8tpccY2JHQQA-87DLOtJP-ooyU/edit?usp=sharing"",""นราธิวาส!I109"")"),0)</f>
        <v>0</v>
      </c>
      <c r="V79" s="88">
        <f ca="1">IFERROR(__xludf.DUMMYFUNCTION("IMPORTRANGE(""https://docs.google.com/spreadsheets/d/1iodCdmuK2GR3jzUwk8tpccY2JHQQA-87DLOtJP-ooyU/edit?usp=sharing"",""นราธิวาส!J109"")"),0)</f>
        <v>0</v>
      </c>
      <c r="W79" s="177">
        <f t="shared" ca="1" si="32"/>
        <v>0</v>
      </c>
      <c r="X79" s="88">
        <f ca="1">IFERROR(__xludf.DUMMYFUNCTION("IMPORTRANGE(""https://docs.google.com/spreadsheets/d/1iodCdmuK2GR3jzUwk8tpccY2JHQQA-87DLOtJP-ooyU/edit?usp=sharing"",""นราธิวาส!I117"")"),0)</f>
        <v>0</v>
      </c>
      <c r="Y79" s="88">
        <f ca="1">IFERROR(__xludf.DUMMYFUNCTION("IMPORTRANGE(""https://docs.google.com/spreadsheets/d/1iodCdmuK2GR3jzUwk8tpccY2JHQQA-87DLOtJP-ooyU/edit?usp=sharing"",""นราธิวาส!J117"")"),0)</f>
        <v>0</v>
      </c>
      <c r="Z79" s="177">
        <f t="shared" ca="1" si="34"/>
        <v>0</v>
      </c>
    </row>
    <row r="80" spans="1:26" ht="21" customHeight="1" x14ac:dyDescent="0.3">
      <c r="A80" s="172">
        <v>6</v>
      </c>
      <c r="B80" s="173" t="s">
        <v>102</v>
      </c>
      <c r="C80" s="174">
        <f t="shared" ca="1" si="21"/>
        <v>0</v>
      </c>
      <c r="D80" s="175">
        <f t="shared" ca="1" si="50"/>
        <v>0</v>
      </c>
      <c r="E80" s="176">
        <f ca="1">IFERROR(__xludf.DUMMYFUNCTION("IMPORTRANGE(""https://docs.google.com/spreadsheets/d/1-uDff_7J0KD5mKrp0Vvzr7lt3OU09vwQwhkpOPPYv2Y/edit?usp=sharing"",""งบพรบ!AX80"")"),0)</f>
        <v>0</v>
      </c>
      <c r="F80" s="176">
        <f ca="1">IFERROR(__xludf.DUMMYFUNCTION("IMPORTRANGE(""https://docs.google.com/spreadsheets/d/1-uDff_7J0KD5mKrp0Vvzr7lt3OU09vwQwhkpOPPYv2Y/edit?usp=sharing"",""งบพรบ!AY80"")"),0)</f>
        <v>0</v>
      </c>
      <c r="G80" s="176">
        <f ca="1">IFERROR(__xludf.DUMMYFUNCTION("IMPORTRANGE(""https://docs.google.com/spreadsheets/d/1-uDff_7J0KD5mKrp0Vvzr7lt3OU09vwQwhkpOPPYv2Y/edit?usp=sharing"",""งบพรบ!AZ80"")"),0)</f>
        <v>0</v>
      </c>
      <c r="H80" s="176">
        <f ca="1">IFERROR(__xludf.DUMMYFUNCTION("IMPORTRANGE(""https://docs.google.com/spreadsheets/d/1-uDff_7J0KD5mKrp0Vvzr7lt3OU09vwQwhkpOPPYv2Y/edit?usp=sharing"",""งบพรบ!BB80"")"),0)</f>
        <v>0</v>
      </c>
      <c r="I80" s="176">
        <f ca="1">IFERROR(__xludf.DUMMYFUNCTION("IMPORTRANGE(""https://docs.google.com/spreadsheets/d/1-uDff_7J0KD5mKrp0Vvzr7lt3OU09vwQwhkpOPPYv2Y/edit?usp=sharing"",""งบพรบ!BC80"")"),0)</f>
        <v>0</v>
      </c>
      <c r="J80" s="176">
        <f t="shared" ca="1" si="23"/>
        <v>0</v>
      </c>
      <c r="K80" s="181">
        <f t="shared" ca="1" si="24"/>
        <v>0</v>
      </c>
      <c r="L80" s="176">
        <f ca="1">IFERROR(__xludf.DUMMYFUNCTION("IMPORTRANGE(""https://docs.google.com/spreadsheets/d/1-uDff_7J0KD5mKrp0Vvzr7lt3OU09vwQwhkpOPPYv2Y/edit?usp=sharing"",""งบพรบ!BD80"")"),0)</f>
        <v>0</v>
      </c>
      <c r="M80" s="179">
        <f t="shared" ca="1" si="25"/>
        <v>0</v>
      </c>
      <c r="N80" s="179">
        <f t="shared" ca="1" si="26"/>
        <v>0</v>
      </c>
      <c r="O80" s="180">
        <f ca="1">IFERROR(__xludf.DUMMYFUNCTION("IMPORTRANGE(""https://docs.google.com/spreadsheets/d/1-uDff_7J0KD5mKrp0Vvzr7lt3OU09vwQwhkpOPPYv2Y/edit?usp=sharing"",""งบพรบ!BE80"")"),0)</f>
        <v>0</v>
      </c>
      <c r="P80" s="180">
        <f t="shared" ca="1" si="27"/>
        <v>0</v>
      </c>
      <c r="Q80" s="179">
        <f t="shared" ca="1" si="28"/>
        <v>0</v>
      </c>
      <c r="R80" s="88">
        <f ca="1">IFERROR(__xludf.DUMMYFUNCTION("IMPORTRANGE(""https://docs.google.com/spreadsheets/d/1SDNX3JhDdYRuIOsj0Wh2M-Qa_eaXl0NbWmhAOTbfQAs/edit?usp=sharing"",""ปัตตานี!I108"")"),0)</f>
        <v>0</v>
      </c>
      <c r="S80" s="88">
        <f ca="1">IFERROR(__xludf.DUMMYFUNCTION("IMPORTRANGE(""https://docs.google.com/spreadsheets/d/1SDNX3JhDdYRuIOsj0Wh2M-Qa_eaXl0NbWmhAOTbfQAs/edit?usp=sharing"",""ปัตตานี!J108"")"),0)</f>
        <v>0</v>
      </c>
      <c r="T80" s="177">
        <f t="shared" ca="1" si="30"/>
        <v>0</v>
      </c>
      <c r="U80" s="88">
        <f ca="1">IFERROR(__xludf.DUMMYFUNCTION("IMPORTRANGE(""https://docs.google.com/spreadsheets/d/1SDNX3JhDdYRuIOsj0Wh2M-Qa_eaXl0NbWmhAOTbfQAs/edit?usp=sharing"",""ปัตตานี!I109"")"),0)</f>
        <v>0</v>
      </c>
      <c r="V80" s="88">
        <f ca="1">IFERROR(__xludf.DUMMYFUNCTION("IMPORTRANGE(""https://docs.google.com/spreadsheets/d/1SDNX3JhDdYRuIOsj0Wh2M-Qa_eaXl0NbWmhAOTbfQAs/edit?usp=sharing"",""ปัตตานี!J109"")"),0)</f>
        <v>0</v>
      </c>
      <c r="W80" s="177">
        <f t="shared" ca="1" si="32"/>
        <v>0</v>
      </c>
      <c r="X80" s="88">
        <f ca="1">IFERROR(__xludf.DUMMYFUNCTION("IMPORTRANGE(""https://docs.google.com/spreadsheets/d/1SDNX3JhDdYRuIOsj0Wh2M-Qa_eaXl0NbWmhAOTbfQAs/edit?usp=sharing"",""ปัตตานี!I117"")"),0)</f>
        <v>0</v>
      </c>
      <c r="Y80" s="88">
        <f ca="1">IFERROR(__xludf.DUMMYFUNCTION("IMPORTRANGE(""https://docs.google.com/spreadsheets/d/1SDNX3JhDdYRuIOsj0Wh2M-Qa_eaXl0NbWmhAOTbfQAs/edit?usp=sharing"",""ปัตตานี!J117"")"),0)</f>
        <v>0</v>
      </c>
      <c r="Z80" s="177">
        <f t="shared" ca="1" si="34"/>
        <v>0</v>
      </c>
    </row>
    <row r="81" spans="1:26" ht="21" customHeight="1" x14ac:dyDescent="0.3">
      <c r="A81" s="172">
        <v>7</v>
      </c>
      <c r="B81" s="173" t="s">
        <v>103</v>
      </c>
      <c r="C81" s="174">
        <f t="shared" ca="1" si="21"/>
        <v>0</v>
      </c>
      <c r="D81" s="175">
        <f t="shared" ca="1" si="50"/>
        <v>0</v>
      </c>
      <c r="E81" s="176">
        <f ca="1">IFERROR(__xludf.DUMMYFUNCTION("IMPORTRANGE(""https://docs.google.com/spreadsheets/d/1-uDff_7J0KD5mKrp0Vvzr7lt3OU09vwQwhkpOPPYv2Y/edit?usp=sharing"",""งบพรบ!AX81"")"),0)</f>
        <v>0</v>
      </c>
      <c r="F81" s="176">
        <f ca="1">IFERROR(__xludf.DUMMYFUNCTION("IMPORTRANGE(""https://docs.google.com/spreadsheets/d/1-uDff_7J0KD5mKrp0Vvzr7lt3OU09vwQwhkpOPPYv2Y/edit?usp=sharing"",""งบพรบ!AY81"")"),0)</f>
        <v>0</v>
      </c>
      <c r="G81" s="176">
        <f ca="1">IFERROR(__xludf.DUMMYFUNCTION("IMPORTRANGE(""https://docs.google.com/spreadsheets/d/1-uDff_7J0KD5mKrp0Vvzr7lt3OU09vwQwhkpOPPYv2Y/edit?usp=sharing"",""งบพรบ!AZ81"")"),0)</f>
        <v>0</v>
      </c>
      <c r="H81" s="176">
        <f ca="1">IFERROR(__xludf.DUMMYFUNCTION("IMPORTRANGE(""https://docs.google.com/spreadsheets/d/1-uDff_7J0KD5mKrp0Vvzr7lt3OU09vwQwhkpOPPYv2Y/edit?usp=sharing"",""งบพรบ!BB81"")"),0)</f>
        <v>0</v>
      </c>
      <c r="I81" s="176">
        <f ca="1">IFERROR(__xludf.DUMMYFUNCTION("IMPORTRANGE(""https://docs.google.com/spreadsheets/d/1-uDff_7J0KD5mKrp0Vvzr7lt3OU09vwQwhkpOPPYv2Y/edit?usp=sharing"",""งบพรบ!BC81"")"),0)</f>
        <v>0</v>
      </c>
      <c r="J81" s="176">
        <f t="shared" ca="1" si="23"/>
        <v>0</v>
      </c>
      <c r="K81" s="181">
        <f t="shared" ca="1" si="24"/>
        <v>0</v>
      </c>
      <c r="L81" s="176">
        <f ca="1">IFERROR(__xludf.DUMMYFUNCTION("IMPORTRANGE(""https://docs.google.com/spreadsheets/d/1-uDff_7J0KD5mKrp0Vvzr7lt3OU09vwQwhkpOPPYv2Y/edit?usp=sharing"",""งบพรบ!BD81"")"),0)</f>
        <v>0</v>
      </c>
      <c r="M81" s="179">
        <f t="shared" ca="1" si="25"/>
        <v>0</v>
      </c>
      <c r="N81" s="179">
        <f t="shared" ca="1" si="26"/>
        <v>0</v>
      </c>
      <c r="O81" s="180">
        <f ca="1">IFERROR(__xludf.DUMMYFUNCTION("IMPORTRANGE(""https://docs.google.com/spreadsheets/d/1-uDff_7J0KD5mKrp0Vvzr7lt3OU09vwQwhkpOPPYv2Y/edit?usp=sharing"",""งบพรบ!BE81"")"),0)</f>
        <v>0</v>
      </c>
      <c r="P81" s="180">
        <f t="shared" ca="1" si="27"/>
        <v>0</v>
      </c>
      <c r="Q81" s="179">
        <f t="shared" ca="1" si="28"/>
        <v>0</v>
      </c>
      <c r="R81" s="88">
        <f ca="1">IFERROR(__xludf.DUMMYFUNCTION("IMPORTRANGE(""https://docs.google.com/spreadsheets/d/16JDLGguT8s5DsGCND1KcwHP_AWR_zDMTqLHPLJUKhaU/edit?usp=sharing"",""พังงา!I108"")"),0)</f>
        <v>0</v>
      </c>
      <c r="S81" s="88">
        <f ca="1">IFERROR(__xludf.DUMMYFUNCTION("IMPORTRANGE(""https://docs.google.com/spreadsheets/d/16JDLGguT8s5DsGCND1KcwHP_AWR_zDMTqLHPLJUKhaU/edit?usp=sharing"",""พังงา!J108"")"),0)</f>
        <v>0</v>
      </c>
      <c r="T81" s="177">
        <f t="shared" ca="1" si="30"/>
        <v>0</v>
      </c>
      <c r="U81" s="88">
        <f ca="1">IFERROR(__xludf.DUMMYFUNCTION("IMPORTRANGE(""https://docs.google.com/spreadsheets/d/16JDLGguT8s5DsGCND1KcwHP_AWR_zDMTqLHPLJUKhaU/edit?usp=sharing"",""พังงา!I109"")"),0)</f>
        <v>0</v>
      </c>
      <c r="V81" s="88">
        <f ca="1">IFERROR(__xludf.DUMMYFUNCTION("IMPORTRANGE(""https://docs.google.com/spreadsheets/d/16JDLGguT8s5DsGCND1KcwHP_AWR_zDMTqLHPLJUKhaU/edit?usp=sharing"",""พังงา!J109"")"),0)</f>
        <v>0</v>
      </c>
      <c r="W81" s="177">
        <f t="shared" ca="1" si="32"/>
        <v>0</v>
      </c>
      <c r="X81" s="88">
        <f ca="1">IFERROR(__xludf.DUMMYFUNCTION("IMPORTRANGE(""https://docs.google.com/spreadsheets/d/16JDLGguT8s5DsGCND1KcwHP_AWR_zDMTqLHPLJUKhaU/edit?usp=sharing"",""พังงา!I117"")"),0)</f>
        <v>0</v>
      </c>
      <c r="Y81" s="88">
        <f ca="1">IFERROR(__xludf.DUMMYFUNCTION("IMPORTRANGE(""https://docs.google.com/spreadsheets/d/16JDLGguT8s5DsGCND1KcwHP_AWR_zDMTqLHPLJUKhaU/edit?usp=sharing"",""พังงา!J117"")"),0)</f>
        <v>0</v>
      </c>
      <c r="Z81" s="177">
        <f t="shared" ca="1" si="34"/>
        <v>0</v>
      </c>
    </row>
    <row r="82" spans="1:26" ht="21" customHeight="1" x14ac:dyDescent="0.3">
      <c r="A82" s="172">
        <v>8</v>
      </c>
      <c r="B82" s="173" t="s">
        <v>104</v>
      </c>
      <c r="C82" s="174">
        <f t="shared" ca="1" si="21"/>
        <v>0</v>
      </c>
      <c r="D82" s="175">
        <f t="shared" ca="1" si="50"/>
        <v>0</v>
      </c>
      <c r="E82" s="176">
        <f ca="1">IFERROR(__xludf.DUMMYFUNCTION("IMPORTRANGE(""https://docs.google.com/spreadsheets/d/1-uDff_7J0KD5mKrp0Vvzr7lt3OU09vwQwhkpOPPYv2Y/edit?usp=sharing"",""งบพรบ!AX82"")"),0)</f>
        <v>0</v>
      </c>
      <c r="F82" s="176">
        <f ca="1">IFERROR(__xludf.DUMMYFUNCTION("IMPORTRANGE(""https://docs.google.com/spreadsheets/d/1-uDff_7J0KD5mKrp0Vvzr7lt3OU09vwQwhkpOPPYv2Y/edit?usp=sharing"",""งบพรบ!AY82"")"),0)</f>
        <v>0</v>
      </c>
      <c r="G82" s="176">
        <f ca="1">IFERROR(__xludf.DUMMYFUNCTION("IMPORTRANGE(""https://docs.google.com/spreadsheets/d/1-uDff_7J0KD5mKrp0Vvzr7lt3OU09vwQwhkpOPPYv2Y/edit?usp=sharing"",""งบพรบ!AZ82"")"),0)</f>
        <v>0</v>
      </c>
      <c r="H82" s="176">
        <f ca="1">IFERROR(__xludf.DUMMYFUNCTION("IMPORTRANGE(""https://docs.google.com/spreadsheets/d/1-uDff_7J0KD5mKrp0Vvzr7lt3OU09vwQwhkpOPPYv2Y/edit?usp=sharing"",""งบพรบ!BB82"")"),0)</f>
        <v>0</v>
      </c>
      <c r="I82" s="176">
        <f ca="1">IFERROR(__xludf.DUMMYFUNCTION("IMPORTRANGE(""https://docs.google.com/spreadsheets/d/1-uDff_7J0KD5mKrp0Vvzr7lt3OU09vwQwhkpOPPYv2Y/edit?usp=sharing"",""งบพรบ!BC82"")"),0)</f>
        <v>0</v>
      </c>
      <c r="J82" s="176">
        <f t="shared" ca="1" si="23"/>
        <v>0</v>
      </c>
      <c r="K82" s="181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IFERROR(__xludf.DUMMYFUNCTION("IMPORTRANGE(""https://docs.google.com/spreadsheets/d/1-uDff_7J0KD5mKrp0Vvzr7lt3OU09vwQwhkpOPPYv2Y/edit?usp=sharing"",""งบพรบ!BD82"")"),0)</f>
        <v>0</v>
      </c>
      <c r="M82" s="179">
        <f t="shared" ca="1" si="25"/>
        <v>0</v>
      </c>
      <c r="N82" s="179">
        <f t="shared" ca="1" si="26"/>
        <v>0</v>
      </c>
      <c r="O82" s="180">
        <f ca="1">IFERROR(__xludf.DUMMYFUNCTION("IMPORTRANGE(""https://docs.google.com/spreadsheets/d/1-uDff_7J0KD5mKrp0Vvzr7lt3OU09vwQwhkpOPPYv2Y/edit?usp=sharing"",""งบพรบ!BE82"")"),0)</f>
        <v>0</v>
      </c>
      <c r="P82" s="180">
        <f t="shared" ca="1" si="27"/>
        <v>0</v>
      </c>
      <c r="Q82" s="179">
        <f t="shared" ca="1" si="28"/>
        <v>0</v>
      </c>
      <c r="R82" s="88">
        <f ca="1">IFERROR(__xludf.DUMMYFUNCTION("IMPORTRANGE(""https://docs.google.com/spreadsheets/d/17ht0gPKzzT3PObBL1XJkeRmntBXI7wGjpLV7QorqlTk/edit?usp=sharing"",""พัทลุง!I108"")"),0)</f>
        <v>0</v>
      </c>
      <c r="S82" s="88">
        <f ca="1">IFERROR(__xludf.DUMMYFUNCTION("IMPORTRANGE(""https://docs.google.com/spreadsheets/d/17ht0gPKzzT3PObBL1XJkeRmntBXI7wGjpLV7QorqlTk/edit?usp=sharing"",""พัทลุง!J108"")"),0)</f>
        <v>0</v>
      </c>
      <c r="T82" s="177">
        <f t="shared" ca="1" si="30"/>
        <v>0</v>
      </c>
      <c r="U82" s="88">
        <f ca="1">IFERROR(__xludf.DUMMYFUNCTION("IMPORTRANGE(""https://docs.google.com/spreadsheets/d/17ht0gPKzzT3PObBL1XJkeRmntBXI7wGjpLV7QorqlTk/edit?usp=sharing"",""พัทลุง!I109"")"),0)</f>
        <v>0</v>
      </c>
      <c r="V82" s="88">
        <f ca="1">IFERROR(__xludf.DUMMYFUNCTION("IMPORTRANGE(""https://docs.google.com/spreadsheets/d/17ht0gPKzzT3PObBL1XJkeRmntBXI7wGjpLV7QorqlTk/edit?usp=sharing"",""พัทลุง!J109"")"),0)</f>
        <v>0</v>
      </c>
      <c r="W82" s="177">
        <f t="shared" ca="1" si="32"/>
        <v>0</v>
      </c>
      <c r="X82" s="88">
        <f ca="1">IFERROR(__xludf.DUMMYFUNCTION("IMPORTRANGE(""https://docs.google.com/spreadsheets/d/17ht0gPKzzT3PObBL1XJkeRmntBXI7wGjpLV7QorqlTk/edit?usp=sharing"",""พัทลุง!I117"")"),0)</f>
        <v>0</v>
      </c>
      <c r="Y82" s="88">
        <f ca="1">IFERROR(__xludf.DUMMYFUNCTION("IMPORTRANGE(""https://docs.google.com/spreadsheets/d/17ht0gPKzzT3PObBL1XJkeRmntBXI7wGjpLV7QorqlTk/edit?usp=sharing"",""พัทลุง!J117"")"),0)</f>
        <v>0</v>
      </c>
      <c r="Z82" s="177">
        <f t="shared" ca="1" si="34"/>
        <v>0</v>
      </c>
    </row>
    <row r="83" spans="1:26" ht="21" customHeight="1" x14ac:dyDescent="0.3">
      <c r="A83" s="172">
        <v>9</v>
      </c>
      <c r="B83" s="173" t="s">
        <v>105</v>
      </c>
      <c r="C83" s="174">
        <f t="shared" ca="1" si="21"/>
        <v>0</v>
      </c>
      <c r="D83" s="175">
        <f t="shared" ca="1" si="50"/>
        <v>0</v>
      </c>
      <c r="E83" s="176">
        <f ca="1">IFERROR(__xludf.DUMMYFUNCTION("IMPORTRANGE(""https://docs.google.com/spreadsheets/d/1-uDff_7J0KD5mKrp0Vvzr7lt3OU09vwQwhkpOPPYv2Y/edit?usp=sharing"",""งบพรบ!AX83"")"),0)</f>
        <v>0</v>
      </c>
      <c r="F83" s="176">
        <f ca="1">IFERROR(__xludf.DUMMYFUNCTION("IMPORTRANGE(""https://docs.google.com/spreadsheets/d/1-uDff_7J0KD5mKrp0Vvzr7lt3OU09vwQwhkpOPPYv2Y/edit?usp=sharing"",""งบพรบ!AY83"")"),0)</f>
        <v>0</v>
      </c>
      <c r="G83" s="176">
        <f ca="1">IFERROR(__xludf.DUMMYFUNCTION("IMPORTRANGE(""https://docs.google.com/spreadsheets/d/1-uDff_7J0KD5mKrp0Vvzr7lt3OU09vwQwhkpOPPYv2Y/edit?usp=sharing"",""งบพรบ!AZ83"")"),0)</f>
        <v>0</v>
      </c>
      <c r="H83" s="176">
        <f ca="1">IFERROR(__xludf.DUMMYFUNCTION("IMPORTRANGE(""https://docs.google.com/spreadsheets/d/1-uDff_7J0KD5mKrp0Vvzr7lt3OU09vwQwhkpOPPYv2Y/edit?usp=sharing"",""งบพรบ!BB83"")"),0)</f>
        <v>0</v>
      </c>
      <c r="I83" s="176">
        <f ca="1">IFERROR(__xludf.DUMMYFUNCTION("IMPORTRANGE(""https://docs.google.com/spreadsheets/d/1-uDff_7J0KD5mKrp0Vvzr7lt3OU09vwQwhkpOPPYv2Y/edit?usp=sharing"",""งบพรบ!BC83"")"),0)</f>
        <v>0</v>
      </c>
      <c r="J83" s="176">
        <f t="shared" ca="1" si="23"/>
        <v>0</v>
      </c>
      <c r="K83" s="181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IFERROR(__xludf.DUMMYFUNCTION("IMPORTRANGE(""https://docs.google.com/spreadsheets/d/1-uDff_7J0KD5mKrp0Vvzr7lt3OU09vwQwhkpOPPYv2Y/edit?usp=sharing"",""งบพรบ!BD83"")"),0)</f>
        <v>0</v>
      </c>
      <c r="M83" s="179">
        <f t="shared" ca="1" si="25"/>
        <v>0</v>
      </c>
      <c r="N83" s="179">
        <f t="shared" ca="1" si="26"/>
        <v>0</v>
      </c>
      <c r="O83" s="180">
        <f ca="1">IFERROR(__xludf.DUMMYFUNCTION("IMPORTRANGE(""https://docs.google.com/spreadsheets/d/1-uDff_7J0KD5mKrp0Vvzr7lt3OU09vwQwhkpOPPYv2Y/edit?usp=sharing"",""งบพรบ!BE83"")"),0)</f>
        <v>0</v>
      </c>
      <c r="P83" s="180">
        <f t="shared" ca="1" si="27"/>
        <v>0</v>
      </c>
      <c r="Q83" s="179">
        <f t="shared" ca="1" si="28"/>
        <v>0</v>
      </c>
      <c r="R83" s="88">
        <f ca="1">IFERROR(__xludf.DUMMYFUNCTION("IMPORTRANGE(""https://docs.google.com/spreadsheets/d/1rd4qoM1q_hsgaolqNGfrim9gbsoLxQsda4-vOz5x_BM/edit?usp=sharing"",""ภูเก็ต!I108"")"),0)</f>
        <v>0</v>
      </c>
      <c r="S83" s="88">
        <f ca="1">IFERROR(__xludf.DUMMYFUNCTION("IMPORTRANGE(""https://docs.google.com/spreadsheets/d/1rd4qoM1q_hsgaolqNGfrim9gbsoLxQsda4-vOz5x_BM/edit?usp=sharing"",""ภูเก็ต!J108"")"),0)</f>
        <v>0</v>
      </c>
      <c r="T83" s="177">
        <f t="shared" ca="1" si="30"/>
        <v>0</v>
      </c>
      <c r="U83" s="88">
        <f ca="1">IFERROR(__xludf.DUMMYFUNCTION("IMPORTRANGE(""https://docs.google.com/spreadsheets/d/1rd4qoM1q_hsgaolqNGfrim9gbsoLxQsda4-vOz5x_BM/edit?usp=sharing"",""ภูเก็ต!I109"")"),0)</f>
        <v>0</v>
      </c>
      <c r="V83" s="88">
        <f ca="1">IFERROR(__xludf.DUMMYFUNCTION("IMPORTRANGE(""https://docs.google.com/spreadsheets/d/1rd4qoM1q_hsgaolqNGfrim9gbsoLxQsda4-vOz5x_BM/edit?usp=sharing"",""ภูเก็ต!J109"")"),0)</f>
        <v>0</v>
      </c>
      <c r="W83" s="177">
        <f t="shared" ca="1" si="32"/>
        <v>0</v>
      </c>
      <c r="X83" s="88">
        <f ca="1">IFERROR(__xludf.DUMMYFUNCTION("IMPORTRANGE(""https://docs.google.com/spreadsheets/d/1rd4qoM1q_hsgaolqNGfrim9gbsoLxQsda4-vOz5x_BM/edit?usp=sharing"",""ภูเก็ต!I117"")"),0)</f>
        <v>0</v>
      </c>
      <c r="Y83" s="88">
        <f ca="1">IFERROR(__xludf.DUMMYFUNCTION("IMPORTRANGE(""https://docs.google.com/spreadsheets/d/1rd4qoM1q_hsgaolqNGfrim9gbsoLxQsda4-vOz5x_BM/edit?usp=sharing"",""ภูเก็ต!J117"")"),0)</f>
        <v>0</v>
      </c>
      <c r="Z83" s="177">
        <f t="shared" ca="1" si="34"/>
        <v>0</v>
      </c>
    </row>
    <row r="84" spans="1:26" ht="21" customHeight="1" x14ac:dyDescent="0.3">
      <c r="A84" s="172">
        <v>10</v>
      </c>
      <c r="B84" s="173" t="s">
        <v>106</v>
      </c>
      <c r="C84" s="174">
        <f t="shared" ca="1" si="21"/>
        <v>0</v>
      </c>
      <c r="D84" s="175">
        <f t="shared" ca="1" si="50"/>
        <v>0</v>
      </c>
      <c r="E84" s="176">
        <f ca="1">IFERROR(__xludf.DUMMYFUNCTION("IMPORTRANGE(""https://docs.google.com/spreadsheets/d/1-uDff_7J0KD5mKrp0Vvzr7lt3OU09vwQwhkpOPPYv2Y/edit?usp=sharing"",""งบพรบ!AX84"")"),0)</f>
        <v>0</v>
      </c>
      <c r="F84" s="176">
        <f ca="1">IFERROR(__xludf.DUMMYFUNCTION("IMPORTRANGE(""https://docs.google.com/spreadsheets/d/1-uDff_7J0KD5mKrp0Vvzr7lt3OU09vwQwhkpOPPYv2Y/edit?usp=sharing"",""งบพรบ!AY84"")"),0)</f>
        <v>0</v>
      </c>
      <c r="G84" s="176">
        <f ca="1">IFERROR(__xludf.DUMMYFUNCTION("IMPORTRANGE(""https://docs.google.com/spreadsheets/d/1-uDff_7J0KD5mKrp0Vvzr7lt3OU09vwQwhkpOPPYv2Y/edit?usp=sharing"",""งบพรบ!AZ84"")"),0)</f>
        <v>0</v>
      </c>
      <c r="H84" s="176">
        <f ca="1">IFERROR(__xludf.DUMMYFUNCTION("IMPORTRANGE(""https://docs.google.com/spreadsheets/d/1-uDff_7J0KD5mKrp0Vvzr7lt3OU09vwQwhkpOPPYv2Y/edit?usp=sharing"",""งบพรบ!BB84"")"),0)</f>
        <v>0</v>
      </c>
      <c r="I84" s="176">
        <f ca="1">IFERROR(__xludf.DUMMYFUNCTION("IMPORTRANGE(""https://docs.google.com/spreadsheets/d/1-uDff_7J0KD5mKrp0Vvzr7lt3OU09vwQwhkpOPPYv2Y/edit?usp=sharing"",""งบพรบ!BC84"")"),0)</f>
        <v>0</v>
      </c>
      <c r="J84" s="176">
        <f t="shared" ca="1" si="23"/>
        <v>0</v>
      </c>
      <c r="K84" s="181">
        <f t="shared" ca="1" si="24"/>
        <v>0</v>
      </c>
      <c r="L84" s="176">
        <f ca="1">IFERROR(__xludf.DUMMYFUNCTION("IMPORTRANGE(""https://docs.google.com/spreadsheets/d/1-uDff_7J0KD5mKrp0Vvzr7lt3OU09vwQwhkpOPPYv2Y/edit?usp=sharing"",""งบพรบ!BD84"")"),0)</f>
        <v>0</v>
      </c>
      <c r="M84" s="179">
        <f t="shared" ca="1" si="25"/>
        <v>0</v>
      </c>
      <c r="N84" s="179">
        <f t="shared" ca="1" si="26"/>
        <v>0</v>
      </c>
      <c r="O84" s="180">
        <f ca="1">IFERROR(__xludf.DUMMYFUNCTION("IMPORTRANGE(""https://docs.google.com/spreadsheets/d/1-uDff_7J0KD5mKrp0Vvzr7lt3OU09vwQwhkpOPPYv2Y/edit?usp=sharing"",""งบพรบ!BE84"")"),0)</f>
        <v>0</v>
      </c>
      <c r="P84" s="180">
        <f t="shared" ca="1" si="27"/>
        <v>0</v>
      </c>
      <c r="Q84" s="179">
        <f t="shared" ca="1" si="28"/>
        <v>0</v>
      </c>
      <c r="R84" s="88">
        <f ca="1">IFERROR(__xludf.DUMMYFUNCTION("IMPORTRANGE(""https://docs.google.com/spreadsheets/d/1woKwKjgoLssDvPcPeVyezB5izizAn4X1JDrys69n6xI/edit?usp=sharing"",""ยะลา!I108"")"),0)</f>
        <v>0</v>
      </c>
      <c r="S84" s="88">
        <f ca="1">IFERROR(__xludf.DUMMYFUNCTION("IMPORTRANGE(""https://docs.google.com/spreadsheets/d/1woKwKjgoLssDvPcPeVyezB5izizAn4X1JDrys69n6xI/edit?usp=sharing"",""ยะลา!J108"")"),0)</f>
        <v>0</v>
      </c>
      <c r="T84" s="177">
        <f t="shared" ca="1" si="30"/>
        <v>0</v>
      </c>
      <c r="U84" s="88">
        <f ca="1">IFERROR(__xludf.DUMMYFUNCTION("IMPORTRANGE(""https://docs.google.com/spreadsheets/d/1woKwKjgoLssDvPcPeVyezB5izizAn4X1JDrys69n6xI/edit?usp=sharing"",""ยะลา!I109"")"),0)</f>
        <v>0</v>
      </c>
      <c r="V84" s="88">
        <f ca="1">IFERROR(__xludf.DUMMYFUNCTION("IMPORTRANGE(""https://docs.google.com/spreadsheets/d/1woKwKjgoLssDvPcPeVyezB5izizAn4X1JDrys69n6xI/edit?usp=sharing"",""ยะลา!J109"")"),0)</f>
        <v>0</v>
      </c>
      <c r="W84" s="177">
        <f t="shared" ca="1" si="32"/>
        <v>0</v>
      </c>
      <c r="X84" s="88">
        <f ca="1">IFERROR(__xludf.DUMMYFUNCTION("IMPORTRANGE(""https://docs.google.com/spreadsheets/d/1woKwKjgoLssDvPcPeVyezB5izizAn4X1JDrys69n6xI/edit?usp=sharing"",""ยะลา!I117"")"),0)</f>
        <v>0</v>
      </c>
      <c r="Y84" s="88">
        <f ca="1">IFERROR(__xludf.DUMMYFUNCTION("IMPORTRANGE(""https://docs.google.com/spreadsheets/d/1woKwKjgoLssDvPcPeVyezB5izizAn4X1JDrys69n6xI/edit?usp=sharing"",""ยะลา!J117"")"),0)</f>
        <v>0</v>
      </c>
      <c r="Z84" s="177">
        <f t="shared" ca="1" si="34"/>
        <v>0</v>
      </c>
    </row>
    <row r="85" spans="1:26" ht="21" customHeight="1" x14ac:dyDescent="0.3">
      <c r="A85" s="172">
        <v>11</v>
      </c>
      <c r="B85" s="173" t="s">
        <v>107</v>
      </c>
      <c r="C85" s="174">
        <f t="shared" ca="1" si="21"/>
        <v>0</v>
      </c>
      <c r="D85" s="175">
        <f t="shared" ca="1" si="50"/>
        <v>0</v>
      </c>
      <c r="E85" s="176">
        <f ca="1">IFERROR(__xludf.DUMMYFUNCTION("IMPORTRANGE(""https://docs.google.com/spreadsheets/d/1-uDff_7J0KD5mKrp0Vvzr7lt3OU09vwQwhkpOPPYv2Y/edit?usp=sharing"",""งบพรบ!AX85"")"),0)</f>
        <v>0</v>
      </c>
      <c r="F85" s="176">
        <f ca="1">IFERROR(__xludf.DUMMYFUNCTION("IMPORTRANGE(""https://docs.google.com/spreadsheets/d/1-uDff_7J0KD5mKrp0Vvzr7lt3OU09vwQwhkpOPPYv2Y/edit?usp=sharing"",""งบพรบ!AY85"")"),0)</f>
        <v>0</v>
      </c>
      <c r="G85" s="176">
        <f ca="1">IFERROR(__xludf.DUMMYFUNCTION("IMPORTRANGE(""https://docs.google.com/spreadsheets/d/1-uDff_7J0KD5mKrp0Vvzr7lt3OU09vwQwhkpOPPYv2Y/edit?usp=sharing"",""งบพรบ!AZ85"")"),0)</f>
        <v>0</v>
      </c>
      <c r="H85" s="176">
        <f ca="1">IFERROR(__xludf.DUMMYFUNCTION("IMPORTRANGE(""https://docs.google.com/spreadsheets/d/1-uDff_7J0KD5mKrp0Vvzr7lt3OU09vwQwhkpOPPYv2Y/edit?usp=sharing"",""งบพรบ!BB85"")"),0)</f>
        <v>0</v>
      </c>
      <c r="I85" s="176">
        <f ca="1">IFERROR(__xludf.DUMMYFUNCTION("IMPORTRANGE(""https://docs.google.com/spreadsheets/d/1-uDff_7J0KD5mKrp0Vvzr7lt3OU09vwQwhkpOPPYv2Y/edit?usp=sharing"",""งบพรบ!BC85"")"),0)</f>
        <v>0</v>
      </c>
      <c r="J85" s="176">
        <f t="shared" ca="1" si="23"/>
        <v>0</v>
      </c>
      <c r="K85" s="181">
        <f t="shared" ca="1" si="24"/>
        <v>0</v>
      </c>
      <c r="L85" s="176">
        <f ca="1">IFERROR(__xludf.DUMMYFUNCTION("IMPORTRANGE(""https://docs.google.com/spreadsheets/d/1-uDff_7J0KD5mKrp0Vvzr7lt3OU09vwQwhkpOPPYv2Y/edit?usp=sharing"",""งบพรบ!BD85"")"),0)</f>
        <v>0</v>
      </c>
      <c r="M85" s="179">
        <f t="shared" ca="1" si="25"/>
        <v>0</v>
      </c>
      <c r="N85" s="179">
        <f t="shared" ca="1" si="26"/>
        <v>0</v>
      </c>
      <c r="O85" s="180">
        <f ca="1">IFERROR(__xludf.DUMMYFUNCTION("IMPORTRANGE(""https://docs.google.com/spreadsheets/d/1-uDff_7J0KD5mKrp0Vvzr7lt3OU09vwQwhkpOPPYv2Y/edit?usp=sharing"",""งบพรบ!BE85"")"),0)</f>
        <v>0</v>
      </c>
      <c r="P85" s="180">
        <f t="shared" ca="1" si="27"/>
        <v>0</v>
      </c>
      <c r="Q85" s="179">
        <f t="shared" ca="1" si="28"/>
        <v>0</v>
      </c>
      <c r="R85" s="88">
        <f ca="1">IFERROR(__xludf.DUMMYFUNCTION("IMPORTRANGE(""https://docs.google.com/spreadsheets/d/1qfrKjzMhm2HJfxQ-qVlJlJQ25Hne1d0khsySbZyGtPA/edit?usp=sharing"",""ระนอง!I108"")"),0)</f>
        <v>0</v>
      </c>
      <c r="S85" s="88">
        <f ca="1">IFERROR(__xludf.DUMMYFUNCTION("IMPORTRANGE(""https://docs.google.com/spreadsheets/d/1qfrKjzMhm2HJfxQ-qVlJlJQ25Hne1d0khsySbZyGtPA/edit?usp=sharing"",""ระนอง!J108"")"),0)</f>
        <v>0</v>
      </c>
      <c r="T85" s="177">
        <f t="shared" ca="1" si="30"/>
        <v>0</v>
      </c>
      <c r="U85" s="88">
        <f ca="1">IFERROR(__xludf.DUMMYFUNCTION("IMPORTRANGE(""https://docs.google.com/spreadsheets/d/1qfrKjzMhm2HJfxQ-qVlJlJQ25Hne1d0khsySbZyGtPA/edit?usp=sharing"",""ระนอง!I109"")"),0)</f>
        <v>0</v>
      </c>
      <c r="V85" s="88">
        <f ca="1">IFERROR(__xludf.DUMMYFUNCTION("IMPORTRANGE(""https://docs.google.com/spreadsheets/d/1qfrKjzMhm2HJfxQ-qVlJlJQ25Hne1d0khsySbZyGtPA/edit?usp=sharing"",""ระนอง!J109"")"),0)</f>
        <v>0</v>
      </c>
      <c r="W85" s="177">
        <f t="shared" ca="1" si="32"/>
        <v>0</v>
      </c>
      <c r="X85" s="88">
        <f ca="1">IFERROR(__xludf.DUMMYFUNCTION("IMPORTRANGE(""https://docs.google.com/spreadsheets/d/1qfrKjzMhm2HJfxQ-qVlJlJQ25Hne1d0khsySbZyGtPA/edit?usp=sharing"",""ระนอง!I117"")"),0)</f>
        <v>0</v>
      </c>
      <c r="Y85" s="88">
        <f ca="1">IFERROR(__xludf.DUMMYFUNCTION("IMPORTRANGE(""https://docs.google.com/spreadsheets/d/1qfrKjzMhm2HJfxQ-qVlJlJQ25Hne1d0khsySbZyGtPA/edit?usp=sharing"",""ระนอง!J117"")"),0)</f>
        <v>0</v>
      </c>
      <c r="Z85" s="177">
        <f t="shared" ca="1" si="34"/>
        <v>0</v>
      </c>
    </row>
    <row r="86" spans="1:26" ht="24" customHeight="1" x14ac:dyDescent="0.3">
      <c r="A86" s="172">
        <v>12</v>
      </c>
      <c r="B86" s="173" t="s">
        <v>108</v>
      </c>
      <c r="C86" s="174">
        <f t="shared" ca="1" si="21"/>
        <v>0</v>
      </c>
      <c r="D86" s="175">
        <f t="shared" ca="1" si="50"/>
        <v>0</v>
      </c>
      <c r="E86" s="176">
        <f ca="1">IFERROR(__xludf.DUMMYFUNCTION("IMPORTRANGE(""https://docs.google.com/spreadsheets/d/1-uDff_7J0KD5mKrp0Vvzr7lt3OU09vwQwhkpOPPYv2Y/edit?usp=sharing"",""งบพรบ!AX86"")"),0)</f>
        <v>0</v>
      </c>
      <c r="F86" s="176">
        <f ca="1">IFERROR(__xludf.DUMMYFUNCTION("IMPORTRANGE(""https://docs.google.com/spreadsheets/d/1-uDff_7J0KD5mKrp0Vvzr7lt3OU09vwQwhkpOPPYv2Y/edit?usp=sharing"",""งบพรบ!AY86"")"),0)</f>
        <v>0</v>
      </c>
      <c r="G86" s="176">
        <f ca="1">IFERROR(__xludf.DUMMYFUNCTION("IMPORTRANGE(""https://docs.google.com/spreadsheets/d/1-uDff_7J0KD5mKrp0Vvzr7lt3OU09vwQwhkpOPPYv2Y/edit?usp=sharing"",""งบพรบ!AZ86"")"),0)</f>
        <v>0</v>
      </c>
      <c r="H86" s="176">
        <f ca="1">IFERROR(__xludf.DUMMYFUNCTION("IMPORTRANGE(""https://docs.google.com/spreadsheets/d/1-uDff_7J0KD5mKrp0Vvzr7lt3OU09vwQwhkpOPPYv2Y/edit?usp=sharing"",""งบพรบ!BB86"")"),0)</f>
        <v>0</v>
      </c>
      <c r="I86" s="176">
        <f ca="1">IFERROR(__xludf.DUMMYFUNCTION("IMPORTRANGE(""https://docs.google.com/spreadsheets/d/1-uDff_7J0KD5mKrp0Vvzr7lt3OU09vwQwhkpOPPYv2Y/edit?usp=sharing"",""งบพรบ!BC86"")"),0)</f>
        <v>0</v>
      </c>
      <c r="J86" s="176">
        <f t="shared" ca="1" si="23"/>
        <v>0</v>
      </c>
      <c r="K86" s="181">
        <f t="shared" ca="1" si="24"/>
        <v>0</v>
      </c>
      <c r="L86" s="176">
        <f ca="1">IFERROR(__xludf.DUMMYFUNCTION("IMPORTRANGE(""https://docs.google.com/spreadsheets/d/1-uDff_7J0KD5mKrp0Vvzr7lt3OU09vwQwhkpOPPYv2Y/edit?usp=sharing"",""งบพรบ!BD86"")"),0)</f>
        <v>0</v>
      </c>
      <c r="M86" s="179">
        <f t="shared" ca="1" si="25"/>
        <v>0</v>
      </c>
      <c r="N86" s="179">
        <f t="shared" ca="1" si="26"/>
        <v>0</v>
      </c>
      <c r="O86" s="180">
        <f ca="1">IFERROR(__xludf.DUMMYFUNCTION("IMPORTRANGE(""https://docs.google.com/spreadsheets/d/1-uDff_7J0KD5mKrp0Vvzr7lt3OU09vwQwhkpOPPYv2Y/edit?usp=sharing"",""งบพรบ!BE86"")"),0)</f>
        <v>0</v>
      </c>
      <c r="P86" s="180">
        <f t="shared" ca="1" si="27"/>
        <v>0</v>
      </c>
      <c r="Q86" s="179">
        <f t="shared" ca="1" si="28"/>
        <v>0</v>
      </c>
      <c r="R86" s="88">
        <f ca="1">IFERROR(__xludf.DUMMYFUNCTION("IMPORTRANGE(""https://docs.google.com/spreadsheets/d/1IbSCnFOKpZsnFogBHJnL_isstZVaOMnFiIN0fGTPZZw/edit?usp=sharing"",""สงขลา!I108"")"),0)</f>
        <v>0</v>
      </c>
      <c r="S86" s="88">
        <f ca="1">IFERROR(__xludf.DUMMYFUNCTION("IMPORTRANGE(""https://docs.google.com/spreadsheets/d/1IbSCnFOKpZsnFogBHJnL_isstZVaOMnFiIN0fGTPZZw/edit?usp=sharing"",""สงขลา!J108"")"),0)</f>
        <v>0</v>
      </c>
      <c r="T86" s="177">
        <f t="shared" ca="1" si="30"/>
        <v>0</v>
      </c>
      <c r="U86" s="88">
        <f ca="1">IFERROR(__xludf.DUMMYFUNCTION("IMPORTRANGE(""https://docs.google.com/spreadsheets/d/1IbSCnFOKpZsnFogBHJnL_isstZVaOMnFiIN0fGTPZZw/edit?usp=sharing"",""สงขลา!I109"")"),0)</f>
        <v>0</v>
      </c>
      <c r="V86" s="88">
        <f ca="1">IFERROR(__xludf.DUMMYFUNCTION("IMPORTRANGE(""https://docs.google.com/spreadsheets/d/1IbSCnFOKpZsnFogBHJnL_isstZVaOMnFiIN0fGTPZZw/edit?usp=sharing"",""สงขลา!J109"")"),0)</f>
        <v>0</v>
      </c>
      <c r="W86" s="177">
        <f t="shared" ca="1" si="32"/>
        <v>0</v>
      </c>
      <c r="X86" s="88">
        <f ca="1">IFERROR(__xludf.DUMMYFUNCTION("IMPORTRANGE(""https://docs.google.com/spreadsheets/d/1IbSCnFOKpZsnFogBHJnL_isstZVaOMnFiIN0fGTPZZw/edit?usp=sharing"",""สงขลา!I117"")"),0)</f>
        <v>0</v>
      </c>
      <c r="Y86" s="88">
        <f ca="1">IFERROR(__xludf.DUMMYFUNCTION("IMPORTRANGE(""https://docs.google.com/spreadsheets/d/1IbSCnFOKpZsnFogBHJnL_isstZVaOMnFiIN0fGTPZZw/edit?usp=sharing"",""สงขลา!J117"")"),0)</f>
        <v>0</v>
      </c>
      <c r="Z86" s="177">
        <f t="shared" ca="1" si="34"/>
        <v>0</v>
      </c>
    </row>
    <row r="87" spans="1:26" ht="24" customHeight="1" x14ac:dyDescent="0.3">
      <c r="A87" s="172">
        <v>13</v>
      </c>
      <c r="B87" s="173" t="s">
        <v>109</v>
      </c>
      <c r="C87" s="174">
        <f t="shared" ca="1" si="21"/>
        <v>0</v>
      </c>
      <c r="D87" s="175">
        <f t="shared" ca="1" si="50"/>
        <v>0</v>
      </c>
      <c r="E87" s="176">
        <f ca="1">IFERROR(__xludf.DUMMYFUNCTION("IMPORTRANGE(""https://docs.google.com/spreadsheets/d/1-uDff_7J0KD5mKrp0Vvzr7lt3OU09vwQwhkpOPPYv2Y/edit?usp=sharing"",""งบพรบ!AX87"")"),0)</f>
        <v>0</v>
      </c>
      <c r="F87" s="176">
        <f ca="1">IFERROR(__xludf.DUMMYFUNCTION("IMPORTRANGE(""https://docs.google.com/spreadsheets/d/1-uDff_7J0KD5mKrp0Vvzr7lt3OU09vwQwhkpOPPYv2Y/edit?usp=sharing"",""งบพรบ!AY87"")"),0)</f>
        <v>0</v>
      </c>
      <c r="G87" s="176">
        <f ca="1">IFERROR(__xludf.DUMMYFUNCTION("IMPORTRANGE(""https://docs.google.com/spreadsheets/d/1-uDff_7J0KD5mKrp0Vvzr7lt3OU09vwQwhkpOPPYv2Y/edit?usp=sharing"",""งบพรบ!AZ87"")"),0)</f>
        <v>0</v>
      </c>
      <c r="H87" s="176">
        <f ca="1">IFERROR(__xludf.DUMMYFUNCTION("IMPORTRANGE(""https://docs.google.com/spreadsheets/d/1-uDff_7J0KD5mKrp0Vvzr7lt3OU09vwQwhkpOPPYv2Y/edit?usp=sharing"",""งบพรบ!BB87"")"),0)</f>
        <v>0</v>
      </c>
      <c r="I87" s="176">
        <f ca="1">IFERROR(__xludf.DUMMYFUNCTION("IMPORTRANGE(""https://docs.google.com/spreadsheets/d/1-uDff_7J0KD5mKrp0Vvzr7lt3OU09vwQwhkpOPPYv2Y/edit?usp=sharing"",""งบพรบ!BC87"")"),0)</f>
        <v>0</v>
      </c>
      <c r="J87" s="176">
        <f t="shared" ca="1" si="23"/>
        <v>0</v>
      </c>
      <c r="K87" s="181">
        <f t="shared" ca="1" si="24"/>
        <v>0</v>
      </c>
      <c r="L87" s="176">
        <f ca="1">IFERROR(__xludf.DUMMYFUNCTION("IMPORTRANGE(""https://docs.google.com/spreadsheets/d/1-uDff_7J0KD5mKrp0Vvzr7lt3OU09vwQwhkpOPPYv2Y/edit?usp=sharing"",""งบพรบ!BD87"")"),0)</f>
        <v>0</v>
      </c>
      <c r="M87" s="179">
        <f t="shared" ca="1" si="25"/>
        <v>0</v>
      </c>
      <c r="N87" s="179">
        <f t="shared" ca="1" si="26"/>
        <v>0</v>
      </c>
      <c r="O87" s="180">
        <f ca="1">IFERROR(__xludf.DUMMYFUNCTION("IMPORTRANGE(""https://docs.google.com/spreadsheets/d/1-uDff_7J0KD5mKrp0Vvzr7lt3OU09vwQwhkpOPPYv2Y/edit?usp=sharing"",""งบพรบ!BE87"")"),0)</f>
        <v>0</v>
      </c>
      <c r="P87" s="180">
        <f t="shared" ca="1" si="27"/>
        <v>0</v>
      </c>
      <c r="Q87" s="179">
        <f t="shared" ca="1" si="28"/>
        <v>0</v>
      </c>
      <c r="R87" s="88">
        <f ca="1">IFERROR(__xludf.DUMMYFUNCTION("IMPORTRANGE(""https://docs.google.com/spreadsheets/d/1q9nWasZJ-K8bFGvbE9n0qSRuKGA4Toe3Y89cKCiVtCU/edit?usp=sharing"",""สตูล!I108"")"),0)</f>
        <v>0</v>
      </c>
      <c r="S87" s="88">
        <f ca="1">IFERROR(__xludf.DUMMYFUNCTION("IMPORTRANGE(""https://docs.google.com/spreadsheets/d/1q9nWasZJ-K8bFGvbE9n0qSRuKGA4Toe3Y89cKCiVtCU/edit?usp=sharing"",""สตูล!J108"")"),0)</f>
        <v>0</v>
      </c>
      <c r="T87" s="177">
        <f t="shared" ca="1" si="30"/>
        <v>0</v>
      </c>
      <c r="U87" s="88">
        <f ca="1">IFERROR(__xludf.DUMMYFUNCTION("IMPORTRANGE(""https://docs.google.com/spreadsheets/d/1q9nWasZJ-K8bFGvbE9n0qSRuKGA4Toe3Y89cKCiVtCU/edit?usp=sharing"",""สตูล!I109"")"),0)</f>
        <v>0</v>
      </c>
      <c r="V87" s="88">
        <f ca="1">IFERROR(__xludf.DUMMYFUNCTION("IMPORTRANGE(""https://docs.google.com/spreadsheets/d/1q9nWasZJ-K8bFGvbE9n0qSRuKGA4Toe3Y89cKCiVtCU/edit?usp=sharing"",""สตูล!J109"")"),0)</f>
        <v>0</v>
      </c>
      <c r="W87" s="177">
        <f t="shared" ca="1" si="32"/>
        <v>0</v>
      </c>
      <c r="X87" s="88">
        <f ca="1">IFERROR(__xludf.DUMMYFUNCTION("IMPORTRANGE(""https://docs.google.com/spreadsheets/d/1q9nWasZJ-K8bFGvbE9n0qSRuKGA4Toe3Y89cKCiVtCU/edit?usp=sharing"",""สตูล!I117"")"),0)</f>
        <v>0</v>
      </c>
      <c r="Y87" s="88">
        <f ca="1">IFERROR(__xludf.DUMMYFUNCTION("IMPORTRANGE(""https://docs.google.com/spreadsheets/d/1q9nWasZJ-K8bFGvbE9n0qSRuKGA4Toe3Y89cKCiVtCU/edit?usp=sharing"",""สตูล!J117"")"),0)</f>
        <v>0</v>
      </c>
      <c r="Z87" s="177">
        <f t="shared" ca="1" si="34"/>
        <v>0</v>
      </c>
    </row>
    <row r="88" spans="1:26" ht="24" customHeight="1" x14ac:dyDescent="0.3">
      <c r="A88" s="182">
        <v>14</v>
      </c>
      <c r="B88" s="183" t="s">
        <v>110</v>
      </c>
      <c r="C88" s="184">
        <f t="shared" ca="1" si="21"/>
        <v>0</v>
      </c>
      <c r="D88" s="185">
        <f t="shared" ca="1" si="50"/>
        <v>0</v>
      </c>
      <c r="E88" s="186">
        <f ca="1">IFERROR(__xludf.DUMMYFUNCTION("IMPORTRANGE(""https://docs.google.com/spreadsheets/d/1-uDff_7J0KD5mKrp0Vvzr7lt3OU09vwQwhkpOPPYv2Y/edit?usp=sharing"",""งบพรบ!AX88"")"),0)</f>
        <v>0</v>
      </c>
      <c r="F88" s="186">
        <f ca="1">IFERROR(__xludf.DUMMYFUNCTION("IMPORTRANGE(""https://docs.google.com/spreadsheets/d/1-uDff_7J0KD5mKrp0Vvzr7lt3OU09vwQwhkpOPPYv2Y/edit?usp=sharing"",""งบพรบ!AY88"")"),0)</f>
        <v>0</v>
      </c>
      <c r="G88" s="186">
        <f ca="1">IFERROR(__xludf.DUMMYFUNCTION("IMPORTRANGE(""https://docs.google.com/spreadsheets/d/1-uDff_7J0KD5mKrp0Vvzr7lt3OU09vwQwhkpOPPYv2Y/edit?usp=sharing"",""งบพรบ!AZ88"")"),0)</f>
        <v>0</v>
      </c>
      <c r="H88" s="186">
        <f ca="1">IFERROR(__xludf.DUMMYFUNCTION("IMPORTRANGE(""https://docs.google.com/spreadsheets/d/1-uDff_7J0KD5mKrp0Vvzr7lt3OU09vwQwhkpOPPYv2Y/edit?usp=sharing"",""งบพรบ!BB88"")"),0)</f>
        <v>0</v>
      </c>
      <c r="I88" s="186">
        <f ca="1">IFERROR(__xludf.DUMMYFUNCTION("IMPORTRANGE(""https://docs.google.com/spreadsheets/d/1-uDff_7J0KD5mKrp0Vvzr7lt3OU09vwQwhkpOPPYv2Y/edit?usp=sharing"",""งบพรบ!BC88"")"),0)</f>
        <v>0</v>
      </c>
      <c r="J88" s="186">
        <f t="shared" ca="1" si="23"/>
        <v>0</v>
      </c>
      <c r="K88" s="187">
        <f t="shared" ca="1" si="24"/>
        <v>0</v>
      </c>
      <c r="L88" s="186">
        <f ca="1">IFERROR(__xludf.DUMMYFUNCTION("IMPORTRANGE(""https://docs.google.com/spreadsheets/d/1-uDff_7J0KD5mKrp0Vvzr7lt3OU09vwQwhkpOPPYv2Y/edit?usp=sharing"",""งบพรบ!BD88"")"),0)</f>
        <v>0</v>
      </c>
      <c r="M88" s="188">
        <f t="shared" ca="1" si="25"/>
        <v>0</v>
      </c>
      <c r="N88" s="188">
        <f t="shared" ca="1" si="26"/>
        <v>0</v>
      </c>
      <c r="O88" s="189">
        <f ca="1">IFERROR(__xludf.DUMMYFUNCTION("IMPORTRANGE(""https://docs.google.com/spreadsheets/d/1-uDff_7J0KD5mKrp0Vvzr7lt3OU09vwQwhkpOPPYv2Y/edit?usp=sharing"",""งบพรบ!BE88"")"),0)</f>
        <v>0</v>
      </c>
      <c r="P88" s="189">
        <f t="shared" ca="1" si="27"/>
        <v>0</v>
      </c>
      <c r="Q88" s="188">
        <f t="shared" ca="1" si="28"/>
        <v>0</v>
      </c>
      <c r="R88" s="99">
        <f ca="1">IFERROR(__xludf.DUMMYFUNCTION("IMPORTRANGE(""https://docs.google.com/spreadsheets/d/18T20gbkS_WBjdscyTOV05cvq_JqvqQ17C81mpxf7Ncs/edit?usp=sharing"",""สุราษฎร์ธานี!I108"")"),0)</f>
        <v>0</v>
      </c>
      <c r="S88" s="99">
        <f ca="1">IFERROR(__xludf.DUMMYFUNCTION("IMPORTRANGE(""https://docs.google.com/spreadsheets/d/18T20gbkS_WBjdscyTOV05cvq_JqvqQ17C81mpxf7Ncs/edit?usp=sharing"",""สุราษฎร์ธานี!J108"")"),0)</f>
        <v>0</v>
      </c>
      <c r="T88" s="190">
        <f t="shared" ca="1" si="30"/>
        <v>0</v>
      </c>
      <c r="U88" s="99">
        <f ca="1">IFERROR(__xludf.DUMMYFUNCTION("IMPORTRANGE(""https://docs.google.com/spreadsheets/d/18T20gbkS_WBjdscyTOV05cvq_JqvqQ17C81mpxf7Ncs/edit?usp=sharing"",""สุราษฎร์ธานี!I109"")"),0)</f>
        <v>0</v>
      </c>
      <c r="V88" s="99">
        <f ca="1">IFERROR(__xludf.DUMMYFUNCTION("IMPORTRANGE(""https://docs.google.com/spreadsheets/d/18T20gbkS_WBjdscyTOV05cvq_JqvqQ17C81mpxf7Ncs/edit?usp=sharing"",""สุราษฎร์ธานี!J109"")"),0)</f>
        <v>0</v>
      </c>
      <c r="W88" s="190">
        <f t="shared" ca="1" si="32"/>
        <v>0</v>
      </c>
      <c r="X88" s="99">
        <f ca="1">IFERROR(__xludf.DUMMYFUNCTION("IMPORTRANGE(""https://docs.google.com/spreadsheets/d/18T20gbkS_WBjdscyTOV05cvq_JqvqQ17C81mpxf7Ncs/edit?usp=sharing"",""สุราษฎร์ธานี!I117"")"),0)</f>
        <v>0</v>
      </c>
      <c r="Y88" s="99">
        <f ca="1">IFERROR(__xludf.DUMMYFUNCTION("IMPORTRANGE(""https://docs.google.com/spreadsheets/d/18T20gbkS_WBjdscyTOV05cvq_JqvqQ17C81mpxf7Ncs/edit?usp=sharing"",""สุราษฎร์ธานี!J117"")"),0)</f>
        <v>0</v>
      </c>
      <c r="Z88" s="190">
        <f t="shared" ca="1" si="34"/>
        <v>0</v>
      </c>
    </row>
    <row r="89" spans="1:26" ht="21" customHeight="1" x14ac:dyDescent="0.3">
      <c r="A89" s="424" t="s">
        <v>111</v>
      </c>
      <c r="B89" s="422"/>
      <c r="C89" s="46">
        <f t="shared" ref="C89:Q89" ca="1" si="51">SUM(C90:C106)</f>
        <v>717100</v>
      </c>
      <c r="D89" s="46">
        <f t="shared" ca="1" si="51"/>
        <v>717100</v>
      </c>
      <c r="E89" s="46">
        <f t="shared" ca="1" si="51"/>
        <v>299800</v>
      </c>
      <c r="F89" s="46">
        <f t="shared" ca="1" si="51"/>
        <v>417300</v>
      </c>
      <c r="G89" s="46">
        <f t="shared" ca="1" si="51"/>
        <v>0</v>
      </c>
      <c r="H89" s="46">
        <f t="shared" ca="1" si="51"/>
        <v>538100</v>
      </c>
      <c r="I89" s="46">
        <f t="shared" ca="1" si="51"/>
        <v>0</v>
      </c>
      <c r="J89" s="46">
        <f t="shared" ca="1" si="51"/>
        <v>161612.81</v>
      </c>
      <c r="K89" s="48">
        <f t="shared" ca="1" si="51"/>
        <v>52.816143694806037</v>
      </c>
      <c r="L89" s="46">
        <f t="shared" ca="1" si="51"/>
        <v>161612.81</v>
      </c>
      <c r="M89" s="48">
        <f t="shared" ca="1" si="51"/>
        <v>52.816143694806037</v>
      </c>
      <c r="N89" s="48">
        <f t="shared" ca="1" si="51"/>
        <v>81.364339098083789</v>
      </c>
      <c r="O89" s="46">
        <f t="shared" ca="1" si="51"/>
        <v>0</v>
      </c>
      <c r="P89" s="46">
        <f t="shared" ca="1" si="51"/>
        <v>0</v>
      </c>
      <c r="Q89" s="46">
        <f t="shared" ca="1" si="51"/>
        <v>0</v>
      </c>
      <c r="R89" s="46"/>
      <c r="S89" s="46"/>
      <c r="T89" s="191"/>
      <c r="U89" s="46"/>
      <c r="V89" s="46"/>
      <c r="W89" s="191"/>
      <c r="X89" s="46"/>
      <c r="Y89" s="46"/>
      <c r="Z89" s="191"/>
    </row>
    <row r="90" spans="1:26" ht="24" customHeight="1" x14ac:dyDescent="0.3">
      <c r="A90" s="192"/>
      <c r="B90" s="114" t="s">
        <v>112</v>
      </c>
      <c r="C90" s="193">
        <f t="shared" ref="C90:C106" ca="1" si="52">D90+G90</f>
        <v>0</v>
      </c>
      <c r="D90" s="194">
        <f t="shared" ref="D90:D106" ca="1" si="53">+E90+F90</f>
        <v>0</v>
      </c>
      <c r="E90" s="78">
        <f ca="1">IFERROR(__xludf.DUMMYFUNCTION("IMPORTRANGE(""https://docs.google.com/spreadsheets/d/1-uDff_7J0KD5mKrp0Vvzr7lt3OU09vwQwhkpOPPYv2Y/edit?usp=sharing"",""งบพรบ!AX90"")"),0)</f>
        <v>0</v>
      </c>
      <c r="F90" s="78">
        <f ca="1">IFERROR(__xludf.DUMMYFUNCTION("IMPORTRANGE(""https://docs.google.com/spreadsheets/d/1-uDff_7J0KD5mKrp0Vvzr7lt3OU09vwQwhkpOPPYv2Y/edit?usp=sharing"",""งบพรบ!AY90"")"),0)</f>
        <v>0</v>
      </c>
      <c r="G90" s="78">
        <f ca="1">IFERROR(__xludf.DUMMYFUNCTION("IMPORTRANGE(""https://docs.google.com/spreadsheets/d/1-uDff_7J0KD5mKrp0Vvzr7lt3OU09vwQwhkpOPPYv2Y/edit?usp=sharing"",""งบพรบ!AZ90"")"),0)</f>
        <v>0</v>
      </c>
      <c r="H90" s="78">
        <f ca="1">IFERROR(__xludf.DUMMYFUNCTION("IMPORTRANGE(""https://docs.google.com/spreadsheets/d/1-uDff_7J0KD5mKrp0Vvzr7lt3OU09vwQwhkpOPPYv2Y/edit?usp=sharing"",""งบพรบ!BB90"")"),0)</f>
        <v>0</v>
      </c>
      <c r="I90" s="78">
        <f ca="1">IFERROR(__xludf.DUMMYFUNCTION("IMPORTRANGE(""https://docs.google.com/spreadsheets/d/1-uDff_7J0KD5mKrp0Vvzr7lt3OU09vwQwhkpOPPYv2Y/edit?usp=sharing"",""งบพรบ!BC90"")"),0)</f>
        <v>0</v>
      </c>
      <c r="J90" s="78">
        <f t="shared" ref="J90:J106" ca="1" si="54">L90+O90</f>
        <v>0</v>
      </c>
      <c r="K90" s="115">
        <f t="shared" ref="K90:K106" ca="1" si="55">IF(C90&gt;0,J90*100/C90,0)</f>
        <v>0</v>
      </c>
      <c r="L90" s="78">
        <f ca="1">IFERROR(__xludf.DUMMYFUNCTION("IMPORTRANGE(""https://docs.google.com/spreadsheets/d/1-uDff_7J0KD5mKrp0Vvzr7lt3OU09vwQwhkpOPPYv2Y/edit?usp=sharing"",""งบพรบ!BD90"")"),0)</f>
        <v>0</v>
      </c>
      <c r="M90" s="81">
        <f t="shared" ref="M90:M106" ca="1" si="56">IF(D90&gt;0,L90*100/D90,0)</f>
        <v>0</v>
      </c>
      <c r="N90" s="81">
        <f t="shared" ref="N90:N106" ca="1" si="57">IF(H90&gt;0,L90*100/H90,0)</f>
        <v>0</v>
      </c>
      <c r="O90" s="82">
        <f ca="1">IFERROR(__xludf.DUMMYFUNCTION("IMPORTRANGE(""https://docs.google.com/spreadsheets/d/1-uDff_7J0KD5mKrp0Vvzr7lt3OU09vwQwhkpOPPYv2Y/edit?usp=sharing"",""งบพรบ!BE90"")"),0)</f>
        <v>0</v>
      </c>
      <c r="P90" s="82">
        <f t="shared" ref="P90:P106" ca="1" si="58">IF(G90&gt;0,O90*100/G90,0)</f>
        <v>0</v>
      </c>
      <c r="Q90" s="81">
        <f t="shared" ref="Q90:Q106" ca="1" si="59">IF(I90&gt;0,O90*100/I90,0)</f>
        <v>0</v>
      </c>
      <c r="R90" s="78"/>
      <c r="S90" s="78"/>
      <c r="T90" s="195"/>
      <c r="U90" s="78"/>
      <c r="V90" s="78"/>
      <c r="W90" s="195"/>
      <c r="X90" s="78"/>
      <c r="Y90" s="78"/>
      <c r="Z90" s="195"/>
    </row>
    <row r="91" spans="1:26" ht="24" customHeight="1" x14ac:dyDescent="0.3">
      <c r="A91" s="196"/>
      <c r="B91" s="117" t="s">
        <v>113</v>
      </c>
      <c r="C91" s="197">
        <f t="shared" ca="1" si="52"/>
        <v>0</v>
      </c>
      <c r="D91" s="198">
        <f t="shared" ca="1" si="53"/>
        <v>0</v>
      </c>
      <c r="E91" s="88">
        <f ca="1">IFERROR(__xludf.DUMMYFUNCTION("IMPORTRANGE(""https://docs.google.com/spreadsheets/d/1-uDff_7J0KD5mKrp0Vvzr7lt3OU09vwQwhkpOPPYv2Y/edit?usp=sharing"",""งบพรบ!AX91"")"),0)</f>
        <v>0</v>
      </c>
      <c r="F91" s="88">
        <f ca="1">IFERROR(__xludf.DUMMYFUNCTION("IMPORTRANGE(""https://docs.google.com/spreadsheets/d/1-uDff_7J0KD5mKrp0Vvzr7lt3OU09vwQwhkpOPPYv2Y/edit?usp=sharing"",""งบพรบ!AY91"")"),0)</f>
        <v>0</v>
      </c>
      <c r="G91" s="88">
        <f ca="1">IFERROR(__xludf.DUMMYFUNCTION("IMPORTRANGE(""https://docs.google.com/spreadsheets/d/1-uDff_7J0KD5mKrp0Vvzr7lt3OU09vwQwhkpOPPYv2Y/edit?usp=sharing"",""งบพรบ!AZ91"")"),0)</f>
        <v>0</v>
      </c>
      <c r="H91" s="88">
        <f ca="1">IFERROR(__xludf.DUMMYFUNCTION("IMPORTRANGE(""https://docs.google.com/spreadsheets/d/1-uDff_7J0KD5mKrp0Vvzr7lt3OU09vwQwhkpOPPYv2Y/edit?usp=sharing"",""งบพรบ!BB91"")"),0)</f>
        <v>0</v>
      </c>
      <c r="I91" s="88">
        <f ca="1">IFERROR(__xludf.DUMMYFUNCTION("IMPORTRANGE(""https://docs.google.com/spreadsheets/d/1-uDff_7J0KD5mKrp0Vvzr7lt3OU09vwQwhkpOPPYv2Y/edit?usp=sharing"",""งบพรบ!BC91"")"),0)</f>
        <v>0</v>
      </c>
      <c r="J91" s="88">
        <f t="shared" ca="1" si="54"/>
        <v>0</v>
      </c>
      <c r="K91" s="89">
        <f t="shared" ca="1" si="55"/>
        <v>0</v>
      </c>
      <c r="L91" s="88">
        <f ca="1">IFERROR(__xludf.DUMMYFUNCTION("IMPORTRANGE(""https://docs.google.com/spreadsheets/d/1-uDff_7J0KD5mKrp0Vvzr7lt3OU09vwQwhkpOPPYv2Y/edit?usp=sharing"",""งบพรบ!BD91"")"),0)</f>
        <v>0</v>
      </c>
      <c r="M91" s="90">
        <f t="shared" ca="1" si="56"/>
        <v>0</v>
      </c>
      <c r="N91" s="90">
        <f t="shared" ca="1" si="57"/>
        <v>0</v>
      </c>
      <c r="O91" s="91">
        <f ca="1">IFERROR(__xludf.DUMMYFUNCTION("IMPORTRANGE(""https://docs.google.com/spreadsheets/d/1-uDff_7J0KD5mKrp0Vvzr7lt3OU09vwQwhkpOPPYv2Y/edit?usp=sharing"",""งบพรบ!BE91"")"),0)</f>
        <v>0</v>
      </c>
      <c r="P91" s="91">
        <f t="shared" ca="1" si="58"/>
        <v>0</v>
      </c>
      <c r="Q91" s="90">
        <f t="shared" ca="1" si="59"/>
        <v>0</v>
      </c>
      <c r="R91" s="88"/>
      <c r="S91" s="88"/>
      <c r="T91" s="199"/>
      <c r="U91" s="88"/>
      <c r="V91" s="88"/>
      <c r="W91" s="199"/>
      <c r="X91" s="88"/>
      <c r="Y91" s="88"/>
      <c r="Z91" s="199"/>
    </row>
    <row r="92" spans="1:26" ht="24" customHeight="1" x14ac:dyDescent="0.3">
      <c r="A92" s="196"/>
      <c r="B92" s="117" t="s">
        <v>114</v>
      </c>
      <c r="C92" s="197">
        <f t="shared" ca="1" si="52"/>
        <v>0</v>
      </c>
      <c r="D92" s="198">
        <f t="shared" ca="1" si="53"/>
        <v>0</v>
      </c>
      <c r="E92" s="88">
        <f ca="1">IFERROR(__xludf.DUMMYFUNCTION("IMPORTRANGE(""https://docs.google.com/spreadsheets/d/1-uDff_7J0KD5mKrp0Vvzr7lt3OU09vwQwhkpOPPYv2Y/edit?usp=sharing"",""งบพรบ!AX92"")"),0)</f>
        <v>0</v>
      </c>
      <c r="F92" s="88">
        <f ca="1">IFERROR(__xludf.DUMMYFUNCTION("IMPORTRANGE(""https://docs.google.com/spreadsheets/d/1-uDff_7J0KD5mKrp0Vvzr7lt3OU09vwQwhkpOPPYv2Y/edit?usp=sharing"",""งบพรบ!AY92"")"),0)</f>
        <v>0</v>
      </c>
      <c r="G92" s="88">
        <f ca="1">IFERROR(__xludf.DUMMYFUNCTION("IMPORTRANGE(""https://docs.google.com/spreadsheets/d/1-uDff_7J0KD5mKrp0Vvzr7lt3OU09vwQwhkpOPPYv2Y/edit?usp=sharing"",""งบพรบ!AZ92"")"),0)</f>
        <v>0</v>
      </c>
      <c r="H92" s="88">
        <f ca="1">IFERROR(__xludf.DUMMYFUNCTION("IMPORTRANGE(""https://docs.google.com/spreadsheets/d/1-uDff_7J0KD5mKrp0Vvzr7lt3OU09vwQwhkpOPPYv2Y/edit?usp=sharing"",""งบพรบ!BB92"")"),0)</f>
        <v>0</v>
      </c>
      <c r="I92" s="88">
        <f ca="1">IFERROR(__xludf.DUMMYFUNCTION("IMPORTRANGE(""https://docs.google.com/spreadsheets/d/1-uDff_7J0KD5mKrp0Vvzr7lt3OU09vwQwhkpOPPYv2Y/edit?usp=sharing"",""งบพรบ!BC92"")"),0)</f>
        <v>0</v>
      </c>
      <c r="J92" s="88">
        <f t="shared" ca="1" si="54"/>
        <v>0</v>
      </c>
      <c r="K92" s="89">
        <f t="shared" ca="1" si="55"/>
        <v>0</v>
      </c>
      <c r="L92" s="88">
        <f ca="1">IFERROR(__xludf.DUMMYFUNCTION("IMPORTRANGE(""https://docs.google.com/spreadsheets/d/1-uDff_7J0KD5mKrp0Vvzr7lt3OU09vwQwhkpOPPYv2Y/edit?usp=sharing"",""งบพรบ!BD92"")"),0)</f>
        <v>0</v>
      </c>
      <c r="M92" s="90">
        <f t="shared" ca="1" si="56"/>
        <v>0</v>
      </c>
      <c r="N92" s="90">
        <f t="shared" ca="1" si="57"/>
        <v>0</v>
      </c>
      <c r="O92" s="91">
        <f ca="1">IFERROR(__xludf.DUMMYFUNCTION("IMPORTRANGE(""https://docs.google.com/spreadsheets/d/1-uDff_7J0KD5mKrp0Vvzr7lt3OU09vwQwhkpOPPYv2Y/edit?usp=sharing"",""งบพรบ!BE92"")"),0)</f>
        <v>0</v>
      </c>
      <c r="P92" s="91">
        <f t="shared" ca="1" si="58"/>
        <v>0</v>
      </c>
      <c r="Q92" s="90">
        <f t="shared" ca="1" si="59"/>
        <v>0</v>
      </c>
      <c r="R92" s="88"/>
      <c r="S92" s="88"/>
      <c r="T92" s="199"/>
      <c r="U92" s="88"/>
      <c r="V92" s="88"/>
      <c r="W92" s="199"/>
      <c r="X92" s="88"/>
      <c r="Y92" s="88"/>
      <c r="Z92" s="199"/>
    </row>
    <row r="93" spans="1:26" ht="24" customHeight="1" x14ac:dyDescent="0.3">
      <c r="A93" s="196"/>
      <c r="B93" s="117" t="s">
        <v>115</v>
      </c>
      <c r="C93" s="197">
        <f t="shared" ca="1" si="52"/>
        <v>0</v>
      </c>
      <c r="D93" s="198">
        <f t="shared" ca="1" si="53"/>
        <v>0</v>
      </c>
      <c r="E93" s="88">
        <f ca="1">IFERROR(__xludf.DUMMYFUNCTION("IMPORTRANGE(""https://docs.google.com/spreadsheets/d/1-uDff_7J0KD5mKrp0Vvzr7lt3OU09vwQwhkpOPPYv2Y/edit?usp=sharing"",""งบพรบ!AX93"")"),0)</f>
        <v>0</v>
      </c>
      <c r="F93" s="88">
        <f ca="1">IFERROR(__xludf.DUMMYFUNCTION("IMPORTRANGE(""https://docs.google.com/spreadsheets/d/1-uDff_7J0KD5mKrp0Vvzr7lt3OU09vwQwhkpOPPYv2Y/edit?usp=sharing"",""งบพรบ!AY93"")"),0)</f>
        <v>0</v>
      </c>
      <c r="G93" s="88">
        <f ca="1">IFERROR(__xludf.DUMMYFUNCTION("IMPORTRANGE(""https://docs.google.com/spreadsheets/d/1-uDff_7J0KD5mKrp0Vvzr7lt3OU09vwQwhkpOPPYv2Y/edit?usp=sharing"",""งบพรบ!AZ93"")"),0)</f>
        <v>0</v>
      </c>
      <c r="H93" s="88">
        <f ca="1">IFERROR(__xludf.DUMMYFUNCTION("IMPORTRANGE(""https://docs.google.com/spreadsheets/d/1-uDff_7J0KD5mKrp0Vvzr7lt3OU09vwQwhkpOPPYv2Y/edit?usp=sharing"",""งบพรบ!BB93"")"),100000)</f>
        <v>100000</v>
      </c>
      <c r="I93" s="88">
        <f ca="1">IFERROR(__xludf.DUMMYFUNCTION("IMPORTRANGE(""https://docs.google.com/spreadsheets/d/1-uDff_7J0KD5mKrp0Vvzr7lt3OU09vwQwhkpOPPYv2Y/edit?usp=sharing"",""งบพรบ!BC93"")"),0)</f>
        <v>0</v>
      </c>
      <c r="J93" s="88">
        <f t="shared" ca="1" si="54"/>
        <v>0</v>
      </c>
      <c r="K93" s="89">
        <f t="shared" ca="1" si="55"/>
        <v>0</v>
      </c>
      <c r="L93" s="88">
        <f ca="1">IFERROR(__xludf.DUMMYFUNCTION("IMPORTRANGE(""https://docs.google.com/spreadsheets/d/1-uDff_7J0KD5mKrp0Vvzr7lt3OU09vwQwhkpOPPYv2Y/edit?usp=sharing"",""งบพรบ!BD93"")"),0)</f>
        <v>0</v>
      </c>
      <c r="M93" s="90">
        <f t="shared" ca="1" si="56"/>
        <v>0</v>
      </c>
      <c r="N93" s="90">
        <f t="shared" ca="1" si="57"/>
        <v>0</v>
      </c>
      <c r="O93" s="91">
        <f ca="1">IFERROR(__xludf.DUMMYFUNCTION("IMPORTRANGE(""https://docs.google.com/spreadsheets/d/1-uDff_7J0KD5mKrp0Vvzr7lt3OU09vwQwhkpOPPYv2Y/edit?usp=sharing"",""งบพรบ!BE93"")"),0)</f>
        <v>0</v>
      </c>
      <c r="P93" s="91">
        <f t="shared" ca="1" si="58"/>
        <v>0</v>
      </c>
      <c r="Q93" s="90">
        <f t="shared" ca="1" si="59"/>
        <v>0</v>
      </c>
      <c r="R93" s="88"/>
      <c r="S93" s="88"/>
      <c r="T93" s="199"/>
      <c r="U93" s="88"/>
      <c r="V93" s="88"/>
      <c r="W93" s="199"/>
      <c r="X93" s="88"/>
      <c r="Y93" s="88"/>
      <c r="Z93" s="199"/>
    </row>
    <row r="94" spans="1:26" ht="24" customHeight="1" x14ac:dyDescent="0.3">
      <c r="A94" s="196"/>
      <c r="B94" s="117" t="s">
        <v>116</v>
      </c>
      <c r="C94" s="197">
        <f t="shared" ca="1" si="52"/>
        <v>0</v>
      </c>
      <c r="D94" s="198">
        <f t="shared" ca="1" si="53"/>
        <v>0</v>
      </c>
      <c r="E94" s="88">
        <f ca="1">IFERROR(__xludf.DUMMYFUNCTION("IMPORTRANGE(""https://docs.google.com/spreadsheets/d/1-uDff_7J0KD5mKrp0Vvzr7lt3OU09vwQwhkpOPPYv2Y/edit?usp=sharing"",""งบพรบ!AX94"")"),0)</f>
        <v>0</v>
      </c>
      <c r="F94" s="88">
        <f ca="1">IFERROR(__xludf.DUMMYFUNCTION("IMPORTRANGE(""https://docs.google.com/spreadsheets/d/1-uDff_7J0KD5mKrp0Vvzr7lt3OU09vwQwhkpOPPYv2Y/edit?usp=sharing"",""งบพรบ!AY94"")"),0)</f>
        <v>0</v>
      </c>
      <c r="G94" s="88">
        <f ca="1">IFERROR(__xludf.DUMMYFUNCTION("IMPORTRANGE(""https://docs.google.com/spreadsheets/d/1-uDff_7J0KD5mKrp0Vvzr7lt3OU09vwQwhkpOPPYv2Y/edit?usp=sharing"",""งบพรบ!AZ94"")"),0)</f>
        <v>0</v>
      </c>
      <c r="H94" s="88">
        <f ca="1">IFERROR(__xludf.DUMMYFUNCTION("IMPORTRANGE(""https://docs.google.com/spreadsheets/d/1-uDff_7J0KD5mKrp0Vvzr7lt3OU09vwQwhkpOPPYv2Y/edit?usp=sharing"",""งบพรบ!BB94"")"),0)</f>
        <v>0</v>
      </c>
      <c r="I94" s="88">
        <f ca="1">IFERROR(__xludf.DUMMYFUNCTION("IMPORTRANGE(""https://docs.google.com/spreadsheets/d/1-uDff_7J0KD5mKrp0Vvzr7lt3OU09vwQwhkpOPPYv2Y/edit?usp=sharing"",""งบพรบ!BC94"")"),0)</f>
        <v>0</v>
      </c>
      <c r="J94" s="88">
        <f t="shared" ca="1" si="54"/>
        <v>0</v>
      </c>
      <c r="K94" s="89">
        <f t="shared" ca="1" si="55"/>
        <v>0</v>
      </c>
      <c r="L94" s="88">
        <f ca="1">IFERROR(__xludf.DUMMYFUNCTION("IMPORTRANGE(""https://docs.google.com/spreadsheets/d/1-uDff_7J0KD5mKrp0Vvzr7lt3OU09vwQwhkpOPPYv2Y/edit?usp=sharing"",""งบพรบ!BD94"")"),0)</f>
        <v>0</v>
      </c>
      <c r="M94" s="90">
        <f t="shared" ca="1" si="56"/>
        <v>0</v>
      </c>
      <c r="N94" s="90">
        <f t="shared" ca="1" si="57"/>
        <v>0</v>
      </c>
      <c r="O94" s="91">
        <f ca="1">IFERROR(__xludf.DUMMYFUNCTION("IMPORTRANGE(""https://docs.google.com/spreadsheets/d/1-uDff_7J0KD5mKrp0Vvzr7lt3OU09vwQwhkpOPPYv2Y/edit?usp=sharing"",""งบพรบ!BE94"")"),0)</f>
        <v>0</v>
      </c>
      <c r="P94" s="91">
        <f t="shared" ca="1" si="58"/>
        <v>0</v>
      </c>
      <c r="Q94" s="90">
        <f t="shared" ca="1" si="59"/>
        <v>0</v>
      </c>
      <c r="R94" s="88"/>
      <c r="S94" s="88"/>
      <c r="T94" s="199"/>
      <c r="U94" s="88"/>
      <c r="V94" s="88"/>
      <c r="W94" s="199"/>
      <c r="X94" s="88"/>
      <c r="Y94" s="88"/>
      <c r="Z94" s="199"/>
    </row>
    <row r="95" spans="1:26" ht="24" customHeight="1" x14ac:dyDescent="0.3">
      <c r="A95" s="196"/>
      <c r="B95" s="117" t="s">
        <v>117</v>
      </c>
      <c r="C95" s="197">
        <f t="shared" ca="1" si="52"/>
        <v>0</v>
      </c>
      <c r="D95" s="198">
        <f t="shared" ca="1" si="53"/>
        <v>0</v>
      </c>
      <c r="E95" s="88">
        <f ca="1">IFERROR(__xludf.DUMMYFUNCTION("IMPORTRANGE(""https://docs.google.com/spreadsheets/d/1-uDff_7J0KD5mKrp0Vvzr7lt3OU09vwQwhkpOPPYv2Y/edit?usp=sharing"",""งบพรบ!AX95"")"),0)</f>
        <v>0</v>
      </c>
      <c r="F95" s="88">
        <f ca="1">IFERROR(__xludf.DUMMYFUNCTION("IMPORTRANGE(""https://docs.google.com/spreadsheets/d/1-uDff_7J0KD5mKrp0Vvzr7lt3OU09vwQwhkpOPPYv2Y/edit?usp=sharing"",""งบพรบ!AY95"")"),0)</f>
        <v>0</v>
      </c>
      <c r="G95" s="88">
        <f ca="1">IFERROR(__xludf.DUMMYFUNCTION("IMPORTRANGE(""https://docs.google.com/spreadsheets/d/1-uDff_7J0KD5mKrp0Vvzr7lt3OU09vwQwhkpOPPYv2Y/edit?usp=sharing"",""งบพรบ!AZ95"")"),0)</f>
        <v>0</v>
      </c>
      <c r="H95" s="88">
        <f ca="1">IFERROR(__xludf.DUMMYFUNCTION("IMPORTRANGE(""https://docs.google.com/spreadsheets/d/1-uDff_7J0KD5mKrp0Vvzr7lt3OU09vwQwhkpOPPYv2Y/edit?usp=sharing"",""งบพรบ!BB95"")"),0)</f>
        <v>0</v>
      </c>
      <c r="I95" s="88">
        <f ca="1">IFERROR(__xludf.DUMMYFUNCTION("IMPORTRANGE(""https://docs.google.com/spreadsheets/d/1-uDff_7J0KD5mKrp0Vvzr7lt3OU09vwQwhkpOPPYv2Y/edit?usp=sharing"",""งบพรบ!BC95"")"),0)</f>
        <v>0</v>
      </c>
      <c r="J95" s="88">
        <f t="shared" ca="1" si="54"/>
        <v>0</v>
      </c>
      <c r="K95" s="89">
        <f t="shared" ca="1" si="55"/>
        <v>0</v>
      </c>
      <c r="L95" s="88">
        <f ca="1">IFERROR(__xludf.DUMMYFUNCTION("IMPORTRANGE(""https://docs.google.com/spreadsheets/d/1-uDff_7J0KD5mKrp0Vvzr7lt3OU09vwQwhkpOPPYv2Y/edit?usp=sharing"",""งบพรบ!BD95"")"),0)</f>
        <v>0</v>
      </c>
      <c r="M95" s="90">
        <f t="shared" ca="1" si="56"/>
        <v>0</v>
      </c>
      <c r="N95" s="90">
        <f t="shared" ca="1" si="57"/>
        <v>0</v>
      </c>
      <c r="O95" s="91">
        <f ca="1">IFERROR(__xludf.DUMMYFUNCTION("IMPORTRANGE(""https://docs.google.com/spreadsheets/d/1-uDff_7J0KD5mKrp0Vvzr7lt3OU09vwQwhkpOPPYv2Y/edit?usp=sharing"",""งบพรบ!BE95"")"),0)</f>
        <v>0</v>
      </c>
      <c r="P95" s="91">
        <f t="shared" ca="1" si="58"/>
        <v>0</v>
      </c>
      <c r="Q95" s="90">
        <f t="shared" ca="1" si="59"/>
        <v>0</v>
      </c>
      <c r="R95" s="88"/>
      <c r="S95" s="88"/>
      <c r="T95" s="199"/>
      <c r="U95" s="88"/>
      <c r="V95" s="88"/>
      <c r="W95" s="199"/>
      <c r="X95" s="88"/>
      <c r="Y95" s="88"/>
      <c r="Z95" s="199"/>
    </row>
    <row r="96" spans="1:26" ht="24" customHeight="1" x14ac:dyDescent="0.3">
      <c r="A96" s="196"/>
      <c r="B96" s="117" t="s">
        <v>118</v>
      </c>
      <c r="C96" s="197">
        <f t="shared" ca="1" si="52"/>
        <v>0</v>
      </c>
      <c r="D96" s="198">
        <f t="shared" ca="1" si="53"/>
        <v>0</v>
      </c>
      <c r="E96" s="88">
        <f ca="1">IFERROR(__xludf.DUMMYFUNCTION("IMPORTRANGE(""https://docs.google.com/spreadsheets/d/1-uDff_7J0KD5mKrp0Vvzr7lt3OU09vwQwhkpOPPYv2Y/edit?usp=sharing"",""งบพรบ!AX96"")"),0)</f>
        <v>0</v>
      </c>
      <c r="F96" s="88">
        <f ca="1">IFERROR(__xludf.DUMMYFUNCTION("IMPORTRANGE(""https://docs.google.com/spreadsheets/d/1-uDff_7J0KD5mKrp0Vvzr7lt3OU09vwQwhkpOPPYv2Y/edit?usp=sharing"",""งบพรบ!AY96"")"),0)</f>
        <v>0</v>
      </c>
      <c r="G96" s="88">
        <f ca="1">IFERROR(__xludf.DUMMYFUNCTION("IMPORTRANGE(""https://docs.google.com/spreadsheets/d/1-uDff_7J0KD5mKrp0Vvzr7lt3OU09vwQwhkpOPPYv2Y/edit?usp=sharing"",""งบพรบ!AZ96"")"),0)</f>
        <v>0</v>
      </c>
      <c r="H96" s="88">
        <f ca="1">IFERROR(__xludf.DUMMYFUNCTION("IMPORTRANGE(""https://docs.google.com/spreadsheets/d/1-uDff_7J0KD5mKrp0Vvzr7lt3OU09vwQwhkpOPPYv2Y/edit?usp=sharing"",""งบพรบ!BB96"")"),0)</f>
        <v>0</v>
      </c>
      <c r="I96" s="88">
        <f ca="1">IFERROR(__xludf.DUMMYFUNCTION("IMPORTRANGE(""https://docs.google.com/spreadsheets/d/1-uDff_7J0KD5mKrp0Vvzr7lt3OU09vwQwhkpOPPYv2Y/edit?usp=sharing"",""งบพรบ!BC96"")"),0)</f>
        <v>0</v>
      </c>
      <c r="J96" s="88">
        <f t="shared" ca="1" si="54"/>
        <v>0</v>
      </c>
      <c r="K96" s="89">
        <f t="shared" ca="1" si="55"/>
        <v>0</v>
      </c>
      <c r="L96" s="88">
        <f ca="1">IFERROR(__xludf.DUMMYFUNCTION("IMPORTRANGE(""https://docs.google.com/spreadsheets/d/1-uDff_7J0KD5mKrp0Vvzr7lt3OU09vwQwhkpOPPYv2Y/edit?usp=sharing"",""งบพรบ!BD96"")"),0)</f>
        <v>0</v>
      </c>
      <c r="M96" s="90">
        <f t="shared" ca="1" si="56"/>
        <v>0</v>
      </c>
      <c r="N96" s="90">
        <f t="shared" ca="1" si="57"/>
        <v>0</v>
      </c>
      <c r="O96" s="91">
        <f ca="1">IFERROR(__xludf.DUMMYFUNCTION("IMPORTRANGE(""https://docs.google.com/spreadsheets/d/1-uDff_7J0KD5mKrp0Vvzr7lt3OU09vwQwhkpOPPYv2Y/edit?usp=sharing"",""งบพรบ!BE96"")"),0)</f>
        <v>0</v>
      </c>
      <c r="P96" s="91">
        <f t="shared" ca="1" si="58"/>
        <v>0</v>
      </c>
      <c r="Q96" s="90">
        <f t="shared" ca="1" si="59"/>
        <v>0</v>
      </c>
      <c r="R96" s="88"/>
      <c r="S96" s="88"/>
      <c r="T96" s="199"/>
      <c r="U96" s="88"/>
      <c r="V96" s="88"/>
      <c r="W96" s="199"/>
      <c r="X96" s="88"/>
      <c r="Y96" s="88"/>
      <c r="Z96" s="199"/>
    </row>
    <row r="97" spans="1:26" ht="24" customHeight="1" x14ac:dyDescent="0.3">
      <c r="A97" s="196"/>
      <c r="B97" s="117" t="s">
        <v>119</v>
      </c>
      <c r="C97" s="197">
        <f t="shared" ca="1" si="52"/>
        <v>0</v>
      </c>
      <c r="D97" s="198">
        <f t="shared" ca="1" si="53"/>
        <v>0</v>
      </c>
      <c r="E97" s="88">
        <f ca="1">IFERROR(__xludf.DUMMYFUNCTION("IMPORTRANGE(""https://docs.google.com/spreadsheets/d/1-uDff_7J0KD5mKrp0Vvzr7lt3OU09vwQwhkpOPPYv2Y/edit?usp=sharing"",""งบพรบ!AX97"")"),0)</f>
        <v>0</v>
      </c>
      <c r="F97" s="88">
        <f ca="1">IFERROR(__xludf.DUMMYFUNCTION("IMPORTRANGE(""https://docs.google.com/spreadsheets/d/1-uDff_7J0KD5mKrp0Vvzr7lt3OU09vwQwhkpOPPYv2Y/edit?usp=sharing"",""งบพรบ!AY97"")"),0)</f>
        <v>0</v>
      </c>
      <c r="G97" s="88">
        <f ca="1">IFERROR(__xludf.DUMMYFUNCTION("IMPORTRANGE(""https://docs.google.com/spreadsheets/d/1-uDff_7J0KD5mKrp0Vvzr7lt3OU09vwQwhkpOPPYv2Y/edit?usp=sharing"",""งบพรบ!AZ97"")"),0)</f>
        <v>0</v>
      </c>
      <c r="H97" s="88">
        <f ca="1">IFERROR(__xludf.DUMMYFUNCTION("IMPORTRANGE(""https://docs.google.com/spreadsheets/d/1-uDff_7J0KD5mKrp0Vvzr7lt3OU09vwQwhkpOPPYv2Y/edit?usp=sharing"",""งบพรบ!BB97"")"),0)</f>
        <v>0</v>
      </c>
      <c r="I97" s="88">
        <f ca="1">IFERROR(__xludf.DUMMYFUNCTION("IMPORTRANGE(""https://docs.google.com/spreadsheets/d/1-uDff_7J0KD5mKrp0Vvzr7lt3OU09vwQwhkpOPPYv2Y/edit?usp=sharing"",""งบพรบ!BC97"")"),0)</f>
        <v>0</v>
      </c>
      <c r="J97" s="88">
        <f t="shared" ca="1" si="54"/>
        <v>0</v>
      </c>
      <c r="K97" s="89">
        <f t="shared" ca="1" si="55"/>
        <v>0</v>
      </c>
      <c r="L97" s="88">
        <f ca="1">IFERROR(__xludf.DUMMYFUNCTION("IMPORTRANGE(""https://docs.google.com/spreadsheets/d/1-uDff_7J0KD5mKrp0Vvzr7lt3OU09vwQwhkpOPPYv2Y/edit?usp=sharing"",""งบพรบ!BD97"")"),0)</f>
        <v>0</v>
      </c>
      <c r="M97" s="90">
        <f t="shared" ca="1" si="56"/>
        <v>0</v>
      </c>
      <c r="N97" s="90">
        <f t="shared" ca="1" si="57"/>
        <v>0</v>
      </c>
      <c r="O97" s="91">
        <f ca="1">IFERROR(__xludf.DUMMYFUNCTION("IMPORTRANGE(""https://docs.google.com/spreadsheets/d/1-uDff_7J0KD5mKrp0Vvzr7lt3OU09vwQwhkpOPPYv2Y/edit?usp=sharing"",""งบพรบ!BE97"")"),0)</f>
        <v>0</v>
      </c>
      <c r="P97" s="91">
        <f t="shared" ca="1" si="58"/>
        <v>0</v>
      </c>
      <c r="Q97" s="90">
        <f t="shared" ca="1" si="59"/>
        <v>0</v>
      </c>
      <c r="R97" s="88"/>
      <c r="S97" s="88"/>
      <c r="T97" s="199"/>
      <c r="U97" s="88"/>
      <c r="V97" s="88"/>
      <c r="W97" s="199"/>
      <c r="X97" s="88"/>
      <c r="Y97" s="88"/>
      <c r="Z97" s="199"/>
    </row>
    <row r="98" spans="1:26" ht="24" customHeight="1" x14ac:dyDescent="0.3">
      <c r="A98" s="196"/>
      <c r="B98" s="117" t="s">
        <v>120</v>
      </c>
      <c r="C98" s="197">
        <f t="shared" ca="1" si="52"/>
        <v>0</v>
      </c>
      <c r="D98" s="198">
        <f t="shared" ca="1" si="53"/>
        <v>0</v>
      </c>
      <c r="E98" s="88">
        <f ca="1">IFERROR(__xludf.DUMMYFUNCTION("IMPORTRANGE(""https://docs.google.com/spreadsheets/d/1-uDff_7J0KD5mKrp0Vvzr7lt3OU09vwQwhkpOPPYv2Y/edit?usp=sharing"",""งบพรบ!AX98"")"),0)</f>
        <v>0</v>
      </c>
      <c r="F98" s="88">
        <f ca="1">IFERROR(__xludf.DUMMYFUNCTION("IMPORTRANGE(""https://docs.google.com/spreadsheets/d/1-uDff_7J0KD5mKrp0Vvzr7lt3OU09vwQwhkpOPPYv2Y/edit?usp=sharing"",""งบพรบ!AY98"")"),0)</f>
        <v>0</v>
      </c>
      <c r="G98" s="88">
        <f ca="1">IFERROR(__xludf.DUMMYFUNCTION("IMPORTRANGE(""https://docs.google.com/spreadsheets/d/1-uDff_7J0KD5mKrp0Vvzr7lt3OU09vwQwhkpOPPYv2Y/edit?usp=sharing"",""งบพรบ!AZ98"")"),0)</f>
        <v>0</v>
      </c>
      <c r="H98" s="88">
        <f ca="1">IFERROR(__xludf.DUMMYFUNCTION("IMPORTRANGE(""https://docs.google.com/spreadsheets/d/1-uDff_7J0KD5mKrp0Vvzr7lt3OU09vwQwhkpOPPYv2Y/edit?usp=sharing"",""งบพรบ!BB98"")"),0)</f>
        <v>0</v>
      </c>
      <c r="I98" s="88">
        <f ca="1">IFERROR(__xludf.DUMMYFUNCTION("IMPORTRANGE(""https://docs.google.com/spreadsheets/d/1-uDff_7J0KD5mKrp0Vvzr7lt3OU09vwQwhkpOPPYv2Y/edit?usp=sharing"",""งบพรบ!BC98"")"),0)</f>
        <v>0</v>
      </c>
      <c r="J98" s="88">
        <f t="shared" ca="1" si="54"/>
        <v>0</v>
      </c>
      <c r="K98" s="89">
        <f t="shared" ca="1" si="55"/>
        <v>0</v>
      </c>
      <c r="L98" s="88">
        <f ca="1">IFERROR(__xludf.DUMMYFUNCTION("IMPORTRANGE(""https://docs.google.com/spreadsheets/d/1-uDff_7J0KD5mKrp0Vvzr7lt3OU09vwQwhkpOPPYv2Y/edit?usp=sharing"",""งบพรบ!BD98"")"),0)</f>
        <v>0</v>
      </c>
      <c r="M98" s="90">
        <f t="shared" ca="1" si="56"/>
        <v>0</v>
      </c>
      <c r="N98" s="90">
        <f t="shared" ca="1" si="57"/>
        <v>0</v>
      </c>
      <c r="O98" s="91">
        <f ca="1">IFERROR(__xludf.DUMMYFUNCTION("IMPORTRANGE(""https://docs.google.com/spreadsheets/d/1-uDff_7J0KD5mKrp0Vvzr7lt3OU09vwQwhkpOPPYv2Y/edit?usp=sharing"",""งบพรบ!BE98"")"),0)</f>
        <v>0</v>
      </c>
      <c r="P98" s="91">
        <f t="shared" ca="1" si="58"/>
        <v>0</v>
      </c>
      <c r="Q98" s="90">
        <f t="shared" ca="1" si="59"/>
        <v>0</v>
      </c>
      <c r="R98" s="88"/>
      <c r="S98" s="88"/>
      <c r="T98" s="199"/>
      <c r="U98" s="88"/>
      <c r="V98" s="88"/>
      <c r="W98" s="199"/>
      <c r="X98" s="88"/>
      <c r="Y98" s="88"/>
      <c r="Z98" s="199"/>
    </row>
    <row r="99" spans="1:26" ht="24" customHeight="1" x14ac:dyDescent="0.3">
      <c r="A99" s="196"/>
      <c r="B99" s="117" t="s">
        <v>121</v>
      </c>
      <c r="C99" s="197">
        <f t="shared" ca="1" si="52"/>
        <v>0</v>
      </c>
      <c r="D99" s="198">
        <f t="shared" ca="1" si="53"/>
        <v>0</v>
      </c>
      <c r="E99" s="88">
        <f ca="1">IFERROR(__xludf.DUMMYFUNCTION("IMPORTRANGE(""https://docs.google.com/spreadsheets/d/1-uDff_7J0KD5mKrp0Vvzr7lt3OU09vwQwhkpOPPYv2Y/edit?usp=sharing"",""งบพรบ!AX99"")"),0)</f>
        <v>0</v>
      </c>
      <c r="F99" s="88">
        <f ca="1">IFERROR(__xludf.DUMMYFUNCTION("IMPORTRANGE(""https://docs.google.com/spreadsheets/d/1-uDff_7J0KD5mKrp0Vvzr7lt3OU09vwQwhkpOPPYv2Y/edit?usp=sharing"",""งบพรบ!AY99"")"),0)</f>
        <v>0</v>
      </c>
      <c r="G99" s="88">
        <f ca="1">IFERROR(__xludf.DUMMYFUNCTION("IMPORTRANGE(""https://docs.google.com/spreadsheets/d/1-uDff_7J0KD5mKrp0Vvzr7lt3OU09vwQwhkpOPPYv2Y/edit?usp=sharing"",""งบพรบ!AZ99"")"),0)</f>
        <v>0</v>
      </c>
      <c r="H99" s="88">
        <f ca="1">IFERROR(__xludf.DUMMYFUNCTION("IMPORTRANGE(""https://docs.google.com/spreadsheets/d/1-uDff_7J0KD5mKrp0Vvzr7lt3OU09vwQwhkpOPPYv2Y/edit?usp=sharing"",""งบพรบ!BB99"")"),0)</f>
        <v>0</v>
      </c>
      <c r="I99" s="88">
        <f ca="1">IFERROR(__xludf.DUMMYFUNCTION("IMPORTRANGE(""https://docs.google.com/spreadsheets/d/1-uDff_7J0KD5mKrp0Vvzr7lt3OU09vwQwhkpOPPYv2Y/edit?usp=sharing"",""งบพรบ!BC99"")"),0)</f>
        <v>0</v>
      </c>
      <c r="J99" s="88">
        <f t="shared" ca="1" si="54"/>
        <v>0</v>
      </c>
      <c r="K99" s="89">
        <f t="shared" ca="1" si="55"/>
        <v>0</v>
      </c>
      <c r="L99" s="88">
        <f ca="1">IFERROR(__xludf.DUMMYFUNCTION("IMPORTRANGE(""https://docs.google.com/spreadsheets/d/1-uDff_7J0KD5mKrp0Vvzr7lt3OU09vwQwhkpOPPYv2Y/edit?usp=sharing"",""งบพรบ!BD99"")"),0)</f>
        <v>0</v>
      </c>
      <c r="M99" s="90">
        <f t="shared" ca="1" si="56"/>
        <v>0</v>
      </c>
      <c r="N99" s="90">
        <f t="shared" ca="1" si="57"/>
        <v>0</v>
      </c>
      <c r="O99" s="91">
        <f ca="1">IFERROR(__xludf.DUMMYFUNCTION("IMPORTRANGE(""https://docs.google.com/spreadsheets/d/1-uDff_7J0KD5mKrp0Vvzr7lt3OU09vwQwhkpOPPYv2Y/edit?usp=sharing"",""งบพรบ!BE99"")"),0)</f>
        <v>0</v>
      </c>
      <c r="P99" s="91">
        <f t="shared" ca="1" si="58"/>
        <v>0</v>
      </c>
      <c r="Q99" s="90">
        <f t="shared" ca="1" si="59"/>
        <v>0</v>
      </c>
      <c r="R99" s="88"/>
      <c r="S99" s="88"/>
      <c r="T99" s="199"/>
      <c r="U99" s="88"/>
      <c r="V99" s="88"/>
      <c r="W99" s="199"/>
      <c r="X99" s="88"/>
      <c r="Y99" s="88"/>
      <c r="Z99" s="199"/>
    </row>
    <row r="100" spans="1:26" ht="24" customHeight="1" x14ac:dyDescent="0.3">
      <c r="A100" s="196"/>
      <c r="B100" s="117" t="s">
        <v>122</v>
      </c>
      <c r="C100" s="197">
        <f t="shared" ca="1" si="52"/>
        <v>0</v>
      </c>
      <c r="D100" s="198">
        <f t="shared" ca="1" si="53"/>
        <v>0</v>
      </c>
      <c r="E100" s="88">
        <f ca="1">IFERROR(__xludf.DUMMYFUNCTION("IMPORTRANGE(""https://docs.google.com/spreadsheets/d/1-uDff_7J0KD5mKrp0Vvzr7lt3OU09vwQwhkpOPPYv2Y/edit?usp=sharing"",""งบพรบ!AX100"")"),0)</f>
        <v>0</v>
      </c>
      <c r="F100" s="88">
        <f ca="1">IFERROR(__xludf.DUMMYFUNCTION("IMPORTRANGE(""https://docs.google.com/spreadsheets/d/1-uDff_7J0KD5mKrp0Vvzr7lt3OU09vwQwhkpOPPYv2Y/edit?usp=sharing"",""งบพรบ!AY100"")"),0)</f>
        <v>0</v>
      </c>
      <c r="G100" s="88">
        <f ca="1">IFERROR(__xludf.DUMMYFUNCTION("IMPORTRANGE(""https://docs.google.com/spreadsheets/d/1-uDff_7J0KD5mKrp0Vvzr7lt3OU09vwQwhkpOPPYv2Y/edit?usp=sharing"",""งบพรบ!AZ100"")"),0)</f>
        <v>0</v>
      </c>
      <c r="H100" s="88">
        <f ca="1">IFERROR(__xludf.DUMMYFUNCTION("IMPORTRANGE(""https://docs.google.com/spreadsheets/d/1-uDff_7J0KD5mKrp0Vvzr7lt3OU09vwQwhkpOPPYv2Y/edit?usp=sharing"",""งบพรบ!BB100"")"),0)</f>
        <v>0</v>
      </c>
      <c r="I100" s="88">
        <f ca="1">IFERROR(__xludf.DUMMYFUNCTION("IMPORTRANGE(""https://docs.google.com/spreadsheets/d/1-uDff_7J0KD5mKrp0Vvzr7lt3OU09vwQwhkpOPPYv2Y/edit?usp=sharing"",""งบพรบ!BC100"")"),0)</f>
        <v>0</v>
      </c>
      <c r="J100" s="88">
        <f t="shared" ca="1" si="54"/>
        <v>0</v>
      </c>
      <c r="K100" s="89">
        <f t="shared" ca="1" si="55"/>
        <v>0</v>
      </c>
      <c r="L100" s="88">
        <f ca="1">IFERROR(__xludf.DUMMYFUNCTION("IMPORTRANGE(""https://docs.google.com/spreadsheets/d/1-uDff_7J0KD5mKrp0Vvzr7lt3OU09vwQwhkpOPPYv2Y/edit?usp=sharing"",""งบพรบ!BD100"")"),0)</f>
        <v>0</v>
      </c>
      <c r="M100" s="90">
        <f t="shared" ca="1" si="56"/>
        <v>0</v>
      </c>
      <c r="N100" s="90">
        <f t="shared" ca="1" si="57"/>
        <v>0</v>
      </c>
      <c r="O100" s="91">
        <f ca="1">IFERROR(__xludf.DUMMYFUNCTION("IMPORTRANGE(""https://docs.google.com/spreadsheets/d/1-uDff_7J0KD5mKrp0Vvzr7lt3OU09vwQwhkpOPPYv2Y/edit?usp=sharing"",""งบพรบ!BE100"")"),0)</f>
        <v>0</v>
      </c>
      <c r="P100" s="91">
        <f t="shared" ca="1" si="58"/>
        <v>0</v>
      </c>
      <c r="Q100" s="90">
        <f t="shared" ca="1" si="59"/>
        <v>0</v>
      </c>
      <c r="R100" s="88"/>
      <c r="S100" s="88"/>
      <c r="T100" s="199"/>
      <c r="U100" s="88"/>
      <c r="V100" s="88"/>
      <c r="W100" s="199"/>
      <c r="X100" s="88"/>
      <c r="Y100" s="88"/>
      <c r="Z100" s="199"/>
    </row>
    <row r="101" spans="1:26" ht="24" customHeight="1" x14ac:dyDescent="0.3">
      <c r="A101" s="196"/>
      <c r="B101" s="117" t="s">
        <v>123</v>
      </c>
      <c r="C101" s="197">
        <f t="shared" ca="1" si="52"/>
        <v>417300</v>
      </c>
      <c r="D101" s="198">
        <f t="shared" ca="1" si="53"/>
        <v>417300</v>
      </c>
      <c r="E101" s="88">
        <f ca="1">IFERROR(__xludf.DUMMYFUNCTION("IMPORTRANGE(""https://docs.google.com/spreadsheets/d/1-uDff_7J0KD5mKrp0Vvzr7lt3OU09vwQwhkpOPPYv2Y/edit?usp=sharing"",""งบพรบ!AX101"")"),0)</f>
        <v>0</v>
      </c>
      <c r="F101" s="88">
        <f ca="1">IFERROR(__xludf.DUMMYFUNCTION("IMPORTRANGE(""https://docs.google.com/spreadsheets/d/1-uDff_7J0KD5mKrp0Vvzr7lt3OU09vwQwhkpOPPYv2Y/edit?usp=sharing"",""งบพรบ!AY101"")"),417300)</f>
        <v>417300</v>
      </c>
      <c r="G101" s="88">
        <f ca="1">IFERROR(__xludf.DUMMYFUNCTION("IMPORTRANGE(""https://docs.google.com/spreadsheets/d/1-uDff_7J0KD5mKrp0Vvzr7lt3OU09vwQwhkpOPPYv2Y/edit?usp=sharing"",""งบพรบ!AZ101"")"),0)</f>
        <v>0</v>
      </c>
      <c r="H101" s="88">
        <f ca="1">IFERROR(__xludf.DUMMYFUNCTION("IMPORTRANGE(""https://docs.google.com/spreadsheets/d/1-uDff_7J0KD5mKrp0Vvzr7lt3OU09vwQwhkpOPPYv2Y/edit?usp=sharing"",""งบพรบ!BB101"")"),242200)</f>
        <v>242200</v>
      </c>
      <c r="I101" s="88">
        <f ca="1">IFERROR(__xludf.DUMMYFUNCTION("IMPORTRANGE(""https://docs.google.com/spreadsheets/d/1-uDff_7J0KD5mKrp0Vvzr7lt3OU09vwQwhkpOPPYv2Y/edit?usp=sharing"",""งบพรบ!BC101"")"),0)</f>
        <v>0</v>
      </c>
      <c r="J101" s="88">
        <f t="shared" ca="1" si="54"/>
        <v>11613.41</v>
      </c>
      <c r="K101" s="89">
        <f t="shared" ca="1" si="55"/>
        <v>2.7829882578480709</v>
      </c>
      <c r="L101" s="88">
        <f ca="1">IFERROR(__xludf.DUMMYFUNCTION("IMPORTRANGE(""https://docs.google.com/spreadsheets/d/1-uDff_7J0KD5mKrp0Vvzr7lt3OU09vwQwhkpOPPYv2Y/edit?usp=sharing"",""งบพรบ!BD101"")"),11613.41)</f>
        <v>11613.41</v>
      </c>
      <c r="M101" s="90">
        <f t="shared" ca="1" si="56"/>
        <v>2.7829882578480709</v>
      </c>
      <c r="N101" s="90">
        <f t="shared" ca="1" si="57"/>
        <v>4.7949669694467385</v>
      </c>
      <c r="O101" s="91">
        <f ca="1">IFERROR(__xludf.DUMMYFUNCTION("IMPORTRANGE(""https://docs.google.com/spreadsheets/d/1-uDff_7J0KD5mKrp0Vvzr7lt3OU09vwQwhkpOPPYv2Y/edit?usp=sharing"",""งบพรบ!BE101"")"),0)</f>
        <v>0</v>
      </c>
      <c r="P101" s="91">
        <f t="shared" ca="1" si="58"/>
        <v>0</v>
      </c>
      <c r="Q101" s="90">
        <f t="shared" ca="1" si="59"/>
        <v>0</v>
      </c>
      <c r="R101" s="88"/>
      <c r="S101" s="88"/>
      <c r="T101" s="199"/>
      <c r="U101" s="88"/>
      <c r="V101" s="88"/>
      <c r="W101" s="199"/>
      <c r="X101" s="88"/>
      <c r="Y101" s="88"/>
      <c r="Z101" s="199"/>
    </row>
    <row r="102" spans="1:26" ht="24" customHeight="1" x14ac:dyDescent="0.3">
      <c r="A102" s="196"/>
      <c r="B102" s="117" t="s">
        <v>124</v>
      </c>
      <c r="C102" s="197">
        <f t="shared" ca="1" si="52"/>
        <v>0</v>
      </c>
      <c r="D102" s="198">
        <f t="shared" ca="1" si="53"/>
        <v>0</v>
      </c>
      <c r="E102" s="88">
        <f ca="1">IFERROR(__xludf.DUMMYFUNCTION("IMPORTRANGE(""https://docs.google.com/spreadsheets/d/1-uDff_7J0KD5mKrp0Vvzr7lt3OU09vwQwhkpOPPYv2Y/edit?usp=sharing"",""งบพรบ!AX102"")"),0)</f>
        <v>0</v>
      </c>
      <c r="F102" s="88">
        <f ca="1">IFERROR(__xludf.DUMMYFUNCTION("IMPORTRANGE(""https://docs.google.com/spreadsheets/d/1-uDff_7J0KD5mKrp0Vvzr7lt3OU09vwQwhkpOPPYv2Y/edit?usp=sharing"",""งบพรบ!AY102"")"),0)</f>
        <v>0</v>
      </c>
      <c r="G102" s="88">
        <f ca="1">IFERROR(__xludf.DUMMYFUNCTION("IMPORTRANGE(""https://docs.google.com/spreadsheets/d/1-uDff_7J0KD5mKrp0Vvzr7lt3OU09vwQwhkpOPPYv2Y/edit?usp=sharing"",""งบพรบ!AZ102"")"),0)</f>
        <v>0</v>
      </c>
      <c r="H102" s="88">
        <f ca="1">IFERROR(__xludf.DUMMYFUNCTION("IMPORTRANGE(""https://docs.google.com/spreadsheets/d/1-uDff_7J0KD5mKrp0Vvzr7lt3OU09vwQwhkpOPPYv2Y/edit?usp=sharing"",""งบพรบ!BB102"")"),0)</f>
        <v>0</v>
      </c>
      <c r="I102" s="88">
        <f ca="1">IFERROR(__xludf.DUMMYFUNCTION("IMPORTRANGE(""https://docs.google.com/spreadsheets/d/1-uDff_7J0KD5mKrp0Vvzr7lt3OU09vwQwhkpOPPYv2Y/edit?usp=sharing"",""งบพรบ!BC102"")"),0)</f>
        <v>0</v>
      </c>
      <c r="J102" s="88">
        <f t="shared" ca="1" si="54"/>
        <v>0</v>
      </c>
      <c r="K102" s="89">
        <f t="shared" ca="1" si="55"/>
        <v>0</v>
      </c>
      <c r="L102" s="88">
        <f ca="1">IFERROR(__xludf.DUMMYFUNCTION("IMPORTRANGE(""https://docs.google.com/spreadsheets/d/1-uDff_7J0KD5mKrp0Vvzr7lt3OU09vwQwhkpOPPYv2Y/edit?usp=sharing"",""งบพรบ!BD102"")"),0)</f>
        <v>0</v>
      </c>
      <c r="M102" s="90">
        <f t="shared" ca="1" si="56"/>
        <v>0</v>
      </c>
      <c r="N102" s="90">
        <f t="shared" ca="1" si="57"/>
        <v>0</v>
      </c>
      <c r="O102" s="91">
        <f ca="1">IFERROR(__xludf.DUMMYFUNCTION("IMPORTRANGE(""https://docs.google.com/spreadsheets/d/1-uDff_7J0KD5mKrp0Vvzr7lt3OU09vwQwhkpOPPYv2Y/edit?usp=sharing"",""งบพรบ!BE102"")"),0)</f>
        <v>0</v>
      </c>
      <c r="P102" s="91">
        <f t="shared" ca="1" si="58"/>
        <v>0</v>
      </c>
      <c r="Q102" s="90">
        <f t="shared" ca="1" si="59"/>
        <v>0</v>
      </c>
      <c r="R102" s="88"/>
      <c r="S102" s="88"/>
      <c r="T102" s="199"/>
      <c r="U102" s="88"/>
      <c r="V102" s="88"/>
      <c r="W102" s="199"/>
      <c r="X102" s="88"/>
      <c r="Y102" s="88"/>
      <c r="Z102" s="199"/>
    </row>
    <row r="103" spans="1:26" ht="24" customHeight="1" x14ac:dyDescent="0.3">
      <c r="A103" s="196"/>
      <c r="B103" s="117" t="s">
        <v>125</v>
      </c>
      <c r="C103" s="197">
        <f t="shared" ca="1" si="52"/>
        <v>0</v>
      </c>
      <c r="D103" s="198">
        <f t="shared" ca="1" si="53"/>
        <v>0</v>
      </c>
      <c r="E103" s="88">
        <f ca="1">IFERROR(__xludf.DUMMYFUNCTION("IMPORTRANGE(""https://docs.google.com/spreadsheets/d/1-uDff_7J0KD5mKrp0Vvzr7lt3OU09vwQwhkpOPPYv2Y/edit?usp=sharing"",""งบพรบ!AX103"")"),0)</f>
        <v>0</v>
      </c>
      <c r="F103" s="88">
        <f ca="1">IFERROR(__xludf.DUMMYFUNCTION("IMPORTRANGE(""https://docs.google.com/spreadsheets/d/1-uDff_7J0KD5mKrp0Vvzr7lt3OU09vwQwhkpOPPYv2Y/edit?usp=sharing"",""งบพรบ!AY103"")"),0)</f>
        <v>0</v>
      </c>
      <c r="G103" s="88">
        <f ca="1">IFERROR(__xludf.DUMMYFUNCTION("IMPORTRANGE(""https://docs.google.com/spreadsheets/d/1-uDff_7J0KD5mKrp0Vvzr7lt3OU09vwQwhkpOPPYv2Y/edit?usp=sharing"",""งบพรบ!AZ103"")"),0)</f>
        <v>0</v>
      </c>
      <c r="H103" s="88">
        <f ca="1">IFERROR(__xludf.DUMMYFUNCTION("IMPORTRANGE(""https://docs.google.com/spreadsheets/d/1-uDff_7J0KD5mKrp0Vvzr7lt3OU09vwQwhkpOPPYv2Y/edit?usp=sharing"",""งบพรบ!BB103"")"),0)</f>
        <v>0</v>
      </c>
      <c r="I103" s="88">
        <f ca="1">IFERROR(__xludf.DUMMYFUNCTION("IMPORTRANGE(""https://docs.google.com/spreadsheets/d/1-uDff_7J0KD5mKrp0Vvzr7lt3OU09vwQwhkpOPPYv2Y/edit?usp=sharing"",""งบพรบ!BC103"")"),0)</f>
        <v>0</v>
      </c>
      <c r="J103" s="88">
        <f t="shared" ca="1" si="54"/>
        <v>0</v>
      </c>
      <c r="K103" s="89">
        <f t="shared" ca="1" si="55"/>
        <v>0</v>
      </c>
      <c r="L103" s="88">
        <f ca="1">IFERROR(__xludf.DUMMYFUNCTION("IMPORTRANGE(""https://docs.google.com/spreadsheets/d/1-uDff_7J0KD5mKrp0Vvzr7lt3OU09vwQwhkpOPPYv2Y/edit?usp=sharing"",""งบพรบ!BD103"")"),0)</f>
        <v>0</v>
      </c>
      <c r="M103" s="90">
        <f t="shared" ca="1" si="56"/>
        <v>0</v>
      </c>
      <c r="N103" s="90">
        <f t="shared" ca="1" si="57"/>
        <v>0</v>
      </c>
      <c r="O103" s="91">
        <f ca="1">IFERROR(__xludf.DUMMYFUNCTION("IMPORTRANGE(""https://docs.google.com/spreadsheets/d/1-uDff_7J0KD5mKrp0Vvzr7lt3OU09vwQwhkpOPPYv2Y/edit?usp=sharing"",""งบพรบ!BE103"")"),0)</f>
        <v>0</v>
      </c>
      <c r="P103" s="91">
        <f t="shared" ca="1" si="58"/>
        <v>0</v>
      </c>
      <c r="Q103" s="90">
        <f t="shared" ca="1" si="59"/>
        <v>0</v>
      </c>
      <c r="R103" s="88"/>
      <c r="S103" s="88"/>
      <c r="T103" s="199"/>
      <c r="U103" s="88"/>
      <c r="V103" s="88"/>
      <c r="W103" s="199"/>
      <c r="X103" s="88"/>
      <c r="Y103" s="88"/>
      <c r="Z103" s="199"/>
    </row>
    <row r="104" spans="1:26" ht="24" customHeight="1" x14ac:dyDescent="0.3">
      <c r="A104" s="196"/>
      <c r="B104" s="117" t="s">
        <v>126</v>
      </c>
      <c r="C104" s="197">
        <f t="shared" ca="1" si="52"/>
        <v>299800</v>
      </c>
      <c r="D104" s="198">
        <f t="shared" ca="1" si="53"/>
        <v>299800</v>
      </c>
      <c r="E104" s="88">
        <f ca="1">IFERROR(__xludf.DUMMYFUNCTION("IMPORTRANGE(""https://docs.google.com/spreadsheets/d/1-uDff_7J0KD5mKrp0Vvzr7lt3OU09vwQwhkpOPPYv2Y/edit?usp=sharing"",""งบพรบ!AX104"")"),299800)</f>
        <v>299800</v>
      </c>
      <c r="F104" s="88">
        <f ca="1">IFERROR(__xludf.DUMMYFUNCTION("IMPORTRANGE(""https://docs.google.com/spreadsheets/d/1-uDff_7J0KD5mKrp0Vvzr7lt3OU09vwQwhkpOPPYv2Y/edit?usp=sharing"",""งบพรบ!AY104"")"),0)</f>
        <v>0</v>
      </c>
      <c r="G104" s="88">
        <f ca="1">IFERROR(__xludf.DUMMYFUNCTION("IMPORTRANGE(""https://docs.google.com/spreadsheets/d/1-uDff_7J0KD5mKrp0Vvzr7lt3OU09vwQwhkpOPPYv2Y/edit?usp=sharing"",""งบพรบ!AZ104"")"),0)</f>
        <v>0</v>
      </c>
      <c r="H104" s="88">
        <f ca="1">IFERROR(__xludf.DUMMYFUNCTION("IMPORTRANGE(""https://docs.google.com/spreadsheets/d/1-uDff_7J0KD5mKrp0Vvzr7lt3OU09vwQwhkpOPPYv2Y/edit?usp=sharing"",""งบพรบ!BB104"")"),195900)</f>
        <v>195900</v>
      </c>
      <c r="I104" s="88">
        <f ca="1">IFERROR(__xludf.DUMMYFUNCTION("IMPORTRANGE(""https://docs.google.com/spreadsheets/d/1-uDff_7J0KD5mKrp0Vvzr7lt3OU09vwQwhkpOPPYv2Y/edit?usp=sharing"",""งบพรบ!BC104"")"),0)</f>
        <v>0</v>
      </c>
      <c r="J104" s="88">
        <f t="shared" ca="1" si="54"/>
        <v>149999.4</v>
      </c>
      <c r="K104" s="89">
        <f t="shared" ca="1" si="55"/>
        <v>50.033155436957969</v>
      </c>
      <c r="L104" s="88">
        <f ca="1">IFERROR(__xludf.DUMMYFUNCTION("IMPORTRANGE(""https://docs.google.com/spreadsheets/d/1-uDff_7J0KD5mKrp0Vvzr7lt3OU09vwQwhkpOPPYv2Y/edit?usp=sharing"",""งบพรบ!BD104"")"),149999.4)</f>
        <v>149999.4</v>
      </c>
      <c r="M104" s="90">
        <f t="shared" ca="1" si="56"/>
        <v>50.033155436957969</v>
      </c>
      <c r="N104" s="90">
        <f t="shared" ca="1" si="57"/>
        <v>76.569372128637056</v>
      </c>
      <c r="O104" s="91">
        <f ca="1">IFERROR(__xludf.DUMMYFUNCTION("IMPORTRANGE(""https://docs.google.com/spreadsheets/d/1-uDff_7J0KD5mKrp0Vvzr7lt3OU09vwQwhkpOPPYv2Y/edit?usp=sharing"",""งบพรบ!BE104"")"),0)</f>
        <v>0</v>
      </c>
      <c r="P104" s="91">
        <f t="shared" ca="1" si="58"/>
        <v>0</v>
      </c>
      <c r="Q104" s="90">
        <f t="shared" ca="1" si="59"/>
        <v>0</v>
      </c>
      <c r="R104" s="88"/>
      <c r="S104" s="88"/>
      <c r="T104" s="199"/>
      <c r="U104" s="88"/>
      <c r="V104" s="88"/>
      <c r="W104" s="199"/>
      <c r="X104" s="88"/>
      <c r="Y104" s="88"/>
      <c r="Z104" s="199"/>
    </row>
    <row r="105" spans="1:26" ht="24" customHeight="1" x14ac:dyDescent="0.3">
      <c r="A105" s="196"/>
      <c r="B105" s="118" t="s">
        <v>127</v>
      </c>
      <c r="C105" s="197">
        <f t="shared" ca="1" si="52"/>
        <v>0</v>
      </c>
      <c r="D105" s="198">
        <f t="shared" ca="1" si="53"/>
        <v>0</v>
      </c>
      <c r="E105" s="88">
        <f ca="1">IFERROR(__xludf.DUMMYFUNCTION("IMPORTRANGE(""https://docs.google.com/spreadsheets/d/1-uDff_7J0KD5mKrp0Vvzr7lt3OU09vwQwhkpOPPYv2Y/edit?usp=sharing"",""งบพรบ!AX105"")"),0)</f>
        <v>0</v>
      </c>
      <c r="F105" s="88">
        <f ca="1">IFERROR(__xludf.DUMMYFUNCTION("IMPORTRANGE(""https://docs.google.com/spreadsheets/d/1-uDff_7J0KD5mKrp0Vvzr7lt3OU09vwQwhkpOPPYv2Y/edit?usp=sharing"",""งบพรบ!AY105"")"),0)</f>
        <v>0</v>
      </c>
      <c r="G105" s="88">
        <f ca="1">IFERROR(__xludf.DUMMYFUNCTION("IMPORTRANGE(""https://docs.google.com/spreadsheets/d/1-uDff_7J0KD5mKrp0Vvzr7lt3OU09vwQwhkpOPPYv2Y/edit?usp=sharing"",""งบพรบ!AZ105"")"),0)</f>
        <v>0</v>
      </c>
      <c r="H105" s="88">
        <f ca="1">IFERROR(__xludf.DUMMYFUNCTION("IMPORTRANGE(""https://docs.google.com/spreadsheets/d/1-uDff_7J0KD5mKrp0Vvzr7lt3OU09vwQwhkpOPPYv2Y/edit?usp=sharing"",""งบพรบ!BB105"")"),0)</f>
        <v>0</v>
      </c>
      <c r="I105" s="88">
        <f ca="1">IFERROR(__xludf.DUMMYFUNCTION("IMPORTRANGE(""https://docs.google.com/spreadsheets/d/1-uDff_7J0KD5mKrp0Vvzr7lt3OU09vwQwhkpOPPYv2Y/edit?usp=sharing"",""งบพรบ!BC105"")"),0)</f>
        <v>0</v>
      </c>
      <c r="J105" s="88">
        <f t="shared" ca="1" si="54"/>
        <v>0</v>
      </c>
      <c r="K105" s="89">
        <f t="shared" ca="1" si="55"/>
        <v>0</v>
      </c>
      <c r="L105" s="88">
        <f ca="1">IFERROR(__xludf.DUMMYFUNCTION("IMPORTRANGE(""https://docs.google.com/spreadsheets/d/1-uDff_7J0KD5mKrp0Vvzr7lt3OU09vwQwhkpOPPYv2Y/edit?usp=sharing"",""งบพรบ!BD105"")"),0)</f>
        <v>0</v>
      </c>
      <c r="M105" s="90">
        <f t="shared" ca="1" si="56"/>
        <v>0</v>
      </c>
      <c r="N105" s="90">
        <f t="shared" ca="1" si="57"/>
        <v>0</v>
      </c>
      <c r="O105" s="91">
        <f ca="1">IFERROR(__xludf.DUMMYFUNCTION("IMPORTRANGE(""https://docs.google.com/spreadsheets/d/1-uDff_7J0KD5mKrp0Vvzr7lt3OU09vwQwhkpOPPYv2Y/edit?usp=sharing"",""งบพรบ!BE105"")"),0)</f>
        <v>0</v>
      </c>
      <c r="P105" s="91">
        <f t="shared" ca="1" si="58"/>
        <v>0</v>
      </c>
      <c r="Q105" s="90">
        <f t="shared" ca="1" si="59"/>
        <v>0</v>
      </c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24" customHeight="1" x14ac:dyDescent="0.3">
      <c r="A106" s="200"/>
      <c r="B106" s="120" t="s">
        <v>128</v>
      </c>
      <c r="C106" s="201">
        <f t="shared" ca="1" si="52"/>
        <v>0</v>
      </c>
      <c r="D106" s="202">
        <f t="shared" ca="1" si="53"/>
        <v>0</v>
      </c>
      <c r="E106" s="99">
        <f ca="1">IFERROR(__xludf.DUMMYFUNCTION("IMPORTRANGE(""https://docs.google.com/spreadsheets/d/1-uDff_7J0KD5mKrp0Vvzr7lt3OU09vwQwhkpOPPYv2Y/edit?usp=sharing"",""งบพรบ!AX106"")"),0)</f>
        <v>0</v>
      </c>
      <c r="F106" s="99">
        <f ca="1">IFERROR(__xludf.DUMMYFUNCTION("IMPORTRANGE(""https://docs.google.com/spreadsheets/d/1-uDff_7J0KD5mKrp0Vvzr7lt3OU09vwQwhkpOPPYv2Y/edit?usp=sharing"",""งบพรบ!AY106"")"),0)</f>
        <v>0</v>
      </c>
      <c r="G106" s="99">
        <f ca="1">IFERROR(__xludf.DUMMYFUNCTION("IMPORTRANGE(""https://docs.google.com/spreadsheets/d/1-uDff_7J0KD5mKrp0Vvzr7lt3OU09vwQwhkpOPPYv2Y/edit?usp=sharing"",""งบพรบ!AZ106"")"),0)</f>
        <v>0</v>
      </c>
      <c r="H106" s="99">
        <f ca="1">IFERROR(__xludf.DUMMYFUNCTION("IMPORTRANGE(""https://docs.google.com/spreadsheets/d/1-uDff_7J0KD5mKrp0Vvzr7lt3OU09vwQwhkpOPPYv2Y/edit?usp=sharing"",""งบพรบ!BB106"")"),0)</f>
        <v>0</v>
      </c>
      <c r="I106" s="99">
        <f ca="1">IFERROR(__xludf.DUMMYFUNCTION("IMPORTRANGE(""https://docs.google.com/spreadsheets/d/1-uDff_7J0KD5mKrp0Vvzr7lt3OU09vwQwhkpOPPYv2Y/edit?usp=sharing"",""งบพรบ!BC106"")"),0)</f>
        <v>0</v>
      </c>
      <c r="J106" s="99">
        <f t="shared" ca="1" si="54"/>
        <v>0</v>
      </c>
      <c r="K106" s="100">
        <f t="shared" ca="1" si="55"/>
        <v>0</v>
      </c>
      <c r="L106" s="99">
        <f ca="1">IFERROR(__xludf.DUMMYFUNCTION("IMPORTRANGE(""https://docs.google.com/spreadsheets/d/1-uDff_7J0KD5mKrp0Vvzr7lt3OU09vwQwhkpOPPYv2Y/edit?usp=sharing"",""งบพรบ!BD106"")"),0)</f>
        <v>0</v>
      </c>
      <c r="M106" s="101">
        <f t="shared" ca="1" si="56"/>
        <v>0</v>
      </c>
      <c r="N106" s="101">
        <f t="shared" ca="1" si="57"/>
        <v>0</v>
      </c>
      <c r="O106" s="102">
        <f ca="1">IFERROR(__xludf.DUMMYFUNCTION("IMPORTRANGE(""https://docs.google.com/spreadsheets/d/1-uDff_7J0KD5mKrp0Vvzr7lt3OU09vwQwhkpOPPYv2Y/edit?usp=sharing"",""งบพรบ!BE106"")"),0)</f>
        <v>0</v>
      </c>
      <c r="P106" s="102">
        <f t="shared" ca="1" si="58"/>
        <v>0</v>
      </c>
      <c r="Q106" s="101">
        <f t="shared" ca="1" si="59"/>
        <v>0</v>
      </c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24" customHeight="1" x14ac:dyDescent="0.2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4"/>
      <c r="N107" s="204"/>
      <c r="O107" s="205"/>
      <c r="P107" s="205"/>
      <c r="Q107" s="205"/>
      <c r="R107" s="203"/>
      <c r="S107" s="203"/>
      <c r="T107" s="203"/>
      <c r="U107" s="203"/>
      <c r="V107" s="203"/>
      <c r="W107" s="203"/>
      <c r="X107" s="203"/>
      <c r="Y107" s="203"/>
      <c r="Z107" s="203"/>
    </row>
    <row r="108" spans="1:26" ht="24" customHeight="1" x14ac:dyDescent="0.2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4"/>
      <c r="N108" s="204"/>
      <c r="O108" s="205"/>
      <c r="P108" s="205"/>
      <c r="Q108" s="205"/>
      <c r="R108" s="203"/>
      <c r="S108" s="203"/>
      <c r="T108" s="203"/>
      <c r="U108" s="203"/>
      <c r="V108" s="203"/>
      <c r="W108" s="203"/>
      <c r="X108" s="203"/>
      <c r="Y108" s="203"/>
      <c r="Z108" s="203"/>
    </row>
    <row r="109" spans="1:26" ht="24" customHeight="1" x14ac:dyDescent="0.2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4"/>
      <c r="N109" s="204"/>
      <c r="O109" s="205"/>
      <c r="P109" s="205"/>
      <c r="Q109" s="205"/>
      <c r="R109" s="203"/>
      <c r="S109" s="203"/>
      <c r="T109" s="203"/>
      <c r="U109" s="203"/>
      <c r="V109" s="203"/>
      <c r="W109" s="203"/>
      <c r="X109" s="203"/>
      <c r="Y109" s="203"/>
      <c r="Z109" s="203"/>
    </row>
    <row r="110" spans="1:26" ht="24" customHeight="1" x14ac:dyDescent="0.2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4"/>
      <c r="N110" s="204"/>
      <c r="O110" s="205"/>
      <c r="P110" s="205"/>
      <c r="Q110" s="205"/>
      <c r="R110" s="203"/>
      <c r="S110" s="203"/>
      <c r="T110" s="203"/>
      <c r="U110" s="203"/>
      <c r="V110" s="203"/>
      <c r="W110" s="203"/>
      <c r="X110" s="203"/>
      <c r="Y110" s="203"/>
      <c r="Z110" s="203"/>
    </row>
    <row r="111" spans="1:26" ht="24" customHeight="1" x14ac:dyDescent="0.2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4"/>
      <c r="N111" s="204"/>
      <c r="O111" s="205"/>
      <c r="P111" s="205"/>
      <c r="Q111" s="205"/>
      <c r="R111" s="203"/>
      <c r="S111" s="203"/>
      <c r="T111" s="203"/>
      <c r="U111" s="203"/>
      <c r="V111" s="203"/>
      <c r="W111" s="203"/>
      <c r="X111" s="203"/>
      <c r="Y111" s="203"/>
      <c r="Z111" s="203"/>
    </row>
    <row r="112" spans="1:26" ht="24" customHeight="1" x14ac:dyDescent="0.2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4"/>
      <c r="N112" s="204"/>
      <c r="O112" s="205"/>
      <c r="P112" s="205"/>
      <c r="Q112" s="205"/>
      <c r="R112" s="203"/>
      <c r="S112" s="203"/>
      <c r="T112" s="203"/>
      <c r="U112" s="203"/>
      <c r="V112" s="203"/>
      <c r="W112" s="203"/>
      <c r="X112" s="203"/>
      <c r="Y112" s="203"/>
      <c r="Z112" s="203"/>
    </row>
    <row r="113" spans="1:26" ht="24" customHeight="1" x14ac:dyDescent="0.2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4"/>
      <c r="N113" s="204"/>
      <c r="O113" s="205"/>
      <c r="P113" s="205"/>
      <c r="Q113" s="205"/>
      <c r="R113" s="203"/>
      <c r="S113" s="203"/>
      <c r="T113" s="203"/>
      <c r="U113" s="203"/>
      <c r="V113" s="203"/>
      <c r="W113" s="203"/>
      <c r="X113" s="203"/>
      <c r="Y113" s="203"/>
      <c r="Z113" s="203"/>
    </row>
    <row r="114" spans="1:26" ht="24" customHeight="1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4"/>
      <c r="N114" s="204"/>
      <c r="O114" s="205"/>
      <c r="P114" s="205"/>
      <c r="Q114" s="205"/>
      <c r="R114" s="203"/>
      <c r="S114" s="203"/>
      <c r="T114" s="203"/>
      <c r="U114" s="203"/>
      <c r="V114" s="203"/>
      <c r="W114" s="203"/>
      <c r="X114" s="203"/>
      <c r="Y114" s="203"/>
      <c r="Z114" s="203"/>
    </row>
    <row r="115" spans="1:26" ht="24" customHeight="1" x14ac:dyDescent="0.2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4"/>
      <c r="N115" s="204"/>
      <c r="O115" s="205"/>
      <c r="P115" s="205"/>
      <c r="Q115" s="205"/>
      <c r="R115" s="203"/>
      <c r="S115" s="203"/>
      <c r="T115" s="203"/>
      <c r="U115" s="203"/>
      <c r="V115" s="203"/>
      <c r="W115" s="203"/>
      <c r="X115" s="203"/>
      <c r="Y115" s="203"/>
      <c r="Z115" s="203"/>
    </row>
    <row r="116" spans="1:26" ht="24" customHeight="1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4"/>
      <c r="N116" s="204"/>
      <c r="O116" s="205"/>
      <c r="P116" s="205"/>
      <c r="Q116" s="205"/>
      <c r="R116" s="203"/>
      <c r="S116" s="203"/>
      <c r="T116" s="203"/>
      <c r="U116" s="203"/>
      <c r="V116" s="203"/>
      <c r="W116" s="203"/>
      <c r="X116" s="203"/>
      <c r="Y116" s="203"/>
      <c r="Z116" s="203"/>
    </row>
    <row r="117" spans="1:26" ht="24" customHeight="1" x14ac:dyDescent="0.2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4"/>
      <c r="N117" s="204"/>
      <c r="O117" s="205"/>
      <c r="P117" s="205"/>
      <c r="Q117" s="205"/>
      <c r="R117" s="203"/>
      <c r="S117" s="203"/>
      <c r="T117" s="203"/>
      <c r="U117" s="203"/>
      <c r="V117" s="203"/>
      <c r="W117" s="203"/>
      <c r="X117" s="203"/>
      <c r="Y117" s="203"/>
      <c r="Z117" s="203"/>
    </row>
    <row r="118" spans="1:26" ht="24" customHeight="1" x14ac:dyDescent="0.2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4"/>
      <c r="N118" s="204"/>
      <c r="O118" s="205"/>
      <c r="P118" s="205"/>
      <c r="Q118" s="205"/>
      <c r="R118" s="203"/>
      <c r="S118" s="203"/>
      <c r="T118" s="203"/>
      <c r="U118" s="203"/>
      <c r="V118" s="203"/>
      <c r="W118" s="203"/>
      <c r="X118" s="203"/>
      <c r="Y118" s="203"/>
      <c r="Z118" s="203"/>
    </row>
    <row r="119" spans="1:26" ht="24" customHeight="1" x14ac:dyDescent="0.2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4"/>
      <c r="N119" s="204"/>
      <c r="O119" s="205"/>
      <c r="P119" s="205"/>
      <c r="Q119" s="205"/>
      <c r="R119" s="203"/>
      <c r="S119" s="203"/>
      <c r="T119" s="203"/>
      <c r="U119" s="203"/>
      <c r="V119" s="203"/>
      <c r="W119" s="203"/>
      <c r="X119" s="203"/>
      <c r="Y119" s="203"/>
      <c r="Z119" s="203"/>
    </row>
    <row r="120" spans="1:26" ht="24" customHeight="1" x14ac:dyDescent="0.2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4"/>
      <c r="N120" s="204"/>
      <c r="O120" s="205"/>
      <c r="P120" s="205"/>
      <c r="Q120" s="205"/>
      <c r="R120" s="203"/>
      <c r="S120" s="203"/>
      <c r="T120" s="203"/>
      <c r="U120" s="203"/>
      <c r="V120" s="203"/>
      <c r="W120" s="203"/>
      <c r="X120" s="203"/>
      <c r="Y120" s="203"/>
      <c r="Z120" s="203"/>
    </row>
    <row r="121" spans="1:26" ht="24" customHeight="1" x14ac:dyDescent="0.2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4"/>
      <c r="N121" s="204"/>
      <c r="O121" s="205"/>
      <c r="P121" s="205"/>
      <c r="Q121" s="205"/>
      <c r="R121" s="203"/>
      <c r="S121" s="203"/>
      <c r="T121" s="203"/>
      <c r="U121" s="203"/>
      <c r="V121" s="203"/>
      <c r="W121" s="203"/>
      <c r="X121" s="203"/>
      <c r="Y121" s="203"/>
      <c r="Z121" s="203"/>
    </row>
    <row r="122" spans="1:26" ht="24" customHeight="1" x14ac:dyDescent="0.2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4"/>
      <c r="N122" s="204"/>
      <c r="O122" s="205"/>
      <c r="P122" s="205"/>
      <c r="Q122" s="205"/>
      <c r="R122" s="203"/>
      <c r="S122" s="203"/>
      <c r="T122" s="203"/>
      <c r="U122" s="203"/>
      <c r="V122" s="203"/>
      <c r="W122" s="203"/>
      <c r="X122" s="203"/>
      <c r="Y122" s="203"/>
      <c r="Z122" s="203"/>
    </row>
    <row r="123" spans="1:26" ht="24" customHeight="1" x14ac:dyDescent="0.2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4"/>
      <c r="N123" s="204"/>
      <c r="O123" s="205"/>
      <c r="P123" s="205"/>
      <c r="Q123" s="205"/>
      <c r="R123" s="203"/>
      <c r="S123" s="203"/>
      <c r="T123" s="203"/>
      <c r="U123" s="203"/>
      <c r="V123" s="203"/>
      <c r="W123" s="203"/>
      <c r="X123" s="203"/>
      <c r="Y123" s="203"/>
      <c r="Z123" s="203"/>
    </row>
    <row r="124" spans="1:26" ht="24" customHeight="1" x14ac:dyDescent="0.2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4"/>
      <c r="N124" s="204"/>
      <c r="O124" s="205"/>
      <c r="P124" s="205"/>
      <c r="Q124" s="205"/>
      <c r="R124" s="203"/>
      <c r="S124" s="203"/>
      <c r="T124" s="203"/>
      <c r="U124" s="203"/>
      <c r="V124" s="203"/>
      <c r="W124" s="203"/>
      <c r="X124" s="203"/>
      <c r="Y124" s="203"/>
      <c r="Z124" s="203"/>
    </row>
    <row r="125" spans="1:26" ht="24" customHeight="1" x14ac:dyDescent="0.2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4"/>
      <c r="N125" s="204"/>
      <c r="O125" s="205"/>
      <c r="P125" s="205"/>
      <c r="Q125" s="205"/>
      <c r="R125" s="203"/>
      <c r="S125" s="203"/>
      <c r="T125" s="203"/>
      <c r="U125" s="203"/>
      <c r="V125" s="203"/>
      <c r="W125" s="203"/>
      <c r="X125" s="203"/>
      <c r="Y125" s="203"/>
      <c r="Z125" s="203"/>
    </row>
    <row r="126" spans="1:26" ht="24" customHeight="1" x14ac:dyDescent="0.2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4"/>
      <c r="N126" s="204"/>
      <c r="O126" s="205"/>
      <c r="P126" s="205"/>
      <c r="Q126" s="205"/>
      <c r="R126" s="203"/>
      <c r="S126" s="203"/>
      <c r="T126" s="203"/>
      <c r="U126" s="203"/>
      <c r="V126" s="203"/>
      <c r="W126" s="203"/>
      <c r="X126" s="203"/>
      <c r="Y126" s="203"/>
      <c r="Z126" s="203"/>
    </row>
    <row r="127" spans="1:26" ht="24" customHeight="1" x14ac:dyDescent="0.2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4"/>
      <c r="N127" s="204"/>
      <c r="O127" s="205"/>
      <c r="P127" s="205"/>
      <c r="Q127" s="205"/>
      <c r="R127" s="203"/>
      <c r="S127" s="203"/>
      <c r="T127" s="203"/>
      <c r="U127" s="203"/>
      <c r="V127" s="203"/>
      <c r="W127" s="203"/>
      <c r="X127" s="203"/>
      <c r="Y127" s="203"/>
      <c r="Z127" s="203"/>
    </row>
    <row r="128" spans="1:26" ht="24" customHeight="1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4"/>
      <c r="N128" s="204"/>
      <c r="O128" s="205"/>
      <c r="P128" s="205"/>
      <c r="Q128" s="205"/>
      <c r="R128" s="203"/>
      <c r="S128" s="203"/>
      <c r="T128" s="203"/>
      <c r="U128" s="203"/>
      <c r="V128" s="203"/>
      <c r="W128" s="203"/>
      <c r="X128" s="203"/>
      <c r="Y128" s="203"/>
      <c r="Z128" s="203"/>
    </row>
    <row r="129" spans="1:26" ht="24" customHeight="1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4"/>
      <c r="N129" s="204"/>
      <c r="O129" s="205"/>
      <c r="P129" s="205"/>
      <c r="Q129" s="205"/>
      <c r="R129" s="203"/>
      <c r="S129" s="203"/>
      <c r="T129" s="203"/>
      <c r="U129" s="203"/>
      <c r="V129" s="203"/>
      <c r="W129" s="203"/>
      <c r="X129" s="203"/>
      <c r="Y129" s="203"/>
      <c r="Z129" s="203"/>
    </row>
    <row r="130" spans="1:26" ht="24" customHeight="1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4"/>
      <c r="N130" s="204"/>
      <c r="O130" s="205"/>
      <c r="P130" s="205"/>
      <c r="Q130" s="205"/>
      <c r="R130" s="203"/>
      <c r="S130" s="203"/>
      <c r="T130" s="203"/>
      <c r="U130" s="203"/>
      <c r="V130" s="203"/>
      <c r="W130" s="203"/>
      <c r="X130" s="203"/>
      <c r="Y130" s="203"/>
      <c r="Z130" s="203"/>
    </row>
    <row r="131" spans="1:26" ht="24" customHeight="1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4"/>
      <c r="N131" s="204"/>
      <c r="O131" s="205"/>
      <c r="P131" s="205"/>
      <c r="Q131" s="205"/>
      <c r="R131" s="203"/>
      <c r="S131" s="203"/>
      <c r="T131" s="203"/>
      <c r="U131" s="203"/>
      <c r="V131" s="203"/>
      <c r="W131" s="203"/>
      <c r="X131" s="203"/>
      <c r="Y131" s="203"/>
      <c r="Z131" s="203"/>
    </row>
    <row r="132" spans="1:26" ht="24" customHeight="1" x14ac:dyDescent="0.2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4"/>
      <c r="N132" s="204"/>
      <c r="O132" s="205"/>
      <c r="P132" s="205"/>
      <c r="Q132" s="205"/>
      <c r="R132" s="203"/>
      <c r="S132" s="203"/>
      <c r="T132" s="203"/>
      <c r="U132" s="203"/>
      <c r="V132" s="203"/>
      <c r="W132" s="203"/>
      <c r="X132" s="203"/>
      <c r="Y132" s="203"/>
      <c r="Z132" s="203"/>
    </row>
    <row r="133" spans="1:26" ht="24" customHeight="1" x14ac:dyDescent="0.2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4"/>
      <c r="N133" s="204"/>
      <c r="O133" s="205"/>
      <c r="P133" s="205"/>
      <c r="Q133" s="205"/>
      <c r="R133" s="203"/>
      <c r="S133" s="203"/>
      <c r="T133" s="203"/>
      <c r="U133" s="203"/>
      <c r="V133" s="203"/>
      <c r="W133" s="203"/>
      <c r="X133" s="203"/>
      <c r="Y133" s="203"/>
      <c r="Z133" s="203"/>
    </row>
    <row r="134" spans="1:26" ht="24" customHeight="1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4"/>
      <c r="N134" s="204"/>
      <c r="O134" s="205"/>
      <c r="P134" s="205"/>
      <c r="Q134" s="205"/>
      <c r="R134" s="203"/>
      <c r="S134" s="203"/>
      <c r="T134" s="203"/>
      <c r="U134" s="203"/>
      <c r="V134" s="203"/>
      <c r="W134" s="203"/>
      <c r="X134" s="203"/>
      <c r="Y134" s="203"/>
      <c r="Z134" s="203"/>
    </row>
    <row r="135" spans="1:26" ht="24" customHeight="1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4"/>
      <c r="N135" s="204"/>
      <c r="O135" s="205"/>
      <c r="P135" s="205"/>
      <c r="Q135" s="205"/>
      <c r="R135" s="203"/>
      <c r="S135" s="203"/>
      <c r="T135" s="203"/>
      <c r="U135" s="203"/>
      <c r="V135" s="203"/>
      <c r="W135" s="203"/>
      <c r="X135" s="203"/>
      <c r="Y135" s="203"/>
      <c r="Z135" s="203"/>
    </row>
    <row r="136" spans="1:26" ht="24" customHeight="1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4"/>
      <c r="N136" s="204"/>
      <c r="O136" s="205"/>
      <c r="P136" s="205"/>
      <c r="Q136" s="205"/>
      <c r="R136" s="203"/>
      <c r="S136" s="203"/>
      <c r="T136" s="203"/>
      <c r="U136" s="203"/>
      <c r="V136" s="203"/>
      <c r="W136" s="203"/>
      <c r="X136" s="203"/>
      <c r="Y136" s="203"/>
      <c r="Z136" s="203"/>
    </row>
    <row r="137" spans="1:26" ht="24" customHeight="1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4"/>
      <c r="N137" s="204"/>
      <c r="O137" s="205"/>
      <c r="P137" s="205"/>
      <c r="Q137" s="205"/>
      <c r="R137" s="203"/>
      <c r="S137" s="203"/>
      <c r="T137" s="203"/>
      <c r="U137" s="203"/>
      <c r="V137" s="203"/>
      <c r="W137" s="203"/>
      <c r="X137" s="203"/>
      <c r="Y137" s="203"/>
      <c r="Z137" s="203"/>
    </row>
    <row r="138" spans="1:26" ht="24" customHeight="1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4"/>
      <c r="N138" s="204"/>
      <c r="O138" s="205"/>
      <c r="P138" s="205"/>
      <c r="Q138" s="205"/>
      <c r="R138" s="203"/>
      <c r="S138" s="203"/>
      <c r="T138" s="203"/>
      <c r="U138" s="203"/>
      <c r="V138" s="203"/>
      <c r="W138" s="203"/>
      <c r="X138" s="203"/>
      <c r="Y138" s="203"/>
      <c r="Z138" s="203"/>
    </row>
    <row r="139" spans="1:26" ht="24" customHeight="1" x14ac:dyDescent="0.2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4"/>
      <c r="N139" s="204"/>
      <c r="O139" s="205"/>
      <c r="P139" s="205"/>
      <c r="Q139" s="205"/>
      <c r="R139" s="203"/>
      <c r="S139" s="203"/>
      <c r="T139" s="203"/>
      <c r="U139" s="203"/>
      <c r="V139" s="203"/>
      <c r="W139" s="203"/>
      <c r="X139" s="203"/>
      <c r="Y139" s="203"/>
      <c r="Z139" s="203"/>
    </row>
    <row r="140" spans="1:26" ht="24" customHeight="1" x14ac:dyDescent="0.2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4"/>
      <c r="N140" s="204"/>
      <c r="O140" s="205"/>
      <c r="P140" s="205"/>
      <c r="Q140" s="205"/>
      <c r="R140" s="203"/>
      <c r="S140" s="203"/>
      <c r="T140" s="203"/>
      <c r="U140" s="203"/>
      <c r="V140" s="203"/>
      <c r="W140" s="203"/>
      <c r="X140" s="203"/>
      <c r="Y140" s="203"/>
      <c r="Z140" s="203"/>
    </row>
    <row r="141" spans="1:26" ht="24" customHeight="1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4"/>
      <c r="N141" s="204"/>
      <c r="O141" s="205"/>
      <c r="P141" s="205"/>
      <c r="Q141" s="205"/>
      <c r="R141" s="203"/>
      <c r="S141" s="203"/>
      <c r="T141" s="203"/>
      <c r="U141" s="203"/>
      <c r="V141" s="203"/>
      <c r="W141" s="203"/>
      <c r="X141" s="203"/>
      <c r="Y141" s="203"/>
      <c r="Z141" s="203"/>
    </row>
    <row r="142" spans="1:26" ht="24" customHeight="1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4"/>
      <c r="N142" s="204"/>
      <c r="O142" s="205"/>
      <c r="P142" s="205"/>
      <c r="Q142" s="205"/>
      <c r="R142" s="203"/>
      <c r="S142" s="203"/>
      <c r="T142" s="203"/>
      <c r="U142" s="203"/>
      <c r="V142" s="203"/>
      <c r="W142" s="203"/>
      <c r="X142" s="203"/>
      <c r="Y142" s="203"/>
      <c r="Z142" s="203"/>
    </row>
    <row r="143" spans="1:26" ht="24" customHeight="1" x14ac:dyDescent="0.2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4"/>
      <c r="N143" s="204"/>
      <c r="O143" s="205"/>
      <c r="P143" s="205"/>
      <c r="Q143" s="205"/>
      <c r="R143" s="203"/>
      <c r="S143" s="203"/>
      <c r="T143" s="203"/>
      <c r="U143" s="203"/>
      <c r="V143" s="203"/>
      <c r="W143" s="203"/>
      <c r="X143" s="203"/>
      <c r="Y143" s="203"/>
      <c r="Z143" s="203"/>
    </row>
    <row r="144" spans="1:26" ht="24" customHeight="1" x14ac:dyDescent="0.2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4"/>
      <c r="N144" s="204"/>
      <c r="O144" s="205"/>
      <c r="P144" s="205"/>
      <c r="Q144" s="205"/>
      <c r="R144" s="203"/>
      <c r="S144" s="203"/>
      <c r="T144" s="203"/>
      <c r="U144" s="203"/>
      <c r="V144" s="203"/>
      <c r="W144" s="203"/>
      <c r="X144" s="203"/>
      <c r="Y144" s="203"/>
      <c r="Z144" s="203"/>
    </row>
    <row r="145" spans="1:26" ht="24" customHeight="1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4"/>
      <c r="N145" s="204"/>
      <c r="O145" s="205"/>
      <c r="P145" s="205"/>
      <c r="Q145" s="205"/>
      <c r="R145" s="203"/>
      <c r="S145" s="203"/>
      <c r="T145" s="203"/>
      <c r="U145" s="203"/>
      <c r="V145" s="203"/>
      <c r="W145" s="203"/>
      <c r="X145" s="203"/>
      <c r="Y145" s="203"/>
      <c r="Z145" s="203"/>
    </row>
    <row r="146" spans="1:26" ht="24" customHeight="1" x14ac:dyDescent="0.2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4"/>
      <c r="N146" s="204"/>
      <c r="O146" s="205"/>
      <c r="P146" s="205"/>
      <c r="Q146" s="205"/>
      <c r="R146" s="203"/>
      <c r="S146" s="203"/>
      <c r="T146" s="203"/>
      <c r="U146" s="203"/>
      <c r="V146" s="203"/>
      <c r="W146" s="203"/>
      <c r="X146" s="203"/>
      <c r="Y146" s="203"/>
      <c r="Z146" s="203"/>
    </row>
    <row r="147" spans="1:26" ht="24" customHeight="1" x14ac:dyDescent="0.2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4"/>
      <c r="N147" s="204"/>
      <c r="O147" s="205"/>
      <c r="P147" s="205"/>
      <c r="Q147" s="205"/>
      <c r="R147" s="203"/>
      <c r="S147" s="203"/>
      <c r="T147" s="203"/>
      <c r="U147" s="203"/>
      <c r="V147" s="203"/>
      <c r="W147" s="203"/>
      <c r="X147" s="203"/>
      <c r="Y147" s="203"/>
      <c r="Z147" s="203"/>
    </row>
    <row r="148" spans="1:26" ht="24" customHeight="1" x14ac:dyDescent="0.2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4"/>
      <c r="N148" s="204"/>
      <c r="O148" s="205"/>
      <c r="P148" s="205"/>
      <c r="Q148" s="205"/>
      <c r="R148" s="203"/>
      <c r="S148" s="203"/>
      <c r="T148" s="203"/>
      <c r="U148" s="203"/>
      <c r="V148" s="203"/>
      <c r="W148" s="203"/>
      <c r="X148" s="203"/>
      <c r="Y148" s="203"/>
      <c r="Z148" s="203"/>
    </row>
    <row r="149" spans="1:26" ht="24" customHeight="1" x14ac:dyDescent="0.2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4"/>
      <c r="N149" s="204"/>
      <c r="O149" s="205"/>
      <c r="P149" s="205"/>
      <c r="Q149" s="205"/>
      <c r="R149" s="203"/>
      <c r="S149" s="203"/>
      <c r="T149" s="203"/>
      <c r="U149" s="203"/>
      <c r="V149" s="203"/>
      <c r="W149" s="203"/>
      <c r="X149" s="203"/>
      <c r="Y149" s="203"/>
      <c r="Z149" s="203"/>
    </row>
    <row r="150" spans="1:26" ht="24" customHeight="1" x14ac:dyDescent="0.2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4"/>
      <c r="N150" s="204"/>
      <c r="O150" s="205"/>
      <c r="P150" s="205"/>
      <c r="Q150" s="205"/>
      <c r="R150" s="203"/>
      <c r="S150" s="203"/>
      <c r="T150" s="203"/>
      <c r="U150" s="203"/>
      <c r="V150" s="203"/>
      <c r="W150" s="203"/>
      <c r="X150" s="203"/>
      <c r="Y150" s="203"/>
      <c r="Z150" s="203"/>
    </row>
    <row r="151" spans="1:26" ht="24" customHeight="1" x14ac:dyDescent="0.2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4"/>
      <c r="N151" s="204"/>
      <c r="O151" s="205"/>
      <c r="P151" s="205"/>
      <c r="Q151" s="205"/>
      <c r="R151" s="203"/>
      <c r="S151" s="203"/>
      <c r="T151" s="203"/>
      <c r="U151" s="203"/>
      <c r="V151" s="203"/>
      <c r="W151" s="203"/>
      <c r="X151" s="203"/>
      <c r="Y151" s="203"/>
      <c r="Z151" s="203"/>
    </row>
    <row r="152" spans="1:26" ht="24" customHeight="1" x14ac:dyDescent="0.2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4"/>
      <c r="N152" s="204"/>
      <c r="O152" s="205"/>
      <c r="P152" s="205"/>
      <c r="Q152" s="205"/>
      <c r="R152" s="203"/>
      <c r="S152" s="203"/>
      <c r="T152" s="203"/>
      <c r="U152" s="203"/>
      <c r="V152" s="203"/>
      <c r="W152" s="203"/>
      <c r="X152" s="203"/>
      <c r="Y152" s="203"/>
      <c r="Z152" s="203"/>
    </row>
    <row r="153" spans="1:26" ht="24" customHeight="1" x14ac:dyDescent="0.2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4"/>
      <c r="N153" s="204"/>
      <c r="O153" s="205"/>
      <c r="P153" s="205"/>
      <c r="Q153" s="205"/>
      <c r="R153" s="203"/>
      <c r="S153" s="203"/>
      <c r="T153" s="203"/>
      <c r="U153" s="203"/>
      <c r="V153" s="203"/>
      <c r="W153" s="203"/>
      <c r="X153" s="203"/>
      <c r="Y153" s="203"/>
      <c r="Z153" s="203"/>
    </row>
    <row r="154" spans="1:26" ht="24" customHeight="1" x14ac:dyDescent="0.2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4"/>
      <c r="N154" s="204"/>
      <c r="O154" s="205"/>
      <c r="P154" s="205"/>
      <c r="Q154" s="205"/>
      <c r="R154" s="203"/>
      <c r="S154" s="203"/>
      <c r="T154" s="203"/>
      <c r="U154" s="203"/>
      <c r="V154" s="203"/>
      <c r="W154" s="203"/>
      <c r="X154" s="203"/>
      <c r="Y154" s="203"/>
      <c r="Z154" s="203"/>
    </row>
    <row r="155" spans="1:26" ht="24" customHeight="1" x14ac:dyDescent="0.2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4"/>
      <c r="N155" s="204"/>
      <c r="O155" s="205"/>
      <c r="P155" s="205"/>
      <c r="Q155" s="205"/>
      <c r="R155" s="203"/>
      <c r="S155" s="203"/>
      <c r="T155" s="203"/>
      <c r="U155" s="203"/>
      <c r="V155" s="203"/>
      <c r="W155" s="203"/>
      <c r="X155" s="203"/>
      <c r="Y155" s="203"/>
      <c r="Z155" s="203"/>
    </row>
    <row r="156" spans="1:26" ht="24" customHeight="1" x14ac:dyDescent="0.2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4"/>
      <c r="N156" s="204"/>
      <c r="O156" s="205"/>
      <c r="P156" s="205"/>
      <c r="Q156" s="205"/>
      <c r="R156" s="203"/>
      <c r="S156" s="203"/>
      <c r="T156" s="203"/>
      <c r="U156" s="203"/>
      <c r="V156" s="203"/>
      <c r="W156" s="203"/>
      <c r="X156" s="203"/>
      <c r="Y156" s="203"/>
      <c r="Z156" s="203"/>
    </row>
    <row r="157" spans="1:26" ht="24" customHeight="1" x14ac:dyDescent="0.2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4"/>
      <c r="N157" s="204"/>
      <c r="O157" s="205"/>
      <c r="P157" s="205"/>
      <c r="Q157" s="205"/>
      <c r="R157" s="203"/>
      <c r="S157" s="203"/>
      <c r="T157" s="203"/>
      <c r="U157" s="203"/>
      <c r="V157" s="203"/>
      <c r="W157" s="203"/>
      <c r="X157" s="203"/>
      <c r="Y157" s="203"/>
      <c r="Z157" s="203"/>
    </row>
    <row r="158" spans="1:26" ht="24" customHeight="1" x14ac:dyDescent="0.2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4"/>
      <c r="N158" s="204"/>
      <c r="O158" s="205"/>
      <c r="P158" s="205"/>
      <c r="Q158" s="205"/>
      <c r="R158" s="203"/>
      <c r="S158" s="203"/>
      <c r="T158" s="203"/>
      <c r="U158" s="203"/>
      <c r="V158" s="203"/>
      <c r="W158" s="203"/>
      <c r="X158" s="203"/>
      <c r="Y158" s="203"/>
      <c r="Z158" s="203"/>
    </row>
    <row r="159" spans="1:26" ht="24" customHeight="1" x14ac:dyDescent="0.2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4"/>
      <c r="N159" s="204"/>
      <c r="O159" s="205"/>
      <c r="P159" s="205"/>
      <c r="Q159" s="205"/>
      <c r="R159" s="203"/>
      <c r="S159" s="203"/>
      <c r="T159" s="203"/>
      <c r="U159" s="203"/>
      <c r="V159" s="203"/>
      <c r="W159" s="203"/>
      <c r="X159" s="203"/>
      <c r="Y159" s="203"/>
      <c r="Z159" s="203"/>
    </row>
    <row r="160" spans="1:26" ht="24" customHeight="1" x14ac:dyDescent="0.2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4"/>
      <c r="N160" s="204"/>
      <c r="O160" s="205"/>
      <c r="P160" s="205"/>
      <c r="Q160" s="205"/>
      <c r="R160" s="203"/>
      <c r="S160" s="203"/>
      <c r="T160" s="203"/>
      <c r="U160" s="203"/>
      <c r="V160" s="203"/>
      <c r="W160" s="203"/>
      <c r="X160" s="203"/>
      <c r="Y160" s="203"/>
      <c r="Z160" s="203"/>
    </row>
    <row r="161" spans="1:26" ht="24" customHeight="1" x14ac:dyDescent="0.2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4"/>
      <c r="N161" s="204"/>
      <c r="O161" s="205"/>
      <c r="P161" s="205"/>
      <c r="Q161" s="205"/>
      <c r="R161" s="203"/>
      <c r="S161" s="203"/>
      <c r="T161" s="203"/>
      <c r="U161" s="203"/>
      <c r="V161" s="203"/>
      <c r="W161" s="203"/>
      <c r="X161" s="203"/>
      <c r="Y161" s="203"/>
      <c r="Z161" s="203"/>
    </row>
    <row r="162" spans="1:26" ht="24" customHeight="1" x14ac:dyDescent="0.2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4"/>
      <c r="N162" s="204"/>
      <c r="O162" s="205"/>
      <c r="P162" s="205"/>
      <c r="Q162" s="205"/>
      <c r="R162" s="203"/>
      <c r="S162" s="203"/>
      <c r="T162" s="203"/>
      <c r="U162" s="203"/>
      <c r="V162" s="203"/>
      <c r="W162" s="203"/>
      <c r="X162" s="203"/>
      <c r="Y162" s="203"/>
      <c r="Z162" s="203"/>
    </row>
    <row r="163" spans="1:26" ht="24" customHeight="1" x14ac:dyDescent="0.2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4"/>
      <c r="N163" s="204"/>
      <c r="O163" s="205"/>
      <c r="P163" s="205"/>
      <c r="Q163" s="205"/>
      <c r="R163" s="203"/>
      <c r="S163" s="203"/>
      <c r="T163" s="203"/>
      <c r="U163" s="203"/>
      <c r="V163" s="203"/>
      <c r="W163" s="203"/>
      <c r="X163" s="203"/>
      <c r="Y163" s="203"/>
      <c r="Z163" s="203"/>
    </row>
    <row r="164" spans="1:26" ht="24" customHeight="1" x14ac:dyDescent="0.2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4"/>
      <c r="N164" s="204"/>
      <c r="O164" s="205"/>
      <c r="P164" s="205"/>
      <c r="Q164" s="205"/>
      <c r="R164" s="203"/>
      <c r="S164" s="203"/>
      <c r="T164" s="203"/>
      <c r="U164" s="203"/>
      <c r="V164" s="203"/>
      <c r="W164" s="203"/>
      <c r="X164" s="203"/>
      <c r="Y164" s="203"/>
      <c r="Z164" s="203"/>
    </row>
    <row r="165" spans="1:26" ht="24" customHeight="1" x14ac:dyDescent="0.2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4"/>
      <c r="N165" s="204"/>
      <c r="O165" s="205"/>
      <c r="P165" s="205"/>
      <c r="Q165" s="205"/>
      <c r="R165" s="203"/>
      <c r="S165" s="203"/>
      <c r="T165" s="203"/>
      <c r="U165" s="203"/>
      <c r="V165" s="203"/>
      <c r="W165" s="203"/>
      <c r="X165" s="203"/>
      <c r="Y165" s="203"/>
      <c r="Z165" s="203"/>
    </row>
    <row r="166" spans="1:26" ht="24" customHeight="1" x14ac:dyDescent="0.2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4"/>
      <c r="N166" s="204"/>
      <c r="O166" s="205"/>
      <c r="P166" s="205"/>
      <c r="Q166" s="205"/>
      <c r="R166" s="203"/>
      <c r="S166" s="203"/>
      <c r="T166" s="203"/>
      <c r="U166" s="203"/>
      <c r="V166" s="203"/>
      <c r="W166" s="203"/>
      <c r="X166" s="203"/>
      <c r="Y166" s="203"/>
      <c r="Z166" s="203"/>
    </row>
    <row r="167" spans="1:26" ht="24" customHeight="1" x14ac:dyDescent="0.2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4"/>
      <c r="N167" s="204"/>
      <c r="O167" s="205"/>
      <c r="P167" s="205"/>
      <c r="Q167" s="205"/>
      <c r="R167" s="203"/>
      <c r="S167" s="203"/>
      <c r="T167" s="203"/>
      <c r="U167" s="203"/>
      <c r="V167" s="203"/>
      <c r="W167" s="203"/>
      <c r="X167" s="203"/>
      <c r="Y167" s="203"/>
      <c r="Z167" s="203"/>
    </row>
    <row r="168" spans="1:26" ht="24" customHeight="1" x14ac:dyDescent="0.2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4"/>
      <c r="N168" s="204"/>
      <c r="O168" s="205"/>
      <c r="P168" s="205"/>
      <c r="Q168" s="205"/>
      <c r="R168" s="203"/>
      <c r="S168" s="203"/>
      <c r="T168" s="203"/>
      <c r="U168" s="203"/>
      <c r="V168" s="203"/>
      <c r="W168" s="203"/>
      <c r="X168" s="203"/>
      <c r="Y168" s="203"/>
      <c r="Z168" s="203"/>
    </row>
    <row r="169" spans="1:26" ht="24" customHeight="1" x14ac:dyDescent="0.2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4"/>
      <c r="N169" s="204"/>
      <c r="O169" s="205"/>
      <c r="P169" s="205"/>
      <c r="Q169" s="205"/>
      <c r="R169" s="203"/>
      <c r="S169" s="203"/>
      <c r="T169" s="203"/>
      <c r="U169" s="203"/>
      <c r="V169" s="203"/>
      <c r="W169" s="203"/>
      <c r="X169" s="203"/>
      <c r="Y169" s="203"/>
      <c r="Z169" s="203"/>
    </row>
    <row r="170" spans="1:26" ht="24" customHeight="1" x14ac:dyDescent="0.2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4"/>
      <c r="N170" s="204"/>
      <c r="O170" s="205"/>
      <c r="P170" s="205"/>
      <c r="Q170" s="205"/>
      <c r="R170" s="203"/>
      <c r="S170" s="203"/>
      <c r="T170" s="203"/>
      <c r="U170" s="203"/>
      <c r="V170" s="203"/>
      <c r="W170" s="203"/>
      <c r="X170" s="203"/>
      <c r="Y170" s="203"/>
      <c r="Z170" s="203"/>
    </row>
    <row r="171" spans="1:26" ht="24" customHeight="1" x14ac:dyDescent="0.2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4"/>
      <c r="N171" s="204"/>
      <c r="O171" s="205"/>
      <c r="P171" s="205"/>
      <c r="Q171" s="205"/>
      <c r="R171" s="203"/>
      <c r="S171" s="203"/>
      <c r="T171" s="203"/>
      <c r="U171" s="203"/>
      <c r="V171" s="203"/>
      <c r="W171" s="203"/>
      <c r="X171" s="203"/>
      <c r="Y171" s="203"/>
      <c r="Z171" s="203"/>
    </row>
    <row r="172" spans="1:26" ht="24" customHeight="1" x14ac:dyDescent="0.2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4"/>
      <c r="N172" s="204"/>
      <c r="O172" s="205"/>
      <c r="P172" s="205"/>
      <c r="Q172" s="205"/>
      <c r="R172" s="203"/>
      <c r="S172" s="203"/>
      <c r="T172" s="203"/>
      <c r="U172" s="203"/>
      <c r="V172" s="203"/>
      <c r="W172" s="203"/>
      <c r="X172" s="203"/>
      <c r="Y172" s="203"/>
      <c r="Z172" s="203"/>
    </row>
    <row r="173" spans="1:26" ht="24" customHeight="1" x14ac:dyDescent="0.2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4"/>
      <c r="N173" s="204"/>
      <c r="O173" s="205"/>
      <c r="P173" s="205"/>
      <c r="Q173" s="205"/>
      <c r="R173" s="203"/>
      <c r="S173" s="203"/>
      <c r="T173" s="203"/>
      <c r="U173" s="203"/>
      <c r="V173" s="203"/>
      <c r="W173" s="203"/>
      <c r="X173" s="203"/>
      <c r="Y173" s="203"/>
      <c r="Z173" s="203"/>
    </row>
    <row r="174" spans="1:26" ht="24" customHeight="1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4"/>
      <c r="N174" s="204"/>
      <c r="O174" s="205"/>
      <c r="P174" s="205"/>
      <c r="Q174" s="205"/>
      <c r="R174" s="203"/>
      <c r="S174" s="203"/>
      <c r="T174" s="203"/>
      <c r="U174" s="203"/>
      <c r="V174" s="203"/>
      <c r="W174" s="203"/>
      <c r="X174" s="203"/>
      <c r="Y174" s="203"/>
      <c r="Z174" s="203"/>
    </row>
    <row r="175" spans="1:26" ht="24" customHeight="1" x14ac:dyDescent="0.2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4"/>
      <c r="N175" s="204"/>
      <c r="O175" s="205"/>
      <c r="P175" s="205"/>
      <c r="Q175" s="205"/>
      <c r="R175" s="203"/>
      <c r="S175" s="203"/>
      <c r="T175" s="203"/>
      <c r="U175" s="203"/>
      <c r="V175" s="203"/>
      <c r="W175" s="203"/>
      <c r="X175" s="203"/>
      <c r="Y175" s="203"/>
      <c r="Z175" s="203"/>
    </row>
    <row r="176" spans="1:26" ht="24" customHeight="1" x14ac:dyDescent="0.2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4"/>
      <c r="N176" s="204"/>
      <c r="O176" s="205"/>
      <c r="P176" s="205"/>
      <c r="Q176" s="205"/>
      <c r="R176" s="203"/>
      <c r="S176" s="203"/>
      <c r="T176" s="203"/>
      <c r="U176" s="203"/>
      <c r="V176" s="203"/>
      <c r="W176" s="203"/>
      <c r="X176" s="203"/>
      <c r="Y176" s="203"/>
      <c r="Z176" s="203"/>
    </row>
    <row r="177" spans="1:26" ht="24" customHeight="1" x14ac:dyDescent="0.2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4"/>
      <c r="N177" s="204"/>
      <c r="O177" s="205"/>
      <c r="P177" s="205"/>
      <c r="Q177" s="205"/>
      <c r="R177" s="203"/>
      <c r="S177" s="203"/>
      <c r="T177" s="203"/>
      <c r="U177" s="203"/>
      <c r="V177" s="203"/>
      <c r="W177" s="203"/>
      <c r="X177" s="203"/>
      <c r="Y177" s="203"/>
      <c r="Z177" s="203"/>
    </row>
    <row r="178" spans="1:26" ht="24" customHeight="1" x14ac:dyDescent="0.2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4"/>
      <c r="N178" s="204"/>
      <c r="O178" s="205"/>
      <c r="P178" s="205"/>
      <c r="Q178" s="205"/>
      <c r="R178" s="203"/>
      <c r="S178" s="203"/>
      <c r="T178" s="203"/>
      <c r="U178" s="203"/>
      <c r="V178" s="203"/>
      <c r="W178" s="203"/>
      <c r="X178" s="203"/>
      <c r="Y178" s="203"/>
      <c r="Z178" s="203"/>
    </row>
    <row r="179" spans="1:26" ht="24" customHeight="1" x14ac:dyDescent="0.2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4"/>
      <c r="N179" s="204"/>
      <c r="O179" s="205"/>
      <c r="P179" s="205"/>
      <c r="Q179" s="205"/>
      <c r="R179" s="203"/>
      <c r="S179" s="203"/>
      <c r="T179" s="203"/>
      <c r="U179" s="203"/>
      <c r="V179" s="203"/>
      <c r="W179" s="203"/>
      <c r="X179" s="203"/>
      <c r="Y179" s="203"/>
      <c r="Z179" s="203"/>
    </row>
    <row r="180" spans="1:26" ht="24" customHeight="1" x14ac:dyDescent="0.2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4"/>
      <c r="N180" s="204"/>
      <c r="O180" s="205"/>
      <c r="P180" s="205"/>
      <c r="Q180" s="205"/>
      <c r="R180" s="203"/>
      <c r="S180" s="203"/>
      <c r="T180" s="203"/>
      <c r="U180" s="203"/>
      <c r="V180" s="203"/>
      <c r="W180" s="203"/>
      <c r="X180" s="203"/>
      <c r="Y180" s="203"/>
      <c r="Z180" s="203"/>
    </row>
    <row r="181" spans="1:26" ht="24" customHeight="1" x14ac:dyDescent="0.2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4"/>
      <c r="N181" s="204"/>
      <c r="O181" s="205"/>
      <c r="P181" s="205"/>
      <c r="Q181" s="205"/>
      <c r="R181" s="203"/>
      <c r="S181" s="203"/>
      <c r="T181" s="203"/>
      <c r="U181" s="203"/>
      <c r="V181" s="203"/>
      <c r="W181" s="203"/>
      <c r="X181" s="203"/>
      <c r="Y181" s="203"/>
      <c r="Z181" s="203"/>
    </row>
    <row r="182" spans="1:26" ht="24" customHeight="1" x14ac:dyDescent="0.2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4"/>
      <c r="N182" s="204"/>
      <c r="O182" s="205"/>
      <c r="P182" s="205"/>
      <c r="Q182" s="205"/>
      <c r="R182" s="203"/>
      <c r="S182" s="203"/>
      <c r="T182" s="203"/>
      <c r="U182" s="203"/>
      <c r="V182" s="203"/>
      <c r="W182" s="203"/>
      <c r="X182" s="203"/>
      <c r="Y182" s="203"/>
      <c r="Z182" s="203"/>
    </row>
    <row r="183" spans="1:26" ht="24" customHeight="1" x14ac:dyDescent="0.2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4"/>
      <c r="N183" s="204"/>
      <c r="O183" s="205"/>
      <c r="P183" s="205"/>
      <c r="Q183" s="205"/>
      <c r="R183" s="203"/>
      <c r="S183" s="203"/>
      <c r="T183" s="203"/>
      <c r="U183" s="203"/>
      <c r="V183" s="203"/>
      <c r="W183" s="203"/>
      <c r="X183" s="203"/>
      <c r="Y183" s="203"/>
      <c r="Z183" s="203"/>
    </row>
    <row r="184" spans="1:26" ht="24" customHeight="1" x14ac:dyDescent="0.2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4"/>
      <c r="N184" s="204"/>
      <c r="O184" s="205"/>
      <c r="P184" s="205"/>
      <c r="Q184" s="205"/>
      <c r="R184" s="203"/>
      <c r="S184" s="203"/>
      <c r="T184" s="203"/>
      <c r="U184" s="203"/>
      <c r="V184" s="203"/>
      <c r="W184" s="203"/>
      <c r="X184" s="203"/>
      <c r="Y184" s="203"/>
      <c r="Z184" s="203"/>
    </row>
    <row r="185" spans="1:26" ht="24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4"/>
      <c r="N185" s="204"/>
      <c r="O185" s="205"/>
      <c r="P185" s="205"/>
      <c r="Q185" s="205"/>
      <c r="R185" s="203"/>
      <c r="S185" s="203"/>
      <c r="T185" s="203"/>
      <c r="U185" s="203"/>
      <c r="V185" s="203"/>
      <c r="W185" s="203"/>
      <c r="X185" s="203"/>
      <c r="Y185" s="203"/>
      <c r="Z185" s="203"/>
    </row>
    <row r="186" spans="1:26" ht="24" customHeight="1" x14ac:dyDescent="0.2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4"/>
      <c r="N186" s="204"/>
      <c r="O186" s="205"/>
      <c r="P186" s="205"/>
      <c r="Q186" s="205"/>
      <c r="R186" s="203"/>
      <c r="S186" s="203"/>
      <c r="T186" s="203"/>
      <c r="U186" s="203"/>
      <c r="V186" s="203"/>
      <c r="W186" s="203"/>
      <c r="X186" s="203"/>
      <c r="Y186" s="203"/>
      <c r="Z186" s="203"/>
    </row>
    <row r="187" spans="1:26" ht="24" customHeight="1" x14ac:dyDescent="0.2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4"/>
      <c r="N187" s="204"/>
      <c r="O187" s="205"/>
      <c r="P187" s="205"/>
      <c r="Q187" s="205"/>
      <c r="R187" s="203"/>
      <c r="S187" s="203"/>
      <c r="T187" s="203"/>
      <c r="U187" s="203"/>
      <c r="V187" s="203"/>
      <c r="W187" s="203"/>
      <c r="X187" s="203"/>
      <c r="Y187" s="203"/>
      <c r="Z187" s="203"/>
    </row>
    <row r="188" spans="1:26" ht="24" customHeight="1" x14ac:dyDescent="0.2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4"/>
      <c r="N188" s="204"/>
      <c r="O188" s="205"/>
      <c r="P188" s="205"/>
      <c r="Q188" s="205"/>
      <c r="R188" s="203"/>
      <c r="S188" s="203"/>
      <c r="T188" s="203"/>
      <c r="U188" s="203"/>
      <c r="V188" s="203"/>
      <c r="W188" s="203"/>
      <c r="X188" s="203"/>
      <c r="Y188" s="203"/>
      <c r="Z188" s="203"/>
    </row>
    <row r="189" spans="1:26" ht="24" customHeight="1" x14ac:dyDescent="0.2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4"/>
      <c r="N189" s="204"/>
      <c r="O189" s="205"/>
      <c r="P189" s="205"/>
      <c r="Q189" s="205"/>
      <c r="R189" s="203"/>
      <c r="S189" s="203"/>
      <c r="T189" s="203"/>
      <c r="U189" s="203"/>
      <c r="V189" s="203"/>
      <c r="W189" s="203"/>
      <c r="X189" s="203"/>
      <c r="Y189" s="203"/>
      <c r="Z189" s="203"/>
    </row>
    <row r="190" spans="1:26" ht="24" customHeight="1" x14ac:dyDescent="0.2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4"/>
      <c r="N190" s="204"/>
      <c r="O190" s="205"/>
      <c r="P190" s="205"/>
      <c r="Q190" s="205"/>
      <c r="R190" s="203"/>
      <c r="S190" s="203"/>
      <c r="T190" s="203"/>
      <c r="U190" s="203"/>
      <c r="V190" s="203"/>
      <c r="W190" s="203"/>
      <c r="X190" s="203"/>
      <c r="Y190" s="203"/>
      <c r="Z190" s="203"/>
    </row>
    <row r="191" spans="1:26" ht="24" customHeight="1" x14ac:dyDescent="0.2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4"/>
      <c r="N191" s="204"/>
      <c r="O191" s="205"/>
      <c r="P191" s="205"/>
      <c r="Q191" s="205"/>
      <c r="R191" s="203"/>
      <c r="S191" s="203"/>
      <c r="T191" s="203"/>
      <c r="U191" s="203"/>
      <c r="V191" s="203"/>
      <c r="W191" s="203"/>
      <c r="X191" s="203"/>
      <c r="Y191" s="203"/>
      <c r="Z191" s="203"/>
    </row>
    <row r="192" spans="1:26" ht="24" customHeight="1" x14ac:dyDescent="0.2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4"/>
      <c r="N192" s="204"/>
      <c r="O192" s="205"/>
      <c r="P192" s="205"/>
      <c r="Q192" s="205"/>
      <c r="R192" s="203"/>
      <c r="S192" s="203"/>
      <c r="T192" s="203"/>
      <c r="U192" s="203"/>
      <c r="V192" s="203"/>
      <c r="W192" s="203"/>
      <c r="X192" s="203"/>
      <c r="Y192" s="203"/>
      <c r="Z192" s="203"/>
    </row>
    <row r="193" spans="1:26" ht="24" customHeight="1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4"/>
      <c r="N193" s="204"/>
      <c r="O193" s="205"/>
      <c r="P193" s="205"/>
      <c r="Q193" s="205"/>
      <c r="R193" s="203"/>
      <c r="S193" s="203"/>
      <c r="T193" s="203"/>
      <c r="U193" s="203"/>
      <c r="V193" s="203"/>
      <c r="W193" s="203"/>
      <c r="X193" s="203"/>
      <c r="Y193" s="203"/>
      <c r="Z193" s="203"/>
    </row>
    <row r="194" spans="1:26" ht="24" customHeight="1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4"/>
      <c r="N194" s="204"/>
      <c r="O194" s="205"/>
      <c r="P194" s="205"/>
      <c r="Q194" s="205"/>
      <c r="R194" s="203"/>
      <c r="S194" s="203"/>
      <c r="T194" s="203"/>
      <c r="U194" s="203"/>
      <c r="V194" s="203"/>
      <c r="W194" s="203"/>
      <c r="X194" s="203"/>
      <c r="Y194" s="203"/>
      <c r="Z194" s="203"/>
    </row>
    <row r="195" spans="1:26" ht="24" customHeight="1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4"/>
      <c r="N195" s="204"/>
      <c r="O195" s="205"/>
      <c r="P195" s="205"/>
      <c r="Q195" s="205"/>
      <c r="R195" s="203"/>
      <c r="S195" s="203"/>
      <c r="T195" s="203"/>
      <c r="U195" s="203"/>
      <c r="V195" s="203"/>
      <c r="W195" s="203"/>
      <c r="X195" s="203"/>
      <c r="Y195" s="203"/>
      <c r="Z195" s="203"/>
    </row>
    <row r="196" spans="1:26" ht="24" customHeight="1" x14ac:dyDescent="0.2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4"/>
      <c r="N196" s="204"/>
      <c r="O196" s="205"/>
      <c r="P196" s="205"/>
      <c r="Q196" s="205"/>
      <c r="R196" s="203"/>
      <c r="S196" s="203"/>
      <c r="T196" s="203"/>
      <c r="U196" s="203"/>
      <c r="V196" s="203"/>
      <c r="W196" s="203"/>
      <c r="X196" s="203"/>
      <c r="Y196" s="203"/>
      <c r="Z196" s="203"/>
    </row>
    <row r="197" spans="1:26" ht="24" customHeight="1" x14ac:dyDescent="0.2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4"/>
      <c r="N197" s="204"/>
      <c r="O197" s="205"/>
      <c r="P197" s="205"/>
      <c r="Q197" s="205"/>
      <c r="R197" s="203"/>
      <c r="S197" s="203"/>
      <c r="T197" s="203"/>
      <c r="U197" s="203"/>
      <c r="V197" s="203"/>
      <c r="W197" s="203"/>
      <c r="X197" s="203"/>
      <c r="Y197" s="203"/>
      <c r="Z197" s="203"/>
    </row>
    <row r="198" spans="1:26" ht="24" customHeight="1" x14ac:dyDescent="0.2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4"/>
      <c r="N198" s="204"/>
      <c r="O198" s="205"/>
      <c r="P198" s="205"/>
      <c r="Q198" s="205"/>
      <c r="R198" s="203"/>
      <c r="S198" s="203"/>
      <c r="T198" s="203"/>
      <c r="U198" s="203"/>
      <c r="V198" s="203"/>
      <c r="W198" s="203"/>
      <c r="X198" s="203"/>
      <c r="Y198" s="203"/>
      <c r="Z198" s="203"/>
    </row>
    <row r="199" spans="1:26" ht="24" customHeight="1" x14ac:dyDescent="0.2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4"/>
      <c r="N199" s="204"/>
      <c r="O199" s="205"/>
      <c r="P199" s="205"/>
      <c r="Q199" s="205"/>
      <c r="R199" s="203"/>
      <c r="S199" s="203"/>
      <c r="T199" s="203"/>
      <c r="U199" s="203"/>
      <c r="V199" s="203"/>
      <c r="W199" s="203"/>
      <c r="X199" s="203"/>
      <c r="Y199" s="203"/>
      <c r="Z199" s="203"/>
    </row>
    <row r="200" spans="1:26" ht="24" customHeight="1" x14ac:dyDescent="0.2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4"/>
      <c r="N200" s="204"/>
      <c r="O200" s="205"/>
      <c r="P200" s="205"/>
      <c r="Q200" s="205"/>
      <c r="R200" s="203"/>
      <c r="S200" s="203"/>
      <c r="T200" s="203"/>
      <c r="U200" s="203"/>
      <c r="V200" s="203"/>
      <c r="W200" s="203"/>
      <c r="X200" s="203"/>
      <c r="Y200" s="203"/>
      <c r="Z200" s="203"/>
    </row>
    <row r="201" spans="1:26" ht="24" customHeight="1" x14ac:dyDescent="0.2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4"/>
      <c r="N201" s="204"/>
      <c r="O201" s="205"/>
      <c r="P201" s="205"/>
      <c r="Q201" s="205"/>
      <c r="R201" s="203"/>
      <c r="S201" s="203"/>
      <c r="T201" s="203"/>
      <c r="U201" s="203"/>
      <c r="V201" s="203"/>
      <c r="W201" s="203"/>
      <c r="X201" s="203"/>
      <c r="Y201" s="203"/>
      <c r="Z201" s="203"/>
    </row>
    <row r="202" spans="1:26" ht="24" customHeight="1" x14ac:dyDescent="0.2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4"/>
      <c r="N202" s="204"/>
      <c r="O202" s="205"/>
      <c r="P202" s="205"/>
      <c r="Q202" s="205"/>
      <c r="R202" s="203"/>
      <c r="S202" s="203"/>
      <c r="T202" s="203"/>
      <c r="U202" s="203"/>
      <c r="V202" s="203"/>
      <c r="W202" s="203"/>
      <c r="X202" s="203"/>
      <c r="Y202" s="203"/>
      <c r="Z202" s="203"/>
    </row>
    <row r="203" spans="1:26" ht="24" customHeight="1" x14ac:dyDescent="0.2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4"/>
      <c r="N203" s="204"/>
      <c r="O203" s="205"/>
      <c r="P203" s="205"/>
      <c r="Q203" s="205"/>
      <c r="R203" s="203"/>
      <c r="S203" s="203"/>
      <c r="T203" s="203"/>
      <c r="U203" s="203"/>
      <c r="V203" s="203"/>
      <c r="W203" s="203"/>
      <c r="X203" s="203"/>
      <c r="Y203" s="203"/>
      <c r="Z203" s="203"/>
    </row>
    <row r="204" spans="1:26" ht="24" customHeight="1" x14ac:dyDescent="0.2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4"/>
      <c r="N204" s="204"/>
      <c r="O204" s="205"/>
      <c r="P204" s="205"/>
      <c r="Q204" s="205"/>
      <c r="R204" s="203"/>
      <c r="S204" s="203"/>
      <c r="T204" s="203"/>
      <c r="U204" s="203"/>
      <c r="V204" s="203"/>
      <c r="W204" s="203"/>
      <c r="X204" s="203"/>
      <c r="Y204" s="203"/>
      <c r="Z204" s="203"/>
    </row>
    <row r="205" spans="1:26" ht="24" customHeight="1" x14ac:dyDescent="0.2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4"/>
      <c r="N205" s="204"/>
      <c r="O205" s="205"/>
      <c r="P205" s="205"/>
      <c r="Q205" s="205"/>
      <c r="R205" s="203"/>
      <c r="S205" s="203"/>
      <c r="T205" s="203"/>
      <c r="U205" s="203"/>
      <c r="V205" s="203"/>
      <c r="W205" s="203"/>
      <c r="X205" s="203"/>
      <c r="Y205" s="203"/>
      <c r="Z205" s="203"/>
    </row>
    <row r="206" spans="1:26" ht="24" customHeight="1" x14ac:dyDescent="0.2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4"/>
      <c r="N206" s="204"/>
      <c r="O206" s="205"/>
      <c r="P206" s="205"/>
      <c r="Q206" s="205"/>
      <c r="R206" s="203"/>
      <c r="S206" s="203"/>
      <c r="T206" s="203"/>
      <c r="U206" s="203"/>
      <c r="V206" s="203"/>
      <c r="W206" s="203"/>
      <c r="X206" s="203"/>
      <c r="Y206" s="203"/>
      <c r="Z206" s="203"/>
    </row>
    <row r="207" spans="1:26" ht="24" customHeight="1" x14ac:dyDescent="0.2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4"/>
      <c r="N207" s="204"/>
      <c r="O207" s="205"/>
      <c r="P207" s="205"/>
      <c r="Q207" s="205"/>
      <c r="R207" s="203"/>
      <c r="S207" s="203"/>
      <c r="T207" s="203"/>
      <c r="U207" s="203"/>
      <c r="V207" s="203"/>
      <c r="W207" s="203"/>
      <c r="X207" s="203"/>
      <c r="Y207" s="203"/>
      <c r="Z207" s="203"/>
    </row>
    <row r="208" spans="1:26" ht="24" customHeight="1" x14ac:dyDescent="0.2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4"/>
      <c r="N208" s="204"/>
      <c r="O208" s="205"/>
      <c r="P208" s="205"/>
      <c r="Q208" s="205"/>
      <c r="R208" s="203"/>
      <c r="S208" s="203"/>
      <c r="T208" s="203"/>
      <c r="U208" s="203"/>
      <c r="V208" s="203"/>
      <c r="W208" s="203"/>
      <c r="X208" s="203"/>
      <c r="Y208" s="203"/>
      <c r="Z208" s="203"/>
    </row>
    <row r="209" spans="1:26" ht="24" customHeight="1" x14ac:dyDescent="0.2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4"/>
      <c r="N209" s="204"/>
      <c r="O209" s="205"/>
      <c r="P209" s="205"/>
      <c r="Q209" s="205"/>
      <c r="R209" s="203"/>
      <c r="S209" s="203"/>
      <c r="T209" s="203"/>
      <c r="U209" s="203"/>
      <c r="V209" s="203"/>
      <c r="W209" s="203"/>
      <c r="X209" s="203"/>
      <c r="Y209" s="203"/>
      <c r="Z209" s="203"/>
    </row>
    <row r="210" spans="1:26" ht="24" customHeight="1" x14ac:dyDescent="0.2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4"/>
      <c r="N210" s="204"/>
      <c r="O210" s="205"/>
      <c r="P210" s="205"/>
      <c r="Q210" s="205"/>
      <c r="R210" s="203"/>
      <c r="S210" s="203"/>
      <c r="T210" s="203"/>
      <c r="U210" s="203"/>
      <c r="V210" s="203"/>
      <c r="W210" s="203"/>
      <c r="X210" s="203"/>
      <c r="Y210" s="203"/>
      <c r="Z210" s="203"/>
    </row>
    <row r="211" spans="1:26" ht="24" customHeight="1" x14ac:dyDescent="0.2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4"/>
      <c r="N211" s="204"/>
      <c r="O211" s="205"/>
      <c r="P211" s="205"/>
      <c r="Q211" s="205"/>
      <c r="R211" s="203"/>
      <c r="S211" s="203"/>
      <c r="T211" s="203"/>
      <c r="U211" s="203"/>
      <c r="V211" s="203"/>
      <c r="W211" s="203"/>
      <c r="X211" s="203"/>
      <c r="Y211" s="203"/>
      <c r="Z211" s="203"/>
    </row>
    <row r="212" spans="1:26" ht="24" customHeight="1" x14ac:dyDescent="0.2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4"/>
      <c r="N212" s="204"/>
      <c r="O212" s="205"/>
      <c r="P212" s="205"/>
      <c r="Q212" s="205"/>
      <c r="R212" s="203"/>
      <c r="S212" s="203"/>
      <c r="T212" s="203"/>
      <c r="U212" s="203"/>
      <c r="V212" s="203"/>
      <c r="W212" s="203"/>
      <c r="X212" s="203"/>
      <c r="Y212" s="203"/>
      <c r="Z212" s="203"/>
    </row>
    <row r="213" spans="1:26" ht="24" customHeight="1" x14ac:dyDescent="0.2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4"/>
      <c r="N213" s="204"/>
      <c r="O213" s="205"/>
      <c r="P213" s="205"/>
      <c r="Q213" s="205"/>
      <c r="R213" s="203"/>
      <c r="S213" s="203"/>
      <c r="T213" s="203"/>
      <c r="U213" s="203"/>
      <c r="V213" s="203"/>
      <c r="W213" s="203"/>
      <c r="X213" s="203"/>
      <c r="Y213" s="203"/>
      <c r="Z213" s="203"/>
    </row>
    <row r="214" spans="1:26" ht="24" customHeight="1" x14ac:dyDescent="0.2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4"/>
      <c r="N214" s="204"/>
      <c r="O214" s="205"/>
      <c r="P214" s="205"/>
      <c r="Q214" s="205"/>
      <c r="R214" s="203"/>
      <c r="S214" s="203"/>
      <c r="T214" s="203"/>
      <c r="U214" s="203"/>
      <c r="V214" s="203"/>
      <c r="W214" s="203"/>
      <c r="X214" s="203"/>
      <c r="Y214" s="203"/>
      <c r="Z214" s="203"/>
    </row>
    <row r="215" spans="1:26" ht="24" customHeight="1" x14ac:dyDescent="0.2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4"/>
      <c r="N215" s="204"/>
      <c r="O215" s="205"/>
      <c r="P215" s="205"/>
      <c r="Q215" s="205"/>
      <c r="R215" s="203"/>
      <c r="S215" s="203"/>
      <c r="T215" s="203"/>
      <c r="U215" s="203"/>
      <c r="V215" s="203"/>
      <c r="W215" s="203"/>
      <c r="X215" s="203"/>
      <c r="Y215" s="203"/>
      <c r="Z215" s="203"/>
    </row>
    <row r="216" spans="1:26" ht="24" customHeight="1" x14ac:dyDescent="0.2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4"/>
      <c r="N216" s="204"/>
      <c r="O216" s="205"/>
      <c r="P216" s="205"/>
      <c r="Q216" s="205"/>
      <c r="R216" s="203"/>
      <c r="S216" s="203"/>
      <c r="T216" s="203"/>
      <c r="U216" s="203"/>
      <c r="V216" s="203"/>
      <c r="W216" s="203"/>
      <c r="X216" s="203"/>
      <c r="Y216" s="203"/>
      <c r="Z216" s="203"/>
    </row>
    <row r="217" spans="1:26" ht="24" customHeight="1" x14ac:dyDescent="0.2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4"/>
      <c r="N217" s="204"/>
      <c r="O217" s="205"/>
      <c r="P217" s="205"/>
      <c r="Q217" s="205"/>
      <c r="R217" s="203"/>
      <c r="S217" s="203"/>
      <c r="T217" s="203"/>
      <c r="U217" s="203"/>
      <c r="V217" s="203"/>
      <c r="W217" s="203"/>
      <c r="X217" s="203"/>
      <c r="Y217" s="203"/>
      <c r="Z217" s="203"/>
    </row>
    <row r="218" spans="1:26" ht="24" customHeight="1" x14ac:dyDescent="0.2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4"/>
      <c r="N218" s="204"/>
      <c r="O218" s="205"/>
      <c r="P218" s="205"/>
      <c r="Q218" s="205"/>
      <c r="R218" s="203"/>
      <c r="S218" s="203"/>
      <c r="T218" s="203"/>
      <c r="U218" s="203"/>
      <c r="V218" s="203"/>
      <c r="W218" s="203"/>
      <c r="X218" s="203"/>
      <c r="Y218" s="203"/>
      <c r="Z218" s="203"/>
    </row>
    <row r="219" spans="1:26" ht="24" customHeight="1" x14ac:dyDescent="0.2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4"/>
      <c r="N219" s="204"/>
      <c r="O219" s="205"/>
      <c r="P219" s="205"/>
      <c r="Q219" s="205"/>
      <c r="R219" s="203"/>
      <c r="S219" s="203"/>
      <c r="T219" s="203"/>
      <c r="U219" s="203"/>
      <c r="V219" s="203"/>
      <c r="W219" s="203"/>
      <c r="X219" s="203"/>
      <c r="Y219" s="203"/>
      <c r="Z219" s="203"/>
    </row>
    <row r="220" spans="1:26" ht="24" customHeight="1" x14ac:dyDescent="0.2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4"/>
      <c r="N220" s="204"/>
      <c r="O220" s="205"/>
      <c r="P220" s="205"/>
      <c r="Q220" s="205"/>
      <c r="R220" s="203"/>
      <c r="S220" s="203"/>
      <c r="T220" s="203"/>
      <c r="U220" s="203"/>
      <c r="V220" s="203"/>
      <c r="W220" s="203"/>
      <c r="X220" s="203"/>
      <c r="Y220" s="203"/>
      <c r="Z220" s="203"/>
    </row>
    <row r="221" spans="1:26" ht="24" customHeight="1" x14ac:dyDescent="0.2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4"/>
      <c r="N221" s="204"/>
      <c r="O221" s="205"/>
      <c r="P221" s="205"/>
      <c r="Q221" s="205"/>
      <c r="R221" s="203"/>
      <c r="S221" s="203"/>
      <c r="T221" s="203"/>
      <c r="U221" s="203"/>
      <c r="V221" s="203"/>
      <c r="W221" s="203"/>
      <c r="X221" s="203"/>
      <c r="Y221" s="203"/>
      <c r="Z221" s="203"/>
    </row>
    <row r="222" spans="1:26" ht="24" customHeight="1" x14ac:dyDescent="0.2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4"/>
      <c r="N222" s="204"/>
      <c r="O222" s="205"/>
      <c r="P222" s="205"/>
      <c r="Q222" s="205"/>
      <c r="R222" s="203"/>
      <c r="S222" s="203"/>
      <c r="T222" s="203"/>
      <c r="U222" s="203"/>
      <c r="V222" s="203"/>
      <c r="W222" s="203"/>
      <c r="X222" s="203"/>
      <c r="Y222" s="203"/>
      <c r="Z222" s="203"/>
    </row>
    <row r="223" spans="1:26" ht="24" customHeight="1" x14ac:dyDescent="0.2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4"/>
      <c r="N223" s="204"/>
      <c r="O223" s="205"/>
      <c r="P223" s="205"/>
      <c r="Q223" s="205"/>
      <c r="R223" s="203"/>
      <c r="S223" s="203"/>
      <c r="T223" s="203"/>
      <c r="U223" s="203"/>
      <c r="V223" s="203"/>
      <c r="W223" s="203"/>
      <c r="X223" s="203"/>
      <c r="Y223" s="203"/>
      <c r="Z223" s="203"/>
    </row>
    <row r="224" spans="1:26" ht="24" customHeight="1" x14ac:dyDescent="0.2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4"/>
      <c r="N224" s="204"/>
      <c r="O224" s="205"/>
      <c r="P224" s="205"/>
      <c r="Q224" s="205"/>
      <c r="R224" s="203"/>
      <c r="S224" s="203"/>
      <c r="T224" s="203"/>
      <c r="U224" s="203"/>
      <c r="V224" s="203"/>
      <c r="W224" s="203"/>
      <c r="X224" s="203"/>
      <c r="Y224" s="203"/>
      <c r="Z224" s="203"/>
    </row>
    <row r="225" spans="1:26" ht="24" customHeight="1" x14ac:dyDescent="0.2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4"/>
      <c r="N225" s="204"/>
      <c r="O225" s="205"/>
      <c r="P225" s="205"/>
      <c r="Q225" s="205"/>
      <c r="R225" s="203"/>
      <c r="S225" s="203"/>
      <c r="T225" s="203"/>
      <c r="U225" s="203"/>
      <c r="V225" s="203"/>
      <c r="W225" s="203"/>
      <c r="X225" s="203"/>
      <c r="Y225" s="203"/>
      <c r="Z225" s="203"/>
    </row>
    <row r="226" spans="1:26" ht="24" customHeight="1" x14ac:dyDescent="0.2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4"/>
      <c r="N226" s="204"/>
      <c r="O226" s="205"/>
      <c r="P226" s="205"/>
      <c r="Q226" s="205"/>
      <c r="R226" s="203"/>
      <c r="S226" s="203"/>
      <c r="T226" s="203"/>
      <c r="U226" s="203"/>
      <c r="V226" s="203"/>
      <c r="W226" s="203"/>
      <c r="X226" s="203"/>
      <c r="Y226" s="203"/>
      <c r="Z226" s="203"/>
    </row>
    <row r="227" spans="1:26" ht="24" customHeight="1" x14ac:dyDescent="0.2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4"/>
      <c r="N227" s="204"/>
      <c r="O227" s="205"/>
      <c r="P227" s="205"/>
      <c r="Q227" s="205"/>
      <c r="R227" s="203"/>
      <c r="S227" s="203"/>
      <c r="T227" s="203"/>
      <c r="U227" s="203"/>
      <c r="V227" s="203"/>
      <c r="W227" s="203"/>
      <c r="X227" s="203"/>
      <c r="Y227" s="203"/>
      <c r="Z227" s="203"/>
    </row>
    <row r="228" spans="1:26" ht="24" customHeight="1" x14ac:dyDescent="0.2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4"/>
      <c r="N228" s="204"/>
      <c r="O228" s="205"/>
      <c r="P228" s="205"/>
      <c r="Q228" s="205"/>
      <c r="R228" s="203"/>
      <c r="S228" s="203"/>
      <c r="T228" s="203"/>
      <c r="U228" s="203"/>
      <c r="V228" s="203"/>
      <c r="W228" s="203"/>
      <c r="X228" s="203"/>
      <c r="Y228" s="203"/>
      <c r="Z228" s="203"/>
    </row>
    <row r="229" spans="1:26" ht="24" customHeight="1" x14ac:dyDescent="0.2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4"/>
      <c r="N229" s="204"/>
      <c r="O229" s="205"/>
      <c r="P229" s="205"/>
      <c r="Q229" s="205"/>
      <c r="R229" s="203"/>
      <c r="S229" s="203"/>
      <c r="T229" s="203"/>
      <c r="U229" s="203"/>
      <c r="V229" s="203"/>
      <c r="W229" s="203"/>
      <c r="X229" s="203"/>
      <c r="Y229" s="203"/>
      <c r="Z229" s="203"/>
    </row>
    <row r="230" spans="1:26" ht="24" customHeight="1" x14ac:dyDescent="0.2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4"/>
      <c r="N230" s="204"/>
      <c r="O230" s="205"/>
      <c r="P230" s="205"/>
      <c r="Q230" s="205"/>
      <c r="R230" s="203"/>
      <c r="S230" s="203"/>
      <c r="T230" s="203"/>
      <c r="U230" s="203"/>
      <c r="V230" s="203"/>
      <c r="W230" s="203"/>
      <c r="X230" s="203"/>
      <c r="Y230" s="203"/>
      <c r="Z230" s="203"/>
    </row>
    <row r="231" spans="1:26" ht="24" customHeight="1" x14ac:dyDescent="0.2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4"/>
      <c r="N231" s="204"/>
      <c r="O231" s="205"/>
      <c r="P231" s="205"/>
      <c r="Q231" s="205"/>
      <c r="R231" s="203"/>
      <c r="S231" s="203"/>
      <c r="T231" s="203"/>
      <c r="U231" s="203"/>
      <c r="V231" s="203"/>
      <c r="W231" s="203"/>
      <c r="X231" s="203"/>
      <c r="Y231" s="203"/>
      <c r="Z231" s="203"/>
    </row>
    <row r="232" spans="1:26" ht="24" customHeight="1" x14ac:dyDescent="0.2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4"/>
      <c r="N232" s="204"/>
      <c r="O232" s="205"/>
      <c r="P232" s="205"/>
      <c r="Q232" s="205"/>
      <c r="R232" s="203"/>
      <c r="S232" s="203"/>
      <c r="T232" s="203"/>
      <c r="U232" s="203"/>
      <c r="V232" s="203"/>
      <c r="W232" s="203"/>
      <c r="X232" s="203"/>
      <c r="Y232" s="203"/>
      <c r="Z232" s="203"/>
    </row>
    <row r="233" spans="1:26" ht="24" customHeight="1" x14ac:dyDescent="0.2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4"/>
      <c r="N233" s="204"/>
      <c r="O233" s="205"/>
      <c r="P233" s="205"/>
      <c r="Q233" s="205"/>
      <c r="R233" s="203"/>
      <c r="S233" s="203"/>
      <c r="T233" s="203"/>
      <c r="U233" s="203"/>
      <c r="V233" s="203"/>
      <c r="W233" s="203"/>
      <c r="X233" s="203"/>
      <c r="Y233" s="203"/>
      <c r="Z233" s="203"/>
    </row>
    <row r="234" spans="1:26" ht="24" customHeight="1" x14ac:dyDescent="0.2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4"/>
      <c r="N234" s="204"/>
      <c r="O234" s="205"/>
      <c r="P234" s="205"/>
      <c r="Q234" s="205"/>
      <c r="R234" s="203"/>
      <c r="S234" s="203"/>
      <c r="T234" s="203"/>
      <c r="U234" s="203"/>
      <c r="V234" s="203"/>
      <c r="W234" s="203"/>
      <c r="X234" s="203"/>
      <c r="Y234" s="203"/>
      <c r="Z234" s="203"/>
    </row>
    <row r="235" spans="1:26" ht="24" customHeight="1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4"/>
      <c r="N235" s="204"/>
      <c r="O235" s="205"/>
      <c r="P235" s="205"/>
      <c r="Q235" s="205"/>
      <c r="R235" s="203"/>
      <c r="S235" s="203"/>
      <c r="T235" s="203"/>
      <c r="U235" s="203"/>
      <c r="V235" s="203"/>
      <c r="W235" s="203"/>
      <c r="X235" s="203"/>
      <c r="Y235" s="203"/>
      <c r="Z235" s="203"/>
    </row>
    <row r="236" spans="1:26" ht="24" customHeight="1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4"/>
      <c r="N236" s="204"/>
      <c r="O236" s="205"/>
      <c r="P236" s="205"/>
      <c r="Q236" s="205"/>
      <c r="R236" s="203"/>
      <c r="S236" s="203"/>
      <c r="T236" s="203"/>
      <c r="U236" s="203"/>
      <c r="V236" s="203"/>
      <c r="W236" s="203"/>
      <c r="X236" s="203"/>
      <c r="Y236" s="203"/>
      <c r="Z236" s="203"/>
    </row>
    <row r="237" spans="1:26" ht="24" customHeight="1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4"/>
      <c r="N237" s="204"/>
      <c r="O237" s="205"/>
      <c r="P237" s="205"/>
      <c r="Q237" s="205"/>
      <c r="R237" s="203"/>
      <c r="S237" s="203"/>
      <c r="T237" s="203"/>
      <c r="U237" s="203"/>
      <c r="V237" s="203"/>
      <c r="W237" s="203"/>
      <c r="X237" s="203"/>
      <c r="Y237" s="203"/>
      <c r="Z237" s="203"/>
    </row>
    <row r="238" spans="1:26" ht="24" customHeight="1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4"/>
      <c r="N238" s="204"/>
      <c r="O238" s="205"/>
      <c r="P238" s="205"/>
      <c r="Q238" s="205"/>
      <c r="R238" s="203"/>
      <c r="S238" s="203"/>
      <c r="T238" s="203"/>
      <c r="U238" s="203"/>
      <c r="V238" s="203"/>
      <c r="W238" s="203"/>
      <c r="X238" s="203"/>
      <c r="Y238" s="203"/>
      <c r="Z238" s="203"/>
    </row>
    <row r="239" spans="1:26" ht="24" customHeight="1" x14ac:dyDescent="0.2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4"/>
      <c r="N239" s="204"/>
      <c r="O239" s="205"/>
      <c r="P239" s="205"/>
      <c r="Q239" s="205"/>
      <c r="R239" s="203"/>
      <c r="S239" s="203"/>
      <c r="T239" s="203"/>
      <c r="U239" s="203"/>
      <c r="V239" s="203"/>
      <c r="W239" s="203"/>
      <c r="X239" s="203"/>
      <c r="Y239" s="203"/>
      <c r="Z239" s="203"/>
    </row>
    <row r="240" spans="1:26" ht="24" customHeight="1" x14ac:dyDescent="0.2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4"/>
      <c r="N240" s="204"/>
      <c r="O240" s="205"/>
      <c r="P240" s="205"/>
      <c r="Q240" s="205"/>
      <c r="R240" s="203"/>
      <c r="S240" s="203"/>
      <c r="T240" s="203"/>
      <c r="U240" s="203"/>
      <c r="V240" s="203"/>
      <c r="W240" s="203"/>
      <c r="X240" s="203"/>
      <c r="Y240" s="203"/>
      <c r="Z240" s="203"/>
    </row>
    <row r="241" spans="1:26" ht="24" customHeight="1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4"/>
      <c r="N241" s="204"/>
      <c r="O241" s="205"/>
      <c r="P241" s="205"/>
      <c r="Q241" s="205"/>
      <c r="R241" s="203"/>
      <c r="S241" s="203"/>
      <c r="T241" s="203"/>
      <c r="U241" s="203"/>
      <c r="V241" s="203"/>
      <c r="W241" s="203"/>
      <c r="X241" s="203"/>
      <c r="Y241" s="203"/>
      <c r="Z241" s="203"/>
    </row>
    <row r="242" spans="1:26" ht="24" customHeight="1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4"/>
      <c r="N242" s="204"/>
      <c r="O242" s="205"/>
      <c r="P242" s="205"/>
      <c r="Q242" s="205"/>
      <c r="R242" s="203"/>
      <c r="S242" s="203"/>
      <c r="T242" s="203"/>
      <c r="U242" s="203"/>
      <c r="V242" s="203"/>
      <c r="W242" s="203"/>
      <c r="X242" s="203"/>
      <c r="Y242" s="203"/>
      <c r="Z242" s="203"/>
    </row>
    <row r="243" spans="1:26" ht="24" customHeight="1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4"/>
      <c r="N243" s="204"/>
      <c r="O243" s="205"/>
      <c r="P243" s="205"/>
      <c r="Q243" s="205"/>
      <c r="R243" s="203"/>
      <c r="S243" s="203"/>
      <c r="T243" s="203"/>
      <c r="U243" s="203"/>
      <c r="V243" s="203"/>
      <c r="W243" s="203"/>
      <c r="X243" s="203"/>
      <c r="Y243" s="203"/>
      <c r="Z243" s="203"/>
    </row>
    <row r="244" spans="1:26" ht="24" customHeight="1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4"/>
      <c r="N244" s="204"/>
      <c r="O244" s="205"/>
      <c r="P244" s="205"/>
      <c r="Q244" s="205"/>
      <c r="R244" s="203"/>
      <c r="S244" s="203"/>
      <c r="T244" s="203"/>
      <c r="U244" s="203"/>
      <c r="V244" s="203"/>
      <c r="W244" s="203"/>
      <c r="X244" s="203"/>
      <c r="Y244" s="203"/>
      <c r="Z244" s="203"/>
    </row>
    <row r="245" spans="1:26" ht="24" customHeight="1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4"/>
      <c r="N245" s="204"/>
      <c r="O245" s="205"/>
      <c r="P245" s="205"/>
      <c r="Q245" s="205"/>
      <c r="R245" s="203"/>
      <c r="S245" s="203"/>
      <c r="T245" s="203"/>
      <c r="U245" s="203"/>
      <c r="V245" s="203"/>
      <c r="W245" s="203"/>
      <c r="X245" s="203"/>
      <c r="Y245" s="203"/>
      <c r="Z245" s="203"/>
    </row>
    <row r="246" spans="1:26" ht="24" customHeight="1" x14ac:dyDescent="0.2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4"/>
      <c r="N246" s="204"/>
      <c r="O246" s="205"/>
      <c r="P246" s="205"/>
      <c r="Q246" s="205"/>
      <c r="R246" s="203"/>
      <c r="S246" s="203"/>
      <c r="T246" s="203"/>
      <c r="U246" s="203"/>
      <c r="V246" s="203"/>
      <c r="W246" s="203"/>
      <c r="X246" s="203"/>
      <c r="Y246" s="203"/>
      <c r="Z246" s="203"/>
    </row>
    <row r="247" spans="1:26" ht="24" customHeight="1" x14ac:dyDescent="0.2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4"/>
      <c r="N247" s="204"/>
      <c r="O247" s="205"/>
      <c r="P247" s="205"/>
      <c r="Q247" s="205"/>
      <c r="R247" s="203"/>
      <c r="S247" s="203"/>
      <c r="T247" s="203"/>
      <c r="U247" s="203"/>
      <c r="V247" s="203"/>
      <c r="W247" s="203"/>
      <c r="X247" s="203"/>
      <c r="Y247" s="203"/>
      <c r="Z247" s="203"/>
    </row>
    <row r="248" spans="1:26" ht="24" customHeight="1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4"/>
      <c r="N248" s="204"/>
      <c r="O248" s="205"/>
      <c r="P248" s="205"/>
      <c r="Q248" s="205"/>
      <c r="R248" s="203"/>
      <c r="S248" s="203"/>
      <c r="T248" s="203"/>
      <c r="U248" s="203"/>
      <c r="V248" s="203"/>
      <c r="W248" s="203"/>
      <c r="X248" s="203"/>
      <c r="Y248" s="203"/>
      <c r="Z248" s="203"/>
    </row>
    <row r="249" spans="1:26" ht="24" customHeight="1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4"/>
      <c r="N249" s="204"/>
      <c r="O249" s="205"/>
      <c r="P249" s="205"/>
      <c r="Q249" s="205"/>
      <c r="R249" s="203"/>
      <c r="S249" s="203"/>
      <c r="T249" s="203"/>
      <c r="U249" s="203"/>
      <c r="V249" s="203"/>
      <c r="W249" s="203"/>
      <c r="X249" s="203"/>
      <c r="Y249" s="203"/>
      <c r="Z249" s="203"/>
    </row>
    <row r="250" spans="1:26" ht="24" customHeight="1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4"/>
      <c r="N250" s="204"/>
      <c r="O250" s="205"/>
      <c r="P250" s="205"/>
      <c r="Q250" s="205"/>
      <c r="R250" s="203"/>
      <c r="S250" s="203"/>
      <c r="T250" s="203"/>
      <c r="U250" s="203"/>
      <c r="V250" s="203"/>
      <c r="W250" s="203"/>
      <c r="X250" s="203"/>
      <c r="Y250" s="203"/>
      <c r="Z250" s="203"/>
    </row>
    <row r="251" spans="1:26" ht="24" customHeight="1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4"/>
      <c r="N251" s="204"/>
      <c r="O251" s="205"/>
      <c r="P251" s="205"/>
      <c r="Q251" s="205"/>
      <c r="R251" s="203"/>
      <c r="S251" s="203"/>
      <c r="T251" s="203"/>
      <c r="U251" s="203"/>
      <c r="V251" s="203"/>
      <c r="W251" s="203"/>
      <c r="X251" s="203"/>
      <c r="Y251" s="203"/>
      <c r="Z251" s="203"/>
    </row>
    <row r="252" spans="1:26" ht="24" customHeight="1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4"/>
      <c r="N252" s="204"/>
      <c r="O252" s="205"/>
      <c r="P252" s="205"/>
      <c r="Q252" s="205"/>
      <c r="R252" s="203"/>
      <c r="S252" s="203"/>
      <c r="T252" s="203"/>
      <c r="U252" s="203"/>
      <c r="V252" s="203"/>
      <c r="W252" s="203"/>
      <c r="X252" s="203"/>
      <c r="Y252" s="203"/>
      <c r="Z252" s="203"/>
    </row>
    <row r="253" spans="1:26" ht="24" customHeight="1" x14ac:dyDescent="0.2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4"/>
      <c r="N253" s="204"/>
      <c r="O253" s="205"/>
      <c r="P253" s="205"/>
      <c r="Q253" s="205"/>
      <c r="R253" s="203"/>
      <c r="S253" s="203"/>
      <c r="T253" s="203"/>
      <c r="U253" s="203"/>
      <c r="V253" s="203"/>
      <c r="W253" s="203"/>
      <c r="X253" s="203"/>
      <c r="Y253" s="203"/>
      <c r="Z253" s="203"/>
    </row>
    <row r="254" spans="1:26" ht="24" customHeight="1" x14ac:dyDescent="0.2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4"/>
      <c r="N254" s="204"/>
      <c r="O254" s="205"/>
      <c r="P254" s="205"/>
      <c r="Q254" s="205"/>
      <c r="R254" s="203"/>
      <c r="S254" s="203"/>
      <c r="T254" s="203"/>
      <c r="U254" s="203"/>
      <c r="V254" s="203"/>
      <c r="W254" s="203"/>
      <c r="X254" s="203"/>
      <c r="Y254" s="203"/>
      <c r="Z254" s="203"/>
    </row>
    <row r="255" spans="1:26" ht="24" customHeight="1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4"/>
      <c r="N255" s="204"/>
      <c r="O255" s="205"/>
      <c r="P255" s="205"/>
      <c r="Q255" s="205"/>
      <c r="R255" s="203"/>
      <c r="S255" s="203"/>
      <c r="T255" s="203"/>
      <c r="U255" s="203"/>
      <c r="V255" s="203"/>
      <c r="W255" s="203"/>
      <c r="X255" s="203"/>
      <c r="Y255" s="203"/>
      <c r="Z255" s="203"/>
    </row>
    <row r="256" spans="1:26" ht="24" customHeight="1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4"/>
      <c r="N256" s="204"/>
      <c r="O256" s="205"/>
      <c r="P256" s="205"/>
      <c r="Q256" s="205"/>
      <c r="R256" s="203"/>
      <c r="S256" s="203"/>
      <c r="T256" s="203"/>
      <c r="U256" s="203"/>
      <c r="V256" s="203"/>
      <c r="W256" s="203"/>
      <c r="X256" s="203"/>
      <c r="Y256" s="203"/>
      <c r="Z256" s="203"/>
    </row>
    <row r="257" spans="1:26" ht="24" customHeight="1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4"/>
      <c r="N257" s="204"/>
      <c r="O257" s="205"/>
      <c r="P257" s="205"/>
      <c r="Q257" s="205"/>
      <c r="R257" s="203"/>
      <c r="S257" s="203"/>
      <c r="T257" s="203"/>
      <c r="U257" s="203"/>
      <c r="V257" s="203"/>
      <c r="W257" s="203"/>
      <c r="X257" s="203"/>
      <c r="Y257" s="203"/>
      <c r="Z257" s="203"/>
    </row>
    <row r="258" spans="1:26" ht="24" customHeight="1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4"/>
      <c r="N258" s="204"/>
      <c r="O258" s="205"/>
      <c r="P258" s="205"/>
      <c r="Q258" s="205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26" ht="24" customHeight="1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4"/>
      <c r="N259" s="204"/>
      <c r="O259" s="205"/>
      <c r="P259" s="205"/>
      <c r="Q259" s="205"/>
      <c r="R259" s="203"/>
      <c r="S259" s="203"/>
      <c r="T259" s="203"/>
      <c r="U259" s="203"/>
      <c r="V259" s="203"/>
      <c r="W259" s="203"/>
      <c r="X259" s="203"/>
      <c r="Y259" s="203"/>
      <c r="Z259" s="203"/>
    </row>
    <row r="260" spans="1:26" ht="24" customHeight="1" x14ac:dyDescent="0.2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4"/>
      <c r="N260" s="204"/>
      <c r="O260" s="205"/>
      <c r="P260" s="205"/>
      <c r="Q260" s="205"/>
      <c r="R260" s="203"/>
      <c r="S260" s="203"/>
      <c r="T260" s="203"/>
      <c r="U260" s="203"/>
      <c r="V260" s="203"/>
      <c r="W260" s="203"/>
      <c r="X260" s="203"/>
      <c r="Y260" s="203"/>
      <c r="Z260" s="203"/>
    </row>
    <row r="261" spans="1:26" ht="24" customHeight="1" x14ac:dyDescent="0.2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4"/>
      <c r="N261" s="204"/>
      <c r="O261" s="205"/>
      <c r="P261" s="205"/>
      <c r="Q261" s="205"/>
      <c r="R261" s="203"/>
      <c r="S261" s="203"/>
      <c r="T261" s="203"/>
      <c r="U261" s="203"/>
      <c r="V261" s="203"/>
      <c r="W261" s="203"/>
      <c r="X261" s="203"/>
      <c r="Y261" s="203"/>
      <c r="Z261" s="203"/>
    </row>
    <row r="262" spans="1:26" ht="24" customHeight="1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4"/>
      <c r="N262" s="204"/>
      <c r="O262" s="205"/>
      <c r="P262" s="205"/>
      <c r="Q262" s="205"/>
      <c r="R262" s="203"/>
      <c r="S262" s="203"/>
      <c r="T262" s="203"/>
      <c r="U262" s="203"/>
      <c r="V262" s="203"/>
      <c r="W262" s="203"/>
      <c r="X262" s="203"/>
      <c r="Y262" s="203"/>
      <c r="Z262" s="203"/>
    </row>
    <row r="263" spans="1:26" ht="24" customHeight="1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4"/>
      <c r="N263" s="204"/>
      <c r="O263" s="205"/>
      <c r="P263" s="205"/>
      <c r="Q263" s="205"/>
      <c r="R263" s="203"/>
      <c r="S263" s="203"/>
      <c r="T263" s="203"/>
      <c r="U263" s="203"/>
      <c r="V263" s="203"/>
      <c r="W263" s="203"/>
      <c r="X263" s="203"/>
      <c r="Y263" s="203"/>
      <c r="Z263" s="203"/>
    </row>
    <row r="264" spans="1:26" ht="24" customHeight="1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4"/>
      <c r="N264" s="204"/>
      <c r="O264" s="205"/>
      <c r="P264" s="205"/>
      <c r="Q264" s="205"/>
      <c r="R264" s="203"/>
      <c r="S264" s="203"/>
      <c r="T264" s="203"/>
      <c r="U264" s="203"/>
      <c r="V264" s="203"/>
      <c r="W264" s="203"/>
      <c r="X264" s="203"/>
      <c r="Y264" s="203"/>
      <c r="Z264" s="203"/>
    </row>
    <row r="265" spans="1:26" ht="24" customHeight="1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4"/>
      <c r="N265" s="204"/>
      <c r="O265" s="205"/>
      <c r="P265" s="205"/>
      <c r="Q265" s="205"/>
      <c r="R265" s="203"/>
      <c r="S265" s="203"/>
      <c r="T265" s="203"/>
      <c r="U265" s="203"/>
      <c r="V265" s="203"/>
      <c r="W265" s="203"/>
      <c r="X265" s="203"/>
      <c r="Y265" s="203"/>
      <c r="Z265" s="203"/>
    </row>
    <row r="266" spans="1:26" ht="24" customHeight="1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4"/>
      <c r="N266" s="204"/>
      <c r="O266" s="205"/>
      <c r="P266" s="205"/>
      <c r="Q266" s="205"/>
      <c r="R266" s="203"/>
      <c r="S266" s="203"/>
      <c r="T266" s="203"/>
      <c r="U266" s="203"/>
      <c r="V266" s="203"/>
      <c r="W266" s="203"/>
      <c r="X266" s="203"/>
      <c r="Y266" s="203"/>
      <c r="Z266" s="203"/>
    </row>
    <row r="267" spans="1:26" ht="24" customHeight="1" x14ac:dyDescent="0.2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4"/>
      <c r="N267" s="204"/>
      <c r="O267" s="205"/>
      <c r="P267" s="205"/>
      <c r="Q267" s="205"/>
      <c r="R267" s="203"/>
      <c r="S267" s="203"/>
      <c r="T267" s="203"/>
      <c r="U267" s="203"/>
      <c r="V267" s="203"/>
      <c r="W267" s="203"/>
      <c r="X267" s="203"/>
      <c r="Y267" s="203"/>
      <c r="Z267" s="203"/>
    </row>
    <row r="268" spans="1:26" ht="24" customHeight="1" x14ac:dyDescent="0.2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4"/>
      <c r="N268" s="204"/>
      <c r="O268" s="205"/>
      <c r="P268" s="205"/>
      <c r="Q268" s="205"/>
      <c r="R268" s="203"/>
      <c r="S268" s="203"/>
      <c r="T268" s="203"/>
      <c r="U268" s="203"/>
      <c r="V268" s="203"/>
      <c r="W268" s="203"/>
      <c r="X268" s="203"/>
      <c r="Y268" s="203"/>
      <c r="Z268" s="203"/>
    </row>
    <row r="269" spans="1:26" ht="24" customHeight="1" x14ac:dyDescent="0.2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4"/>
      <c r="N269" s="204"/>
      <c r="O269" s="205"/>
      <c r="P269" s="205"/>
      <c r="Q269" s="205"/>
      <c r="R269" s="203"/>
      <c r="S269" s="203"/>
      <c r="T269" s="203"/>
      <c r="U269" s="203"/>
      <c r="V269" s="203"/>
      <c r="W269" s="203"/>
      <c r="X269" s="203"/>
      <c r="Y269" s="203"/>
      <c r="Z269" s="203"/>
    </row>
    <row r="270" spans="1:26" ht="24" customHeight="1" x14ac:dyDescent="0.2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4"/>
      <c r="N270" s="204"/>
      <c r="O270" s="205"/>
      <c r="P270" s="205"/>
      <c r="Q270" s="205"/>
      <c r="R270" s="203"/>
      <c r="S270" s="203"/>
      <c r="T270" s="203"/>
      <c r="U270" s="203"/>
      <c r="V270" s="203"/>
      <c r="W270" s="203"/>
      <c r="X270" s="203"/>
      <c r="Y270" s="203"/>
      <c r="Z270" s="203"/>
    </row>
    <row r="271" spans="1:26" ht="24" customHeight="1" x14ac:dyDescent="0.2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4"/>
      <c r="N271" s="204"/>
      <c r="O271" s="205"/>
      <c r="P271" s="205"/>
      <c r="Q271" s="205"/>
      <c r="R271" s="203"/>
      <c r="S271" s="203"/>
      <c r="T271" s="203"/>
      <c r="U271" s="203"/>
      <c r="V271" s="203"/>
      <c r="W271" s="203"/>
      <c r="X271" s="203"/>
      <c r="Y271" s="203"/>
      <c r="Z271" s="203"/>
    </row>
    <row r="272" spans="1:26" ht="24" customHeight="1" x14ac:dyDescent="0.2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4"/>
      <c r="N272" s="204"/>
      <c r="O272" s="205"/>
      <c r="P272" s="205"/>
      <c r="Q272" s="205"/>
      <c r="R272" s="203"/>
      <c r="S272" s="203"/>
      <c r="T272" s="203"/>
      <c r="U272" s="203"/>
      <c r="V272" s="203"/>
      <c r="W272" s="203"/>
      <c r="X272" s="203"/>
      <c r="Y272" s="203"/>
      <c r="Z272" s="203"/>
    </row>
    <row r="273" spans="1:26" ht="24" customHeight="1" x14ac:dyDescent="0.2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4"/>
      <c r="N273" s="204"/>
      <c r="O273" s="205"/>
      <c r="P273" s="205"/>
      <c r="Q273" s="205"/>
      <c r="R273" s="203"/>
      <c r="S273" s="203"/>
      <c r="T273" s="203"/>
      <c r="U273" s="203"/>
      <c r="V273" s="203"/>
      <c r="W273" s="203"/>
      <c r="X273" s="203"/>
      <c r="Y273" s="203"/>
      <c r="Z273" s="203"/>
    </row>
    <row r="274" spans="1:26" ht="24" customHeight="1" x14ac:dyDescent="0.2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4"/>
      <c r="N274" s="204"/>
      <c r="O274" s="205"/>
      <c r="P274" s="205"/>
      <c r="Q274" s="205"/>
      <c r="R274" s="203"/>
      <c r="S274" s="203"/>
      <c r="T274" s="203"/>
      <c r="U274" s="203"/>
      <c r="V274" s="203"/>
      <c r="W274" s="203"/>
      <c r="X274" s="203"/>
      <c r="Y274" s="203"/>
      <c r="Z274" s="203"/>
    </row>
    <row r="275" spans="1:26" ht="24" customHeight="1" x14ac:dyDescent="0.2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4"/>
      <c r="N275" s="204"/>
      <c r="O275" s="205"/>
      <c r="P275" s="205"/>
      <c r="Q275" s="205"/>
      <c r="R275" s="203"/>
      <c r="S275" s="203"/>
      <c r="T275" s="203"/>
      <c r="U275" s="203"/>
      <c r="V275" s="203"/>
      <c r="W275" s="203"/>
      <c r="X275" s="203"/>
      <c r="Y275" s="203"/>
      <c r="Z275" s="203"/>
    </row>
    <row r="276" spans="1:26" ht="24" customHeight="1" x14ac:dyDescent="0.2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4"/>
      <c r="N276" s="204"/>
      <c r="O276" s="205"/>
      <c r="P276" s="205"/>
      <c r="Q276" s="205"/>
      <c r="R276" s="203"/>
      <c r="S276" s="203"/>
      <c r="T276" s="203"/>
      <c r="U276" s="203"/>
      <c r="V276" s="203"/>
      <c r="W276" s="203"/>
      <c r="X276" s="203"/>
      <c r="Y276" s="203"/>
      <c r="Z276" s="203"/>
    </row>
    <row r="277" spans="1:26" ht="24" customHeight="1" x14ac:dyDescent="0.2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4"/>
      <c r="N277" s="204"/>
      <c r="O277" s="205"/>
      <c r="P277" s="205"/>
      <c r="Q277" s="205"/>
      <c r="R277" s="203"/>
      <c r="S277" s="203"/>
      <c r="T277" s="203"/>
      <c r="U277" s="203"/>
      <c r="V277" s="203"/>
      <c r="W277" s="203"/>
      <c r="X277" s="203"/>
      <c r="Y277" s="203"/>
      <c r="Z277" s="203"/>
    </row>
    <row r="278" spans="1:26" ht="24" customHeight="1" x14ac:dyDescent="0.2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4"/>
      <c r="N278" s="204"/>
      <c r="O278" s="205"/>
      <c r="P278" s="205"/>
      <c r="Q278" s="205"/>
      <c r="R278" s="203"/>
      <c r="S278" s="203"/>
      <c r="T278" s="203"/>
      <c r="U278" s="203"/>
      <c r="V278" s="203"/>
      <c r="W278" s="203"/>
      <c r="X278" s="203"/>
      <c r="Y278" s="203"/>
      <c r="Z278" s="203"/>
    </row>
    <row r="279" spans="1:26" ht="24" customHeight="1" x14ac:dyDescent="0.2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4"/>
      <c r="N279" s="204"/>
      <c r="O279" s="205"/>
      <c r="P279" s="205"/>
      <c r="Q279" s="205"/>
      <c r="R279" s="203"/>
      <c r="S279" s="203"/>
      <c r="T279" s="203"/>
      <c r="U279" s="203"/>
      <c r="V279" s="203"/>
      <c r="W279" s="203"/>
      <c r="X279" s="203"/>
      <c r="Y279" s="203"/>
      <c r="Z279" s="203"/>
    </row>
    <row r="280" spans="1:26" ht="24" customHeight="1" x14ac:dyDescent="0.2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4"/>
      <c r="N280" s="204"/>
      <c r="O280" s="205"/>
      <c r="P280" s="205"/>
      <c r="Q280" s="205"/>
      <c r="R280" s="203"/>
      <c r="S280" s="203"/>
      <c r="T280" s="203"/>
      <c r="U280" s="203"/>
      <c r="V280" s="203"/>
      <c r="W280" s="203"/>
      <c r="X280" s="203"/>
      <c r="Y280" s="203"/>
      <c r="Z280" s="203"/>
    </row>
    <row r="281" spans="1:26" ht="24" customHeight="1" x14ac:dyDescent="0.2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4"/>
      <c r="N281" s="204"/>
      <c r="O281" s="205"/>
      <c r="P281" s="205"/>
      <c r="Q281" s="205"/>
      <c r="R281" s="203"/>
      <c r="S281" s="203"/>
      <c r="T281" s="203"/>
      <c r="U281" s="203"/>
      <c r="V281" s="203"/>
      <c r="W281" s="203"/>
      <c r="X281" s="203"/>
      <c r="Y281" s="203"/>
      <c r="Z281" s="203"/>
    </row>
    <row r="282" spans="1:26" ht="24" customHeight="1" x14ac:dyDescent="0.2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4"/>
      <c r="N282" s="204"/>
      <c r="O282" s="205"/>
      <c r="P282" s="205"/>
      <c r="Q282" s="205"/>
      <c r="R282" s="203"/>
      <c r="S282" s="203"/>
      <c r="T282" s="203"/>
      <c r="U282" s="203"/>
      <c r="V282" s="203"/>
      <c r="W282" s="203"/>
      <c r="X282" s="203"/>
      <c r="Y282" s="203"/>
      <c r="Z282" s="203"/>
    </row>
    <row r="283" spans="1:26" ht="24" customHeight="1" x14ac:dyDescent="0.2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4"/>
      <c r="N283" s="204"/>
      <c r="O283" s="205"/>
      <c r="P283" s="205"/>
      <c r="Q283" s="205"/>
      <c r="R283" s="203"/>
      <c r="S283" s="203"/>
      <c r="T283" s="203"/>
      <c r="U283" s="203"/>
      <c r="V283" s="203"/>
      <c r="W283" s="203"/>
      <c r="X283" s="203"/>
      <c r="Y283" s="203"/>
      <c r="Z283" s="203"/>
    </row>
    <row r="284" spans="1:26" ht="24" customHeight="1" x14ac:dyDescent="0.2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4"/>
      <c r="N284" s="204"/>
      <c r="O284" s="205"/>
      <c r="P284" s="205"/>
      <c r="Q284" s="205"/>
      <c r="R284" s="203"/>
      <c r="S284" s="203"/>
      <c r="T284" s="203"/>
      <c r="U284" s="203"/>
      <c r="V284" s="203"/>
      <c r="W284" s="203"/>
      <c r="X284" s="203"/>
      <c r="Y284" s="203"/>
      <c r="Z284" s="203"/>
    </row>
    <row r="285" spans="1:26" ht="24" customHeight="1" x14ac:dyDescent="0.2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4"/>
      <c r="N285" s="204"/>
      <c r="O285" s="205"/>
      <c r="P285" s="205"/>
      <c r="Q285" s="205"/>
      <c r="R285" s="203"/>
      <c r="S285" s="203"/>
      <c r="T285" s="203"/>
      <c r="U285" s="203"/>
      <c r="V285" s="203"/>
      <c r="W285" s="203"/>
      <c r="X285" s="203"/>
      <c r="Y285" s="203"/>
      <c r="Z285" s="203"/>
    </row>
    <row r="286" spans="1:26" ht="24" customHeight="1" x14ac:dyDescent="0.2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4"/>
      <c r="N286" s="204"/>
      <c r="O286" s="205"/>
      <c r="P286" s="205"/>
      <c r="Q286" s="205"/>
      <c r="R286" s="203"/>
      <c r="S286" s="203"/>
      <c r="T286" s="203"/>
      <c r="U286" s="203"/>
      <c r="V286" s="203"/>
      <c r="W286" s="203"/>
      <c r="X286" s="203"/>
      <c r="Y286" s="203"/>
      <c r="Z286" s="203"/>
    </row>
    <row r="287" spans="1:26" ht="24" customHeight="1" x14ac:dyDescent="0.2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4"/>
      <c r="N287" s="204"/>
      <c r="O287" s="205"/>
      <c r="P287" s="205"/>
      <c r="Q287" s="205"/>
      <c r="R287" s="203"/>
      <c r="S287" s="203"/>
      <c r="T287" s="203"/>
      <c r="U287" s="203"/>
      <c r="V287" s="203"/>
      <c r="W287" s="203"/>
      <c r="X287" s="203"/>
      <c r="Y287" s="203"/>
      <c r="Z287" s="203"/>
    </row>
    <row r="288" spans="1:26" ht="24" customHeight="1" x14ac:dyDescent="0.2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4"/>
      <c r="N288" s="204"/>
      <c r="O288" s="205"/>
      <c r="P288" s="205"/>
      <c r="Q288" s="205"/>
      <c r="R288" s="203"/>
      <c r="S288" s="203"/>
      <c r="T288" s="203"/>
      <c r="U288" s="203"/>
      <c r="V288" s="203"/>
      <c r="W288" s="203"/>
      <c r="X288" s="203"/>
      <c r="Y288" s="203"/>
      <c r="Z288" s="203"/>
    </row>
    <row r="289" spans="1:26" ht="24" customHeight="1" x14ac:dyDescent="0.2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4"/>
      <c r="N289" s="204"/>
      <c r="O289" s="205"/>
      <c r="P289" s="205"/>
      <c r="Q289" s="205"/>
      <c r="R289" s="203"/>
      <c r="S289" s="203"/>
      <c r="T289" s="203"/>
      <c r="U289" s="203"/>
      <c r="V289" s="203"/>
      <c r="W289" s="203"/>
      <c r="X289" s="203"/>
      <c r="Y289" s="203"/>
      <c r="Z289" s="203"/>
    </row>
    <row r="290" spans="1:26" ht="24" customHeight="1" x14ac:dyDescent="0.2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4"/>
      <c r="N290" s="204"/>
      <c r="O290" s="205"/>
      <c r="P290" s="205"/>
      <c r="Q290" s="205"/>
      <c r="R290" s="203"/>
      <c r="S290" s="203"/>
      <c r="T290" s="203"/>
      <c r="U290" s="203"/>
      <c r="V290" s="203"/>
      <c r="W290" s="203"/>
      <c r="X290" s="203"/>
      <c r="Y290" s="203"/>
      <c r="Z290" s="203"/>
    </row>
    <row r="291" spans="1:26" ht="24" customHeight="1" x14ac:dyDescent="0.2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4"/>
      <c r="N291" s="204"/>
      <c r="O291" s="205"/>
      <c r="P291" s="205"/>
      <c r="Q291" s="205"/>
      <c r="R291" s="203"/>
      <c r="S291" s="203"/>
      <c r="T291" s="203"/>
      <c r="U291" s="203"/>
      <c r="V291" s="203"/>
      <c r="W291" s="203"/>
      <c r="X291" s="203"/>
      <c r="Y291" s="203"/>
      <c r="Z291" s="203"/>
    </row>
    <row r="292" spans="1:26" ht="24" customHeight="1" x14ac:dyDescent="0.2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4"/>
      <c r="N292" s="204"/>
      <c r="O292" s="205"/>
      <c r="P292" s="205"/>
      <c r="Q292" s="205"/>
      <c r="R292" s="203"/>
      <c r="S292" s="203"/>
      <c r="T292" s="203"/>
      <c r="U292" s="203"/>
      <c r="V292" s="203"/>
      <c r="W292" s="203"/>
      <c r="X292" s="203"/>
      <c r="Y292" s="203"/>
      <c r="Z292" s="203"/>
    </row>
    <row r="293" spans="1:26" ht="24" customHeight="1" x14ac:dyDescent="0.2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4"/>
      <c r="N293" s="204"/>
      <c r="O293" s="205"/>
      <c r="P293" s="205"/>
      <c r="Q293" s="205"/>
      <c r="R293" s="203"/>
      <c r="S293" s="203"/>
      <c r="T293" s="203"/>
      <c r="U293" s="203"/>
      <c r="V293" s="203"/>
      <c r="W293" s="203"/>
      <c r="X293" s="203"/>
      <c r="Y293" s="203"/>
      <c r="Z293" s="203"/>
    </row>
    <row r="294" spans="1:26" ht="24" customHeight="1" x14ac:dyDescent="0.2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4"/>
      <c r="N294" s="204"/>
      <c r="O294" s="205"/>
      <c r="P294" s="205"/>
      <c r="Q294" s="205"/>
      <c r="R294" s="203"/>
      <c r="S294" s="203"/>
      <c r="T294" s="203"/>
      <c r="U294" s="203"/>
      <c r="V294" s="203"/>
      <c r="W294" s="203"/>
      <c r="X294" s="203"/>
      <c r="Y294" s="203"/>
      <c r="Z294" s="203"/>
    </row>
    <row r="295" spans="1:26" ht="24" customHeight="1" x14ac:dyDescent="0.2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4"/>
      <c r="N295" s="204"/>
      <c r="O295" s="205"/>
      <c r="P295" s="205"/>
      <c r="Q295" s="205"/>
      <c r="R295" s="203"/>
      <c r="S295" s="203"/>
      <c r="T295" s="203"/>
      <c r="U295" s="203"/>
      <c r="V295" s="203"/>
      <c r="W295" s="203"/>
      <c r="X295" s="203"/>
      <c r="Y295" s="203"/>
      <c r="Z295" s="203"/>
    </row>
    <row r="296" spans="1:26" ht="24" customHeight="1" x14ac:dyDescent="0.2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4"/>
      <c r="N296" s="204"/>
      <c r="O296" s="205"/>
      <c r="P296" s="205"/>
      <c r="Q296" s="205"/>
      <c r="R296" s="203"/>
      <c r="S296" s="203"/>
      <c r="T296" s="203"/>
      <c r="U296" s="203"/>
      <c r="V296" s="203"/>
      <c r="W296" s="203"/>
      <c r="X296" s="203"/>
      <c r="Y296" s="203"/>
      <c r="Z296" s="203"/>
    </row>
    <row r="297" spans="1:26" ht="24" customHeight="1" x14ac:dyDescent="0.2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4"/>
      <c r="N297" s="204"/>
      <c r="O297" s="205"/>
      <c r="P297" s="205"/>
      <c r="Q297" s="205"/>
      <c r="R297" s="203"/>
      <c r="S297" s="203"/>
      <c r="T297" s="203"/>
      <c r="U297" s="203"/>
      <c r="V297" s="203"/>
      <c r="W297" s="203"/>
      <c r="X297" s="203"/>
      <c r="Y297" s="203"/>
      <c r="Z297" s="203"/>
    </row>
    <row r="298" spans="1:26" ht="24" customHeight="1" x14ac:dyDescent="0.2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4"/>
      <c r="N298" s="204"/>
      <c r="O298" s="205"/>
      <c r="P298" s="205"/>
      <c r="Q298" s="205"/>
      <c r="R298" s="203"/>
      <c r="S298" s="203"/>
      <c r="T298" s="203"/>
      <c r="U298" s="203"/>
      <c r="V298" s="203"/>
      <c r="W298" s="203"/>
      <c r="X298" s="203"/>
      <c r="Y298" s="203"/>
      <c r="Z298" s="203"/>
    </row>
    <row r="299" spans="1:26" ht="12.75" x14ac:dyDescent="0.2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4"/>
      <c r="N299" s="204"/>
      <c r="O299" s="205"/>
      <c r="P299" s="205"/>
      <c r="Q299" s="205"/>
      <c r="R299" s="203"/>
      <c r="S299" s="203"/>
      <c r="T299" s="203"/>
      <c r="U299" s="203"/>
      <c r="V299" s="203"/>
      <c r="W299" s="203"/>
      <c r="X299" s="203"/>
      <c r="Y299" s="203"/>
      <c r="Z299" s="203"/>
    </row>
    <row r="300" spans="1:26" ht="12.75" x14ac:dyDescent="0.2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4"/>
      <c r="N300" s="204"/>
      <c r="O300" s="205"/>
      <c r="P300" s="205"/>
      <c r="Q300" s="205"/>
      <c r="R300" s="203"/>
      <c r="S300" s="203"/>
      <c r="T300" s="203"/>
      <c r="U300" s="203"/>
      <c r="V300" s="203"/>
      <c r="W300" s="203"/>
      <c r="X300" s="203"/>
      <c r="Y300" s="203"/>
      <c r="Z300" s="203"/>
    </row>
    <row r="301" spans="1:26" ht="12.75" x14ac:dyDescent="0.2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4"/>
      <c r="N301" s="204"/>
      <c r="O301" s="205"/>
      <c r="P301" s="205"/>
      <c r="Q301" s="205"/>
      <c r="R301" s="203"/>
      <c r="S301" s="203"/>
      <c r="T301" s="203"/>
      <c r="U301" s="203"/>
      <c r="V301" s="203"/>
      <c r="W301" s="203"/>
      <c r="X301" s="203"/>
      <c r="Y301" s="203"/>
      <c r="Z301" s="203"/>
    </row>
    <row r="302" spans="1:26" ht="12.75" x14ac:dyDescent="0.2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4"/>
      <c r="N302" s="204"/>
      <c r="O302" s="205"/>
      <c r="P302" s="205"/>
      <c r="Q302" s="205"/>
      <c r="R302" s="203"/>
      <c r="S302" s="203"/>
      <c r="T302" s="203"/>
      <c r="U302" s="203"/>
      <c r="V302" s="203"/>
      <c r="W302" s="203"/>
      <c r="X302" s="203"/>
      <c r="Y302" s="203"/>
      <c r="Z302" s="203"/>
    </row>
    <row r="303" spans="1:26" ht="12.75" x14ac:dyDescent="0.2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4"/>
      <c r="N303" s="204"/>
      <c r="O303" s="205"/>
      <c r="P303" s="205"/>
      <c r="Q303" s="205"/>
      <c r="R303" s="203"/>
      <c r="S303" s="203"/>
      <c r="T303" s="203"/>
      <c r="U303" s="203"/>
      <c r="V303" s="203"/>
      <c r="W303" s="203"/>
      <c r="X303" s="203"/>
      <c r="Y303" s="203"/>
      <c r="Z303" s="203"/>
    </row>
    <row r="304" spans="1:26" ht="12.75" x14ac:dyDescent="0.2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4"/>
      <c r="N304" s="204"/>
      <c r="O304" s="205"/>
      <c r="P304" s="205"/>
      <c r="Q304" s="205"/>
      <c r="R304" s="203"/>
      <c r="S304" s="203"/>
      <c r="T304" s="203"/>
      <c r="U304" s="203"/>
      <c r="V304" s="203"/>
      <c r="W304" s="203"/>
      <c r="X304" s="203"/>
      <c r="Y304" s="203"/>
      <c r="Z304" s="203"/>
    </row>
    <row r="305" spans="1:26" ht="12.75" x14ac:dyDescent="0.2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4"/>
      <c r="N305" s="204"/>
      <c r="O305" s="205"/>
      <c r="P305" s="205"/>
      <c r="Q305" s="205"/>
      <c r="R305" s="203"/>
      <c r="S305" s="203"/>
      <c r="T305" s="203"/>
      <c r="U305" s="203"/>
      <c r="V305" s="203"/>
      <c r="W305" s="203"/>
      <c r="X305" s="203"/>
      <c r="Y305" s="203"/>
      <c r="Z305" s="203"/>
    </row>
    <row r="306" spans="1:26" ht="12.75" x14ac:dyDescent="0.2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4"/>
      <c r="N306" s="204"/>
      <c r="O306" s="205"/>
      <c r="P306" s="205"/>
      <c r="Q306" s="205"/>
      <c r="R306" s="203"/>
      <c r="S306" s="203"/>
      <c r="T306" s="203"/>
      <c r="U306" s="203"/>
      <c r="V306" s="203"/>
      <c r="W306" s="203"/>
      <c r="X306" s="203"/>
      <c r="Y306" s="203"/>
      <c r="Z306" s="203"/>
    </row>
    <row r="307" spans="1:26" ht="12.75" x14ac:dyDescent="0.2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4"/>
      <c r="N307" s="204"/>
      <c r="O307" s="205"/>
      <c r="P307" s="205"/>
      <c r="Q307" s="205"/>
      <c r="R307" s="203"/>
      <c r="S307" s="203"/>
      <c r="T307" s="203"/>
      <c r="U307" s="203"/>
      <c r="V307" s="203"/>
      <c r="W307" s="203"/>
      <c r="X307" s="203"/>
      <c r="Y307" s="203"/>
      <c r="Z307" s="203"/>
    </row>
    <row r="308" spans="1:26" ht="12.75" x14ac:dyDescent="0.2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4"/>
      <c r="N308" s="204"/>
      <c r="O308" s="205"/>
      <c r="P308" s="205"/>
      <c r="Q308" s="205"/>
      <c r="R308" s="203"/>
      <c r="S308" s="203"/>
      <c r="T308" s="203"/>
      <c r="U308" s="203"/>
      <c r="V308" s="203"/>
      <c r="W308" s="203"/>
      <c r="X308" s="203"/>
      <c r="Y308" s="203"/>
      <c r="Z308" s="203"/>
    </row>
    <row r="309" spans="1:26" ht="12.75" x14ac:dyDescent="0.2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4"/>
      <c r="N309" s="204"/>
      <c r="O309" s="205"/>
      <c r="P309" s="205"/>
      <c r="Q309" s="205"/>
      <c r="R309" s="203"/>
      <c r="S309" s="203"/>
      <c r="T309" s="203"/>
      <c r="U309" s="203"/>
      <c r="V309" s="203"/>
      <c r="W309" s="203"/>
      <c r="X309" s="203"/>
      <c r="Y309" s="203"/>
      <c r="Z309" s="203"/>
    </row>
    <row r="310" spans="1:26" ht="12.75" x14ac:dyDescent="0.2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4"/>
      <c r="N310" s="204"/>
      <c r="O310" s="205"/>
      <c r="P310" s="205"/>
      <c r="Q310" s="205"/>
      <c r="R310" s="203"/>
      <c r="S310" s="203"/>
      <c r="T310" s="203"/>
      <c r="U310" s="203"/>
      <c r="V310" s="203"/>
      <c r="W310" s="203"/>
      <c r="X310" s="203"/>
      <c r="Y310" s="203"/>
      <c r="Z310" s="203"/>
    </row>
    <row r="311" spans="1:26" ht="12.75" x14ac:dyDescent="0.2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4"/>
      <c r="N311" s="204"/>
      <c r="O311" s="205"/>
      <c r="P311" s="205"/>
      <c r="Q311" s="205"/>
      <c r="R311" s="203"/>
      <c r="S311" s="203"/>
      <c r="T311" s="203"/>
      <c r="U311" s="203"/>
      <c r="V311" s="203"/>
      <c r="W311" s="203"/>
      <c r="X311" s="203"/>
      <c r="Y311" s="203"/>
      <c r="Z311" s="203"/>
    </row>
    <row r="312" spans="1:26" ht="12.75" x14ac:dyDescent="0.2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4"/>
      <c r="N312" s="204"/>
      <c r="O312" s="205"/>
      <c r="P312" s="205"/>
      <c r="Q312" s="205"/>
      <c r="R312" s="203"/>
      <c r="S312" s="203"/>
      <c r="T312" s="203"/>
      <c r="U312" s="203"/>
      <c r="V312" s="203"/>
      <c r="W312" s="203"/>
      <c r="X312" s="203"/>
      <c r="Y312" s="203"/>
      <c r="Z312" s="203"/>
    </row>
    <row r="313" spans="1:26" ht="12.75" x14ac:dyDescent="0.2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4"/>
      <c r="N313" s="204"/>
      <c r="O313" s="205"/>
      <c r="P313" s="205"/>
      <c r="Q313" s="205"/>
      <c r="R313" s="203"/>
      <c r="S313" s="203"/>
      <c r="T313" s="203"/>
      <c r="U313" s="203"/>
      <c r="V313" s="203"/>
      <c r="W313" s="203"/>
      <c r="X313" s="203"/>
      <c r="Y313" s="203"/>
      <c r="Z313" s="203"/>
    </row>
    <row r="314" spans="1:26" ht="12.75" x14ac:dyDescent="0.2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4"/>
      <c r="N314" s="204"/>
      <c r="O314" s="205"/>
      <c r="P314" s="205"/>
      <c r="Q314" s="205"/>
      <c r="R314" s="203"/>
      <c r="S314" s="203"/>
      <c r="T314" s="203"/>
      <c r="U314" s="203"/>
      <c r="V314" s="203"/>
      <c r="W314" s="203"/>
      <c r="X314" s="203"/>
      <c r="Y314" s="203"/>
      <c r="Z314" s="203"/>
    </row>
    <row r="315" spans="1:26" ht="12.75" x14ac:dyDescent="0.2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4"/>
      <c r="N315" s="204"/>
      <c r="O315" s="205"/>
      <c r="P315" s="205"/>
      <c r="Q315" s="205"/>
      <c r="R315" s="203"/>
      <c r="S315" s="203"/>
      <c r="T315" s="203"/>
      <c r="U315" s="203"/>
      <c r="V315" s="203"/>
      <c r="W315" s="203"/>
      <c r="X315" s="203"/>
      <c r="Y315" s="203"/>
      <c r="Z315" s="203"/>
    </row>
    <row r="316" spans="1:26" ht="12.75" x14ac:dyDescent="0.2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4"/>
      <c r="N316" s="204"/>
      <c r="O316" s="205"/>
      <c r="P316" s="205"/>
      <c r="Q316" s="205"/>
      <c r="R316" s="203"/>
      <c r="S316" s="203"/>
      <c r="T316" s="203"/>
      <c r="U316" s="203"/>
      <c r="V316" s="203"/>
      <c r="W316" s="203"/>
      <c r="X316" s="203"/>
      <c r="Y316" s="203"/>
      <c r="Z316" s="203"/>
    </row>
    <row r="317" spans="1:26" ht="12.75" x14ac:dyDescent="0.2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4"/>
      <c r="N317" s="204"/>
      <c r="O317" s="205"/>
      <c r="P317" s="205"/>
      <c r="Q317" s="205"/>
      <c r="R317" s="203"/>
      <c r="S317" s="203"/>
      <c r="T317" s="203"/>
      <c r="U317" s="203"/>
      <c r="V317" s="203"/>
      <c r="W317" s="203"/>
      <c r="X317" s="203"/>
      <c r="Y317" s="203"/>
      <c r="Z317" s="203"/>
    </row>
    <row r="318" spans="1:26" ht="12.75" x14ac:dyDescent="0.2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4"/>
      <c r="N318" s="204"/>
      <c r="O318" s="205"/>
      <c r="P318" s="205"/>
      <c r="Q318" s="205"/>
      <c r="R318" s="203"/>
      <c r="S318" s="203"/>
      <c r="T318" s="203"/>
      <c r="U318" s="203"/>
      <c r="V318" s="203"/>
      <c r="W318" s="203"/>
      <c r="X318" s="203"/>
      <c r="Y318" s="203"/>
      <c r="Z318" s="203"/>
    </row>
    <row r="319" spans="1:26" ht="12.75" x14ac:dyDescent="0.2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4"/>
      <c r="N319" s="204"/>
      <c r="O319" s="205"/>
      <c r="P319" s="205"/>
      <c r="Q319" s="205"/>
      <c r="R319" s="203"/>
      <c r="S319" s="203"/>
      <c r="T319" s="203"/>
      <c r="U319" s="203"/>
      <c r="V319" s="203"/>
      <c r="W319" s="203"/>
      <c r="X319" s="203"/>
      <c r="Y319" s="203"/>
      <c r="Z319" s="203"/>
    </row>
    <row r="320" spans="1:26" ht="12.75" x14ac:dyDescent="0.2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4"/>
      <c r="N320" s="204"/>
      <c r="O320" s="205"/>
      <c r="P320" s="205"/>
      <c r="Q320" s="205"/>
      <c r="R320" s="203"/>
      <c r="S320" s="203"/>
      <c r="T320" s="203"/>
      <c r="U320" s="203"/>
      <c r="V320" s="203"/>
      <c r="W320" s="203"/>
      <c r="X320" s="203"/>
      <c r="Y320" s="203"/>
      <c r="Z320" s="203"/>
    </row>
    <row r="321" spans="1:26" ht="12.75" x14ac:dyDescent="0.2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4"/>
      <c r="N321" s="204"/>
      <c r="O321" s="205"/>
      <c r="P321" s="205"/>
      <c r="Q321" s="205"/>
      <c r="R321" s="203"/>
      <c r="S321" s="203"/>
      <c r="T321" s="203"/>
      <c r="U321" s="203"/>
      <c r="V321" s="203"/>
      <c r="W321" s="203"/>
      <c r="X321" s="203"/>
      <c r="Y321" s="203"/>
      <c r="Z321" s="203"/>
    </row>
    <row r="322" spans="1:26" ht="12.75" x14ac:dyDescent="0.2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4"/>
      <c r="N322" s="204"/>
      <c r="O322" s="205"/>
      <c r="P322" s="205"/>
      <c r="Q322" s="205"/>
      <c r="R322" s="203"/>
      <c r="S322" s="203"/>
      <c r="T322" s="203"/>
      <c r="U322" s="203"/>
      <c r="V322" s="203"/>
      <c r="W322" s="203"/>
      <c r="X322" s="203"/>
      <c r="Y322" s="203"/>
      <c r="Z322" s="203"/>
    </row>
    <row r="323" spans="1:26" ht="12.75" x14ac:dyDescent="0.2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4"/>
      <c r="N323" s="204"/>
      <c r="O323" s="205"/>
      <c r="P323" s="205"/>
      <c r="Q323" s="205"/>
      <c r="R323" s="203"/>
      <c r="S323" s="203"/>
      <c r="T323" s="203"/>
      <c r="U323" s="203"/>
      <c r="V323" s="203"/>
      <c r="W323" s="203"/>
      <c r="X323" s="203"/>
      <c r="Y323" s="203"/>
      <c r="Z323" s="203"/>
    </row>
    <row r="324" spans="1:26" ht="12.75" x14ac:dyDescent="0.2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4"/>
      <c r="N324" s="204"/>
      <c r="O324" s="205"/>
      <c r="P324" s="205"/>
      <c r="Q324" s="205"/>
      <c r="R324" s="203"/>
      <c r="S324" s="203"/>
      <c r="T324" s="203"/>
      <c r="U324" s="203"/>
      <c r="V324" s="203"/>
      <c r="W324" s="203"/>
      <c r="X324" s="203"/>
      <c r="Y324" s="203"/>
      <c r="Z324" s="203"/>
    </row>
    <row r="325" spans="1:26" ht="12.75" x14ac:dyDescent="0.2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4"/>
      <c r="N325" s="204"/>
      <c r="O325" s="205"/>
      <c r="P325" s="205"/>
      <c r="Q325" s="205"/>
      <c r="R325" s="203"/>
      <c r="S325" s="203"/>
      <c r="T325" s="203"/>
      <c r="U325" s="203"/>
      <c r="V325" s="203"/>
      <c r="W325" s="203"/>
      <c r="X325" s="203"/>
      <c r="Y325" s="203"/>
      <c r="Z325" s="203"/>
    </row>
    <row r="326" spans="1:26" ht="12.75" x14ac:dyDescent="0.2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4"/>
      <c r="N326" s="204"/>
      <c r="O326" s="205"/>
      <c r="P326" s="205"/>
      <c r="Q326" s="205"/>
      <c r="R326" s="203"/>
      <c r="S326" s="203"/>
      <c r="T326" s="203"/>
      <c r="U326" s="203"/>
      <c r="V326" s="203"/>
      <c r="W326" s="203"/>
      <c r="X326" s="203"/>
      <c r="Y326" s="203"/>
      <c r="Z326" s="203"/>
    </row>
    <row r="327" spans="1:26" ht="12.75" x14ac:dyDescent="0.2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4"/>
      <c r="N327" s="204"/>
      <c r="O327" s="205"/>
      <c r="P327" s="205"/>
      <c r="Q327" s="205"/>
      <c r="R327" s="203"/>
      <c r="S327" s="203"/>
      <c r="T327" s="203"/>
      <c r="U327" s="203"/>
      <c r="V327" s="203"/>
      <c r="W327" s="203"/>
      <c r="X327" s="203"/>
      <c r="Y327" s="203"/>
      <c r="Z327" s="203"/>
    </row>
    <row r="328" spans="1:26" ht="12.75" x14ac:dyDescent="0.2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4"/>
      <c r="N328" s="204"/>
      <c r="O328" s="205"/>
      <c r="P328" s="205"/>
      <c r="Q328" s="205"/>
      <c r="R328" s="203"/>
      <c r="S328" s="203"/>
      <c r="T328" s="203"/>
      <c r="U328" s="203"/>
      <c r="V328" s="203"/>
      <c r="W328" s="203"/>
      <c r="X328" s="203"/>
      <c r="Y328" s="203"/>
      <c r="Z328" s="203"/>
    </row>
    <row r="329" spans="1:26" ht="12.75" x14ac:dyDescent="0.2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4"/>
      <c r="N329" s="204"/>
      <c r="O329" s="205"/>
      <c r="P329" s="205"/>
      <c r="Q329" s="205"/>
      <c r="R329" s="203"/>
      <c r="S329" s="203"/>
      <c r="T329" s="203"/>
      <c r="U329" s="203"/>
      <c r="V329" s="203"/>
      <c r="W329" s="203"/>
      <c r="X329" s="203"/>
      <c r="Y329" s="203"/>
      <c r="Z329" s="203"/>
    </row>
    <row r="330" spans="1:26" ht="12.75" x14ac:dyDescent="0.2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4"/>
      <c r="N330" s="204"/>
      <c r="O330" s="205"/>
      <c r="P330" s="205"/>
      <c r="Q330" s="205"/>
      <c r="R330" s="203"/>
      <c r="S330" s="203"/>
      <c r="T330" s="203"/>
      <c r="U330" s="203"/>
      <c r="V330" s="203"/>
      <c r="W330" s="203"/>
      <c r="X330" s="203"/>
      <c r="Y330" s="203"/>
      <c r="Z330" s="203"/>
    </row>
    <row r="331" spans="1:26" ht="12.75" x14ac:dyDescent="0.2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4"/>
      <c r="N331" s="204"/>
      <c r="O331" s="205"/>
      <c r="P331" s="205"/>
      <c r="Q331" s="205"/>
      <c r="R331" s="203"/>
      <c r="S331" s="203"/>
      <c r="T331" s="203"/>
      <c r="U331" s="203"/>
      <c r="V331" s="203"/>
      <c r="W331" s="203"/>
      <c r="X331" s="203"/>
      <c r="Y331" s="203"/>
      <c r="Z331" s="203"/>
    </row>
    <row r="332" spans="1:26" ht="12.75" x14ac:dyDescent="0.2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4"/>
      <c r="N332" s="204"/>
      <c r="O332" s="205"/>
      <c r="P332" s="205"/>
      <c r="Q332" s="205"/>
      <c r="R332" s="203"/>
      <c r="S332" s="203"/>
      <c r="T332" s="203"/>
      <c r="U332" s="203"/>
      <c r="V332" s="203"/>
      <c r="W332" s="203"/>
      <c r="X332" s="203"/>
      <c r="Y332" s="203"/>
      <c r="Z332" s="203"/>
    </row>
    <row r="333" spans="1:26" ht="12.75" x14ac:dyDescent="0.2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4"/>
      <c r="N333" s="204"/>
      <c r="O333" s="205"/>
      <c r="P333" s="205"/>
      <c r="Q333" s="205"/>
      <c r="R333" s="203"/>
      <c r="S333" s="203"/>
      <c r="T333" s="203"/>
      <c r="U333" s="203"/>
      <c r="V333" s="203"/>
      <c r="W333" s="203"/>
      <c r="X333" s="203"/>
      <c r="Y333" s="203"/>
      <c r="Z333" s="203"/>
    </row>
    <row r="334" spans="1:26" ht="12.75" x14ac:dyDescent="0.2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4"/>
      <c r="N334" s="204"/>
      <c r="O334" s="205"/>
      <c r="P334" s="205"/>
      <c r="Q334" s="205"/>
      <c r="R334" s="203"/>
      <c r="S334" s="203"/>
      <c r="T334" s="203"/>
      <c r="U334" s="203"/>
      <c r="V334" s="203"/>
      <c r="W334" s="203"/>
      <c r="X334" s="203"/>
      <c r="Y334" s="203"/>
      <c r="Z334" s="203"/>
    </row>
    <row r="335" spans="1:26" ht="12.75" x14ac:dyDescent="0.2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4"/>
      <c r="N335" s="204"/>
      <c r="O335" s="205"/>
      <c r="P335" s="205"/>
      <c r="Q335" s="205"/>
      <c r="R335" s="203"/>
      <c r="S335" s="203"/>
      <c r="T335" s="203"/>
      <c r="U335" s="203"/>
      <c r="V335" s="203"/>
      <c r="W335" s="203"/>
      <c r="X335" s="203"/>
      <c r="Y335" s="203"/>
      <c r="Z335" s="203"/>
    </row>
    <row r="336" spans="1:26" ht="12.75" x14ac:dyDescent="0.2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4"/>
      <c r="N336" s="204"/>
      <c r="O336" s="205"/>
      <c r="P336" s="205"/>
      <c r="Q336" s="205"/>
      <c r="R336" s="203"/>
      <c r="S336" s="203"/>
      <c r="T336" s="203"/>
      <c r="U336" s="203"/>
      <c r="V336" s="203"/>
      <c r="W336" s="203"/>
      <c r="X336" s="203"/>
      <c r="Y336" s="203"/>
      <c r="Z336" s="203"/>
    </row>
    <row r="337" spans="1:26" ht="12.75" x14ac:dyDescent="0.2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4"/>
      <c r="N337" s="204"/>
      <c r="O337" s="205"/>
      <c r="P337" s="205"/>
      <c r="Q337" s="205"/>
      <c r="R337" s="203"/>
      <c r="S337" s="203"/>
      <c r="T337" s="203"/>
      <c r="U337" s="203"/>
      <c r="V337" s="203"/>
      <c r="W337" s="203"/>
      <c r="X337" s="203"/>
      <c r="Y337" s="203"/>
      <c r="Z337" s="203"/>
    </row>
    <row r="338" spans="1:26" ht="12.75" x14ac:dyDescent="0.2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4"/>
      <c r="N338" s="204"/>
      <c r="O338" s="205"/>
      <c r="P338" s="205"/>
      <c r="Q338" s="205"/>
      <c r="R338" s="203"/>
      <c r="S338" s="203"/>
      <c r="T338" s="203"/>
      <c r="U338" s="203"/>
      <c r="V338" s="203"/>
      <c r="W338" s="203"/>
      <c r="X338" s="203"/>
      <c r="Y338" s="203"/>
      <c r="Z338" s="203"/>
    </row>
    <row r="339" spans="1:26" ht="12.75" x14ac:dyDescent="0.2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4"/>
      <c r="N339" s="204"/>
      <c r="O339" s="205"/>
      <c r="P339" s="205"/>
      <c r="Q339" s="205"/>
      <c r="R339" s="203"/>
      <c r="S339" s="203"/>
      <c r="T339" s="203"/>
      <c r="U339" s="203"/>
      <c r="V339" s="203"/>
      <c r="W339" s="203"/>
      <c r="X339" s="203"/>
      <c r="Y339" s="203"/>
      <c r="Z339" s="203"/>
    </row>
    <row r="340" spans="1:26" ht="12.75" x14ac:dyDescent="0.2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4"/>
      <c r="N340" s="204"/>
      <c r="O340" s="205"/>
      <c r="P340" s="205"/>
      <c r="Q340" s="205"/>
      <c r="R340" s="203"/>
      <c r="S340" s="203"/>
      <c r="T340" s="203"/>
      <c r="U340" s="203"/>
      <c r="V340" s="203"/>
      <c r="W340" s="203"/>
      <c r="X340" s="203"/>
      <c r="Y340" s="203"/>
      <c r="Z340" s="203"/>
    </row>
    <row r="341" spans="1:26" ht="12.75" x14ac:dyDescent="0.2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4"/>
      <c r="N341" s="204"/>
      <c r="O341" s="205"/>
      <c r="P341" s="205"/>
      <c r="Q341" s="205"/>
      <c r="R341" s="203"/>
      <c r="S341" s="203"/>
      <c r="T341" s="203"/>
      <c r="U341" s="203"/>
      <c r="V341" s="203"/>
      <c r="W341" s="203"/>
      <c r="X341" s="203"/>
      <c r="Y341" s="203"/>
      <c r="Z341" s="203"/>
    </row>
    <row r="342" spans="1:26" ht="12.75" x14ac:dyDescent="0.2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4"/>
      <c r="N342" s="204"/>
      <c r="O342" s="205"/>
      <c r="P342" s="205"/>
      <c r="Q342" s="205"/>
      <c r="R342" s="203"/>
      <c r="S342" s="203"/>
      <c r="T342" s="203"/>
      <c r="U342" s="203"/>
      <c r="V342" s="203"/>
      <c r="W342" s="203"/>
      <c r="X342" s="203"/>
      <c r="Y342" s="203"/>
      <c r="Z342" s="203"/>
    </row>
    <row r="343" spans="1:26" ht="12.75" x14ac:dyDescent="0.2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4"/>
      <c r="N343" s="204"/>
      <c r="O343" s="205"/>
      <c r="P343" s="205"/>
      <c r="Q343" s="205"/>
      <c r="R343" s="203"/>
      <c r="S343" s="203"/>
      <c r="T343" s="203"/>
      <c r="U343" s="203"/>
      <c r="V343" s="203"/>
      <c r="W343" s="203"/>
      <c r="X343" s="203"/>
      <c r="Y343" s="203"/>
      <c r="Z343" s="203"/>
    </row>
    <row r="344" spans="1:26" ht="12.75" x14ac:dyDescent="0.2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4"/>
      <c r="N344" s="204"/>
      <c r="O344" s="205"/>
      <c r="P344" s="205"/>
      <c r="Q344" s="205"/>
      <c r="R344" s="203"/>
      <c r="S344" s="203"/>
      <c r="T344" s="203"/>
      <c r="U344" s="203"/>
      <c r="V344" s="203"/>
      <c r="W344" s="203"/>
      <c r="X344" s="203"/>
      <c r="Y344" s="203"/>
      <c r="Z344" s="203"/>
    </row>
    <row r="345" spans="1:26" ht="12.75" x14ac:dyDescent="0.2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4"/>
      <c r="N345" s="204"/>
      <c r="O345" s="205"/>
      <c r="P345" s="205"/>
      <c r="Q345" s="205"/>
      <c r="R345" s="203"/>
      <c r="S345" s="203"/>
      <c r="T345" s="203"/>
      <c r="U345" s="203"/>
      <c r="V345" s="203"/>
      <c r="W345" s="203"/>
      <c r="X345" s="203"/>
      <c r="Y345" s="203"/>
      <c r="Z345" s="203"/>
    </row>
    <row r="346" spans="1:26" ht="12.75" x14ac:dyDescent="0.2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4"/>
      <c r="N346" s="204"/>
      <c r="O346" s="205"/>
      <c r="P346" s="205"/>
      <c r="Q346" s="205"/>
      <c r="R346" s="203"/>
      <c r="S346" s="203"/>
      <c r="T346" s="203"/>
      <c r="U346" s="203"/>
      <c r="V346" s="203"/>
      <c r="W346" s="203"/>
      <c r="X346" s="203"/>
      <c r="Y346" s="203"/>
      <c r="Z346" s="203"/>
    </row>
    <row r="347" spans="1:26" ht="12.75" x14ac:dyDescent="0.2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4"/>
      <c r="N347" s="204"/>
      <c r="O347" s="205"/>
      <c r="P347" s="205"/>
      <c r="Q347" s="205"/>
      <c r="R347" s="203"/>
      <c r="S347" s="203"/>
      <c r="T347" s="203"/>
      <c r="U347" s="203"/>
      <c r="V347" s="203"/>
      <c r="W347" s="203"/>
      <c r="X347" s="203"/>
      <c r="Y347" s="203"/>
      <c r="Z347" s="203"/>
    </row>
    <row r="348" spans="1:26" ht="12.75" x14ac:dyDescent="0.2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4"/>
      <c r="N348" s="204"/>
      <c r="O348" s="205"/>
      <c r="P348" s="205"/>
      <c r="Q348" s="205"/>
      <c r="R348" s="203"/>
      <c r="S348" s="203"/>
      <c r="T348" s="203"/>
      <c r="U348" s="203"/>
      <c r="V348" s="203"/>
      <c r="W348" s="203"/>
      <c r="X348" s="203"/>
      <c r="Y348" s="203"/>
      <c r="Z348" s="203"/>
    </row>
    <row r="349" spans="1:26" ht="12.75" x14ac:dyDescent="0.2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4"/>
      <c r="N349" s="204"/>
      <c r="O349" s="205"/>
      <c r="P349" s="205"/>
      <c r="Q349" s="205"/>
      <c r="R349" s="203"/>
      <c r="S349" s="203"/>
      <c r="T349" s="203"/>
      <c r="U349" s="203"/>
      <c r="V349" s="203"/>
      <c r="W349" s="203"/>
      <c r="X349" s="203"/>
      <c r="Y349" s="203"/>
      <c r="Z349" s="203"/>
    </row>
    <row r="350" spans="1:26" ht="12.75" x14ac:dyDescent="0.2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4"/>
      <c r="N350" s="204"/>
      <c r="O350" s="205"/>
      <c r="P350" s="205"/>
      <c r="Q350" s="205"/>
      <c r="R350" s="203"/>
      <c r="S350" s="203"/>
      <c r="T350" s="203"/>
      <c r="U350" s="203"/>
      <c r="V350" s="203"/>
      <c r="W350" s="203"/>
      <c r="X350" s="203"/>
      <c r="Y350" s="203"/>
      <c r="Z350" s="203"/>
    </row>
    <row r="351" spans="1:26" ht="12.75" x14ac:dyDescent="0.2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4"/>
      <c r="N351" s="204"/>
      <c r="O351" s="205"/>
      <c r="P351" s="205"/>
      <c r="Q351" s="205"/>
      <c r="R351" s="203"/>
      <c r="S351" s="203"/>
      <c r="T351" s="203"/>
      <c r="U351" s="203"/>
      <c r="V351" s="203"/>
      <c r="W351" s="203"/>
      <c r="X351" s="203"/>
      <c r="Y351" s="203"/>
      <c r="Z351" s="203"/>
    </row>
    <row r="352" spans="1:26" ht="12.75" x14ac:dyDescent="0.2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4"/>
      <c r="N352" s="204"/>
      <c r="O352" s="205"/>
      <c r="P352" s="205"/>
      <c r="Q352" s="205"/>
      <c r="R352" s="203"/>
      <c r="S352" s="203"/>
      <c r="T352" s="203"/>
      <c r="U352" s="203"/>
      <c r="V352" s="203"/>
      <c r="W352" s="203"/>
      <c r="X352" s="203"/>
      <c r="Y352" s="203"/>
      <c r="Z352" s="203"/>
    </row>
    <row r="353" spans="1:26" ht="12.75" x14ac:dyDescent="0.2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4"/>
      <c r="N353" s="204"/>
      <c r="O353" s="205"/>
      <c r="P353" s="205"/>
      <c r="Q353" s="205"/>
      <c r="R353" s="203"/>
      <c r="S353" s="203"/>
      <c r="T353" s="203"/>
      <c r="U353" s="203"/>
      <c r="V353" s="203"/>
      <c r="W353" s="203"/>
      <c r="X353" s="203"/>
      <c r="Y353" s="203"/>
      <c r="Z353" s="203"/>
    </row>
    <row r="354" spans="1:26" ht="12.75" x14ac:dyDescent="0.2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4"/>
      <c r="N354" s="204"/>
      <c r="O354" s="205"/>
      <c r="P354" s="205"/>
      <c r="Q354" s="205"/>
      <c r="R354" s="203"/>
      <c r="S354" s="203"/>
      <c r="T354" s="203"/>
      <c r="U354" s="203"/>
      <c r="V354" s="203"/>
      <c r="W354" s="203"/>
      <c r="X354" s="203"/>
      <c r="Y354" s="203"/>
      <c r="Z354" s="203"/>
    </row>
    <row r="355" spans="1:26" ht="12.75" x14ac:dyDescent="0.2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4"/>
      <c r="N355" s="204"/>
      <c r="O355" s="205"/>
      <c r="P355" s="205"/>
      <c r="Q355" s="205"/>
      <c r="R355" s="203"/>
      <c r="S355" s="203"/>
      <c r="T355" s="203"/>
      <c r="U355" s="203"/>
      <c r="V355" s="203"/>
      <c r="W355" s="203"/>
      <c r="X355" s="203"/>
      <c r="Y355" s="203"/>
      <c r="Z355" s="203"/>
    </row>
    <row r="356" spans="1:26" ht="12.75" x14ac:dyDescent="0.2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4"/>
      <c r="N356" s="204"/>
      <c r="O356" s="205"/>
      <c r="P356" s="205"/>
      <c r="Q356" s="205"/>
      <c r="R356" s="203"/>
      <c r="S356" s="203"/>
      <c r="T356" s="203"/>
      <c r="U356" s="203"/>
      <c r="V356" s="203"/>
      <c r="W356" s="203"/>
      <c r="X356" s="203"/>
      <c r="Y356" s="203"/>
      <c r="Z356" s="203"/>
    </row>
    <row r="357" spans="1:26" ht="12.75" x14ac:dyDescent="0.2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4"/>
      <c r="N357" s="204"/>
      <c r="O357" s="205"/>
      <c r="P357" s="205"/>
      <c r="Q357" s="205"/>
      <c r="R357" s="203"/>
      <c r="S357" s="203"/>
      <c r="T357" s="203"/>
      <c r="U357" s="203"/>
      <c r="V357" s="203"/>
      <c r="W357" s="203"/>
      <c r="X357" s="203"/>
      <c r="Y357" s="203"/>
      <c r="Z357" s="203"/>
    </row>
    <row r="358" spans="1:26" ht="12.75" x14ac:dyDescent="0.2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4"/>
      <c r="N358" s="204"/>
      <c r="O358" s="205"/>
      <c r="P358" s="205"/>
      <c r="Q358" s="205"/>
      <c r="R358" s="203"/>
      <c r="S358" s="203"/>
      <c r="T358" s="203"/>
      <c r="U358" s="203"/>
      <c r="V358" s="203"/>
      <c r="W358" s="203"/>
      <c r="X358" s="203"/>
      <c r="Y358" s="203"/>
      <c r="Z358" s="203"/>
    </row>
    <row r="359" spans="1:26" ht="12.75" x14ac:dyDescent="0.2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4"/>
      <c r="N359" s="204"/>
      <c r="O359" s="205"/>
      <c r="P359" s="205"/>
      <c r="Q359" s="205"/>
      <c r="R359" s="203"/>
      <c r="S359" s="203"/>
      <c r="T359" s="203"/>
      <c r="U359" s="203"/>
      <c r="V359" s="203"/>
      <c r="W359" s="203"/>
      <c r="X359" s="203"/>
      <c r="Y359" s="203"/>
      <c r="Z359" s="203"/>
    </row>
    <row r="360" spans="1:26" ht="12.75" x14ac:dyDescent="0.2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4"/>
      <c r="N360" s="204"/>
      <c r="O360" s="205"/>
      <c r="P360" s="205"/>
      <c r="Q360" s="205"/>
      <c r="R360" s="203"/>
      <c r="S360" s="203"/>
      <c r="T360" s="203"/>
      <c r="U360" s="203"/>
      <c r="V360" s="203"/>
      <c r="W360" s="203"/>
      <c r="X360" s="203"/>
      <c r="Y360" s="203"/>
      <c r="Z360" s="203"/>
    </row>
    <row r="361" spans="1:26" ht="12.75" x14ac:dyDescent="0.2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4"/>
      <c r="N361" s="204"/>
      <c r="O361" s="205"/>
      <c r="P361" s="205"/>
      <c r="Q361" s="205"/>
      <c r="R361" s="203"/>
      <c r="S361" s="203"/>
      <c r="T361" s="203"/>
      <c r="U361" s="203"/>
      <c r="V361" s="203"/>
      <c r="W361" s="203"/>
      <c r="X361" s="203"/>
      <c r="Y361" s="203"/>
      <c r="Z361" s="203"/>
    </row>
    <row r="362" spans="1:26" ht="12.75" x14ac:dyDescent="0.2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4"/>
      <c r="N362" s="204"/>
      <c r="O362" s="205"/>
      <c r="P362" s="205"/>
      <c r="Q362" s="205"/>
      <c r="R362" s="203"/>
      <c r="S362" s="203"/>
      <c r="T362" s="203"/>
      <c r="U362" s="203"/>
      <c r="V362" s="203"/>
      <c r="W362" s="203"/>
      <c r="X362" s="203"/>
      <c r="Y362" s="203"/>
      <c r="Z362" s="203"/>
    </row>
    <row r="363" spans="1:26" ht="12.75" x14ac:dyDescent="0.2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4"/>
      <c r="N363" s="204"/>
      <c r="O363" s="205"/>
      <c r="P363" s="205"/>
      <c r="Q363" s="205"/>
      <c r="R363" s="203"/>
      <c r="S363" s="203"/>
      <c r="T363" s="203"/>
      <c r="U363" s="203"/>
      <c r="V363" s="203"/>
      <c r="W363" s="203"/>
      <c r="X363" s="203"/>
      <c r="Y363" s="203"/>
      <c r="Z363" s="203"/>
    </row>
    <row r="364" spans="1:26" ht="12.75" x14ac:dyDescent="0.2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4"/>
      <c r="N364" s="204"/>
      <c r="O364" s="205"/>
      <c r="P364" s="205"/>
      <c r="Q364" s="205"/>
      <c r="R364" s="203"/>
      <c r="S364" s="203"/>
      <c r="T364" s="203"/>
      <c r="U364" s="203"/>
      <c r="V364" s="203"/>
      <c r="W364" s="203"/>
      <c r="X364" s="203"/>
      <c r="Y364" s="203"/>
      <c r="Z364" s="203"/>
    </row>
    <row r="365" spans="1:26" ht="12.75" x14ac:dyDescent="0.2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4"/>
      <c r="N365" s="204"/>
      <c r="O365" s="205"/>
      <c r="P365" s="205"/>
      <c r="Q365" s="205"/>
      <c r="R365" s="203"/>
      <c r="S365" s="203"/>
      <c r="T365" s="203"/>
      <c r="U365" s="203"/>
      <c r="V365" s="203"/>
      <c r="W365" s="203"/>
      <c r="X365" s="203"/>
      <c r="Y365" s="203"/>
      <c r="Z365" s="203"/>
    </row>
    <row r="366" spans="1:26" ht="12.75" x14ac:dyDescent="0.2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4"/>
      <c r="N366" s="204"/>
      <c r="O366" s="205"/>
      <c r="P366" s="205"/>
      <c r="Q366" s="205"/>
      <c r="R366" s="203"/>
      <c r="S366" s="203"/>
      <c r="T366" s="203"/>
      <c r="U366" s="203"/>
      <c r="V366" s="203"/>
      <c r="W366" s="203"/>
      <c r="X366" s="203"/>
      <c r="Y366" s="203"/>
      <c r="Z366" s="203"/>
    </row>
    <row r="367" spans="1:26" ht="12.75" x14ac:dyDescent="0.2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4"/>
      <c r="N367" s="204"/>
      <c r="O367" s="205"/>
      <c r="P367" s="205"/>
      <c r="Q367" s="205"/>
      <c r="R367" s="203"/>
      <c r="S367" s="203"/>
      <c r="T367" s="203"/>
      <c r="U367" s="203"/>
      <c r="V367" s="203"/>
      <c r="W367" s="203"/>
      <c r="X367" s="203"/>
      <c r="Y367" s="203"/>
      <c r="Z367" s="203"/>
    </row>
    <row r="368" spans="1:26" ht="12.75" x14ac:dyDescent="0.2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4"/>
      <c r="N368" s="204"/>
      <c r="O368" s="205"/>
      <c r="P368" s="205"/>
      <c r="Q368" s="205"/>
      <c r="R368" s="203"/>
      <c r="S368" s="203"/>
      <c r="T368" s="203"/>
      <c r="U368" s="203"/>
      <c r="V368" s="203"/>
      <c r="W368" s="203"/>
      <c r="X368" s="203"/>
      <c r="Y368" s="203"/>
      <c r="Z368" s="203"/>
    </row>
    <row r="369" spans="1:26" ht="12.75" x14ac:dyDescent="0.2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4"/>
      <c r="N369" s="204"/>
      <c r="O369" s="205"/>
      <c r="P369" s="205"/>
      <c r="Q369" s="205"/>
      <c r="R369" s="203"/>
      <c r="S369" s="203"/>
      <c r="T369" s="203"/>
      <c r="U369" s="203"/>
      <c r="V369" s="203"/>
      <c r="W369" s="203"/>
      <c r="X369" s="203"/>
      <c r="Y369" s="203"/>
      <c r="Z369" s="203"/>
    </row>
    <row r="370" spans="1:26" ht="12.75" x14ac:dyDescent="0.2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4"/>
      <c r="N370" s="204"/>
      <c r="O370" s="205"/>
      <c r="P370" s="205"/>
      <c r="Q370" s="205"/>
      <c r="R370" s="203"/>
      <c r="S370" s="203"/>
      <c r="T370" s="203"/>
      <c r="U370" s="203"/>
      <c r="V370" s="203"/>
      <c r="W370" s="203"/>
      <c r="X370" s="203"/>
      <c r="Y370" s="203"/>
      <c r="Z370" s="203"/>
    </row>
    <row r="371" spans="1:26" ht="12.75" x14ac:dyDescent="0.2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4"/>
      <c r="N371" s="204"/>
      <c r="O371" s="205"/>
      <c r="P371" s="205"/>
      <c r="Q371" s="205"/>
      <c r="R371" s="203"/>
      <c r="S371" s="203"/>
      <c r="T371" s="203"/>
      <c r="U371" s="203"/>
      <c r="V371" s="203"/>
      <c r="W371" s="203"/>
      <c r="X371" s="203"/>
      <c r="Y371" s="203"/>
      <c r="Z371" s="203"/>
    </row>
    <row r="372" spans="1:26" ht="12.75" x14ac:dyDescent="0.2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4"/>
      <c r="N372" s="204"/>
      <c r="O372" s="205"/>
      <c r="P372" s="205"/>
      <c r="Q372" s="205"/>
      <c r="R372" s="203"/>
      <c r="S372" s="203"/>
      <c r="T372" s="203"/>
      <c r="U372" s="203"/>
      <c r="V372" s="203"/>
      <c r="W372" s="203"/>
      <c r="X372" s="203"/>
      <c r="Y372" s="203"/>
      <c r="Z372" s="203"/>
    </row>
    <row r="373" spans="1:26" ht="12.75" x14ac:dyDescent="0.2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4"/>
      <c r="N373" s="204"/>
      <c r="O373" s="205"/>
      <c r="P373" s="205"/>
      <c r="Q373" s="205"/>
      <c r="R373" s="203"/>
      <c r="S373" s="203"/>
      <c r="T373" s="203"/>
      <c r="U373" s="203"/>
      <c r="V373" s="203"/>
      <c r="W373" s="203"/>
      <c r="X373" s="203"/>
      <c r="Y373" s="203"/>
      <c r="Z373" s="203"/>
    </row>
    <row r="374" spans="1:26" ht="12.75" x14ac:dyDescent="0.2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4"/>
      <c r="N374" s="204"/>
      <c r="O374" s="205"/>
      <c r="P374" s="205"/>
      <c r="Q374" s="205"/>
      <c r="R374" s="203"/>
      <c r="S374" s="203"/>
      <c r="T374" s="203"/>
      <c r="U374" s="203"/>
      <c r="V374" s="203"/>
      <c r="W374" s="203"/>
      <c r="X374" s="203"/>
      <c r="Y374" s="203"/>
      <c r="Z374" s="203"/>
    </row>
    <row r="375" spans="1:26" ht="12.75" x14ac:dyDescent="0.2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4"/>
      <c r="N375" s="204"/>
      <c r="O375" s="205"/>
      <c r="P375" s="205"/>
      <c r="Q375" s="205"/>
      <c r="R375" s="203"/>
      <c r="S375" s="203"/>
      <c r="T375" s="203"/>
      <c r="U375" s="203"/>
      <c r="V375" s="203"/>
      <c r="W375" s="203"/>
      <c r="X375" s="203"/>
      <c r="Y375" s="203"/>
      <c r="Z375" s="203"/>
    </row>
    <row r="376" spans="1:26" ht="12.75" x14ac:dyDescent="0.2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4"/>
      <c r="N376" s="204"/>
      <c r="O376" s="205"/>
      <c r="P376" s="205"/>
      <c r="Q376" s="205"/>
      <c r="R376" s="203"/>
      <c r="S376" s="203"/>
      <c r="T376" s="203"/>
      <c r="U376" s="203"/>
      <c r="V376" s="203"/>
      <c r="W376" s="203"/>
      <c r="X376" s="203"/>
      <c r="Y376" s="203"/>
      <c r="Z376" s="203"/>
    </row>
    <row r="377" spans="1:26" ht="12.75" x14ac:dyDescent="0.2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4"/>
      <c r="N377" s="204"/>
      <c r="O377" s="205"/>
      <c r="P377" s="205"/>
      <c r="Q377" s="205"/>
      <c r="R377" s="203"/>
      <c r="S377" s="203"/>
      <c r="T377" s="203"/>
      <c r="U377" s="203"/>
      <c r="V377" s="203"/>
      <c r="W377" s="203"/>
      <c r="X377" s="203"/>
      <c r="Y377" s="203"/>
      <c r="Z377" s="203"/>
    </row>
    <row r="378" spans="1:26" ht="12.75" x14ac:dyDescent="0.2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4"/>
      <c r="N378" s="204"/>
      <c r="O378" s="205"/>
      <c r="P378" s="205"/>
      <c r="Q378" s="205"/>
      <c r="R378" s="203"/>
      <c r="S378" s="203"/>
      <c r="T378" s="203"/>
      <c r="U378" s="203"/>
      <c r="V378" s="203"/>
      <c r="W378" s="203"/>
      <c r="X378" s="203"/>
      <c r="Y378" s="203"/>
      <c r="Z378" s="203"/>
    </row>
    <row r="379" spans="1:26" ht="12.75" x14ac:dyDescent="0.2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4"/>
      <c r="N379" s="204"/>
      <c r="O379" s="205"/>
      <c r="P379" s="205"/>
      <c r="Q379" s="205"/>
      <c r="R379" s="203"/>
      <c r="S379" s="203"/>
      <c r="T379" s="203"/>
      <c r="U379" s="203"/>
      <c r="V379" s="203"/>
      <c r="W379" s="203"/>
      <c r="X379" s="203"/>
      <c r="Y379" s="203"/>
      <c r="Z379" s="203"/>
    </row>
    <row r="380" spans="1:26" ht="12.75" x14ac:dyDescent="0.2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4"/>
      <c r="N380" s="204"/>
      <c r="O380" s="205"/>
      <c r="P380" s="205"/>
      <c r="Q380" s="205"/>
      <c r="R380" s="203"/>
      <c r="S380" s="203"/>
      <c r="T380" s="203"/>
      <c r="U380" s="203"/>
      <c r="V380" s="203"/>
      <c r="W380" s="203"/>
      <c r="X380" s="203"/>
      <c r="Y380" s="203"/>
      <c r="Z380" s="203"/>
    </row>
    <row r="381" spans="1:26" ht="12.75" x14ac:dyDescent="0.2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4"/>
      <c r="N381" s="204"/>
      <c r="O381" s="205"/>
      <c r="P381" s="205"/>
      <c r="Q381" s="205"/>
      <c r="R381" s="203"/>
      <c r="S381" s="203"/>
      <c r="T381" s="203"/>
      <c r="U381" s="203"/>
      <c r="V381" s="203"/>
      <c r="W381" s="203"/>
      <c r="X381" s="203"/>
      <c r="Y381" s="203"/>
      <c r="Z381" s="203"/>
    </row>
    <row r="382" spans="1:26" ht="12.75" x14ac:dyDescent="0.2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4"/>
      <c r="N382" s="204"/>
      <c r="O382" s="205"/>
      <c r="P382" s="205"/>
      <c r="Q382" s="205"/>
      <c r="R382" s="203"/>
      <c r="S382" s="203"/>
      <c r="T382" s="203"/>
      <c r="U382" s="203"/>
      <c r="V382" s="203"/>
      <c r="W382" s="203"/>
      <c r="X382" s="203"/>
      <c r="Y382" s="203"/>
      <c r="Z382" s="203"/>
    </row>
    <row r="383" spans="1:26" ht="12.75" x14ac:dyDescent="0.2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4"/>
      <c r="N383" s="204"/>
      <c r="O383" s="205"/>
      <c r="P383" s="205"/>
      <c r="Q383" s="205"/>
      <c r="R383" s="203"/>
      <c r="S383" s="203"/>
      <c r="T383" s="203"/>
      <c r="U383" s="203"/>
      <c r="V383" s="203"/>
      <c r="W383" s="203"/>
      <c r="X383" s="203"/>
      <c r="Y383" s="203"/>
      <c r="Z383" s="203"/>
    </row>
    <row r="384" spans="1:26" ht="12.75" x14ac:dyDescent="0.2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4"/>
      <c r="N384" s="204"/>
      <c r="O384" s="205"/>
      <c r="P384" s="205"/>
      <c r="Q384" s="205"/>
      <c r="R384" s="203"/>
      <c r="S384" s="203"/>
      <c r="T384" s="203"/>
      <c r="U384" s="203"/>
      <c r="V384" s="203"/>
      <c r="W384" s="203"/>
      <c r="X384" s="203"/>
      <c r="Y384" s="203"/>
      <c r="Z384" s="203"/>
    </row>
    <row r="385" spans="1:26" ht="12.75" x14ac:dyDescent="0.2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4"/>
      <c r="N385" s="204"/>
      <c r="O385" s="205"/>
      <c r="P385" s="205"/>
      <c r="Q385" s="205"/>
      <c r="R385" s="203"/>
      <c r="S385" s="203"/>
      <c r="T385" s="203"/>
      <c r="U385" s="203"/>
      <c r="V385" s="203"/>
      <c r="W385" s="203"/>
      <c r="X385" s="203"/>
      <c r="Y385" s="203"/>
      <c r="Z385" s="203"/>
    </row>
    <row r="386" spans="1:26" ht="12.75" x14ac:dyDescent="0.2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4"/>
      <c r="N386" s="204"/>
      <c r="O386" s="205"/>
      <c r="P386" s="205"/>
      <c r="Q386" s="205"/>
      <c r="R386" s="203"/>
      <c r="S386" s="203"/>
      <c r="T386" s="203"/>
      <c r="U386" s="203"/>
      <c r="V386" s="203"/>
      <c r="W386" s="203"/>
      <c r="X386" s="203"/>
      <c r="Y386" s="203"/>
      <c r="Z386" s="203"/>
    </row>
    <row r="387" spans="1:26" ht="12.75" x14ac:dyDescent="0.2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4"/>
      <c r="N387" s="204"/>
      <c r="O387" s="205"/>
      <c r="P387" s="205"/>
      <c r="Q387" s="205"/>
      <c r="R387" s="203"/>
      <c r="S387" s="203"/>
      <c r="T387" s="203"/>
      <c r="U387" s="203"/>
      <c r="V387" s="203"/>
      <c r="W387" s="203"/>
      <c r="X387" s="203"/>
      <c r="Y387" s="203"/>
      <c r="Z387" s="203"/>
    </row>
    <row r="388" spans="1:26" ht="12.75" x14ac:dyDescent="0.2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4"/>
      <c r="N388" s="204"/>
      <c r="O388" s="205"/>
      <c r="P388" s="205"/>
      <c r="Q388" s="205"/>
      <c r="R388" s="203"/>
      <c r="S388" s="203"/>
      <c r="T388" s="203"/>
      <c r="U388" s="203"/>
      <c r="V388" s="203"/>
      <c r="W388" s="203"/>
      <c r="X388" s="203"/>
      <c r="Y388" s="203"/>
      <c r="Z388" s="203"/>
    </row>
    <row r="389" spans="1:26" ht="12.75" x14ac:dyDescent="0.2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4"/>
      <c r="N389" s="204"/>
      <c r="O389" s="205"/>
      <c r="P389" s="205"/>
      <c r="Q389" s="205"/>
      <c r="R389" s="203"/>
      <c r="S389" s="203"/>
      <c r="T389" s="203"/>
      <c r="U389" s="203"/>
      <c r="V389" s="203"/>
      <c r="W389" s="203"/>
      <c r="X389" s="203"/>
      <c r="Y389" s="203"/>
      <c r="Z389" s="203"/>
    </row>
    <row r="390" spans="1:26" ht="12.75" x14ac:dyDescent="0.2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4"/>
      <c r="N390" s="204"/>
      <c r="O390" s="205"/>
      <c r="P390" s="205"/>
      <c r="Q390" s="205"/>
      <c r="R390" s="203"/>
      <c r="S390" s="203"/>
      <c r="T390" s="203"/>
      <c r="U390" s="203"/>
      <c r="V390" s="203"/>
      <c r="W390" s="203"/>
      <c r="X390" s="203"/>
      <c r="Y390" s="203"/>
      <c r="Z390" s="203"/>
    </row>
    <row r="391" spans="1:26" ht="12.75" x14ac:dyDescent="0.2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4"/>
      <c r="N391" s="204"/>
      <c r="O391" s="205"/>
      <c r="P391" s="205"/>
      <c r="Q391" s="205"/>
      <c r="R391" s="203"/>
      <c r="S391" s="203"/>
      <c r="T391" s="203"/>
      <c r="U391" s="203"/>
      <c r="V391" s="203"/>
      <c r="W391" s="203"/>
      <c r="X391" s="203"/>
      <c r="Y391" s="203"/>
      <c r="Z391" s="203"/>
    </row>
    <row r="392" spans="1:26" ht="12.75" x14ac:dyDescent="0.2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4"/>
      <c r="N392" s="204"/>
      <c r="O392" s="205"/>
      <c r="P392" s="205"/>
      <c r="Q392" s="205"/>
      <c r="R392" s="203"/>
      <c r="S392" s="203"/>
      <c r="T392" s="203"/>
      <c r="U392" s="203"/>
      <c r="V392" s="203"/>
      <c r="W392" s="203"/>
      <c r="X392" s="203"/>
      <c r="Y392" s="203"/>
      <c r="Z392" s="203"/>
    </row>
    <row r="393" spans="1:26" ht="12.75" x14ac:dyDescent="0.2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4"/>
      <c r="N393" s="204"/>
      <c r="O393" s="205"/>
      <c r="P393" s="205"/>
      <c r="Q393" s="205"/>
      <c r="R393" s="203"/>
      <c r="S393" s="203"/>
      <c r="T393" s="203"/>
      <c r="U393" s="203"/>
      <c r="V393" s="203"/>
      <c r="W393" s="203"/>
      <c r="X393" s="203"/>
      <c r="Y393" s="203"/>
      <c r="Z393" s="203"/>
    </row>
    <row r="394" spans="1:26" ht="12.75" x14ac:dyDescent="0.2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4"/>
      <c r="N394" s="204"/>
      <c r="O394" s="205"/>
      <c r="P394" s="205"/>
      <c r="Q394" s="205"/>
      <c r="R394" s="203"/>
      <c r="S394" s="203"/>
      <c r="T394" s="203"/>
      <c r="U394" s="203"/>
      <c r="V394" s="203"/>
      <c r="W394" s="203"/>
      <c r="X394" s="203"/>
      <c r="Y394" s="203"/>
      <c r="Z394" s="203"/>
    </row>
    <row r="395" spans="1:26" ht="12.75" x14ac:dyDescent="0.2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4"/>
      <c r="N395" s="204"/>
      <c r="O395" s="205"/>
      <c r="P395" s="205"/>
      <c r="Q395" s="205"/>
      <c r="R395" s="203"/>
      <c r="S395" s="203"/>
      <c r="T395" s="203"/>
      <c r="U395" s="203"/>
      <c r="V395" s="203"/>
      <c r="W395" s="203"/>
      <c r="X395" s="203"/>
      <c r="Y395" s="203"/>
      <c r="Z395" s="203"/>
    </row>
    <row r="396" spans="1:26" ht="12.75" x14ac:dyDescent="0.2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4"/>
      <c r="N396" s="204"/>
      <c r="O396" s="205"/>
      <c r="P396" s="205"/>
      <c r="Q396" s="205"/>
      <c r="R396" s="203"/>
      <c r="S396" s="203"/>
      <c r="T396" s="203"/>
      <c r="U396" s="203"/>
      <c r="V396" s="203"/>
      <c r="W396" s="203"/>
      <c r="X396" s="203"/>
      <c r="Y396" s="203"/>
      <c r="Z396" s="203"/>
    </row>
    <row r="397" spans="1:26" ht="12.75" x14ac:dyDescent="0.2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4"/>
      <c r="N397" s="204"/>
      <c r="O397" s="205"/>
      <c r="P397" s="205"/>
      <c r="Q397" s="205"/>
      <c r="R397" s="203"/>
      <c r="S397" s="203"/>
      <c r="T397" s="203"/>
      <c r="U397" s="203"/>
      <c r="V397" s="203"/>
      <c r="W397" s="203"/>
      <c r="X397" s="203"/>
      <c r="Y397" s="203"/>
      <c r="Z397" s="203"/>
    </row>
    <row r="398" spans="1:26" ht="12.75" x14ac:dyDescent="0.2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4"/>
      <c r="N398" s="204"/>
      <c r="O398" s="205"/>
      <c r="P398" s="205"/>
      <c r="Q398" s="205"/>
      <c r="R398" s="203"/>
      <c r="S398" s="203"/>
      <c r="T398" s="203"/>
      <c r="U398" s="203"/>
      <c r="V398" s="203"/>
      <c r="W398" s="203"/>
      <c r="X398" s="203"/>
      <c r="Y398" s="203"/>
      <c r="Z398" s="203"/>
    </row>
    <row r="399" spans="1:26" ht="12.75" x14ac:dyDescent="0.2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4"/>
      <c r="N399" s="204"/>
      <c r="O399" s="205"/>
      <c r="P399" s="205"/>
      <c r="Q399" s="205"/>
      <c r="R399" s="203"/>
      <c r="S399" s="203"/>
      <c r="T399" s="203"/>
      <c r="U399" s="203"/>
      <c r="V399" s="203"/>
      <c r="W399" s="203"/>
      <c r="X399" s="203"/>
      <c r="Y399" s="203"/>
      <c r="Z399" s="203"/>
    </row>
    <row r="400" spans="1:26" ht="12.75" x14ac:dyDescent="0.2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4"/>
      <c r="N400" s="204"/>
      <c r="O400" s="205"/>
      <c r="P400" s="205"/>
      <c r="Q400" s="205"/>
      <c r="R400" s="203"/>
      <c r="S400" s="203"/>
      <c r="T400" s="203"/>
      <c r="U400" s="203"/>
      <c r="V400" s="203"/>
      <c r="W400" s="203"/>
      <c r="X400" s="203"/>
      <c r="Y400" s="203"/>
      <c r="Z400" s="203"/>
    </row>
    <row r="401" spans="1:26" ht="12.75" x14ac:dyDescent="0.2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4"/>
      <c r="N401" s="204"/>
      <c r="O401" s="205"/>
      <c r="P401" s="205"/>
      <c r="Q401" s="205"/>
      <c r="R401" s="203"/>
      <c r="S401" s="203"/>
      <c r="T401" s="203"/>
      <c r="U401" s="203"/>
      <c r="V401" s="203"/>
      <c r="W401" s="203"/>
      <c r="X401" s="203"/>
      <c r="Y401" s="203"/>
      <c r="Z401" s="203"/>
    </row>
    <row r="402" spans="1:26" ht="12.75" x14ac:dyDescent="0.2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4"/>
      <c r="N402" s="204"/>
      <c r="O402" s="205"/>
      <c r="P402" s="205"/>
      <c r="Q402" s="205"/>
      <c r="R402" s="203"/>
      <c r="S402" s="203"/>
      <c r="T402" s="203"/>
      <c r="U402" s="203"/>
      <c r="V402" s="203"/>
      <c r="W402" s="203"/>
      <c r="X402" s="203"/>
      <c r="Y402" s="203"/>
      <c r="Z402" s="203"/>
    </row>
    <row r="403" spans="1:26" ht="12.75" x14ac:dyDescent="0.2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4"/>
      <c r="N403" s="204"/>
      <c r="O403" s="205"/>
      <c r="P403" s="205"/>
      <c r="Q403" s="205"/>
      <c r="R403" s="203"/>
      <c r="S403" s="203"/>
      <c r="T403" s="203"/>
      <c r="U403" s="203"/>
      <c r="V403" s="203"/>
      <c r="W403" s="203"/>
      <c r="X403" s="203"/>
      <c r="Y403" s="203"/>
      <c r="Z403" s="203"/>
    </row>
    <row r="404" spans="1:26" ht="12.75" x14ac:dyDescent="0.2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4"/>
      <c r="N404" s="204"/>
      <c r="O404" s="205"/>
      <c r="P404" s="205"/>
      <c r="Q404" s="205"/>
      <c r="R404" s="203"/>
      <c r="S404" s="203"/>
      <c r="T404" s="203"/>
      <c r="U404" s="203"/>
      <c r="V404" s="203"/>
      <c r="W404" s="203"/>
      <c r="X404" s="203"/>
      <c r="Y404" s="203"/>
      <c r="Z404" s="203"/>
    </row>
    <row r="405" spans="1:26" ht="12.75" x14ac:dyDescent="0.2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4"/>
      <c r="N405" s="204"/>
      <c r="O405" s="205"/>
      <c r="P405" s="205"/>
      <c r="Q405" s="205"/>
      <c r="R405" s="203"/>
      <c r="S405" s="203"/>
      <c r="T405" s="203"/>
      <c r="U405" s="203"/>
      <c r="V405" s="203"/>
      <c r="W405" s="203"/>
      <c r="X405" s="203"/>
      <c r="Y405" s="203"/>
      <c r="Z405" s="203"/>
    </row>
    <row r="406" spans="1:26" ht="12.75" x14ac:dyDescent="0.2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4"/>
      <c r="N406" s="204"/>
      <c r="O406" s="205"/>
      <c r="P406" s="205"/>
      <c r="Q406" s="205"/>
      <c r="R406" s="203"/>
      <c r="S406" s="203"/>
      <c r="T406" s="203"/>
      <c r="U406" s="203"/>
      <c r="V406" s="203"/>
      <c r="W406" s="203"/>
      <c r="X406" s="203"/>
      <c r="Y406" s="203"/>
      <c r="Z406" s="203"/>
    </row>
    <row r="407" spans="1:26" ht="12.75" x14ac:dyDescent="0.2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4"/>
      <c r="N407" s="204"/>
      <c r="O407" s="205"/>
      <c r="P407" s="205"/>
      <c r="Q407" s="205"/>
      <c r="R407" s="203"/>
      <c r="S407" s="203"/>
      <c r="T407" s="203"/>
      <c r="U407" s="203"/>
      <c r="V407" s="203"/>
      <c r="W407" s="203"/>
      <c r="X407" s="203"/>
      <c r="Y407" s="203"/>
      <c r="Z407" s="203"/>
    </row>
    <row r="408" spans="1:26" ht="12.75" x14ac:dyDescent="0.2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4"/>
      <c r="N408" s="204"/>
      <c r="O408" s="205"/>
      <c r="P408" s="205"/>
      <c r="Q408" s="205"/>
      <c r="R408" s="203"/>
      <c r="S408" s="203"/>
      <c r="T408" s="203"/>
      <c r="U408" s="203"/>
      <c r="V408" s="203"/>
      <c r="W408" s="203"/>
      <c r="X408" s="203"/>
      <c r="Y408" s="203"/>
      <c r="Z408" s="203"/>
    </row>
    <row r="409" spans="1:26" ht="12.75" x14ac:dyDescent="0.2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4"/>
      <c r="N409" s="204"/>
      <c r="O409" s="205"/>
      <c r="P409" s="205"/>
      <c r="Q409" s="205"/>
      <c r="R409" s="203"/>
      <c r="S409" s="203"/>
      <c r="T409" s="203"/>
      <c r="U409" s="203"/>
      <c r="V409" s="203"/>
      <c r="W409" s="203"/>
      <c r="X409" s="203"/>
      <c r="Y409" s="203"/>
      <c r="Z409" s="203"/>
    </row>
    <row r="410" spans="1:26" ht="12.75" x14ac:dyDescent="0.2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4"/>
      <c r="N410" s="204"/>
      <c r="O410" s="205"/>
      <c r="P410" s="205"/>
      <c r="Q410" s="205"/>
      <c r="R410" s="203"/>
      <c r="S410" s="203"/>
      <c r="T410" s="203"/>
      <c r="U410" s="203"/>
      <c r="V410" s="203"/>
      <c r="W410" s="203"/>
      <c r="X410" s="203"/>
      <c r="Y410" s="203"/>
      <c r="Z410" s="203"/>
    </row>
    <row r="411" spans="1:26" ht="12.75" x14ac:dyDescent="0.2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4"/>
      <c r="N411" s="204"/>
      <c r="O411" s="205"/>
      <c r="P411" s="205"/>
      <c r="Q411" s="205"/>
      <c r="R411" s="203"/>
      <c r="S411" s="203"/>
      <c r="T411" s="203"/>
      <c r="U411" s="203"/>
      <c r="V411" s="203"/>
      <c r="W411" s="203"/>
      <c r="X411" s="203"/>
      <c r="Y411" s="203"/>
      <c r="Z411" s="203"/>
    </row>
    <row r="412" spans="1:26" ht="12.75" x14ac:dyDescent="0.2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4"/>
      <c r="N412" s="204"/>
      <c r="O412" s="205"/>
      <c r="P412" s="205"/>
      <c r="Q412" s="205"/>
      <c r="R412" s="203"/>
      <c r="S412" s="203"/>
      <c r="T412" s="203"/>
      <c r="U412" s="203"/>
      <c r="V412" s="203"/>
      <c r="W412" s="203"/>
      <c r="X412" s="203"/>
      <c r="Y412" s="203"/>
      <c r="Z412" s="203"/>
    </row>
    <row r="413" spans="1:26" ht="12.75" x14ac:dyDescent="0.2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4"/>
      <c r="N413" s="204"/>
      <c r="O413" s="205"/>
      <c r="P413" s="205"/>
      <c r="Q413" s="205"/>
      <c r="R413" s="203"/>
      <c r="S413" s="203"/>
      <c r="T413" s="203"/>
      <c r="U413" s="203"/>
      <c r="V413" s="203"/>
      <c r="W413" s="203"/>
      <c r="X413" s="203"/>
      <c r="Y413" s="203"/>
      <c r="Z413" s="203"/>
    </row>
    <row r="414" spans="1:26" ht="12.75" x14ac:dyDescent="0.2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4"/>
      <c r="N414" s="204"/>
      <c r="O414" s="205"/>
      <c r="P414" s="205"/>
      <c r="Q414" s="205"/>
      <c r="R414" s="203"/>
      <c r="S414" s="203"/>
      <c r="T414" s="203"/>
      <c r="U414" s="203"/>
      <c r="V414" s="203"/>
      <c r="W414" s="203"/>
      <c r="X414" s="203"/>
      <c r="Y414" s="203"/>
      <c r="Z414" s="203"/>
    </row>
    <row r="415" spans="1:26" ht="12.75" x14ac:dyDescent="0.2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4"/>
      <c r="N415" s="204"/>
      <c r="O415" s="205"/>
      <c r="P415" s="205"/>
      <c r="Q415" s="205"/>
      <c r="R415" s="203"/>
      <c r="S415" s="203"/>
      <c r="T415" s="203"/>
      <c r="U415" s="203"/>
      <c r="V415" s="203"/>
      <c r="W415" s="203"/>
      <c r="X415" s="203"/>
      <c r="Y415" s="203"/>
      <c r="Z415" s="203"/>
    </row>
    <row r="416" spans="1:26" ht="12.75" x14ac:dyDescent="0.2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4"/>
      <c r="N416" s="204"/>
      <c r="O416" s="205"/>
      <c r="P416" s="205"/>
      <c r="Q416" s="205"/>
      <c r="R416" s="203"/>
      <c r="S416" s="203"/>
      <c r="T416" s="203"/>
      <c r="U416" s="203"/>
      <c r="V416" s="203"/>
      <c r="W416" s="203"/>
      <c r="X416" s="203"/>
      <c r="Y416" s="203"/>
      <c r="Z416" s="203"/>
    </row>
    <row r="417" spans="1:26" ht="12.75" x14ac:dyDescent="0.2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4"/>
      <c r="N417" s="204"/>
      <c r="O417" s="205"/>
      <c r="P417" s="205"/>
      <c r="Q417" s="205"/>
      <c r="R417" s="203"/>
      <c r="S417" s="203"/>
      <c r="T417" s="203"/>
      <c r="U417" s="203"/>
      <c r="V417" s="203"/>
      <c r="W417" s="203"/>
      <c r="X417" s="203"/>
      <c r="Y417" s="203"/>
      <c r="Z417" s="203"/>
    </row>
    <row r="418" spans="1:26" ht="12.75" x14ac:dyDescent="0.2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4"/>
      <c r="N418" s="204"/>
      <c r="O418" s="205"/>
      <c r="P418" s="205"/>
      <c r="Q418" s="205"/>
      <c r="R418" s="203"/>
      <c r="S418" s="203"/>
      <c r="T418" s="203"/>
      <c r="U418" s="203"/>
      <c r="V418" s="203"/>
      <c r="W418" s="203"/>
      <c r="X418" s="203"/>
      <c r="Y418" s="203"/>
      <c r="Z418" s="203"/>
    </row>
    <row r="419" spans="1:26" ht="12.75" x14ac:dyDescent="0.2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4"/>
      <c r="N419" s="204"/>
      <c r="O419" s="205"/>
      <c r="P419" s="205"/>
      <c r="Q419" s="205"/>
      <c r="R419" s="203"/>
      <c r="S419" s="203"/>
      <c r="T419" s="203"/>
      <c r="U419" s="203"/>
      <c r="V419" s="203"/>
      <c r="W419" s="203"/>
      <c r="X419" s="203"/>
      <c r="Y419" s="203"/>
      <c r="Z419" s="203"/>
    </row>
    <row r="420" spans="1:26" ht="12.75" x14ac:dyDescent="0.2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4"/>
      <c r="N420" s="204"/>
      <c r="O420" s="205"/>
      <c r="P420" s="205"/>
      <c r="Q420" s="205"/>
      <c r="R420" s="203"/>
      <c r="S420" s="203"/>
      <c r="T420" s="203"/>
      <c r="U420" s="203"/>
      <c r="V420" s="203"/>
      <c r="W420" s="203"/>
      <c r="X420" s="203"/>
      <c r="Y420" s="203"/>
      <c r="Z420" s="203"/>
    </row>
    <row r="421" spans="1:26" ht="12.75" x14ac:dyDescent="0.2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4"/>
      <c r="N421" s="204"/>
      <c r="O421" s="205"/>
      <c r="P421" s="205"/>
      <c r="Q421" s="205"/>
      <c r="R421" s="203"/>
      <c r="S421" s="203"/>
      <c r="T421" s="203"/>
      <c r="U421" s="203"/>
      <c r="V421" s="203"/>
      <c r="W421" s="203"/>
      <c r="X421" s="203"/>
      <c r="Y421" s="203"/>
      <c r="Z421" s="203"/>
    </row>
    <row r="422" spans="1:26" ht="12.75" x14ac:dyDescent="0.2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4"/>
      <c r="N422" s="204"/>
      <c r="O422" s="205"/>
      <c r="P422" s="205"/>
      <c r="Q422" s="205"/>
      <c r="R422" s="203"/>
      <c r="S422" s="203"/>
      <c r="T422" s="203"/>
      <c r="U422" s="203"/>
      <c r="V422" s="203"/>
      <c r="W422" s="203"/>
      <c r="X422" s="203"/>
      <c r="Y422" s="203"/>
      <c r="Z422" s="203"/>
    </row>
    <row r="423" spans="1:26" ht="12.75" x14ac:dyDescent="0.2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4"/>
      <c r="N423" s="204"/>
      <c r="O423" s="205"/>
      <c r="P423" s="205"/>
      <c r="Q423" s="205"/>
      <c r="R423" s="203"/>
      <c r="S423" s="203"/>
      <c r="T423" s="203"/>
      <c r="U423" s="203"/>
      <c r="V423" s="203"/>
      <c r="W423" s="203"/>
      <c r="X423" s="203"/>
      <c r="Y423" s="203"/>
      <c r="Z423" s="203"/>
    </row>
    <row r="424" spans="1:26" ht="12.75" x14ac:dyDescent="0.2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4"/>
      <c r="N424" s="204"/>
      <c r="O424" s="205"/>
      <c r="P424" s="205"/>
      <c r="Q424" s="205"/>
      <c r="R424" s="203"/>
      <c r="S424" s="203"/>
      <c r="T424" s="203"/>
      <c r="U424" s="203"/>
      <c r="V424" s="203"/>
      <c r="W424" s="203"/>
      <c r="X424" s="203"/>
      <c r="Y424" s="203"/>
      <c r="Z424" s="203"/>
    </row>
    <row r="425" spans="1:26" ht="12.75" x14ac:dyDescent="0.2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4"/>
      <c r="N425" s="204"/>
      <c r="O425" s="205"/>
      <c r="P425" s="205"/>
      <c r="Q425" s="205"/>
      <c r="R425" s="203"/>
      <c r="S425" s="203"/>
      <c r="T425" s="203"/>
      <c r="U425" s="203"/>
      <c r="V425" s="203"/>
      <c r="W425" s="203"/>
      <c r="X425" s="203"/>
      <c r="Y425" s="203"/>
      <c r="Z425" s="203"/>
    </row>
    <row r="426" spans="1:26" ht="12.75" x14ac:dyDescent="0.2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4"/>
      <c r="N426" s="204"/>
      <c r="O426" s="205"/>
      <c r="P426" s="205"/>
      <c r="Q426" s="205"/>
      <c r="R426" s="203"/>
      <c r="S426" s="203"/>
      <c r="T426" s="203"/>
      <c r="U426" s="203"/>
      <c r="V426" s="203"/>
      <c r="W426" s="203"/>
      <c r="X426" s="203"/>
      <c r="Y426" s="203"/>
      <c r="Z426" s="203"/>
    </row>
    <row r="427" spans="1:26" ht="12.75" x14ac:dyDescent="0.2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4"/>
      <c r="N427" s="204"/>
      <c r="O427" s="205"/>
      <c r="P427" s="205"/>
      <c r="Q427" s="205"/>
      <c r="R427" s="203"/>
      <c r="S427" s="203"/>
      <c r="T427" s="203"/>
      <c r="U427" s="203"/>
      <c r="V427" s="203"/>
      <c r="W427" s="203"/>
      <c r="X427" s="203"/>
      <c r="Y427" s="203"/>
      <c r="Z427" s="203"/>
    </row>
    <row r="428" spans="1:26" ht="12.75" x14ac:dyDescent="0.2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4"/>
      <c r="N428" s="204"/>
      <c r="O428" s="205"/>
      <c r="P428" s="205"/>
      <c r="Q428" s="205"/>
      <c r="R428" s="203"/>
      <c r="S428" s="203"/>
      <c r="T428" s="203"/>
      <c r="U428" s="203"/>
      <c r="V428" s="203"/>
      <c r="W428" s="203"/>
      <c r="X428" s="203"/>
      <c r="Y428" s="203"/>
      <c r="Z428" s="203"/>
    </row>
    <row r="429" spans="1:26" ht="12.75" x14ac:dyDescent="0.2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4"/>
      <c r="N429" s="204"/>
      <c r="O429" s="205"/>
      <c r="P429" s="205"/>
      <c r="Q429" s="205"/>
      <c r="R429" s="203"/>
      <c r="S429" s="203"/>
      <c r="T429" s="203"/>
      <c r="U429" s="203"/>
      <c r="V429" s="203"/>
      <c r="W429" s="203"/>
      <c r="X429" s="203"/>
      <c r="Y429" s="203"/>
      <c r="Z429" s="203"/>
    </row>
    <row r="430" spans="1:26" ht="12.75" x14ac:dyDescent="0.2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4"/>
      <c r="N430" s="204"/>
      <c r="O430" s="205"/>
      <c r="P430" s="205"/>
      <c r="Q430" s="205"/>
      <c r="R430" s="203"/>
      <c r="S430" s="203"/>
      <c r="T430" s="203"/>
      <c r="U430" s="203"/>
      <c r="V430" s="203"/>
      <c r="W430" s="203"/>
      <c r="X430" s="203"/>
      <c r="Y430" s="203"/>
      <c r="Z430" s="203"/>
    </row>
    <row r="431" spans="1:26" ht="12.75" x14ac:dyDescent="0.2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4"/>
      <c r="N431" s="204"/>
      <c r="O431" s="205"/>
      <c r="P431" s="205"/>
      <c r="Q431" s="205"/>
      <c r="R431" s="203"/>
      <c r="S431" s="203"/>
      <c r="T431" s="203"/>
      <c r="U431" s="203"/>
      <c r="V431" s="203"/>
      <c r="W431" s="203"/>
      <c r="X431" s="203"/>
      <c r="Y431" s="203"/>
      <c r="Z431" s="203"/>
    </row>
    <row r="432" spans="1:26" ht="12.75" x14ac:dyDescent="0.2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4"/>
      <c r="N432" s="204"/>
      <c r="O432" s="205"/>
      <c r="P432" s="205"/>
      <c r="Q432" s="205"/>
      <c r="R432" s="203"/>
      <c r="S432" s="203"/>
      <c r="T432" s="203"/>
      <c r="U432" s="203"/>
      <c r="V432" s="203"/>
      <c r="W432" s="203"/>
      <c r="X432" s="203"/>
      <c r="Y432" s="203"/>
      <c r="Z432" s="203"/>
    </row>
    <row r="433" spans="1:26" ht="12.75" x14ac:dyDescent="0.2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4"/>
      <c r="N433" s="204"/>
      <c r="O433" s="205"/>
      <c r="P433" s="205"/>
      <c r="Q433" s="205"/>
      <c r="R433" s="203"/>
      <c r="S433" s="203"/>
      <c r="T433" s="203"/>
      <c r="U433" s="203"/>
      <c r="V433" s="203"/>
      <c r="W433" s="203"/>
      <c r="X433" s="203"/>
      <c r="Y433" s="203"/>
      <c r="Z433" s="203"/>
    </row>
    <row r="434" spans="1:26" ht="12.75" x14ac:dyDescent="0.2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4"/>
      <c r="N434" s="204"/>
      <c r="O434" s="205"/>
      <c r="P434" s="205"/>
      <c r="Q434" s="205"/>
      <c r="R434" s="203"/>
      <c r="S434" s="203"/>
      <c r="T434" s="203"/>
      <c r="U434" s="203"/>
      <c r="V434" s="203"/>
      <c r="W434" s="203"/>
      <c r="X434" s="203"/>
      <c r="Y434" s="203"/>
      <c r="Z434" s="203"/>
    </row>
    <row r="435" spans="1:26" ht="12.75" x14ac:dyDescent="0.2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4"/>
      <c r="N435" s="204"/>
      <c r="O435" s="205"/>
      <c r="P435" s="205"/>
      <c r="Q435" s="205"/>
      <c r="R435" s="203"/>
      <c r="S435" s="203"/>
      <c r="T435" s="203"/>
      <c r="U435" s="203"/>
      <c r="V435" s="203"/>
      <c r="W435" s="203"/>
      <c r="X435" s="203"/>
      <c r="Y435" s="203"/>
      <c r="Z435" s="203"/>
    </row>
    <row r="436" spans="1:26" ht="12.75" x14ac:dyDescent="0.2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4"/>
      <c r="N436" s="204"/>
      <c r="O436" s="205"/>
      <c r="P436" s="205"/>
      <c r="Q436" s="205"/>
      <c r="R436" s="203"/>
      <c r="S436" s="203"/>
      <c r="T436" s="203"/>
      <c r="U436" s="203"/>
      <c r="V436" s="203"/>
      <c r="W436" s="203"/>
      <c r="X436" s="203"/>
      <c r="Y436" s="203"/>
      <c r="Z436" s="203"/>
    </row>
    <row r="437" spans="1:26" ht="12.75" x14ac:dyDescent="0.2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4"/>
      <c r="N437" s="204"/>
      <c r="O437" s="205"/>
      <c r="P437" s="205"/>
      <c r="Q437" s="205"/>
      <c r="R437" s="203"/>
      <c r="S437" s="203"/>
      <c r="T437" s="203"/>
      <c r="U437" s="203"/>
      <c r="V437" s="203"/>
      <c r="W437" s="203"/>
      <c r="X437" s="203"/>
      <c r="Y437" s="203"/>
      <c r="Z437" s="203"/>
    </row>
    <row r="438" spans="1:26" ht="12.75" x14ac:dyDescent="0.2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4"/>
      <c r="N438" s="204"/>
      <c r="O438" s="205"/>
      <c r="P438" s="205"/>
      <c r="Q438" s="205"/>
      <c r="R438" s="203"/>
      <c r="S438" s="203"/>
      <c r="T438" s="203"/>
      <c r="U438" s="203"/>
      <c r="V438" s="203"/>
      <c r="W438" s="203"/>
      <c r="X438" s="203"/>
      <c r="Y438" s="203"/>
      <c r="Z438" s="203"/>
    </row>
    <row r="439" spans="1:26" ht="12.75" x14ac:dyDescent="0.2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4"/>
      <c r="N439" s="204"/>
      <c r="O439" s="205"/>
      <c r="P439" s="205"/>
      <c r="Q439" s="205"/>
      <c r="R439" s="203"/>
      <c r="S439" s="203"/>
      <c r="T439" s="203"/>
      <c r="U439" s="203"/>
      <c r="V439" s="203"/>
      <c r="W439" s="203"/>
      <c r="X439" s="203"/>
      <c r="Y439" s="203"/>
      <c r="Z439" s="203"/>
    </row>
    <row r="440" spans="1:26" ht="12.75" x14ac:dyDescent="0.2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4"/>
      <c r="N440" s="204"/>
      <c r="O440" s="205"/>
      <c r="P440" s="205"/>
      <c r="Q440" s="205"/>
      <c r="R440" s="203"/>
      <c r="S440" s="203"/>
      <c r="T440" s="203"/>
      <c r="U440" s="203"/>
      <c r="V440" s="203"/>
      <c r="W440" s="203"/>
      <c r="X440" s="203"/>
      <c r="Y440" s="203"/>
      <c r="Z440" s="203"/>
    </row>
    <row r="441" spans="1:26" ht="12.75" x14ac:dyDescent="0.2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4"/>
      <c r="N441" s="204"/>
      <c r="O441" s="205"/>
      <c r="P441" s="205"/>
      <c r="Q441" s="205"/>
      <c r="R441" s="203"/>
      <c r="S441" s="203"/>
      <c r="T441" s="203"/>
      <c r="U441" s="203"/>
      <c r="V441" s="203"/>
      <c r="W441" s="203"/>
      <c r="X441" s="203"/>
      <c r="Y441" s="203"/>
      <c r="Z441" s="203"/>
    </row>
    <row r="442" spans="1:26" ht="12.75" x14ac:dyDescent="0.2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4"/>
      <c r="N442" s="204"/>
      <c r="O442" s="205"/>
      <c r="P442" s="205"/>
      <c r="Q442" s="205"/>
      <c r="R442" s="203"/>
      <c r="S442" s="203"/>
      <c r="T442" s="203"/>
      <c r="U442" s="203"/>
      <c r="V442" s="203"/>
      <c r="W442" s="203"/>
      <c r="X442" s="203"/>
      <c r="Y442" s="203"/>
      <c r="Z442" s="203"/>
    </row>
    <row r="443" spans="1:26" ht="12.75" x14ac:dyDescent="0.2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4"/>
      <c r="N443" s="204"/>
      <c r="O443" s="205"/>
      <c r="P443" s="205"/>
      <c r="Q443" s="205"/>
      <c r="R443" s="203"/>
      <c r="S443" s="203"/>
      <c r="T443" s="203"/>
      <c r="U443" s="203"/>
      <c r="V443" s="203"/>
      <c r="W443" s="203"/>
      <c r="X443" s="203"/>
      <c r="Y443" s="203"/>
      <c r="Z443" s="203"/>
    </row>
    <row r="444" spans="1:26" ht="12.75" x14ac:dyDescent="0.2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4"/>
      <c r="N444" s="204"/>
      <c r="O444" s="205"/>
      <c r="P444" s="205"/>
      <c r="Q444" s="205"/>
      <c r="R444" s="203"/>
      <c r="S444" s="203"/>
      <c r="T444" s="203"/>
      <c r="U444" s="203"/>
      <c r="V444" s="203"/>
      <c r="W444" s="203"/>
      <c r="X444" s="203"/>
      <c r="Y444" s="203"/>
      <c r="Z444" s="203"/>
    </row>
    <row r="445" spans="1:26" ht="12.75" x14ac:dyDescent="0.2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4"/>
      <c r="N445" s="204"/>
      <c r="O445" s="205"/>
      <c r="P445" s="205"/>
      <c r="Q445" s="205"/>
      <c r="R445" s="203"/>
      <c r="S445" s="203"/>
      <c r="T445" s="203"/>
      <c r="U445" s="203"/>
      <c r="V445" s="203"/>
      <c r="W445" s="203"/>
      <c r="X445" s="203"/>
      <c r="Y445" s="203"/>
      <c r="Z445" s="203"/>
    </row>
    <row r="446" spans="1:26" ht="12.75" x14ac:dyDescent="0.2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4"/>
      <c r="N446" s="204"/>
      <c r="O446" s="205"/>
      <c r="P446" s="205"/>
      <c r="Q446" s="205"/>
      <c r="R446" s="203"/>
      <c r="S446" s="203"/>
      <c r="T446" s="203"/>
      <c r="U446" s="203"/>
      <c r="V446" s="203"/>
      <c r="W446" s="203"/>
      <c r="X446" s="203"/>
      <c r="Y446" s="203"/>
      <c r="Z446" s="203"/>
    </row>
    <row r="447" spans="1:26" ht="12.75" x14ac:dyDescent="0.2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4"/>
      <c r="N447" s="204"/>
      <c r="O447" s="205"/>
      <c r="P447" s="205"/>
      <c r="Q447" s="205"/>
      <c r="R447" s="203"/>
      <c r="S447" s="203"/>
      <c r="T447" s="203"/>
      <c r="U447" s="203"/>
      <c r="V447" s="203"/>
      <c r="W447" s="203"/>
      <c r="X447" s="203"/>
      <c r="Y447" s="203"/>
      <c r="Z447" s="203"/>
    </row>
    <row r="448" spans="1:26" ht="12.75" x14ac:dyDescent="0.2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4"/>
      <c r="N448" s="204"/>
      <c r="O448" s="205"/>
      <c r="P448" s="205"/>
      <c r="Q448" s="205"/>
      <c r="R448" s="203"/>
      <c r="S448" s="203"/>
      <c r="T448" s="203"/>
      <c r="U448" s="203"/>
      <c r="V448" s="203"/>
      <c r="W448" s="203"/>
      <c r="X448" s="203"/>
      <c r="Y448" s="203"/>
      <c r="Z448" s="203"/>
    </row>
    <row r="449" spans="1:26" ht="12.75" x14ac:dyDescent="0.2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4"/>
      <c r="N449" s="204"/>
      <c r="O449" s="205"/>
      <c r="P449" s="205"/>
      <c r="Q449" s="205"/>
      <c r="R449" s="203"/>
      <c r="S449" s="203"/>
      <c r="T449" s="203"/>
      <c r="U449" s="203"/>
      <c r="V449" s="203"/>
      <c r="W449" s="203"/>
      <c r="X449" s="203"/>
      <c r="Y449" s="203"/>
      <c r="Z449" s="203"/>
    </row>
    <row r="450" spans="1:26" ht="12.75" x14ac:dyDescent="0.2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4"/>
      <c r="N450" s="204"/>
      <c r="O450" s="205"/>
      <c r="P450" s="205"/>
      <c r="Q450" s="205"/>
      <c r="R450" s="203"/>
      <c r="S450" s="203"/>
      <c r="T450" s="203"/>
      <c r="U450" s="203"/>
      <c r="V450" s="203"/>
      <c r="W450" s="203"/>
      <c r="X450" s="203"/>
      <c r="Y450" s="203"/>
      <c r="Z450" s="203"/>
    </row>
    <row r="451" spans="1:26" ht="12.75" x14ac:dyDescent="0.2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4"/>
      <c r="N451" s="204"/>
      <c r="O451" s="205"/>
      <c r="P451" s="205"/>
      <c r="Q451" s="205"/>
      <c r="R451" s="203"/>
      <c r="S451" s="203"/>
      <c r="T451" s="203"/>
      <c r="U451" s="203"/>
      <c r="V451" s="203"/>
      <c r="W451" s="203"/>
      <c r="X451" s="203"/>
      <c r="Y451" s="203"/>
      <c r="Z451" s="203"/>
    </row>
    <row r="452" spans="1:26" ht="12.75" x14ac:dyDescent="0.2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4"/>
      <c r="N452" s="204"/>
      <c r="O452" s="205"/>
      <c r="P452" s="205"/>
      <c r="Q452" s="205"/>
      <c r="R452" s="203"/>
      <c r="S452" s="203"/>
      <c r="T452" s="203"/>
      <c r="U452" s="203"/>
      <c r="V452" s="203"/>
      <c r="W452" s="203"/>
      <c r="X452" s="203"/>
      <c r="Y452" s="203"/>
      <c r="Z452" s="203"/>
    </row>
    <row r="453" spans="1:26" ht="12.75" x14ac:dyDescent="0.2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4"/>
      <c r="N453" s="204"/>
      <c r="O453" s="205"/>
      <c r="P453" s="205"/>
      <c r="Q453" s="205"/>
      <c r="R453" s="203"/>
      <c r="S453" s="203"/>
      <c r="T453" s="203"/>
      <c r="U453" s="203"/>
      <c r="V453" s="203"/>
      <c r="W453" s="203"/>
      <c r="X453" s="203"/>
      <c r="Y453" s="203"/>
      <c r="Z453" s="203"/>
    </row>
    <row r="454" spans="1:26" ht="12.75" x14ac:dyDescent="0.2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4"/>
      <c r="N454" s="204"/>
      <c r="O454" s="205"/>
      <c r="P454" s="205"/>
      <c r="Q454" s="205"/>
      <c r="R454" s="203"/>
      <c r="S454" s="203"/>
      <c r="T454" s="203"/>
      <c r="U454" s="203"/>
      <c r="V454" s="203"/>
      <c r="W454" s="203"/>
      <c r="X454" s="203"/>
      <c r="Y454" s="203"/>
      <c r="Z454" s="203"/>
    </row>
    <row r="455" spans="1:26" ht="12.75" x14ac:dyDescent="0.2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4"/>
      <c r="N455" s="204"/>
      <c r="O455" s="205"/>
      <c r="P455" s="205"/>
      <c r="Q455" s="205"/>
      <c r="R455" s="203"/>
      <c r="S455" s="203"/>
      <c r="T455" s="203"/>
      <c r="U455" s="203"/>
      <c r="V455" s="203"/>
      <c r="W455" s="203"/>
      <c r="X455" s="203"/>
      <c r="Y455" s="203"/>
      <c r="Z455" s="203"/>
    </row>
    <row r="456" spans="1:26" ht="12.75" x14ac:dyDescent="0.2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4"/>
      <c r="N456" s="204"/>
      <c r="O456" s="205"/>
      <c r="P456" s="205"/>
      <c r="Q456" s="205"/>
      <c r="R456" s="203"/>
      <c r="S456" s="203"/>
      <c r="T456" s="203"/>
      <c r="U456" s="203"/>
      <c r="V456" s="203"/>
      <c r="W456" s="203"/>
      <c r="X456" s="203"/>
      <c r="Y456" s="203"/>
      <c r="Z456" s="203"/>
    </row>
    <row r="457" spans="1:26" ht="12.75" x14ac:dyDescent="0.2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4"/>
      <c r="N457" s="204"/>
      <c r="O457" s="205"/>
      <c r="P457" s="205"/>
      <c r="Q457" s="205"/>
      <c r="R457" s="203"/>
      <c r="S457" s="203"/>
      <c r="T457" s="203"/>
      <c r="U457" s="203"/>
      <c r="V457" s="203"/>
      <c r="W457" s="203"/>
      <c r="X457" s="203"/>
      <c r="Y457" s="203"/>
      <c r="Z457" s="203"/>
    </row>
    <row r="458" spans="1:26" ht="12.75" x14ac:dyDescent="0.2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4"/>
      <c r="N458" s="204"/>
      <c r="O458" s="205"/>
      <c r="P458" s="205"/>
      <c r="Q458" s="205"/>
      <c r="R458" s="203"/>
      <c r="S458" s="203"/>
      <c r="T458" s="203"/>
      <c r="U458" s="203"/>
      <c r="V458" s="203"/>
      <c r="W458" s="203"/>
      <c r="X458" s="203"/>
      <c r="Y458" s="203"/>
      <c r="Z458" s="203"/>
    </row>
    <row r="459" spans="1:26" ht="12.75" x14ac:dyDescent="0.2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4"/>
      <c r="N459" s="204"/>
      <c r="O459" s="205"/>
      <c r="P459" s="205"/>
      <c r="Q459" s="205"/>
      <c r="R459" s="203"/>
      <c r="S459" s="203"/>
      <c r="T459" s="203"/>
      <c r="U459" s="203"/>
      <c r="V459" s="203"/>
      <c r="W459" s="203"/>
      <c r="X459" s="203"/>
      <c r="Y459" s="203"/>
      <c r="Z459" s="203"/>
    </row>
    <row r="460" spans="1:26" ht="12.75" x14ac:dyDescent="0.2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4"/>
      <c r="N460" s="204"/>
      <c r="O460" s="205"/>
      <c r="P460" s="205"/>
      <c r="Q460" s="205"/>
      <c r="R460" s="203"/>
      <c r="S460" s="203"/>
      <c r="T460" s="203"/>
      <c r="U460" s="203"/>
      <c r="V460" s="203"/>
      <c r="W460" s="203"/>
      <c r="X460" s="203"/>
      <c r="Y460" s="203"/>
      <c r="Z460" s="203"/>
    </row>
    <row r="461" spans="1:26" ht="12.75" x14ac:dyDescent="0.2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4"/>
      <c r="N461" s="204"/>
      <c r="O461" s="205"/>
      <c r="P461" s="205"/>
      <c r="Q461" s="205"/>
      <c r="R461" s="203"/>
      <c r="S461" s="203"/>
      <c r="T461" s="203"/>
      <c r="U461" s="203"/>
      <c r="V461" s="203"/>
      <c r="W461" s="203"/>
      <c r="X461" s="203"/>
      <c r="Y461" s="203"/>
      <c r="Z461" s="203"/>
    </row>
    <row r="462" spans="1:26" ht="12.75" x14ac:dyDescent="0.2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4"/>
      <c r="N462" s="204"/>
      <c r="O462" s="205"/>
      <c r="P462" s="205"/>
      <c r="Q462" s="205"/>
      <c r="R462" s="203"/>
      <c r="S462" s="203"/>
      <c r="T462" s="203"/>
      <c r="U462" s="203"/>
      <c r="V462" s="203"/>
      <c r="W462" s="203"/>
      <c r="X462" s="203"/>
      <c r="Y462" s="203"/>
      <c r="Z462" s="203"/>
    </row>
    <row r="463" spans="1:26" ht="12.75" x14ac:dyDescent="0.2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4"/>
      <c r="N463" s="204"/>
      <c r="O463" s="205"/>
      <c r="P463" s="205"/>
      <c r="Q463" s="205"/>
      <c r="R463" s="203"/>
      <c r="S463" s="203"/>
      <c r="T463" s="203"/>
      <c r="U463" s="203"/>
      <c r="V463" s="203"/>
      <c r="W463" s="203"/>
      <c r="X463" s="203"/>
      <c r="Y463" s="203"/>
      <c r="Z463" s="203"/>
    </row>
    <row r="464" spans="1:26" ht="12.75" x14ac:dyDescent="0.2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4"/>
      <c r="N464" s="204"/>
      <c r="O464" s="205"/>
      <c r="P464" s="205"/>
      <c r="Q464" s="205"/>
      <c r="R464" s="203"/>
      <c r="S464" s="203"/>
      <c r="T464" s="203"/>
      <c r="U464" s="203"/>
      <c r="V464" s="203"/>
      <c r="W464" s="203"/>
      <c r="X464" s="203"/>
      <c r="Y464" s="203"/>
      <c r="Z464" s="203"/>
    </row>
    <row r="465" spans="1:26" ht="12.75" x14ac:dyDescent="0.2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4"/>
      <c r="N465" s="204"/>
      <c r="O465" s="205"/>
      <c r="P465" s="205"/>
      <c r="Q465" s="205"/>
      <c r="R465" s="203"/>
      <c r="S465" s="203"/>
      <c r="T465" s="203"/>
      <c r="U465" s="203"/>
      <c r="V465" s="203"/>
      <c r="W465" s="203"/>
      <c r="X465" s="203"/>
      <c r="Y465" s="203"/>
      <c r="Z465" s="203"/>
    </row>
    <row r="466" spans="1:26" ht="12.75" x14ac:dyDescent="0.2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4"/>
      <c r="N466" s="204"/>
      <c r="O466" s="205"/>
      <c r="P466" s="205"/>
      <c r="Q466" s="205"/>
      <c r="R466" s="203"/>
      <c r="S466" s="203"/>
      <c r="T466" s="203"/>
      <c r="U466" s="203"/>
      <c r="V466" s="203"/>
      <c r="W466" s="203"/>
      <c r="X466" s="203"/>
      <c r="Y466" s="203"/>
      <c r="Z466" s="203"/>
    </row>
    <row r="467" spans="1:26" ht="12.75" x14ac:dyDescent="0.2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4"/>
      <c r="N467" s="204"/>
      <c r="O467" s="205"/>
      <c r="P467" s="205"/>
      <c r="Q467" s="205"/>
      <c r="R467" s="203"/>
      <c r="S467" s="203"/>
      <c r="T467" s="203"/>
      <c r="U467" s="203"/>
      <c r="V467" s="203"/>
      <c r="W467" s="203"/>
      <c r="X467" s="203"/>
      <c r="Y467" s="203"/>
      <c r="Z467" s="203"/>
    </row>
    <row r="468" spans="1:26" ht="12.75" x14ac:dyDescent="0.2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4"/>
      <c r="N468" s="204"/>
      <c r="O468" s="205"/>
      <c r="P468" s="205"/>
      <c r="Q468" s="205"/>
      <c r="R468" s="203"/>
      <c r="S468" s="203"/>
      <c r="T468" s="203"/>
      <c r="U468" s="203"/>
      <c r="V468" s="203"/>
      <c r="W468" s="203"/>
      <c r="X468" s="203"/>
      <c r="Y468" s="203"/>
      <c r="Z468" s="203"/>
    </row>
    <row r="469" spans="1:26" ht="12.75" x14ac:dyDescent="0.2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4"/>
      <c r="N469" s="204"/>
      <c r="O469" s="205"/>
      <c r="P469" s="205"/>
      <c r="Q469" s="205"/>
      <c r="R469" s="203"/>
      <c r="S469" s="203"/>
      <c r="T469" s="203"/>
      <c r="U469" s="203"/>
      <c r="V469" s="203"/>
      <c r="W469" s="203"/>
      <c r="X469" s="203"/>
      <c r="Y469" s="203"/>
      <c r="Z469" s="203"/>
    </row>
    <row r="470" spans="1:26" ht="12.75" x14ac:dyDescent="0.2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4"/>
      <c r="N470" s="204"/>
      <c r="O470" s="205"/>
      <c r="P470" s="205"/>
      <c r="Q470" s="205"/>
      <c r="R470" s="203"/>
      <c r="S470" s="203"/>
      <c r="T470" s="203"/>
      <c r="U470" s="203"/>
      <c r="V470" s="203"/>
      <c r="W470" s="203"/>
      <c r="X470" s="203"/>
      <c r="Y470" s="203"/>
      <c r="Z470" s="203"/>
    </row>
    <row r="471" spans="1:26" ht="12.75" x14ac:dyDescent="0.2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4"/>
      <c r="N471" s="204"/>
      <c r="O471" s="205"/>
      <c r="P471" s="205"/>
      <c r="Q471" s="205"/>
      <c r="R471" s="203"/>
      <c r="S471" s="203"/>
      <c r="T471" s="203"/>
      <c r="U471" s="203"/>
      <c r="V471" s="203"/>
      <c r="W471" s="203"/>
      <c r="X471" s="203"/>
      <c r="Y471" s="203"/>
      <c r="Z471" s="203"/>
    </row>
    <row r="472" spans="1:26" ht="12.75" x14ac:dyDescent="0.2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4"/>
      <c r="N472" s="204"/>
      <c r="O472" s="205"/>
      <c r="P472" s="205"/>
      <c r="Q472" s="205"/>
      <c r="R472" s="203"/>
      <c r="S472" s="203"/>
      <c r="T472" s="203"/>
      <c r="U472" s="203"/>
      <c r="V472" s="203"/>
      <c r="W472" s="203"/>
      <c r="X472" s="203"/>
      <c r="Y472" s="203"/>
      <c r="Z472" s="203"/>
    </row>
    <row r="473" spans="1:26" ht="12.75" x14ac:dyDescent="0.2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4"/>
      <c r="N473" s="204"/>
      <c r="O473" s="205"/>
      <c r="P473" s="205"/>
      <c r="Q473" s="205"/>
      <c r="R473" s="203"/>
      <c r="S473" s="203"/>
      <c r="T473" s="203"/>
      <c r="U473" s="203"/>
      <c r="V473" s="203"/>
      <c r="W473" s="203"/>
      <c r="X473" s="203"/>
      <c r="Y473" s="203"/>
      <c r="Z473" s="203"/>
    </row>
    <row r="474" spans="1:26" ht="12.75" x14ac:dyDescent="0.2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4"/>
      <c r="N474" s="204"/>
      <c r="O474" s="205"/>
      <c r="P474" s="205"/>
      <c r="Q474" s="205"/>
      <c r="R474" s="203"/>
      <c r="S474" s="203"/>
      <c r="T474" s="203"/>
      <c r="U474" s="203"/>
      <c r="V474" s="203"/>
      <c r="W474" s="203"/>
      <c r="X474" s="203"/>
      <c r="Y474" s="203"/>
      <c r="Z474" s="203"/>
    </row>
    <row r="475" spans="1:26" ht="12.75" x14ac:dyDescent="0.2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4"/>
      <c r="N475" s="204"/>
      <c r="O475" s="205"/>
      <c r="P475" s="205"/>
      <c r="Q475" s="205"/>
      <c r="R475" s="203"/>
      <c r="S475" s="203"/>
      <c r="T475" s="203"/>
      <c r="U475" s="203"/>
      <c r="V475" s="203"/>
      <c r="W475" s="203"/>
      <c r="X475" s="203"/>
      <c r="Y475" s="203"/>
      <c r="Z475" s="203"/>
    </row>
    <row r="476" spans="1:26" ht="12.75" x14ac:dyDescent="0.2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4"/>
      <c r="N476" s="204"/>
      <c r="O476" s="205"/>
      <c r="P476" s="205"/>
      <c r="Q476" s="205"/>
      <c r="R476" s="203"/>
      <c r="S476" s="203"/>
      <c r="T476" s="203"/>
      <c r="U476" s="203"/>
      <c r="V476" s="203"/>
      <c r="W476" s="203"/>
      <c r="X476" s="203"/>
      <c r="Y476" s="203"/>
      <c r="Z476" s="203"/>
    </row>
    <row r="477" spans="1:26" ht="12.75" x14ac:dyDescent="0.2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4"/>
      <c r="N477" s="204"/>
      <c r="O477" s="205"/>
      <c r="P477" s="205"/>
      <c r="Q477" s="205"/>
      <c r="R477" s="203"/>
      <c r="S477" s="203"/>
      <c r="T477" s="203"/>
      <c r="U477" s="203"/>
      <c r="V477" s="203"/>
      <c r="W477" s="203"/>
      <c r="X477" s="203"/>
      <c r="Y477" s="203"/>
      <c r="Z477" s="203"/>
    </row>
    <row r="478" spans="1:26" ht="12.75" x14ac:dyDescent="0.2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4"/>
      <c r="N478" s="204"/>
      <c r="O478" s="205"/>
      <c r="P478" s="205"/>
      <c r="Q478" s="205"/>
      <c r="R478" s="203"/>
      <c r="S478" s="203"/>
      <c r="T478" s="203"/>
      <c r="U478" s="203"/>
      <c r="V478" s="203"/>
      <c r="W478" s="203"/>
      <c r="X478" s="203"/>
      <c r="Y478" s="203"/>
      <c r="Z478" s="203"/>
    </row>
    <row r="479" spans="1:26" ht="12.75" x14ac:dyDescent="0.2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4"/>
      <c r="N479" s="204"/>
      <c r="O479" s="205"/>
      <c r="P479" s="205"/>
      <c r="Q479" s="205"/>
      <c r="R479" s="203"/>
      <c r="S479" s="203"/>
      <c r="T479" s="203"/>
      <c r="U479" s="203"/>
      <c r="V479" s="203"/>
      <c r="W479" s="203"/>
      <c r="X479" s="203"/>
      <c r="Y479" s="203"/>
      <c r="Z479" s="203"/>
    </row>
    <row r="480" spans="1:26" ht="12.75" x14ac:dyDescent="0.2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4"/>
      <c r="N480" s="204"/>
      <c r="O480" s="205"/>
      <c r="P480" s="205"/>
      <c r="Q480" s="205"/>
      <c r="R480" s="203"/>
      <c r="S480" s="203"/>
      <c r="T480" s="203"/>
      <c r="U480" s="203"/>
      <c r="V480" s="203"/>
      <c r="W480" s="203"/>
      <c r="X480" s="203"/>
      <c r="Y480" s="203"/>
      <c r="Z480" s="203"/>
    </row>
    <row r="481" spans="1:26" ht="12.75" x14ac:dyDescent="0.2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4"/>
      <c r="N481" s="204"/>
      <c r="O481" s="205"/>
      <c r="P481" s="205"/>
      <c r="Q481" s="205"/>
      <c r="R481" s="203"/>
      <c r="S481" s="203"/>
      <c r="T481" s="203"/>
      <c r="U481" s="203"/>
      <c r="V481" s="203"/>
      <c r="W481" s="203"/>
      <c r="X481" s="203"/>
      <c r="Y481" s="203"/>
      <c r="Z481" s="203"/>
    </row>
    <row r="482" spans="1:26" ht="12.75" x14ac:dyDescent="0.2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4"/>
      <c r="N482" s="204"/>
      <c r="O482" s="205"/>
      <c r="P482" s="205"/>
      <c r="Q482" s="205"/>
      <c r="R482" s="203"/>
      <c r="S482" s="203"/>
      <c r="T482" s="203"/>
      <c r="U482" s="203"/>
      <c r="V482" s="203"/>
      <c r="W482" s="203"/>
      <c r="X482" s="203"/>
      <c r="Y482" s="203"/>
      <c r="Z482" s="203"/>
    </row>
    <row r="483" spans="1:26" ht="12.75" x14ac:dyDescent="0.2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4"/>
      <c r="N483" s="204"/>
      <c r="O483" s="205"/>
      <c r="P483" s="205"/>
      <c r="Q483" s="205"/>
      <c r="R483" s="203"/>
      <c r="S483" s="203"/>
      <c r="T483" s="203"/>
      <c r="U483" s="203"/>
      <c r="V483" s="203"/>
      <c r="W483" s="203"/>
      <c r="X483" s="203"/>
      <c r="Y483" s="203"/>
      <c r="Z483" s="203"/>
    </row>
    <row r="484" spans="1:26" ht="12.75" x14ac:dyDescent="0.2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4"/>
      <c r="N484" s="204"/>
      <c r="O484" s="205"/>
      <c r="P484" s="205"/>
      <c r="Q484" s="205"/>
      <c r="R484" s="203"/>
      <c r="S484" s="203"/>
      <c r="T484" s="203"/>
      <c r="U484" s="203"/>
      <c r="V484" s="203"/>
      <c r="W484" s="203"/>
      <c r="X484" s="203"/>
      <c r="Y484" s="203"/>
      <c r="Z484" s="203"/>
    </row>
    <row r="485" spans="1:26" ht="12.75" x14ac:dyDescent="0.2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4"/>
      <c r="N485" s="204"/>
      <c r="O485" s="205"/>
      <c r="P485" s="205"/>
      <c r="Q485" s="205"/>
      <c r="R485" s="203"/>
      <c r="S485" s="203"/>
      <c r="T485" s="203"/>
      <c r="U485" s="203"/>
      <c r="V485" s="203"/>
      <c r="W485" s="203"/>
      <c r="X485" s="203"/>
      <c r="Y485" s="203"/>
      <c r="Z485" s="203"/>
    </row>
    <row r="486" spans="1:26" ht="12.75" x14ac:dyDescent="0.2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4"/>
      <c r="N486" s="204"/>
      <c r="O486" s="205"/>
      <c r="P486" s="205"/>
      <c r="Q486" s="205"/>
      <c r="R486" s="203"/>
      <c r="S486" s="203"/>
      <c r="T486" s="203"/>
      <c r="U486" s="203"/>
      <c r="V486" s="203"/>
      <c r="W486" s="203"/>
      <c r="X486" s="203"/>
      <c r="Y486" s="203"/>
      <c r="Z486" s="203"/>
    </row>
    <row r="487" spans="1:26" ht="12.75" x14ac:dyDescent="0.2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4"/>
      <c r="N487" s="204"/>
      <c r="O487" s="205"/>
      <c r="P487" s="205"/>
      <c r="Q487" s="205"/>
      <c r="R487" s="203"/>
      <c r="S487" s="203"/>
      <c r="T487" s="203"/>
      <c r="U487" s="203"/>
      <c r="V487" s="203"/>
      <c r="W487" s="203"/>
      <c r="X487" s="203"/>
      <c r="Y487" s="203"/>
      <c r="Z487" s="203"/>
    </row>
    <row r="488" spans="1:26" ht="12.75" x14ac:dyDescent="0.2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4"/>
      <c r="N488" s="204"/>
      <c r="O488" s="205"/>
      <c r="P488" s="205"/>
      <c r="Q488" s="205"/>
      <c r="R488" s="203"/>
      <c r="S488" s="203"/>
      <c r="T488" s="203"/>
      <c r="U488" s="203"/>
      <c r="V488" s="203"/>
      <c r="W488" s="203"/>
      <c r="X488" s="203"/>
      <c r="Y488" s="203"/>
      <c r="Z488" s="203"/>
    </row>
    <row r="489" spans="1:26" ht="12.75" x14ac:dyDescent="0.2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4"/>
      <c r="N489" s="204"/>
      <c r="O489" s="205"/>
      <c r="P489" s="205"/>
      <c r="Q489" s="205"/>
      <c r="R489" s="203"/>
      <c r="S489" s="203"/>
      <c r="T489" s="203"/>
      <c r="U489" s="203"/>
      <c r="V489" s="203"/>
      <c r="W489" s="203"/>
      <c r="X489" s="203"/>
      <c r="Y489" s="203"/>
      <c r="Z489" s="203"/>
    </row>
    <row r="490" spans="1:26" ht="12.75" x14ac:dyDescent="0.2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4"/>
      <c r="N490" s="204"/>
      <c r="O490" s="205"/>
      <c r="P490" s="205"/>
      <c r="Q490" s="205"/>
      <c r="R490" s="203"/>
      <c r="S490" s="203"/>
      <c r="T490" s="203"/>
      <c r="U490" s="203"/>
      <c r="V490" s="203"/>
      <c r="W490" s="203"/>
      <c r="X490" s="203"/>
      <c r="Y490" s="203"/>
      <c r="Z490" s="203"/>
    </row>
    <row r="491" spans="1:26" ht="12.75" x14ac:dyDescent="0.2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4"/>
      <c r="N491" s="204"/>
      <c r="O491" s="205"/>
      <c r="P491" s="205"/>
      <c r="Q491" s="205"/>
      <c r="R491" s="203"/>
      <c r="S491" s="203"/>
      <c r="T491" s="203"/>
      <c r="U491" s="203"/>
      <c r="V491" s="203"/>
      <c r="W491" s="203"/>
      <c r="X491" s="203"/>
      <c r="Y491" s="203"/>
      <c r="Z491" s="203"/>
    </row>
    <row r="492" spans="1:26" ht="12.75" x14ac:dyDescent="0.2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4"/>
      <c r="N492" s="204"/>
      <c r="O492" s="205"/>
      <c r="P492" s="205"/>
      <c r="Q492" s="205"/>
      <c r="R492" s="203"/>
      <c r="S492" s="203"/>
      <c r="T492" s="203"/>
      <c r="U492" s="203"/>
      <c r="V492" s="203"/>
      <c r="W492" s="203"/>
      <c r="X492" s="203"/>
      <c r="Y492" s="203"/>
      <c r="Z492" s="203"/>
    </row>
    <row r="493" spans="1:26" ht="12.75" x14ac:dyDescent="0.2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04"/>
      <c r="N493" s="204"/>
      <c r="O493" s="205"/>
      <c r="P493" s="205"/>
      <c r="Q493" s="205"/>
      <c r="R493" s="203"/>
      <c r="S493" s="203"/>
      <c r="T493" s="203"/>
      <c r="U493" s="203"/>
      <c r="V493" s="203"/>
      <c r="W493" s="203"/>
      <c r="X493" s="203"/>
      <c r="Y493" s="203"/>
      <c r="Z493" s="203"/>
    </row>
    <row r="494" spans="1:26" ht="12.75" x14ac:dyDescent="0.2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04"/>
      <c r="N494" s="204"/>
      <c r="O494" s="205"/>
      <c r="P494" s="205"/>
      <c r="Q494" s="205"/>
      <c r="R494" s="203"/>
      <c r="S494" s="203"/>
      <c r="T494" s="203"/>
      <c r="U494" s="203"/>
      <c r="V494" s="203"/>
      <c r="W494" s="203"/>
      <c r="X494" s="203"/>
      <c r="Y494" s="203"/>
      <c r="Z494" s="203"/>
    </row>
    <row r="495" spans="1:26" ht="12.75" x14ac:dyDescent="0.2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04"/>
      <c r="N495" s="204"/>
      <c r="O495" s="205"/>
      <c r="P495" s="205"/>
      <c r="Q495" s="205"/>
      <c r="R495" s="203"/>
      <c r="S495" s="203"/>
      <c r="T495" s="203"/>
      <c r="U495" s="203"/>
      <c r="V495" s="203"/>
      <c r="W495" s="203"/>
      <c r="X495" s="203"/>
      <c r="Y495" s="203"/>
      <c r="Z495" s="203"/>
    </row>
    <row r="496" spans="1:26" ht="12.75" x14ac:dyDescent="0.2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04"/>
      <c r="N496" s="204"/>
      <c r="O496" s="205"/>
      <c r="P496" s="205"/>
      <c r="Q496" s="205"/>
      <c r="R496" s="203"/>
      <c r="S496" s="203"/>
      <c r="T496" s="203"/>
      <c r="U496" s="203"/>
      <c r="V496" s="203"/>
      <c r="W496" s="203"/>
      <c r="X496" s="203"/>
      <c r="Y496" s="203"/>
      <c r="Z496" s="203"/>
    </row>
    <row r="497" spans="1:26" ht="12.75" x14ac:dyDescent="0.2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04"/>
      <c r="N497" s="204"/>
      <c r="O497" s="205"/>
      <c r="P497" s="205"/>
      <c r="Q497" s="205"/>
      <c r="R497" s="203"/>
      <c r="S497" s="203"/>
      <c r="T497" s="203"/>
      <c r="U497" s="203"/>
      <c r="V497" s="203"/>
      <c r="W497" s="203"/>
      <c r="X497" s="203"/>
      <c r="Y497" s="203"/>
      <c r="Z497" s="203"/>
    </row>
    <row r="498" spans="1:26" ht="12.75" x14ac:dyDescent="0.2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04"/>
      <c r="N498" s="204"/>
      <c r="O498" s="205"/>
      <c r="P498" s="205"/>
      <c r="Q498" s="205"/>
      <c r="R498" s="203"/>
      <c r="S498" s="203"/>
      <c r="T498" s="203"/>
      <c r="U498" s="203"/>
      <c r="V498" s="203"/>
      <c r="W498" s="203"/>
      <c r="X498" s="203"/>
      <c r="Y498" s="203"/>
      <c r="Z498" s="203"/>
    </row>
    <row r="499" spans="1:26" ht="12.75" x14ac:dyDescent="0.2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04"/>
      <c r="N499" s="204"/>
      <c r="O499" s="205"/>
      <c r="P499" s="205"/>
      <c r="Q499" s="205"/>
      <c r="R499" s="203"/>
      <c r="S499" s="203"/>
      <c r="T499" s="203"/>
      <c r="U499" s="203"/>
      <c r="V499" s="203"/>
      <c r="W499" s="203"/>
      <c r="X499" s="203"/>
      <c r="Y499" s="203"/>
      <c r="Z499" s="203"/>
    </row>
    <row r="500" spans="1:26" ht="12.75" x14ac:dyDescent="0.2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04"/>
      <c r="N500" s="204"/>
      <c r="O500" s="205"/>
      <c r="P500" s="205"/>
      <c r="Q500" s="205"/>
      <c r="R500" s="203"/>
      <c r="S500" s="203"/>
      <c r="T500" s="203"/>
      <c r="U500" s="203"/>
      <c r="V500" s="203"/>
      <c r="W500" s="203"/>
      <c r="X500" s="203"/>
      <c r="Y500" s="203"/>
      <c r="Z500" s="203"/>
    </row>
    <row r="501" spans="1:26" ht="12.75" x14ac:dyDescent="0.2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4"/>
      <c r="N501" s="204"/>
      <c r="O501" s="205"/>
      <c r="P501" s="205"/>
      <c r="Q501" s="205"/>
      <c r="R501" s="203"/>
      <c r="S501" s="203"/>
      <c r="T501" s="203"/>
      <c r="U501" s="203"/>
      <c r="V501" s="203"/>
      <c r="W501" s="203"/>
      <c r="X501" s="203"/>
      <c r="Y501" s="203"/>
      <c r="Z501" s="203"/>
    </row>
    <row r="502" spans="1:26" ht="12.75" x14ac:dyDescent="0.2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4"/>
      <c r="N502" s="204"/>
      <c r="O502" s="205"/>
      <c r="P502" s="205"/>
      <c r="Q502" s="205"/>
      <c r="R502" s="203"/>
      <c r="S502" s="203"/>
      <c r="T502" s="203"/>
      <c r="U502" s="203"/>
      <c r="V502" s="203"/>
      <c r="W502" s="203"/>
      <c r="X502" s="203"/>
      <c r="Y502" s="203"/>
      <c r="Z502" s="203"/>
    </row>
    <row r="503" spans="1:26" ht="12.75" x14ac:dyDescent="0.2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04"/>
      <c r="N503" s="204"/>
      <c r="O503" s="205"/>
      <c r="P503" s="205"/>
      <c r="Q503" s="205"/>
      <c r="R503" s="203"/>
      <c r="S503" s="203"/>
      <c r="T503" s="203"/>
      <c r="U503" s="203"/>
      <c r="V503" s="203"/>
      <c r="W503" s="203"/>
      <c r="X503" s="203"/>
      <c r="Y503" s="203"/>
      <c r="Z503" s="203"/>
    </row>
    <row r="504" spans="1:26" ht="12.75" x14ac:dyDescent="0.2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04"/>
      <c r="N504" s="204"/>
      <c r="O504" s="205"/>
      <c r="P504" s="205"/>
      <c r="Q504" s="205"/>
      <c r="R504" s="203"/>
      <c r="S504" s="203"/>
      <c r="T504" s="203"/>
      <c r="U504" s="203"/>
      <c r="V504" s="203"/>
      <c r="W504" s="203"/>
      <c r="X504" s="203"/>
      <c r="Y504" s="203"/>
      <c r="Z504" s="203"/>
    </row>
    <row r="505" spans="1:26" ht="12.75" x14ac:dyDescent="0.2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04"/>
      <c r="N505" s="204"/>
      <c r="O505" s="205"/>
      <c r="P505" s="205"/>
      <c r="Q505" s="205"/>
      <c r="R505" s="203"/>
      <c r="S505" s="203"/>
      <c r="T505" s="203"/>
      <c r="U505" s="203"/>
      <c r="V505" s="203"/>
      <c r="W505" s="203"/>
      <c r="X505" s="203"/>
      <c r="Y505" s="203"/>
      <c r="Z505" s="203"/>
    </row>
    <row r="506" spans="1:26" ht="12.75" x14ac:dyDescent="0.2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04"/>
      <c r="N506" s="204"/>
      <c r="O506" s="205"/>
      <c r="P506" s="205"/>
      <c r="Q506" s="205"/>
      <c r="R506" s="203"/>
      <c r="S506" s="203"/>
      <c r="T506" s="203"/>
      <c r="U506" s="203"/>
      <c r="V506" s="203"/>
      <c r="W506" s="203"/>
      <c r="X506" s="203"/>
      <c r="Y506" s="203"/>
      <c r="Z506" s="203"/>
    </row>
    <row r="507" spans="1:26" ht="12.75" x14ac:dyDescent="0.2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04"/>
      <c r="N507" s="204"/>
      <c r="O507" s="205"/>
      <c r="P507" s="205"/>
      <c r="Q507" s="205"/>
      <c r="R507" s="203"/>
      <c r="S507" s="203"/>
      <c r="T507" s="203"/>
      <c r="U507" s="203"/>
      <c r="V507" s="203"/>
      <c r="W507" s="203"/>
      <c r="X507" s="203"/>
      <c r="Y507" s="203"/>
      <c r="Z507" s="203"/>
    </row>
    <row r="508" spans="1:26" ht="12.75" x14ac:dyDescent="0.2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04"/>
      <c r="N508" s="204"/>
      <c r="O508" s="205"/>
      <c r="P508" s="205"/>
      <c r="Q508" s="205"/>
      <c r="R508" s="203"/>
      <c r="S508" s="203"/>
      <c r="T508" s="203"/>
      <c r="U508" s="203"/>
      <c r="V508" s="203"/>
      <c r="W508" s="203"/>
      <c r="X508" s="203"/>
      <c r="Y508" s="203"/>
      <c r="Z508" s="203"/>
    </row>
    <row r="509" spans="1:26" ht="12.75" x14ac:dyDescent="0.2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04"/>
      <c r="N509" s="204"/>
      <c r="O509" s="205"/>
      <c r="P509" s="205"/>
      <c r="Q509" s="205"/>
      <c r="R509" s="203"/>
      <c r="S509" s="203"/>
      <c r="T509" s="203"/>
      <c r="U509" s="203"/>
      <c r="V509" s="203"/>
      <c r="W509" s="203"/>
      <c r="X509" s="203"/>
      <c r="Y509" s="203"/>
      <c r="Z509" s="203"/>
    </row>
    <row r="510" spans="1:26" ht="12.75" x14ac:dyDescent="0.2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04"/>
      <c r="N510" s="204"/>
      <c r="O510" s="205"/>
      <c r="P510" s="205"/>
      <c r="Q510" s="205"/>
      <c r="R510" s="203"/>
      <c r="S510" s="203"/>
      <c r="T510" s="203"/>
      <c r="U510" s="203"/>
      <c r="V510" s="203"/>
      <c r="W510" s="203"/>
      <c r="X510" s="203"/>
      <c r="Y510" s="203"/>
      <c r="Z510" s="203"/>
    </row>
    <row r="511" spans="1:26" ht="12.75" x14ac:dyDescent="0.2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04"/>
      <c r="N511" s="204"/>
      <c r="O511" s="205"/>
      <c r="P511" s="205"/>
      <c r="Q511" s="205"/>
      <c r="R511" s="203"/>
      <c r="S511" s="203"/>
      <c r="T511" s="203"/>
      <c r="U511" s="203"/>
      <c r="V511" s="203"/>
      <c r="W511" s="203"/>
      <c r="X511" s="203"/>
      <c r="Y511" s="203"/>
      <c r="Z511" s="203"/>
    </row>
    <row r="512" spans="1:26" ht="12.75" x14ac:dyDescent="0.2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04"/>
      <c r="N512" s="204"/>
      <c r="O512" s="205"/>
      <c r="P512" s="205"/>
      <c r="Q512" s="205"/>
      <c r="R512" s="203"/>
      <c r="S512" s="203"/>
      <c r="T512" s="203"/>
      <c r="U512" s="203"/>
      <c r="V512" s="203"/>
      <c r="W512" s="203"/>
      <c r="X512" s="203"/>
      <c r="Y512" s="203"/>
      <c r="Z512" s="203"/>
    </row>
    <row r="513" spans="1:26" ht="12.75" x14ac:dyDescent="0.2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04"/>
      <c r="N513" s="204"/>
      <c r="O513" s="205"/>
      <c r="P513" s="205"/>
      <c r="Q513" s="205"/>
      <c r="R513" s="203"/>
      <c r="S513" s="203"/>
      <c r="T513" s="203"/>
      <c r="U513" s="203"/>
      <c r="V513" s="203"/>
      <c r="W513" s="203"/>
      <c r="X513" s="203"/>
      <c r="Y513" s="203"/>
      <c r="Z513" s="203"/>
    </row>
    <row r="514" spans="1:26" ht="12.75" x14ac:dyDescent="0.2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04"/>
      <c r="N514" s="204"/>
      <c r="O514" s="205"/>
      <c r="P514" s="205"/>
      <c r="Q514" s="205"/>
      <c r="R514" s="203"/>
      <c r="S514" s="203"/>
      <c r="T514" s="203"/>
      <c r="U514" s="203"/>
      <c r="V514" s="203"/>
      <c r="W514" s="203"/>
      <c r="X514" s="203"/>
      <c r="Y514" s="203"/>
      <c r="Z514" s="203"/>
    </row>
    <row r="515" spans="1:26" ht="12.75" x14ac:dyDescent="0.2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04"/>
      <c r="N515" s="204"/>
      <c r="O515" s="205"/>
      <c r="P515" s="205"/>
      <c r="Q515" s="205"/>
      <c r="R515" s="203"/>
      <c r="S515" s="203"/>
      <c r="T515" s="203"/>
      <c r="U515" s="203"/>
      <c r="V515" s="203"/>
      <c r="W515" s="203"/>
      <c r="X515" s="203"/>
      <c r="Y515" s="203"/>
      <c r="Z515" s="203"/>
    </row>
    <row r="516" spans="1:26" ht="12.75" x14ac:dyDescent="0.2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04"/>
      <c r="N516" s="204"/>
      <c r="O516" s="205"/>
      <c r="P516" s="205"/>
      <c r="Q516" s="205"/>
      <c r="R516" s="203"/>
      <c r="S516" s="203"/>
      <c r="T516" s="203"/>
      <c r="U516" s="203"/>
      <c r="V516" s="203"/>
      <c r="W516" s="203"/>
      <c r="X516" s="203"/>
      <c r="Y516" s="203"/>
      <c r="Z516" s="203"/>
    </row>
    <row r="517" spans="1:26" ht="12.75" x14ac:dyDescent="0.2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04"/>
      <c r="N517" s="204"/>
      <c r="O517" s="205"/>
      <c r="P517" s="205"/>
      <c r="Q517" s="205"/>
      <c r="R517" s="203"/>
      <c r="S517" s="203"/>
      <c r="T517" s="203"/>
      <c r="U517" s="203"/>
      <c r="V517" s="203"/>
      <c r="W517" s="203"/>
      <c r="X517" s="203"/>
      <c r="Y517" s="203"/>
      <c r="Z517" s="203"/>
    </row>
    <row r="518" spans="1:26" ht="12.75" x14ac:dyDescent="0.2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04"/>
      <c r="N518" s="204"/>
      <c r="O518" s="205"/>
      <c r="P518" s="205"/>
      <c r="Q518" s="205"/>
      <c r="R518" s="203"/>
      <c r="S518" s="203"/>
      <c r="T518" s="203"/>
      <c r="U518" s="203"/>
      <c r="V518" s="203"/>
      <c r="W518" s="203"/>
      <c r="X518" s="203"/>
      <c r="Y518" s="203"/>
      <c r="Z518" s="203"/>
    </row>
    <row r="519" spans="1:26" ht="12.75" x14ac:dyDescent="0.2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04"/>
      <c r="N519" s="204"/>
      <c r="O519" s="205"/>
      <c r="P519" s="205"/>
      <c r="Q519" s="205"/>
      <c r="R519" s="203"/>
      <c r="S519" s="203"/>
      <c r="T519" s="203"/>
      <c r="U519" s="203"/>
      <c r="V519" s="203"/>
      <c r="W519" s="203"/>
      <c r="X519" s="203"/>
      <c r="Y519" s="203"/>
      <c r="Z519" s="203"/>
    </row>
    <row r="520" spans="1:26" ht="12.75" x14ac:dyDescent="0.2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04"/>
      <c r="N520" s="204"/>
      <c r="O520" s="205"/>
      <c r="P520" s="205"/>
      <c r="Q520" s="205"/>
      <c r="R520" s="203"/>
      <c r="S520" s="203"/>
      <c r="T520" s="203"/>
      <c r="U520" s="203"/>
      <c r="V520" s="203"/>
      <c r="W520" s="203"/>
      <c r="X520" s="203"/>
      <c r="Y520" s="203"/>
      <c r="Z520" s="203"/>
    </row>
    <row r="521" spans="1:26" ht="12.75" x14ac:dyDescent="0.2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04"/>
      <c r="N521" s="204"/>
      <c r="O521" s="205"/>
      <c r="P521" s="205"/>
      <c r="Q521" s="205"/>
      <c r="R521" s="203"/>
      <c r="S521" s="203"/>
      <c r="T521" s="203"/>
      <c r="U521" s="203"/>
      <c r="V521" s="203"/>
      <c r="W521" s="203"/>
      <c r="X521" s="203"/>
      <c r="Y521" s="203"/>
      <c r="Z521" s="203"/>
    </row>
    <row r="522" spans="1:26" ht="12.75" x14ac:dyDescent="0.2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04"/>
      <c r="N522" s="204"/>
      <c r="O522" s="205"/>
      <c r="P522" s="205"/>
      <c r="Q522" s="205"/>
      <c r="R522" s="203"/>
      <c r="S522" s="203"/>
      <c r="T522" s="203"/>
      <c r="U522" s="203"/>
      <c r="V522" s="203"/>
      <c r="W522" s="203"/>
      <c r="X522" s="203"/>
      <c r="Y522" s="203"/>
      <c r="Z522" s="203"/>
    </row>
    <row r="523" spans="1:26" ht="12.75" x14ac:dyDescent="0.2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04"/>
      <c r="N523" s="204"/>
      <c r="O523" s="205"/>
      <c r="P523" s="205"/>
      <c r="Q523" s="205"/>
      <c r="R523" s="203"/>
      <c r="S523" s="203"/>
      <c r="T523" s="203"/>
      <c r="U523" s="203"/>
      <c r="V523" s="203"/>
      <c r="W523" s="203"/>
      <c r="X523" s="203"/>
      <c r="Y523" s="203"/>
      <c r="Z523" s="203"/>
    </row>
    <row r="524" spans="1:26" ht="12.75" x14ac:dyDescent="0.2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04"/>
      <c r="N524" s="204"/>
      <c r="O524" s="205"/>
      <c r="P524" s="205"/>
      <c r="Q524" s="205"/>
      <c r="R524" s="203"/>
      <c r="S524" s="203"/>
      <c r="T524" s="203"/>
      <c r="U524" s="203"/>
      <c r="V524" s="203"/>
      <c r="W524" s="203"/>
      <c r="X524" s="203"/>
      <c r="Y524" s="203"/>
      <c r="Z524" s="203"/>
    </row>
    <row r="525" spans="1:26" ht="12.75" x14ac:dyDescent="0.2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04"/>
      <c r="N525" s="204"/>
      <c r="O525" s="205"/>
      <c r="P525" s="205"/>
      <c r="Q525" s="205"/>
      <c r="R525" s="203"/>
      <c r="S525" s="203"/>
      <c r="T525" s="203"/>
      <c r="U525" s="203"/>
      <c r="V525" s="203"/>
      <c r="W525" s="203"/>
      <c r="X525" s="203"/>
      <c r="Y525" s="203"/>
      <c r="Z525" s="203"/>
    </row>
    <row r="526" spans="1:26" ht="12.75" x14ac:dyDescent="0.2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04"/>
      <c r="N526" s="204"/>
      <c r="O526" s="205"/>
      <c r="P526" s="205"/>
      <c r="Q526" s="205"/>
      <c r="R526" s="203"/>
      <c r="S526" s="203"/>
      <c r="T526" s="203"/>
      <c r="U526" s="203"/>
      <c r="V526" s="203"/>
      <c r="W526" s="203"/>
      <c r="X526" s="203"/>
      <c r="Y526" s="203"/>
      <c r="Z526" s="203"/>
    </row>
    <row r="527" spans="1:26" ht="12.75" x14ac:dyDescent="0.2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04"/>
      <c r="N527" s="204"/>
      <c r="O527" s="205"/>
      <c r="P527" s="205"/>
      <c r="Q527" s="205"/>
      <c r="R527" s="203"/>
      <c r="S527" s="203"/>
      <c r="T527" s="203"/>
      <c r="U527" s="203"/>
      <c r="V527" s="203"/>
      <c r="W527" s="203"/>
      <c r="X527" s="203"/>
      <c r="Y527" s="203"/>
      <c r="Z527" s="203"/>
    </row>
    <row r="528" spans="1:26" ht="12.75" x14ac:dyDescent="0.2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04"/>
      <c r="N528" s="204"/>
      <c r="O528" s="205"/>
      <c r="P528" s="205"/>
      <c r="Q528" s="205"/>
      <c r="R528" s="203"/>
      <c r="S528" s="203"/>
      <c r="T528" s="203"/>
      <c r="U528" s="203"/>
      <c r="V528" s="203"/>
      <c r="W528" s="203"/>
      <c r="X528" s="203"/>
      <c r="Y528" s="203"/>
      <c r="Z528" s="203"/>
    </row>
    <row r="529" spans="1:26" ht="12.75" x14ac:dyDescent="0.2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04"/>
      <c r="N529" s="204"/>
      <c r="O529" s="205"/>
      <c r="P529" s="205"/>
      <c r="Q529" s="205"/>
      <c r="R529" s="203"/>
      <c r="S529" s="203"/>
      <c r="T529" s="203"/>
      <c r="U529" s="203"/>
      <c r="V529" s="203"/>
      <c r="W529" s="203"/>
      <c r="X529" s="203"/>
      <c r="Y529" s="203"/>
      <c r="Z529" s="203"/>
    </row>
    <row r="530" spans="1:26" ht="12.75" x14ac:dyDescent="0.2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04"/>
      <c r="N530" s="204"/>
      <c r="O530" s="205"/>
      <c r="P530" s="205"/>
      <c r="Q530" s="205"/>
      <c r="R530" s="203"/>
      <c r="S530" s="203"/>
      <c r="T530" s="203"/>
      <c r="U530" s="203"/>
      <c r="V530" s="203"/>
      <c r="W530" s="203"/>
      <c r="X530" s="203"/>
      <c r="Y530" s="203"/>
      <c r="Z530" s="203"/>
    </row>
    <row r="531" spans="1:26" ht="12.75" x14ac:dyDescent="0.2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04"/>
      <c r="N531" s="204"/>
      <c r="O531" s="205"/>
      <c r="P531" s="205"/>
      <c r="Q531" s="205"/>
      <c r="R531" s="203"/>
      <c r="S531" s="203"/>
      <c r="T531" s="203"/>
      <c r="U531" s="203"/>
      <c r="V531" s="203"/>
      <c r="W531" s="203"/>
      <c r="X531" s="203"/>
      <c r="Y531" s="203"/>
      <c r="Z531" s="203"/>
    </row>
    <row r="532" spans="1:26" ht="12.75" x14ac:dyDescent="0.2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04"/>
      <c r="N532" s="204"/>
      <c r="O532" s="205"/>
      <c r="P532" s="205"/>
      <c r="Q532" s="205"/>
      <c r="R532" s="203"/>
      <c r="S532" s="203"/>
      <c r="T532" s="203"/>
      <c r="U532" s="203"/>
      <c r="V532" s="203"/>
      <c r="W532" s="203"/>
      <c r="X532" s="203"/>
      <c r="Y532" s="203"/>
      <c r="Z532" s="203"/>
    </row>
    <row r="533" spans="1:26" ht="12.75" x14ac:dyDescent="0.2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04"/>
      <c r="N533" s="204"/>
      <c r="O533" s="205"/>
      <c r="P533" s="205"/>
      <c r="Q533" s="205"/>
      <c r="R533" s="203"/>
      <c r="S533" s="203"/>
      <c r="T533" s="203"/>
      <c r="U533" s="203"/>
      <c r="V533" s="203"/>
      <c r="W533" s="203"/>
      <c r="X533" s="203"/>
      <c r="Y533" s="203"/>
      <c r="Z533" s="203"/>
    </row>
    <row r="534" spans="1:26" ht="12.75" x14ac:dyDescent="0.2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04"/>
      <c r="N534" s="204"/>
      <c r="O534" s="205"/>
      <c r="P534" s="205"/>
      <c r="Q534" s="205"/>
      <c r="R534" s="203"/>
      <c r="S534" s="203"/>
      <c r="T534" s="203"/>
      <c r="U534" s="203"/>
      <c r="V534" s="203"/>
      <c r="W534" s="203"/>
      <c r="X534" s="203"/>
      <c r="Y534" s="203"/>
      <c r="Z534" s="203"/>
    </row>
    <row r="535" spans="1:26" ht="12.75" x14ac:dyDescent="0.2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04"/>
      <c r="N535" s="204"/>
      <c r="O535" s="205"/>
      <c r="P535" s="205"/>
      <c r="Q535" s="205"/>
      <c r="R535" s="203"/>
      <c r="S535" s="203"/>
      <c r="T535" s="203"/>
      <c r="U535" s="203"/>
      <c r="V535" s="203"/>
      <c r="W535" s="203"/>
      <c r="X535" s="203"/>
      <c r="Y535" s="203"/>
      <c r="Z535" s="203"/>
    </row>
    <row r="536" spans="1:26" ht="12.75" x14ac:dyDescent="0.2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04"/>
      <c r="N536" s="204"/>
      <c r="O536" s="205"/>
      <c r="P536" s="205"/>
      <c r="Q536" s="205"/>
      <c r="R536" s="203"/>
      <c r="S536" s="203"/>
      <c r="T536" s="203"/>
      <c r="U536" s="203"/>
      <c r="V536" s="203"/>
      <c r="W536" s="203"/>
      <c r="X536" s="203"/>
      <c r="Y536" s="203"/>
      <c r="Z536" s="203"/>
    </row>
    <row r="537" spans="1:26" ht="12.75" x14ac:dyDescent="0.2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04"/>
      <c r="N537" s="204"/>
      <c r="O537" s="205"/>
      <c r="P537" s="205"/>
      <c r="Q537" s="205"/>
      <c r="R537" s="203"/>
      <c r="S537" s="203"/>
      <c r="T537" s="203"/>
      <c r="U537" s="203"/>
      <c r="V537" s="203"/>
      <c r="W537" s="203"/>
      <c r="X537" s="203"/>
      <c r="Y537" s="203"/>
      <c r="Z537" s="203"/>
    </row>
    <row r="538" spans="1:26" ht="12.75" x14ac:dyDescent="0.2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04"/>
      <c r="N538" s="204"/>
      <c r="O538" s="205"/>
      <c r="P538" s="205"/>
      <c r="Q538" s="205"/>
      <c r="R538" s="203"/>
      <c r="S538" s="203"/>
      <c r="T538" s="203"/>
      <c r="U538" s="203"/>
      <c r="V538" s="203"/>
      <c r="W538" s="203"/>
      <c r="X538" s="203"/>
      <c r="Y538" s="203"/>
      <c r="Z538" s="203"/>
    </row>
    <row r="539" spans="1:26" ht="12.75" x14ac:dyDescent="0.2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04"/>
      <c r="N539" s="204"/>
      <c r="O539" s="205"/>
      <c r="P539" s="205"/>
      <c r="Q539" s="205"/>
      <c r="R539" s="203"/>
      <c r="S539" s="203"/>
      <c r="T539" s="203"/>
      <c r="U539" s="203"/>
      <c r="V539" s="203"/>
      <c r="W539" s="203"/>
      <c r="X539" s="203"/>
      <c r="Y539" s="203"/>
      <c r="Z539" s="203"/>
    </row>
    <row r="540" spans="1:26" ht="12.75" x14ac:dyDescent="0.2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4"/>
      <c r="N540" s="204"/>
      <c r="O540" s="205"/>
      <c r="P540" s="205"/>
      <c r="Q540" s="205"/>
      <c r="R540" s="203"/>
      <c r="S540" s="203"/>
      <c r="T540" s="203"/>
      <c r="U540" s="203"/>
      <c r="V540" s="203"/>
      <c r="W540" s="203"/>
      <c r="X540" s="203"/>
      <c r="Y540" s="203"/>
      <c r="Z540" s="203"/>
    </row>
    <row r="541" spans="1:26" ht="12.75" x14ac:dyDescent="0.2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04"/>
      <c r="N541" s="204"/>
      <c r="O541" s="205"/>
      <c r="P541" s="205"/>
      <c r="Q541" s="205"/>
      <c r="R541" s="203"/>
      <c r="S541" s="203"/>
      <c r="T541" s="203"/>
      <c r="U541" s="203"/>
      <c r="V541" s="203"/>
      <c r="W541" s="203"/>
      <c r="X541" s="203"/>
      <c r="Y541" s="203"/>
      <c r="Z541" s="203"/>
    </row>
    <row r="542" spans="1:26" ht="12.75" x14ac:dyDescent="0.2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04"/>
      <c r="N542" s="204"/>
      <c r="O542" s="205"/>
      <c r="P542" s="205"/>
      <c r="Q542" s="205"/>
      <c r="R542" s="203"/>
      <c r="S542" s="203"/>
      <c r="T542" s="203"/>
      <c r="U542" s="203"/>
      <c r="V542" s="203"/>
      <c r="W542" s="203"/>
      <c r="X542" s="203"/>
      <c r="Y542" s="203"/>
      <c r="Z542" s="203"/>
    </row>
    <row r="543" spans="1:26" ht="12.75" x14ac:dyDescent="0.2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04"/>
      <c r="N543" s="204"/>
      <c r="O543" s="205"/>
      <c r="P543" s="205"/>
      <c r="Q543" s="205"/>
      <c r="R543" s="203"/>
      <c r="S543" s="203"/>
      <c r="T543" s="203"/>
      <c r="U543" s="203"/>
      <c r="V543" s="203"/>
      <c r="W543" s="203"/>
      <c r="X543" s="203"/>
      <c r="Y543" s="203"/>
      <c r="Z543" s="203"/>
    </row>
    <row r="544" spans="1:26" ht="12.75" x14ac:dyDescent="0.2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04"/>
      <c r="N544" s="204"/>
      <c r="O544" s="205"/>
      <c r="P544" s="205"/>
      <c r="Q544" s="205"/>
      <c r="R544" s="203"/>
      <c r="S544" s="203"/>
      <c r="T544" s="203"/>
      <c r="U544" s="203"/>
      <c r="V544" s="203"/>
      <c r="W544" s="203"/>
      <c r="X544" s="203"/>
      <c r="Y544" s="203"/>
      <c r="Z544" s="203"/>
    </row>
    <row r="545" spans="1:26" ht="12.75" x14ac:dyDescent="0.2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04"/>
      <c r="N545" s="204"/>
      <c r="O545" s="205"/>
      <c r="P545" s="205"/>
      <c r="Q545" s="205"/>
      <c r="R545" s="203"/>
      <c r="S545" s="203"/>
      <c r="T545" s="203"/>
      <c r="U545" s="203"/>
      <c r="V545" s="203"/>
      <c r="W545" s="203"/>
      <c r="X545" s="203"/>
      <c r="Y545" s="203"/>
      <c r="Z545" s="203"/>
    </row>
    <row r="546" spans="1:26" ht="12.75" x14ac:dyDescent="0.2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04"/>
      <c r="N546" s="204"/>
      <c r="O546" s="205"/>
      <c r="P546" s="205"/>
      <c r="Q546" s="205"/>
      <c r="R546" s="203"/>
      <c r="S546" s="203"/>
      <c r="T546" s="203"/>
      <c r="U546" s="203"/>
      <c r="V546" s="203"/>
      <c r="W546" s="203"/>
      <c r="X546" s="203"/>
      <c r="Y546" s="203"/>
      <c r="Z546" s="203"/>
    </row>
    <row r="547" spans="1:26" ht="12.75" x14ac:dyDescent="0.2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04"/>
      <c r="N547" s="204"/>
      <c r="O547" s="205"/>
      <c r="P547" s="205"/>
      <c r="Q547" s="205"/>
      <c r="R547" s="203"/>
      <c r="S547" s="203"/>
      <c r="T547" s="203"/>
      <c r="U547" s="203"/>
      <c r="V547" s="203"/>
      <c r="W547" s="203"/>
      <c r="X547" s="203"/>
      <c r="Y547" s="203"/>
      <c r="Z547" s="203"/>
    </row>
    <row r="548" spans="1:26" ht="12.75" x14ac:dyDescent="0.2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04"/>
      <c r="N548" s="204"/>
      <c r="O548" s="205"/>
      <c r="P548" s="205"/>
      <c r="Q548" s="205"/>
      <c r="R548" s="203"/>
      <c r="S548" s="203"/>
      <c r="T548" s="203"/>
      <c r="U548" s="203"/>
      <c r="V548" s="203"/>
      <c r="W548" s="203"/>
      <c r="X548" s="203"/>
      <c r="Y548" s="203"/>
      <c r="Z548" s="203"/>
    </row>
    <row r="549" spans="1:26" ht="12.75" x14ac:dyDescent="0.2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04"/>
      <c r="N549" s="204"/>
      <c r="O549" s="205"/>
      <c r="P549" s="205"/>
      <c r="Q549" s="205"/>
      <c r="R549" s="203"/>
      <c r="S549" s="203"/>
      <c r="T549" s="203"/>
      <c r="U549" s="203"/>
      <c r="V549" s="203"/>
      <c r="W549" s="203"/>
      <c r="X549" s="203"/>
      <c r="Y549" s="203"/>
      <c r="Z549" s="203"/>
    </row>
    <row r="550" spans="1:26" ht="12.75" x14ac:dyDescent="0.2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04"/>
      <c r="N550" s="204"/>
      <c r="O550" s="205"/>
      <c r="P550" s="205"/>
      <c r="Q550" s="205"/>
      <c r="R550" s="203"/>
      <c r="S550" s="203"/>
      <c r="T550" s="203"/>
      <c r="U550" s="203"/>
      <c r="V550" s="203"/>
      <c r="W550" s="203"/>
      <c r="X550" s="203"/>
      <c r="Y550" s="203"/>
      <c r="Z550" s="203"/>
    </row>
    <row r="551" spans="1:26" ht="12.75" x14ac:dyDescent="0.2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04"/>
      <c r="N551" s="204"/>
      <c r="O551" s="205"/>
      <c r="P551" s="205"/>
      <c r="Q551" s="205"/>
      <c r="R551" s="203"/>
      <c r="S551" s="203"/>
      <c r="T551" s="203"/>
      <c r="U551" s="203"/>
      <c r="V551" s="203"/>
      <c r="W551" s="203"/>
      <c r="X551" s="203"/>
      <c r="Y551" s="203"/>
      <c r="Z551" s="203"/>
    </row>
    <row r="552" spans="1:26" ht="12.75" x14ac:dyDescent="0.2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04"/>
      <c r="N552" s="204"/>
      <c r="O552" s="205"/>
      <c r="P552" s="205"/>
      <c r="Q552" s="205"/>
      <c r="R552" s="203"/>
      <c r="S552" s="203"/>
      <c r="T552" s="203"/>
      <c r="U552" s="203"/>
      <c r="V552" s="203"/>
      <c r="W552" s="203"/>
      <c r="X552" s="203"/>
      <c r="Y552" s="203"/>
      <c r="Z552" s="203"/>
    </row>
    <row r="553" spans="1:26" ht="12.75" x14ac:dyDescent="0.2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04"/>
      <c r="N553" s="204"/>
      <c r="O553" s="205"/>
      <c r="P553" s="205"/>
      <c r="Q553" s="205"/>
      <c r="R553" s="203"/>
      <c r="S553" s="203"/>
      <c r="T553" s="203"/>
      <c r="U553" s="203"/>
      <c r="V553" s="203"/>
      <c r="W553" s="203"/>
      <c r="X553" s="203"/>
      <c r="Y553" s="203"/>
      <c r="Z553" s="203"/>
    </row>
    <row r="554" spans="1:26" ht="12.75" x14ac:dyDescent="0.2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04"/>
      <c r="N554" s="204"/>
      <c r="O554" s="205"/>
      <c r="P554" s="205"/>
      <c r="Q554" s="205"/>
      <c r="R554" s="203"/>
      <c r="S554" s="203"/>
      <c r="T554" s="203"/>
      <c r="U554" s="203"/>
      <c r="V554" s="203"/>
      <c r="W554" s="203"/>
      <c r="X554" s="203"/>
      <c r="Y554" s="203"/>
      <c r="Z554" s="203"/>
    </row>
    <row r="555" spans="1:26" ht="12.75" x14ac:dyDescent="0.2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04"/>
      <c r="N555" s="204"/>
      <c r="O555" s="205"/>
      <c r="P555" s="205"/>
      <c r="Q555" s="205"/>
      <c r="R555" s="203"/>
      <c r="S555" s="203"/>
      <c r="T555" s="203"/>
      <c r="U555" s="203"/>
      <c r="V555" s="203"/>
      <c r="W555" s="203"/>
      <c r="X555" s="203"/>
      <c r="Y555" s="203"/>
      <c r="Z555" s="203"/>
    </row>
    <row r="556" spans="1:26" ht="12.75" x14ac:dyDescent="0.2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04"/>
      <c r="N556" s="204"/>
      <c r="O556" s="205"/>
      <c r="P556" s="205"/>
      <c r="Q556" s="205"/>
      <c r="R556" s="203"/>
      <c r="S556" s="203"/>
      <c r="T556" s="203"/>
      <c r="U556" s="203"/>
      <c r="V556" s="203"/>
      <c r="W556" s="203"/>
      <c r="X556" s="203"/>
      <c r="Y556" s="203"/>
      <c r="Z556" s="203"/>
    </row>
    <row r="557" spans="1:26" ht="12.75" x14ac:dyDescent="0.2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04"/>
      <c r="N557" s="204"/>
      <c r="O557" s="205"/>
      <c r="P557" s="205"/>
      <c r="Q557" s="205"/>
      <c r="R557" s="203"/>
      <c r="S557" s="203"/>
      <c r="T557" s="203"/>
      <c r="U557" s="203"/>
      <c r="V557" s="203"/>
      <c r="W557" s="203"/>
      <c r="X557" s="203"/>
      <c r="Y557" s="203"/>
      <c r="Z557" s="203"/>
    </row>
    <row r="558" spans="1:26" ht="12.75" x14ac:dyDescent="0.2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04"/>
      <c r="N558" s="204"/>
      <c r="O558" s="205"/>
      <c r="P558" s="205"/>
      <c r="Q558" s="205"/>
      <c r="R558" s="203"/>
      <c r="S558" s="203"/>
      <c r="T558" s="203"/>
      <c r="U558" s="203"/>
      <c r="V558" s="203"/>
      <c r="W558" s="203"/>
      <c r="X558" s="203"/>
      <c r="Y558" s="203"/>
      <c r="Z558" s="203"/>
    </row>
    <row r="559" spans="1:26" ht="12.75" x14ac:dyDescent="0.2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04"/>
      <c r="N559" s="204"/>
      <c r="O559" s="205"/>
      <c r="P559" s="205"/>
      <c r="Q559" s="205"/>
      <c r="R559" s="203"/>
      <c r="S559" s="203"/>
      <c r="T559" s="203"/>
      <c r="U559" s="203"/>
      <c r="V559" s="203"/>
      <c r="W559" s="203"/>
      <c r="X559" s="203"/>
      <c r="Y559" s="203"/>
      <c r="Z559" s="203"/>
    </row>
    <row r="560" spans="1:26" ht="12.75" x14ac:dyDescent="0.2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04"/>
      <c r="N560" s="204"/>
      <c r="O560" s="205"/>
      <c r="P560" s="205"/>
      <c r="Q560" s="205"/>
      <c r="R560" s="203"/>
      <c r="S560" s="203"/>
      <c r="T560" s="203"/>
      <c r="U560" s="203"/>
      <c r="V560" s="203"/>
      <c r="W560" s="203"/>
      <c r="X560" s="203"/>
      <c r="Y560" s="203"/>
      <c r="Z560" s="203"/>
    </row>
    <row r="561" spans="1:26" ht="12.75" x14ac:dyDescent="0.2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04"/>
      <c r="N561" s="204"/>
      <c r="O561" s="205"/>
      <c r="P561" s="205"/>
      <c r="Q561" s="205"/>
      <c r="R561" s="203"/>
      <c r="S561" s="203"/>
      <c r="T561" s="203"/>
      <c r="U561" s="203"/>
      <c r="V561" s="203"/>
      <c r="W561" s="203"/>
      <c r="X561" s="203"/>
      <c r="Y561" s="203"/>
      <c r="Z561" s="203"/>
    </row>
    <row r="562" spans="1:26" ht="12.75" x14ac:dyDescent="0.2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04"/>
      <c r="N562" s="204"/>
      <c r="O562" s="205"/>
      <c r="P562" s="205"/>
      <c r="Q562" s="205"/>
      <c r="R562" s="203"/>
      <c r="S562" s="203"/>
      <c r="T562" s="203"/>
      <c r="U562" s="203"/>
      <c r="V562" s="203"/>
      <c r="W562" s="203"/>
      <c r="X562" s="203"/>
      <c r="Y562" s="203"/>
      <c r="Z562" s="203"/>
    </row>
    <row r="563" spans="1:26" ht="12.75" x14ac:dyDescent="0.2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04"/>
      <c r="N563" s="204"/>
      <c r="O563" s="205"/>
      <c r="P563" s="205"/>
      <c r="Q563" s="205"/>
      <c r="R563" s="203"/>
      <c r="S563" s="203"/>
      <c r="T563" s="203"/>
      <c r="U563" s="203"/>
      <c r="V563" s="203"/>
      <c r="W563" s="203"/>
      <c r="X563" s="203"/>
      <c r="Y563" s="203"/>
      <c r="Z563" s="203"/>
    </row>
    <row r="564" spans="1:26" ht="12.75" x14ac:dyDescent="0.2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04"/>
      <c r="N564" s="204"/>
      <c r="O564" s="205"/>
      <c r="P564" s="205"/>
      <c r="Q564" s="205"/>
      <c r="R564" s="203"/>
      <c r="S564" s="203"/>
      <c r="T564" s="203"/>
      <c r="U564" s="203"/>
      <c r="V564" s="203"/>
      <c r="W564" s="203"/>
      <c r="X564" s="203"/>
      <c r="Y564" s="203"/>
      <c r="Z564" s="203"/>
    </row>
    <row r="565" spans="1:26" ht="12.75" x14ac:dyDescent="0.2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04"/>
      <c r="N565" s="204"/>
      <c r="O565" s="205"/>
      <c r="P565" s="205"/>
      <c r="Q565" s="205"/>
      <c r="R565" s="203"/>
      <c r="S565" s="203"/>
      <c r="T565" s="203"/>
      <c r="U565" s="203"/>
      <c r="V565" s="203"/>
      <c r="W565" s="203"/>
      <c r="X565" s="203"/>
      <c r="Y565" s="203"/>
      <c r="Z565" s="203"/>
    </row>
    <row r="566" spans="1:26" ht="12.75" x14ac:dyDescent="0.2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04"/>
      <c r="N566" s="204"/>
      <c r="O566" s="205"/>
      <c r="P566" s="205"/>
      <c r="Q566" s="205"/>
      <c r="R566" s="203"/>
      <c r="S566" s="203"/>
      <c r="T566" s="203"/>
      <c r="U566" s="203"/>
      <c r="V566" s="203"/>
      <c r="W566" s="203"/>
      <c r="X566" s="203"/>
      <c r="Y566" s="203"/>
      <c r="Z566" s="203"/>
    </row>
    <row r="567" spans="1:26" ht="12.75" x14ac:dyDescent="0.2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04"/>
      <c r="N567" s="204"/>
      <c r="O567" s="205"/>
      <c r="P567" s="205"/>
      <c r="Q567" s="205"/>
      <c r="R567" s="203"/>
      <c r="S567" s="203"/>
      <c r="T567" s="203"/>
      <c r="U567" s="203"/>
      <c r="V567" s="203"/>
      <c r="W567" s="203"/>
      <c r="X567" s="203"/>
      <c r="Y567" s="203"/>
      <c r="Z567" s="203"/>
    </row>
    <row r="568" spans="1:26" ht="12.75" x14ac:dyDescent="0.2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04"/>
      <c r="N568" s="204"/>
      <c r="O568" s="205"/>
      <c r="P568" s="205"/>
      <c r="Q568" s="205"/>
      <c r="R568" s="203"/>
      <c r="S568" s="203"/>
      <c r="T568" s="203"/>
      <c r="U568" s="203"/>
      <c r="V568" s="203"/>
      <c r="W568" s="203"/>
      <c r="X568" s="203"/>
      <c r="Y568" s="203"/>
      <c r="Z568" s="203"/>
    </row>
    <row r="569" spans="1:26" ht="12.75" x14ac:dyDescent="0.2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04"/>
      <c r="N569" s="204"/>
      <c r="O569" s="205"/>
      <c r="P569" s="205"/>
      <c r="Q569" s="205"/>
      <c r="R569" s="203"/>
      <c r="S569" s="203"/>
      <c r="T569" s="203"/>
      <c r="U569" s="203"/>
      <c r="V569" s="203"/>
      <c r="W569" s="203"/>
      <c r="X569" s="203"/>
      <c r="Y569" s="203"/>
      <c r="Z569" s="203"/>
    </row>
    <row r="570" spans="1:26" ht="12.75" x14ac:dyDescent="0.2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04"/>
      <c r="N570" s="204"/>
      <c r="O570" s="205"/>
      <c r="P570" s="205"/>
      <c r="Q570" s="205"/>
      <c r="R570" s="203"/>
      <c r="S570" s="203"/>
      <c r="T570" s="203"/>
      <c r="U570" s="203"/>
      <c r="V570" s="203"/>
      <c r="W570" s="203"/>
      <c r="X570" s="203"/>
      <c r="Y570" s="203"/>
      <c r="Z570" s="203"/>
    </row>
    <row r="571" spans="1:26" ht="12.75" x14ac:dyDescent="0.2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04"/>
      <c r="N571" s="204"/>
      <c r="O571" s="205"/>
      <c r="P571" s="205"/>
      <c r="Q571" s="205"/>
      <c r="R571" s="203"/>
      <c r="S571" s="203"/>
      <c r="T571" s="203"/>
      <c r="U571" s="203"/>
      <c r="V571" s="203"/>
      <c r="W571" s="203"/>
      <c r="X571" s="203"/>
      <c r="Y571" s="203"/>
      <c r="Z571" s="203"/>
    </row>
    <row r="572" spans="1:26" ht="12.75" x14ac:dyDescent="0.2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04"/>
      <c r="N572" s="204"/>
      <c r="O572" s="205"/>
      <c r="P572" s="205"/>
      <c r="Q572" s="205"/>
      <c r="R572" s="203"/>
      <c r="S572" s="203"/>
      <c r="T572" s="203"/>
      <c r="U572" s="203"/>
      <c r="V572" s="203"/>
      <c r="W572" s="203"/>
      <c r="X572" s="203"/>
      <c r="Y572" s="203"/>
      <c r="Z572" s="203"/>
    </row>
    <row r="573" spans="1:26" ht="12.75" x14ac:dyDescent="0.2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04"/>
      <c r="N573" s="204"/>
      <c r="O573" s="205"/>
      <c r="P573" s="205"/>
      <c r="Q573" s="205"/>
      <c r="R573" s="203"/>
      <c r="S573" s="203"/>
      <c r="T573" s="203"/>
      <c r="U573" s="203"/>
      <c r="V573" s="203"/>
      <c r="W573" s="203"/>
      <c r="X573" s="203"/>
      <c r="Y573" s="203"/>
      <c r="Z573" s="203"/>
    </row>
    <row r="574" spans="1:26" ht="12.75" x14ac:dyDescent="0.2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04"/>
      <c r="N574" s="204"/>
      <c r="O574" s="205"/>
      <c r="P574" s="205"/>
      <c r="Q574" s="205"/>
      <c r="R574" s="203"/>
      <c r="S574" s="203"/>
      <c r="T574" s="203"/>
      <c r="U574" s="203"/>
      <c r="V574" s="203"/>
      <c r="W574" s="203"/>
      <c r="X574" s="203"/>
      <c r="Y574" s="203"/>
      <c r="Z574" s="203"/>
    </row>
    <row r="575" spans="1:26" ht="12.75" x14ac:dyDescent="0.2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04"/>
      <c r="N575" s="204"/>
      <c r="O575" s="205"/>
      <c r="P575" s="205"/>
      <c r="Q575" s="205"/>
      <c r="R575" s="203"/>
      <c r="S575" s="203"/>
      <c r="T575" s="203"/>
      <c r="U575" s="203"/>
      <c r="V575" s="203"/>
      <c r="W575" s="203"/>
      <c r="X575" s="203"/>
      <c r="Y575" s="203"/>
      <c r="Z575" s="203"/>
    </row>
    <row r="576" spans="1:26" ht="12.75" x14ac:dyDescent="0.2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04"/>
      <c r="N576" s="204"/>
      <c r="O576" s="205"/>
      <c r="P576" s="205"/>
      <c r="Q576" s="205"/>
      <c r="R576" s="203"/>
      <c r="S576" s="203"/>
      <c r="T576" s="203"/>
      <c r="U576" s="203"/>
      <c r="V576" s="203"/>
      <c r="W576" s="203"/>
      <c r="X576" s="203"/>
      <c r="Y576" s="203"/>
      <c r="Z576" s="203"/>
    </row>
    <row r="577" spans="1:26" ht="12.75" x14ac:dyDescent="0.2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04"/>
      <c r="N577" s="204"/>
      <c r="O577" s="205"/>
      <c r="P577" s="205"/>
      <c r="Q577" s="205"/>
      <c r="R577" s="203"/>
      <c r="S577" s="203"/>
      <c r="T577" s="203"/>
      <c r="U577" s="203"/>
      <c r="V577" s="203"/>
      <c r="W577" s="203"/>
      <c r="X577" s="203"/>
      <c r="Y577" s="203"/>
      <c r="Z577" s="203"/>
    </row>
    <row r="578" spans="1:26" ht="12.75" x14ac:dyDescent="0.2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04"/>
      <c r="N578" s="204"/>
      <c r="O578" s="205"/>
      <c r="P578" s="205"/>
      <c r="Q578" s="205"/>
      <c r="R578" s="203"/>
      <c r="S578" s="203"/>
      <c r="T578" s="203"/>
      <c r="U578" s="203"/>
      <c r="V578" s="203"/>
      <c r="W578" s="203"/>
      <c r="X578" s="203"/>
      <c r="Y578" s="203"/>
      <c r="Z578" s="203"/>
    </row>
    <row r="579" spans="1:26" ht="12.75" x14ac:dyDescent="0.2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04"/>
      <c r="N579" s="204"/>
      <c r="O579" s="205"/>
      <c r="P579" s="205"/>
      <c r="Q579" s="205"/>
      <c r="R579" s="203"/>
      <c r="S579" s="203"/>
      <c r="T579" s="203"/>
      <c r="U579" s="203"/>
      <c r="V579" s="203"/>
      <c r="W579" s="203"/>
      <c r="X579" s="203"/>
      <c r="Y579" s="203"/>
      <c r="Z579" s="203"/>
    </row>
    <row r="580" spans="1:26" ht="12.75" x14ac:dyDescent="0.2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04"/>
      <c r="N580" s="204"/>
      <c r="O580" s="205"/>
      <c r="P580" s="205"/>
      <c r="Q580" s="205"/>
      <c r="R580" s="203"/>
      <c r="S580" s="203"/>
      <c r="T580" s="203"/>
      <c r="U580" s="203"/>
      <c r="V580" s="203"/>
      <c r="W580" s="203"/>
      <c r="X580" s="203"/>
      <c r="Y580" s="203"/>
      <c r="Z580" s="203"/>
    </row>
    <row r="581" spans="1:26" ht="12.75" x14ac:dyDescent="0.2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04"/>
      <c r="N581" s="204"/>
      <c r="O581" s="205"/>
      <c r="P581" s="205"/>
      <c r="Q581" s="205"/>
      <c r="R581" s="203"/>
      <c r="S581" s="203"/>
      <c r="T581" s="203"/>
      <c r="U581" s="203"/>
      <c r="V581" s="203"/>
      <c r="W581" s="203"/>
      <c r="X581" s="203"/>
      <c r="Y581" s="203"/>
      <c r="Z581" s="203"/>
    </row>
    <row r="582" spans="1:26" ht="12.75" x14ac:dyDescent="0.2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04"/>
      <c r="N582" s="204"/>
      <c r="O582" s="205"/>
      <c r="P582" s="205"/>
      <c r="Q582" s="205"/>
      <c r="R582" s="203"/>
      <c r="S582" s="203"/>
      <c r="T582" s="203"/>
      <c r="U582" s="203"/>
      <c r="V582" s="203"/>
      <c r="W582" s="203"/>
      <c r="X582" s="203"/>
      <c r="Y582" s="203"/>
      <c r="Z582" s="203"/>
    </row>
    <row r="583" spans="1:26" ht="12.75" x14ac:dyDescent="0.2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04"/>
      <c r="N583" s="204"/>
      <c r="O583" s="205"/>
      <c r="P583" s="205"/>
      <c r="Q583" s="205"/>
      <c r="R583" s="203"/>
      <c r="S583" s="203"/>
      <c r="T583" s="203"/>
      <c r="U583" s="203"/>
      <c r="V583" s="203"/>
      <c r="W583" s="203"/>
      <c r="X583" s="203"/>
      <c r="Y583" s="203"/>
      <c r="Z583" s="203"/>
    </row>
    <row r="584" spans="1:26" ht="12.75" x14ac:dyDescent="0.2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04"/>
      <c r="N584" s="204"/>
      <c r="O584" s="205"/>
      <c r="P584" s="205"/>
      <c r="Q584" s="205"/>
      <c r="R584" s="203"/>
      <c r="S584" s="203"/>
      <c r="T584" s="203"/>
      <c r="U584" s="203"/>
      <c r="V584" s="203"/>
      <c r="W584" s="203"/>
      <c r="X584" s="203"/>
      <c r="Y584" s="203"/>
      <c r="Z584" s="203"/>
    </row>
    <row r="585" spans="1:26" ht="12.75" x14ac:dyDescent="0.2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04"/>
      <c r="N585" s="204"/>
      <c r="O585" s="205"/>
      <c r="P585" s="205"/>
      <c r="Q585" s="205"/>
      <c r="R585" s="203"/>
      <c r="S585" s="203"/>
      <c r="T585" s="203"/>
      <c r="U585" s="203"/>
      <c r="V585" s="203"/>
      <c r="W585" s="203"/>
      <c r="X585" s="203"/>
      <c r="Y585" s="203"/>
      <c r="Z585" s="203"/>
    </row>
    <row r="586" spans="1:26" ht="12.75" x14ac:dyDescent="0.2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04"/>
      <c r="N586" s="204"/>
      <c r="O586" s="205"/>
      <c r="P586" s="205"/>
      <c r="Q586" s="205"/>
      <c r="R586" s="203"/>
      <c r="S586" s="203"/>
      <c r="T586" s="203"/>
      <c r="U586" s="203"/>
      <c r="V586" s="203"/>
      <c r="W586" s="203"/>
      <c r="X586" s="203"/>
      <c r="Y586" s="203"/>
      <c r="Z586" s="203"/>
    </row>
    <row r="587" spans="1:26" ht="12.75" x14ac:dyDescent="0.2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04"/>
      <c r="N587" s="204"/>
      <c r="O587" s="205"/>
      <c r="P587" s="205"/>
      <c r="Q587" s="205"/>
      <c r="R587" s="203"/>
      <c r="S587" s="203"/>
      <c r="T587" s="203"/>
      <c r="U587" s="203"/>
      <c r="V587" s="203"/>
      <c r="W587" s="203"/>
      <c r="X587" s="203"/>
      <c r="Y587" s="203"/>
      <c r="Z587" s="203"/>
    </row>
    <row r="588" spans="1:26" ht="12.75" x14ac:dyDescent="0.2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04"/>
      <c r="N588" s="204"/>
      <c r="O588" s="205"/>
      <c r="P588" s="205"/>
      <c r="Q588" s="205"/>
      <c r="R588" s="203"/>
      <c r="S588" s="203"/>
      <c r="T588" s="203"/>
      <c r="U588" s="203"/>
      <c r="V588" s="203"/>
      <c r="W588" s="203"/>
      <c r="X588" s="203"/>
      <c r="Y588" s="203"/>
      <c r="Z588" s="203"/>
    </row>
    <row r="589" spans="1:26" ht="12.75" x14ac:dyDescent="0.2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04"/>
      <c r="N589" s="204"/>
      <c r="O589" s="205"/>
      <c r="P589" s="205"/>
      <c r="Q589" s="205"/>
      <c r="R589" s="203"/>
      <c r="S589" s="203"/>
      <c r="T589" s="203"/>
      <c r="U589" s="203"/>
      <c r="V589" s="203"/>
      <c r="W589" s="203"/>
      <c r="X589" s="203"/>
      <c r="Y589" s="203"/>
      <c r="Z589" s="203"/>
    </row>
    <row r="590" spans="1:26" ht="12.75" x14ac:dyDescent="0.2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04"/>
      <c r="N590" s="204"/>
      <c r="O590" s="205"/>
      <c r="P590" s="205"/>
      <c r="Q590" s="205"/>
      <c r="R590" s="203"/>
      <c r="S590" s="203"/>
      <c r="T590" s="203"/>
      <c r="U590" s="203"/>
      <c r="V590" s="203"/>
      <c r="W590" s="203"/>
      <c r="X590" s="203"/>
      <c r="Y590" s="203"/>
      <c r="Z590" s="203"/>
    </row>
    <row r="591" spans="1:26" ht="12.75" x14ac:dyDescent="0.2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04"/>
      <c r="N591" s="204"/>
      <c r="O591" s="205"/>
      <c r="P591" s="205"/>
      <c r="Q591" s="205"/>
      <c r="R591" s="203"/>
      <c r="S591" s="203"/>
      <c r="T591" s="203"/>
      <c r="U591" s="203"/>
      <c r="V591" s="203"/>
      <c r="W591" s="203"/>
      <c r="X591" s="203"/>
      <c r="Y591" s="203"/>
      <c r="Z591" s="203"/>
    </row>
    <row r="592" spans="1:26" ht="12.75" x14ac:dyDescent="0.2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04"/>
      <c r="N592" s="204"/>
      <c r="O592" s="205"/>
      <c r="P592" s="205"/>
      <c r="Q592" s="205"/>
      <c r="R592" s="203"/>
      <c r="S592" s="203"/>
      <c r="T592" s="203"/>
      <c r="U592" s="203"/>
      <c r="V592" s="203"/>
      <c r="W592" s="203"/>
      <c r="X592" s="203"/>
      <c r="Y592" s="203"/>
      <c r="Z592" s="203"/>
    </row>
    <row r="593" spans="1:26" ht="12.75" x14ac:dyDescent="0.2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04"/>
      <c r="N593" s="204"/>
      <c r="O593" s="205"/>
      <c r="P593" s="205"/>
      <c r="Q593" s="205"/>
      <c r="R593" s="203"/>
      <c r="S593" s="203"/>
      <c r="T593" s="203"/>
      <c r="U593" s="203"/>
      <c r="V593" s="203"/>
      <c r="W593" s="203"/>
      <c r="X593" s="203"/>
      <c r="Y593" s="203"/>
      <c r="Z593" s="203"/>
    </row>
    <row r="594" spans="1:26" ht="12.75" x14ac:dyDescent="0.2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04"/>
      <c r="N594" s="204"/>
      <c r="O594" s="205"/>
      <c r="P594" s="205"/>
      <c r="Q594" s="205"/>
      <c r="R594" s="203"/>
      <c r="S594" s="203"/>
      <c r="T594" s="203"/>
      <c r="U594" s="203"/>
      <c r="V594" s="203"/>
      <c r="W594" s="203"/>
      <c r="X594" s="203"/>
      <c r="Y594" s="203"/>
      <c r="Z594" s="203"/>
    </row>
    <row r="595" spans="1:26" ht="12.75" x14ac:dyDescent="0.2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04"/>
      <c r="N595" s="204"/>
      <c r="O595" s="205"/>
      <c r="P595" s="205"/>
      <c r="Q595" s="205"/>
      <c r="R595" s="203"/>
      <c r="S595" s="203"/>
      <c r="T595" s="203"/>
      <c r="U595" s="203"/>
      <c r="V595" s="203"/>
      <c r="W595" s="203"/>
      <c r="X595" s="203"/>
      <c r="Y595" s="203"/>
      <c r="Z595" s="203"/>
    </row>
    <row r="596" spans="1:26" ht="12.75" x14ac:dyDescent="0.2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04"/>
      <c r="N596" s="204"/>
      <c r="O596" s="205"/>
      <c r="P596" s="205"/>
      <c r="Q596" s="205"/>
      <c r="R596" s="203"/>
      <c r="S596" s="203"/>
      <c r="T596" s="203"/>
      <c r="U596" s="203"/>
      <c r="V596" s="203"/>
      <c r="W596" s="203"/>
      <c r="X596" s="203"/>
      <c r="Y596" s="203"/>
      <c r="Z596" s="203"/>
    </row>
    <row r="597" spans="1:26" ht="12.75" x14ac:dyDescent="0.2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04"/>
      <c r="N597" s="204"/>
      <c r="O597" s="205"/>
      <c r="P597" s="205"/>
      <c r="Q597" s="205"/>
      <c r="R597" s="203"/>
      <c r="S597" s="203"/>
      <c r="T597" s="203"/>
      <c r="U597" s="203"/>
      <c r="V597" s="203"/>
      <c r="W597" s="203"/>
      <c r="X597" s="203"/>
      <c r="Y597" s="203"/>
      <c r="Z597" s="203"/>
    </row>
    <row r="598" spans="1:26" ht="12.75" x14ac:dyDescent="0.2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04"/>
      <c r="N598" s="204"/>
      <c r="O598" s="205"/>
      <c r="P598" s="205"/>
      <c r="Q598" s="205"/>
      <c r="R598" s="203"/>
      <c r="S598" s="203"/>
      <c r="T598" s="203"/>
      <c r="U598" s="203"/>
      <c r="V598" s="203"/>
      <c r="W598" s="203"/>
      <c r="X598" s="203"/>
      <c r="Y598" s="203"/>
      <c r="Z598" s="203"/>
    </row>
    <row r="599" spans="1:26" ht="12.75" x14ac:dyDescent="0.2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04"/>
      <c r="N599" s="204"/>
      <c r="O599" s="205"/>
      <c r="P599" s="205"/>
      <c r="Q599" s="205"/>
      <c r="R599" s="203"/>
      <c r="S599" s="203"/>
      <c r="T599" s="203"/>
      <c r="U599" s="203"/>
      <c r="V599" s="203"/>
      <c r="W599" s="203"/>
      <c r="X599" s="203"/>
      <c r="Y599" s="203"/>
      <c r="Z599" s="203"/>
    </row>
    <row r="600" spans="1:26" ht="12.75" x14ac:dyDescent="0.2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04"/>
      <c r="N600" s="204"/>
      <c r="O600" s="205"/>
      <c r="P600" s="205"/>
      <c r="Q600" s="205"/>
      <c r="R600" s="203"/>
      <c r="S600" s="203"/>
      <c r="T600" s="203"/>
      <c r="U600" s="203"/>
      <c r="V600" s="203"/>
      <c r="W600" s="203"/>
      <c r="X600" s="203"/>
      <c r="Y600" s="203"/>
      <c r="Z600" s="203"/>
    </row>
    <row r="601" spans="1:26" ht="12.75" x14ac:dyDescent="0.2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04"/>
      <c r="N601" s="204"/>
      <c r="O601" s="205"/>
      <c r="P601" s="205"/>
      <c r="Q601" s="205"/>
      <c r="R601" s="203"/>
      <c r="S601" s="203"/>
      <c r="T601" s="203"/>
      <c r="U601" s="203"/>
      <c r="V601" s="203"/>
      <c r="W601" s="203"/>
      <c r="X601" s="203"/>
      <c r="Y601" s="203"/>
      <c r="Z601" s="203"/>
    </row>
    <row r="602" spans="1:26" ht="12.75" x14ac:dyDescent="0.2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04"/>
      <c r="N602" s="204"/>
      <c r="O602" s="205"/>
      <c r="P602" s="205"/>
      <c r="Q602" s="205"/>
      <c r="R602" s="203"/>
      <c r="S602" s="203"/>
      <c r="T602" s="203"/>
      <c r="U602" s="203"/>
      <c r="V602" s="203"/>
      <c r="W602" s="203"/>
      <c r="X602" s="203"/>
      <c r="Y602" s="203"/>
      <c r="Z602" s="203"/>
    </row>
    <row r="603" spans="1:26" ht="12.75" x14ac:dyDescent="0.2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04"/>
      <c r="N603" s="204"/>
      <c r="O603" s="205"/>
      <c r="P603" s="205"/>
      <c r="Q603" s="205"/>
      <c r="R603" s="203"/>
      <c r="S603" s="203"/>
      <c r="T603" s="203"/>
      <c r="U603" s="203"/>
      <c r="V603" s="203"/>
      <c r="W603" s="203"/>
      <c r="X603" s="203"/>
      <c r="Y603" s="203"/>
      <c r="Z603" s="203"/>
    </row>
    <row r="604" spans="1:26" ht="12.75" x14ac:dyDescent="0.2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04"/>
      <c r="N604" s="204"/>
      <c r="O604" s="205"/>
      <c r="P604" s="205"/>
      <c r="Q604" s="205"/>
      <c r="R604" s="203"/>
      <c r="S604" s="203"/>
      <c r="T604" s="203"/>
      <c r="U604" s="203"/>
      <c r="V604" s="203"/>
      <c r="W604" s="203"/>
      <c r="X604" s="203"/>
      <c r="Y604" s="203"/>
      <c r="Z604" s="203"/>
    </row>
    <row r="605" spans="1:26" ht="12.75" x14ac:dyDescent="0.2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04"/>
      <c r="N605" s="204"/>
      <c r="O605" s="205"/>
      <c r="P605" s="205"/>
      <c r="Q605" s="205"/>
      <c r="R605" s="203"/>
      <c r="S605" s="203"/>
      <c r="T605" s="203"/>
      <c r="U605" s="203"/>
      <c r="V605" s="203"/>
      <c r="W605" s="203"/>
      <c r="X605" s="203"/>
      <c r="Y605" s="203"/>
      <c r="Z605" s="203"/>
    </row>
    <row r="606" spans="1:26" ht="12.75" x14ac:dyDescent="0.2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04"/>
      <c r="N606" s="204"/>
      <c r="O606" s="205"/>
      <c r="P606" s="205"/>
      <c r="Q606" s="205"/>
      <c r="R606" s="203"/>
      <c r="S606" s="203"/>
      <c r="T606" s="203"/>
      <c r="U606" s="203"/>
      <c r="V606" s="203"/>
      <c r="W606" s="203"/>
      <c r="X606" s="203"/>
      <c r="Y606" s="203"/>
      <c r="Z606" s="203"/>
    </row>
    <row r="607" spans="1:26" ht="12.75" x14ac:dyDescent="0.2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04"/>
      <c r="N607" s="204"/>
      <c r="O607" s="205"/>
      <c r="P607" s="205"/>
      <c r="Q607" s="205"/>
      <c r="R607" s="203"/>
      <c r="S607" s="203"/>
      <c r="T607" s="203"/>
      <c r="U607" s="203"/>
      <c r="V607" s="203"/>
      <c r="W607" s="203"/>
      <c r="X607" s="203"/>
      <c r="Y607" s="203"/>
      <c r="Z607" s="203"/>
    </row>
    <row r="608" spans="1:26" ht="12.75" x14ac:dyDescent="0.2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04"/>
      <c r="N608" s="204"/>
      <c r="O608" s="205"/>
      <c r="P608" s="205"/>
      <c r="Q608" s="205"/>
      <c r="R608" s="203"/>
      <c r="S608" s="203"/>
      <c r="T608" s="203"/>
      <c r="U608" s="203"/>
      <c r="V608" s="203"/>
      <c r="W608" s="203"/>
      <c r="X608" s="203"/>
      <c r="Y608" s="203"/>
      <c r="Z608" s="203"/>
    </row>
    <row r="609" spans="1:26" ht="12.75" x14ac:dyDescent="0.2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04"/>
      <c r="N609" s="204"/>
      <c r="O609" s="205"/>
      <c r="P609" s="205"/>
      <c r="Q609" s="205"/>
      <c r="R609" s="203"/>
      <c r="S609" s="203"/>
      <c r="T609" s="203"/>
      <c r="U609" s="203"/>
      <c r="V609" s="203"/>
      <c r="W609" s="203"/>
      <c r="X609" s="203"/>
      <c r="Y609" s="203"/>
      <c r="Z609" s="203"/>
    </row>
    <row r="610" spans="1:26" ht="12.75" x14ac:dyDescent="0.2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04"/>
      <c r="N610" s="204"/>
      <c r="O610" s="205"/>
      <c r="P610" s="205"/>
      <c r="Q610" s="205"/>
      <c r="R610" s="203"/>
      <c r="S610" s="203"/>
      <c r="T610" s="203"/>
      <c r="U610" s="203"/>
      <c r="V610" s="203"/>
      <c r="W610" s="203"/>
      <c r="X610" s="203"/>
      <c r="Y610" s="203"/>
      <c r="Z610" s="203"/>
    </row>
    <row r="611" spans="1:26" ht="12.75" x14ac:dyDescent="0.2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04"/>
      <c r="N611" s="204"/>
      <c r="O611" s="205"/>
      <c r="P611" s="205"/>
      <c r="Q611" s="205"/>
      <c r="R611" s="203"/>
      <c r="S611" s="203"/>
      <c r="T611" s="203"/>
      <c r="U611" s="203"/>
      <c r="V611" s="203"/>
      <c r="W611" s="203"/>
      <c r="X611" s="203"/>
      <c r="Y611" s="203"/>
      <c r="Z611" s="203"/>
    </row>
    <row r="612" spans="1:26" ht="12.75" x14ac:dyDescent="0.2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04"/>
      <c r="N612" s="204"/>
      <c r="O612" s="205"/>
      <c r="P612" s="205"/>
      <c r="Q612" s="205"/>
      <c r="R612" s="203"/>
      <c r="S612" s="203"/>
      <c r="T612" s="203"/>
      <c r="U612" s="203"/>
      <c r="V612" s="203"/>
      <c r="W612" s="203"/>
      <c r="X612" s="203"/>
      <c r="Y612" s="203"/>
      <c r="Z612" s="203"/>
    </row>
    <row r="613" spans="1:26" ht="12.75" x14ac:dyDescent="0.2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04"/>
      <c r="N613" s="204"/>
      <c r="O613" s="205"/>
      <c r="P613" s="205"/>
      <c r="Q613" s="205"/>
      <c r="R613" s="203"/>
      <c r="S613" s="203"/>
      <c r="T613" s="203"/>
      <c r="U613" s="203"/>
      <c r="V613" s="203"/>
      <c r="W613" s="203"/>
      <c r="X613" s="203"/>
      <c r="Y613" s="203"/>
      <c r="Z613" s="203"/>
    </row>
    <row r="614" spans="1:26" ht="12.75" x14ac:dyDescent="0.2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04"/>
      <c r="N614" s="204"/>
      <c r="O614" s="205"/>
      <c r="P614" s="205"/>
      <c r="Q614" s="205"/>
      <c r="R614" s="203"/>
      <c r="S614" s="203"/>
      <c r="T614" s="203"/>
      <c r="U614" s="203"/>
      <c r="V614" s="203"/>
      <c r="W614" s="203"/>
      <c r="X614" s="203"/>
      <c r="Y614" s="203"/>
      <c r="Z614" s="203"/>
    </row>
    <row r="615" spans="1:26" ht="12.75" x14ac:dyDescent="0.2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04"/>
      <c r="N615" s="204"/>
      <c r="O615" s="205"/>
      <c r="P615" s="205"/>
      <c r="Q615" s="205"/>
      <c r="R615" s="203"/>
      <c r="S615" s="203"/>
      <c r="T615" s="203"/>
      <c r="U615" s="203"/>
      <c r="V615" s="203"/>
      <c r="W615" s="203"/>
      <c r="X615" s="203"/>
      <c r="Y615" s="203"/>
      <c r="Z615" s="203"/>
    </row>
    <row r="616" spans="1:26" ht="12.75" x14ac:dyDescent="0.2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04"/>
      <c r="N616" s="204"/>
      <c r="O616" s="205"/>
      <c r="P616" s="205"/>
      <c r="Q616" s="205"/>
      <c r="R616" s="203"/>
      <c r="S616" s="203"/>
      <c r="T616" s="203"/>
      <c r="U616" s="203"/>
      <c r="V616" s="203"/>
      <c r="W616" s="203"/>
      <c r="X616" s="203"/>
      <c r="Y616" s="203"/>
      <c r="Z616" s="203"/>
    </row>
    <row r="617" spans="1:26" ht="12.75" x14ac:dyDescent="0.2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04"/>
      <c r="N617" s="204"/>
      <c r="O617" s="205"/>
      <c r="P617" s="205"/>
      <c r="Q617" s="205"/>
      <c r="R617" s="203"/>
      <c r="S617" s="203"/>
      <c r="T617" s="203"/>
      <c r="U617" s="203"/>
      <c r="V617" s="203"/>
      <c r="W617" s="203"/>
      <c r="X617" s="203"/>
      <c r="Y617" s="203"/>
      <c r="Z617" s="203"/>
    </row>
    <row r="618" spans="1:26" ht="12.75" x14ac:dyDescent="0.2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04"/>
      <c r="N618" s="204"/>
      <c r="O618" s="205"/>
      <c r="P618" s="205"/>
      <c r="Q618" s="205"/>
      <c r="R618" s="203"/>
      <c r="S618" s="203"/>
      <c r="T618" s="203"/>
      <c r="U618" s="203"/>
      <c r="V618" s="203"/>
      <c r="W618" s="203"/>
      <c r="X618" s="203"/>
      <c r="Y618" s="203"/>
      <c r="Z618" s="203"/>
    </row>
    <row r="619" spans="1:26" ht="12.75" x14ac:dyDescent="0.2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04"/>
      <c r="N619" s="204"/>
      <c r="O619" s="205"/>
      <c r="P619" s="205"/>
      <c r="Q619" s="205"/>
      <c r="R619" s="203"/>
      <c r="S619" s="203"/>
      <c r="T619" s="203"/>
      <c r="U619" s="203"/>
      <c r="V619" s="203"/>
      <c r="W619" s="203"/>
      <c r="X619" s="203"/>
      <c r="Y619" s="203"/>
      <c r="Z619" s="203"/>
    </row>
    <row r="620" spans="1:26" ht="12.75" x14ac:dyDescent="0.2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04"/>
      <c r="N620" s="204"/>
      <c r="O620" s="205"/>
      <c r="P620" s="205"/>
      <c r="Q620" s="205"/>
      <c r="R620" s="203"/>
      <c r="S620" s="203"/>
      <c r="T620" s="203"/>
      <c r="U620" s="203"/>
      <c r="V620" s="203"/>
      <c r="W620" s="203"/>
      <c r="X620" s="203"/>
      <c r="Y620" s="203"/>
      <c r="Z620" s="203"/>
    </row>
    <row r="621" spans="1:26" ht="12.75" x14ac:dyDescent="0.2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04"/>
      <c r="N621" s="204"/>
      <c r="O621" s="205"/>
      <c r="P621" s="205"/>
      <c r="Q621" s="205"/>
      <c r="R621" s="203"/>
      <c r="S621" s="203"/>
      <c r="T621" s="203"/>
      <c r="U621" s="203"/>
      <c r="V621" s="203"/>
      <c r="W621" s="203"/>
      <c r="X621" s="203"/>
      <c r="Y621" s="203"/>
      <c r="Z621" s="203"/>
    </row>
    <row r="622" spans="1:26" ht="12.75" x14ac:dyDescent="0.2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04"/>
      <c r="N622" s="204"/>
      <c r="O622" s="205"/>
      <c r="P622" s="205"/>
      <c r="Q622" s="205"/>
      <c r="R622" s="203"/>
      <c r="S622" s="203"/>
      <c r="T622" s="203"/>
      <c r="U622" s="203"/>
      <c r="V622" s="203"/>
      <c r="W622" s="203"/>
      <c r="X622" s="203"/>
      <c r="Y622" s="203"/>
      <c r="Z622" s="203"/>
    </row>
    <row r="623" spans="1:26" ht="12.75" x14ac:dyDescent="0.2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04"/>
      <c r="N623" s="204"/>
      <c r="O623" s="205"/>
      <c r="P623" s="205"/>
      <c r="Q623" s="205"/>
      <c r="R623" s="203"/>
      <c r="S623" s="203"/>
      <c r="T623" s="203"/>
      <c r="U623" s="203"/>
      <c r="V623" s="203"/>
      <c r="W623" s="203"/>
      <c r="X623" s="203"/>
      <c r="Y623" s="203"/>
      <c r="Z623" s="203"/>
    </row>
    <row r="624" spans="1:26" ht="12.75" x14ac:dyDescent="0.2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04"/>
      <c r="N624" s="204"/>
      <c r="O624" s="205"/>
      <c r="P624" s="205"/>
      <c r="Q624" s="205"/>
      <c r="R624" s="203"/>
      <c r="S624" s="203"/>
      <c r="T624" s="203"/>
      <c r="U624" s="203"/>
      <c r="V624" s="203"/>
      <c r="W624" s="203"/>
      <c r="X624" s="203"/>
      <c r="Y624" s="203"/>
      <c r="Z624" s="203"/>
    </row>
    <row r="625" spans="1:26" ht="12.75" x14ac:dyDescent="0.2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04"/>
      <c r="N625" s="204"/>
      <c r="O625" s="205"/>
      <c r="P625" s="205"/>
      <c r="Q625" s="205"/>
      <c r="R625" s="203"/>
      <c r="S625" s="203"/>
      <c r="T625" s="203"/>
      <c r="U625" s="203"/>
      <c r="V625" s="203"/>
      <c r="W625" s="203"/>
      <c r="X625" s="203"/>
      <c r="Y625" s="203"/>
      <c r="Z625" s="203"/>
    </row>
    <row r="626" spans="1:26" ht="12.75" x14ac:dyDescent="0.2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04"/>
      <c r="N626" s="204"/>
      <c r="O626" s="205"/>
      <c r="P626" s="205"/>
      <c r="Q626" s="205"/>
      <c r="R626" s="203"/>
      <c r="S626" s="203"/>
      <c r="T626" s="203"/>
      <c r="U626" s="203"/>
      <c r="V626" s="203"/>
      <c r="W626" s="203"/>
      <c r="X626" s="203"/>
      <c r="Y626" s="203"/>
      <c r="Z626" s="203"/>
    </row>
    <row r="627" spans="1:26" ht="12.75" x14ac:dyDescent="0.2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04"/>
      <c r="N627" s="204"/>
      <c r="O627" s="205"/>
      <c r="P627" s="205"/>
      <c r="Q627" s="205"/>
      <c r="R627" s="203"/>
      <c r="S627" s="203"/>
      <c r="T627" s="203"/>
      <c r="U627" s="203"/>
      <c r="V627" s="203"/>
      <c r="W627" s="203"/>
      <c r="X627" s="203"/>
      <c r="Y627" s="203"/>
      <c r="Z627" s="203"/>
    </row>
    <row r="628" spans="1:26" ht="12.75" x14ac:dyDescent="0.2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04"/>
      <c r="N628" s="204"/>
      <c r="O628" s="205"/>
      <c r="P628" s="205"/>
      <c r="Q628" s="205"/>
      <c r="R628" s="203"/>
      <c r="S628" s="203"/>
      <c r="T628" s="203"/>
      <c r="U628" s="203"/>
      <c r="V628" s="203"/>
      <c r="W628" s="203"/>
      <c r="X628" s="203"/>
      <c r="Y628" s="203"/>
      <c r="Z628" s="203"/>
    </row>
    <row r="629" spans="1:26" ht="12.75" x14ac:dyDescent="0.2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04"/>
      <c r="N629" s="204"/>
      <c r="O629" s="205"/>
      <c r="P629" s="205"/>
      <c r="Q629" s="205"/>
      <c r="R629" s="203"/>
      <c r="S629" s="203"/>
      <c r="T629" s="203"/>
      <c r="U629" s="203"/>
      <c r="V629" s="203"/>
      <c r="W629" s="203"/>
      <c r="X629" s="203"/>
      <c r="Y629" s="203"/>
      <c r="Z629" s="203"/>
    </row>
    <row r="630" spans="1:26" ht="12.75" x14ac:dyDescent="0.2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04"/>
      <c r="N630" s="204"/>
      <c r="O630" s="205"/>
      <c r="P630" s="205"/>
      <c r="Q630" s="205"/>
      <c r="R630" s="203"/>
      <c r="S630" s="203"/>
      <c r="T630" s="203"/>
      <c r="U630" s="203"/>
      <c r="V630" s="203"/>
      <c r="W630" s="203"/>
      <c r="X630" s="203"/>
      <c r="Y630" s="203"/>
      <c r="Z630" s="203"/>
    </row>
    <row r="631" spans="1:26" ht="12.75" x14ac:dyDescent="0.2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04"/>
      <c r="N631" s="204"/>
      <c r="O631" s="205"/>
      <c r="P631" s="205"/>
      <c r="Q631" s="205"/>
      <c r="R631" s="203"/>
      <c r="S631" s="203"/>
      <c r="T631" s="203"/>
      <c r="U631" s="203"/>
      <c r="V631" s="203"/>
      <c r="W631" s="203"/>
      <c r="X631" s="203"/>
      <c r="Y631" s="203"/>
      <c r="Z631" s="203"/>
    </row>
    <row r="632" spans="1:26" ht="12.75" x14ac:dyDescent="0.2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04"/>
      <c r="N632" s="204"/>
      <c r="O632" s="205"/>
      <c r="P632" s="205"/>
      <c r="Q632" s="205"/>
      <c r="R632" s="203"/>
      <c r="S632" s="203"/>
      <c r="T632" s="203"/>
      <c r="U632" s="203"/>
      <c r="V632" s="203"/>
      <c r="W632" s="203"/>
      <c r="X632" s="203"/>
      <c r="Y632" s="203"/>
      <c r="Z632" s="203"/>
    </row>
    <row r="633" spans="1:26" ht="12.75" x14ac:dyDescent="0.2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04"/>
      <c r="N633" s="204"/>
      <c r="O633" s="205"/>
      <c r="P633" s="205"/>
      <c r="Q633" s="205"/>
      <c r="R633" s="203"/>
      <c r="S633" s="203"/>
      <c r="T633" s="203"/>
      <c r="U633" s="203"/>
      <c r="V633" s="203"/>
      <c r="W633" s="203"/>
      <c r="X633" s="203"/>
      <c r="Y633" s="203"/>
      <c r="Z633" s="203"/>
    </row>
    <row r="634" spans="1:26" ht="12.75" x14ac:dyDescent="0.2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04"/>
      <c r="N634" s="204"/>
      <c r="O634" s="205"/>
      <c r="P634" s="205"/>
      <c r="Q634" s="205"/>
      <c r="R634" s="203"/>
      <c r="S634" s="203"/>
      <c r="T634" s="203"/>
      <c r="U634" s="203"/>
      <c r="V634" s="203"/>
      <c r="W634" s="203"/>
      <c r="X634" s="203"/>
      <c r="Y634" s="203"/>
      <c r="Z634" s="203"/>
    </row>
    <row r="635" spans="1:26" ht="12.75" x14ac:dyDescent="0.2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04"/>
      <c r="N635" s="204"/>
      <c r="O635" s="205"/>
      <c r="P635" s="205"/>
      <c r="Q635" s="205"/>
      <c r="R635" s="203"/>
      <c r="S635" s="203"/>
      <c r="T635" s="203"/>
      <c r="U635" s="203"/>
      <c r="V635" s="203"/>
      <c r="W635" s="203"/>
      <c r="X635" s="203"/>
      <c r="Y635" s="203"/>
      <c r="Z635" s="203"/>
    </row>
    <row r="636" spans="1:26" ht="12.75" x14ac:dyDescent="0.2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04"/>
      <c r="N636" s="204"/>
      <c r="O636" s="205"/>
      <c r="P636" s="205"/>
      <c r="Q636" s="205"/>
      <c r="R636" s="203"/>
      <c r="S636" s="203"/>
      <c r="T636" s="203"/>
      <c r="U636" s="203"/>
      <c r="V636" s="203"/>
      <c r="W636" s="203"/>
      <c r="X636" s="203"/>
      <c r="Y636" s="203"/>
      <c r="Z636" s="203"/>
    </row>
    <row r="637" spans="1:26" ht="12.75" x14ac:dyDescent="0.2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04"/>
      <c r="N637" s="204"/>
      <c r="O637" s="205"/>
      <c r="P637" s="205"/>
      <c r="Q637" s="205"/>
      <c r="R637" s="203"/>
      <c r="S637" s="203"/>
      <c r="T637" s="203"/>
      <c r="U637" s="203"/>
      <c r="V637" s="203"/>
      <c r="W637" s="203"/>
      <c r="X637" s="203"/>
      <c r="Y637" s="203"/>
      <c r="Z637" s="203"/>
    </row>
    <row r="638" spans="1:26" ht="12.75" x14ac:dyDescent="0.2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04"/>
      <c r="N638" s="204"/>
      <c r="O638" s="205"/>
      <c r="P638" s="205"/>
      <c r="Q638" s="205"/>
      <c r="R638" s="203"/>
      <c r="S638" s="203"/>
      <c r="T638" s="203"/>
      <c r="U638" s="203"/>
      <c r="V638" s="203"/>
      <c r="W638" s="203"/>
      <c r="X638" s="203"/>
      <c r="Y638" s="203"/>
      <c r="Z638" s="203"/>
    </row>
    <row r="639" spans="1:26" ht="12.75" x14ac:dyDescent="0.2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04"/>
      <c r="N639" s="204"/>
      <c r="O639" s="205"/>
      <c r="P639" s="205"/>
      <c r="Q639" s="205"/>
      <c r="R639" s="203"/>
      <c r="S639" s="203"/>
      <c r="T639" s="203"/>
      <c r="U639" s="203"/>
      <c r="V639" s="203"/>
      <c r="W639" s="203"/>
      <c r="X639" s="203"/>
      <c r="Y639" s="203"/>
      <c r="Z639" s="203"/>
    </row>
    <row r="640" spans="1:26" ht="12.75" x14ac:dyDescent="0.2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04"/>
      <c r="N640" s="204"/>
      <c r="O640" s="205"/>
      <c r="P640" s="205"/>
      <c r="Q640" s="205"/>
      <c r="R640" s="203"/>
      <c r="S640" s="203"/>
      <c r="T640" s="203"/>
      <c r="U640" s="203"/>
      <c r="V640" s="203"/>
      <c r="W640" s="203"/>
      <c r="X640" s="203"/>
      <c r="Y640" s="203"/>
      <c r="Z640" s="203"/>
    </row>
    <row r="641" spans="1:26" ht="12.75" x14ac:dyDescent="0.2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04"/>
      <c r="N641" s="204"/>
      <c r="O641" s="205"/>
      <c r="P641" s="205"/>
      <c r="Q641" s="205"/>
      <c r="R641" s="203"/>
      <c r="S641" s="203"/>
      <c r="T641" s="203"/>
      <c r="U641" s="203"/>
      <c r="V641" s="203"/>
      <c r="W641" s="203"/>
      <c r="X641" s="203"/>
      <c r="Y641" s="203"/>
      <c r="Z641" s="203"/>
    </row>
    <row r="642" spans="1:26" ht="12.75" x14ac:dyDescent="0.2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04"/>
      <c r="N642" s="204"/>
      <c r="O642" s="205"/>
      <c r="P642" s="205"/>
      <c r="Q642" s="205"/>
      <c r="R642" s="203"/>
      <c r="S642" s="203"/>
      <c r="T642" s="203"/>
      <c r="U642" s="203"/>
      <c r="V642" s="203"/>
      <c r="W642" s="203"/>
      <c r="X642" s="203"/>
      <c r="Y642" s="203"/>
      <c r="Z642" s="203"/>
    </row>
    <row r="643" spans="1:26" ht="12.75" x14ac:dyDescent="0.2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04"/>
      <c r="N643" s="204"/>
      <c r="O643" s="205"/>
      <c r="P643" s="205"/>
      <c r="Q643" s="205"/>
      <c r="R643" s="203"/>
      <c r="S643" s="203"/>
      <c r="T643" s="203"/>
      <c r="U643" s="203"/>
      <c r="V643" s="203"/>
      <c r="W643" s="203"/>
      <c r="X643" s="203"/>
      <c r="Y643" s="203"/>
      <c r="Z643" s="203"/>
    </row>
    <row r="644" spans="1:26" ht="12.75" x14ac:dyDescent="0.2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04"/>
      <c r="N644" s="204"/>
      <c r="O644" s="205"/>
      <c r="P644" s="205"/>
      <c r="Q644" s="205"/>
      <c r="R644" s="203"/>
      <c r="S644" s="203"/>
      <c r="T644" s="203"/>
      <c r="U644" s="203"/>
      <c r="V644" s="203"/>
      <c r="W644" s="203"/>
      <c r="X644" s="203"/>
      <c r="Y644" s="203"/>
      <c r="Z644" s="203"/>
    </row>
    <row r="645" spans="1:26" ht="12.75" x14ac:dyDescent="0.2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04"/>
      <c r="N645" s="204"/>
      <c r="O645" s="205"/>
      <c r="P645" s="205"/>
      <c r="Q645" s="205"/>
      <c r="R645" s="203"/>
      <c r="S645" s="203"/>
      <c r="T645" s="203"/>
      <c r="U645" s="203"/>
      <c r="V645" s="203"/>
      <c r="W645" s="203"/>
      <c r="X645" s="203"/>
      <c r="Y645" s="203"/>
      <c r="Z645" s="203"/>
    </row>
    <row r="646" spans="1:26" ht="12.75" x14ac:dyDescent="0.2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04"/>
      <c r="N646" s="204"/>
      <c r="O646" s="205"/>
      <c r="P646" s="205"/>
      <c r="Q646" s="205"/>
      <c r="R646" s="203"/>
      <c r="S646" s="203"/>
      <c r="T646" s="203"/>
      <c r="U646" s="203"/>
      <c r="V646" s="203"/>
      <c r="W646" s="203"/>
      <c r="X646" s="203"/>
      <c r="Y646" s="203"/>
      <c r="Z646" s="203"/>
    </row>
    <row r="647" spans="1:26" ht="12.75" x14ac:dyDescent="0.2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04"/>
      <c r="N647" s="204"/>
      <c r="O647" s="205"/>
      <c r="P647" s="205"/>
      <c r="Q647" s="205"/>
      <c r="R647" s="203"/>
      <c r="S647" s="203"/>
      <c r="T647" s="203"/>
      <c r="U647" s="203"/>
      <c r="V647" s="203"/>
      <c r="W647" s="203"/>
      <c r="X647" s="203"/>
      <c r="Y647" s="203"/>
      <c r="Z647" s="203"/>
    </row>
    <row r="648" spans="1:26" ht="12.75" x14ac:dyDescent="0.2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04"/>
      <c r="N648" s="204"/>
      <c r="O648" s="205"/>
      <c r="P648" s="205"/>
      <c r="Q648" s="205"/>
      <c r="R648" s="203"/>
      <c r="S648" s="203"/>
      <c r="T648" s="203"/>
      <c r="U648" s="203"/>
      <c r="V648" s="203"/>
      <c r="W648" s="203"/>
      <c r="X648" s="203"/>
      <c r="Y648" s="203"/>
      <c r="Z648" s="203"/>
    </row>
    <row r="649" spans="1:26" ht="12.75" x14ac:dyDescent="0.2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04"/>
      <c r="N649" s="204"/>
      <c r="O649" s="205"/>
      <c r="P649" s="205"/>
      <c r="Q649" s="205"/>
      <c r="R649" s="203"/>
      <c r="S649" s="203"/>
      <c r="T649" s="203"/>
      <c r="U649" s="203"/>
      <c r="V649" s="203"/>
      <c r="W649" s="203"/>
      <c r="X649" s="203"/>
      <c r="Y649" s="203"/>
      <c r="Z649" s="203"/>
    </row>
    <row r="650" spans="1:26" ht="12.75" x14ac:dyDescent="0.2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04"/>
      <c r="N650" s="204"/>
      <c r="O650" s="205"/>
      <c r="P650" s="205"/>
      <c r="Q650" s="205"/>
      <c r="R650" s="203"/>
      <c r="S650" s="203"/>
      <c r="T650" s="203"/>
      <c r="U650" s="203"/>
      <c r="V650" s="203"/>
      <c r="W650" s="203"/>
      <c r="X650" s="203"/>
      <c r="Y650" s="203"/>
      <c r="Z650" s="203"/>
    </row>
    <row r="651" spans="1:26" ht="12.75" x14ac:dyDescent="0.2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04"/>
      <c r="N651" s="204"/>
      <c r="O651" s="205"/>
      <c r="P651" s="205"/>
      <c r="Q651" s="205"/>
      <c r="R651" s="203"/>
      <c r="S651" s="203"/>
      <c r="T651" s="203"/>
      <c r="U651" s="203"/>
      <c r="V651" s="203"/>
      <c r="W651" s="203"/>
      <c r="X651" s="203"/>
      <c r="Y651" s="203"/>
      <c r="Z651" s="203"/>
    </row>
    <row r="652" spans="1:26" ht="12.75" x14ac:dyDescent="0.2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04"/>
      <c r="N652" s="204"/>
      <c r="O652" s="205"/>
      <c r="P652" s="205"/>
      <c r="Q652" s="205"/>
      <c r="R652" s="203"/>
      <c r="S652" s="203"/>
      <c r="T652" s="203"/>
      <c r="U652" s="203"/>
      <c r="V652" s="203"/>
      <c r="W652" s="203"/>
      <c r="X652" s="203"/>
      <c r="Y652" s="203"/>
      <c r="Z652" s="203"/>
    </row>
    <row r="653" spans="1:26" ht="12.75" x14ac:dyDescent="0.2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04"/>
      <c r="N653" s="204"/>
      <c r="O653" s="205"/>
      <c r="P653" s="205"/>
      <c r="Q653" s="205"/>
      <c r="R653" s="203"/>
      <c r="S653" s="203"/>
      <c r="T653" s="203"/>
      <c r="U653" s="203"/>
      <c r="V653" s="203"/>
      <c r="W653" s="203"/>
      <c r="X653" s="203"/>
      <c r="Y653" s="203"/>
      <c r="Z653" s="203"/>
    </row>
    <row r="654" spans="1:26" ht="12.75" x14ac:dyDescent="0.2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04"/>
      <c r="N654" s="204"/>
      <c r="O654" s="205"/>
      <c r="P654" s="205"/>
      <c r="Q654" s="205"/>
      <c r="R654" s="203"/>
      <c r="S654" s="203"/>
      <c r="T654" s="203"/>
      <c r="U654" s="203"/>
      <c r="V654" s="203"/>
      <c r="W654" s="203"/>
      <c r="X654" s="203"/>
      <c r="Y654" s="203"/>
      <c r="Z654" s="203"/>
    </row>
    <row r="655" spans="1:26" ht="12.75" x14ac:dyDescent="0.2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04"/>
      <c r="N655" s="204"/>
      <c r="O655" s="205"/>
      <c r="P655" s="205"/>
      <c r="Q655" s="205"/>
      <c r="R655" s="203"/>
      <c r="S655" s="203"/>
      <c r="T655" s="203"/>
      <c r="U655" s="203"/>
      <c r="V655" s="203"/>
      <c r="W655" s="203"/>
      <c r="X655" s="203"/>
      <c r="Y655" s="203"/>
      <c r="Z655" s="203"/>
    </row>
    <row r="656" spans="1:26" ht="12.75" x14ac:dyDescent="0.2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04"/>
      <c r="N656" s="204"/>
      <c r="O656" s="205"/>
      <c r="P656" s="205"/>
      <c r="Q656" s="205"/>
      <c r="R656" s="203"/>
      <c r="S656" s="203"/>
      <c r="T656" s="203"/>
      <c r="U656" s="203"/>
      <c r="V656" s="203"/>
      <c r="W656" s="203"/>
      <c r="X656" s="203"/>
      <c r="Y656" s="203"/>
      <c r="Z656" s="203"/>
    </row>
    <row r="657" spans="1:26" ht="12.75" x14ac:dyDescent="0.2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4"/>
      <c r="N657" s="204"/>
      <c r="O657" s="205"/>
      <c r="P657" s="205"/>
      <c r="Q657" s="205"/>
      <c r="R657" s="203"/>
      <c r="S657" s="203"/>
      <c r="T657" s="203"/>
      <c r="U657" s="203"/>
      <c r="V657" s="203"/>
      <c r="W657" s="203"/>
      <c r="X657" s="203"/>
      <c r="Y657" s="203"/>
      <c r="Z657" s="203"/>
    </row>
    <row r="658" spans="1:26" ht="12.75" x14ac:dyDescent="0.2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04"/>
      <c r="N658" s="204"/>
      <c r="O658" s="205"/>
      <c r="P658" s="205"/>
      <c r="Q658" s="205"/>
      <c r="R658" s="203"/>
      <c r="S658" s="203"/>
      <c r="T658" s="203"/>
      <c r="U658" s="203"/>
      <c r="V658" s="203"/>
      <c r="W658" s="203"/>
      <c r="X658" s="203"/>
      <c r="Y658" s="203"/>
      <c r="Z658" s="203"/>
    </row>
    <row r="659" spans="1:26" ht="12.75" x14ac:dyDescent="0.2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4"/>
      <c r="N659" s="204"/>
      <c r="O659" s="205"/>
      <c r="P659" s="205"/>
      <c r="Q659" s="205"/>
      <c r="R659" s="203"/>
      <c r="S659" s="203"/>
      <c r="T659" s="203"/>
      <c r="U659" s="203"/>
      <c r="V659" s="203"/>
      <c r="W659" s="203"/>
      <c r="X659" s="203"/>
      <c r="Y659" s="203"/>
      <c r="Z659" s="203"/>
    </row>
    <row r="660" spans="1:26" ht="12.75" x14ac:dyDescent="0.2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04"/>
      <c r="N660" s="204"/>
      <c r="O660" s="205"/>
      <c r="P660" s="205"/>
      <c r="Q660" s="205"/>
      <c r="R660" s="203"/>
      <c r="S660" s="203"/>
      <c r="T660" s="203"/>
      <c r="U660" s="203"/>
      <c r="V660" s="203"/>
      <c r="W660" s="203"/>
      <c r="X660" s="203"/>
      <c r="Y660" s="203"/>
      <c r="Z660" s="203"/>
    </row>
    <row r="661" spans="1:26" ht="12.75" x14ac:dyDescent="0.2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04"/>
      <c r="N661" s="204"/>
      <c r="O661" s="205"/>
      <c r="P661" s="205"/>
      <c r="Q661" s="205"/>
      <c r="R661" s="203"/>
      <c r="S661" s="203"/>
      <c r="T661" s="203"/>
      <c r="U661" s="203"/>
      <c r="V661" s="203"/>
      <c r="W661" s="203"/>
      <c r="X661" s="203"/>
      <c r="Y661" s="203"/>
      <c r="Z661" s="203"/>
    </row>
    <row r="662" spans="1:26" ht="12.75" x14ac:dyDescent="0.2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04"/>
      <c r="N662" s="204"/>
      <c r="O662" s="205"/>
      <c r="P662" s="205"/>
      <c r="Q662" s="205"/>
      <c r="R662" s="203"/>
      <c r="S662" s="203"/>
      <c r="T662" s="203"/>
      <c r="U662" s="203"/>
      <c r="V662" s="203"/>
      <c r="W662" s="203"/>
      <c r="X662" s="203"/>
      <c r="Y662" s="203"/>
      <c r="Z662" s="203"/>
    </row>
    <row r="663" spans="1:26" ht="12.75" x14ac:dyDescent="0.2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4"/>
      <c r="N663" s="204"/>
      <c r="O663" s="205"/>
      <c r="P663" s="205"/>
      <c r="Q663" s="205"/>
      <c r="R663" s="203"/>
      <c r="S663" s="203"/>
      <c r="T663" s="203"/>
      <c r="U663" s="203"/>
      <c r="V663" s="203"/>
      <c r="W663" s="203"/>
      <c r="X663" s="203"/>
      <c r="Y663" s="203"/>
      <c r="Z663" s="203"/>
    </row>
    <row r="664" spans="1:26" ht="12.75" x14ac:dyDescent="0.2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04"/>
      <c r="N664" s="204"/>
      <c r="O664" s="205"/>
      <c r="P664" s="205"/>
      <c r="Q664" s="205"/>
      <c r="R664" s="203"/>
      <c r="S664" s="203"/>
      <c r="T664" s="203"/>
      <c r="U664" s="203"/>
      <c r="V664" s="203"/>
      <c r="W664" s="203"/>
      <c r="X664" s="203"/>
      <c r="Y664" s="203"/>
      <c r="Z664" s="203"/>
    </row>
    <row r="665" spans="1:26" ht="12.75" x14ac:dyDescent="0.2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04"/>
      <c r="N665" s="204"/>
      <c r="O665" s="205"/>
      <c r="P665" s="205"/>
      <c r="Q665" s="205"/>
      <c r="R665" s="203"/>
      <c r="S665" s="203"/>
      <c r="T665" s="203"/>
      <c r="U665" s="203"/>
      <c r="V665" s="203"/>
      <c r="W665" s="203"/>
      <c r="X665" s="203"/>
      <c r="Y665" s="203"/>
      <c r="Z665" s="203"/>
    </row>
    <row r="666" spans="1:26" ht="12.75" x14ac:dyDescent="0.2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04"/>
      <c r="N666" s="204"/>
      <c r="O666" s="205"/>
      <c r="P666" s="205"/>
      <c r="Q666" s="205"/>
      <c r="R666" s="203"/>
      <c r="S666" s="203"/>
      <c r="T666" s="203"/>
      <c r="U666" s="203"/>
      <c r="V666" s="203"/>
      <c r="W666" s="203"/>
      <c r="X666" s="203"/>
      <c r="Y666" s="203"/>
      <c r="Z666" s="203"/>
    </row>
    <row r="667" spans="1:26" ht="12.75" x14ac:dyDescent="0.2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04"/>
      <c r="N667" s="204"/>
      <c r="O667" s="205"/>
      <c r="P667" s="205"/>
      <c r="Q667" s="205"/>
      <c r="R667" s="203"/>
      <c r="S667" s="203"/>
      <c r="T667" s="203"/>
      <c r="U667" s="203"/>
      <c r="V667" s="203"/>
      <c r="W667" s="203"/>
      <c r="X667" s="203"/>
      <c r="Y667" s="203"/>
      <c r="Z667" s="203"/>
    </row>
    <row r="668" spans="1:26" ht="12.75" x14ac:dyDescent="0.2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04"/>
      <c r="N668" s="204"/>
      <c r="O668" s="205"/>
      <c r="P668" s="205"/>
      <c r="Q668" s="205"/>
      <c r="R668" s="203"/>
      <c r="S668" s="203"/>
      <c r="T668" s="203"/>
      <c r="U668" s="203"/>
      <c r="V668" s="203"/>
      <c r="W668" s="203"/>
      <c r="X668" s="203"/>
      <c r="Y668" s="203"/>
      <c r="Z668" s="203"/>
    </row>
    <row r="669" spans="1:26" ht="12.75" x14ac:dyDescent="0.2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04"/>
      <c r="N669" s="204"/>
      <c r="O669" s="205"/>
      <c r="P669" s="205"/>
      <c r="Q669" s="205"/>
      <c r="R669" s="203"/>
      <c r="S669" s="203"/>
      <c r="T669" s="203"/>
      <c r="U669" s="203"/>
      <c r="V669" s="203"/>
      <c r="W669" s="203"/>
      <c r="X669" s="203"/>
      <c r="Y669" s="203"/>
      <c r="Z669" s="203"/>
    </row>
    <row r="670" spans="1:26" ht="12.75" x14ac:dyDescent="0.2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4"/>
      <c r="N670" s="204"/>
      <c r="O670" s="205"/>
      <c r="P670" s="205"/>
      <c r="Q670" s="205"/>
      <c r="R670" s="203"/>
      <c r="S670" s="203"/>
      <c r="T670" s="203"/>
      <c r="U670" s="203"/>
      <c r="V670" s="203"/>
      <c r="W670" s="203"/>
      <c r="X670" s="203"/>
      <c r="Y670" s="203"/>
      <c r="Z670" s="203"/>
    </row>
    <row r="671" spans="1:26" ht="12.75" x14ac:dyDescent="0.2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04"/>
      <c r="N671" s="204"/>
      <c r="O671" s="205"/>
      <c r="P671" s="205"/>
      <c r="Q671" s="205"/>
      <c r="R671" s="203"/>
      <c r="S671" s="203"/>
      <c r="T671" s="203"/>
      <c r="U671" s="203"/>
      <c r="V671" s="203"/>
      <c r="W671" s="203"/>
      <c r="X671" s="203"/>
      <c r="Y671" s="203"/>
      <c r="Z671" s="203"/>
    </row>
    <row r="672" spans="1:26" ht="12.75" x14ac:dyDescent="0.2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04"/>
      <c r="N672" s="204"/>
      <c r="O672" s="205"/>
      <c r="P672" s="205"/>
      <c r="Q672" s="205"/>
      <c r="R672" s="203"/>
      <c r="S672" s="203"/>
      <c r="T672" s="203"/>
      <c r="U672" s="203"/>
      <c r="V672" s="203"/>
      <c r="W672" s="203"/>
      <c r="X672" s="203"/>
      <c r="Y672" s="203"/>
      <c r="Z672" s="203"/>
    </row>
    <row r="673" spans="1:26" ht="12.75" x14ac:dyDescent="0.2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04"/>
      <c r="N673" s="204"/>
      <c r="O673" s="205"/>
      <c r="P673" s="205"/>
      <c r="Q673" s="205"/>
      <c r="R673" s="203"/>
      <c r="S673" s="203"/>
      <c r="T673" s="203"/>
      <c r="U673" s="203"/>
      <c r="V673" s="203"/>
      <c r="W673" s="203"/>
      <c r="X673" s="203"/>
      <c r="Y673" s="203"/>
      <c r="Z673" s="203"/>
    </row>
    <row r="674" spans="1:26" ht="12.75" x14ac:dyDescent="0.2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04"/>
      <c r="N674" s="204"/>
      <c r="O674" s="205"/>
      <c r="P674" s="205"/>
      <c r="Q674" s="205"/>
      <c r="R674" s="203"/>
      <c r="S674" s="203"/>
      <c r="T674" s="203"/>
      <c r="U674" s="203"/>
      <c r="V674" s="203"/>
      <c r="W674" s="203"/>
      <c r="X674" s="203"/>
      <c r="Y674" s="203"/>
      <c r="Z674" s="203"/>
    </row>
    <row r="675" spans="1:26" ht="12.75" x14ac:dyDescent="0.2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04"/>
      <c r="N675" s="204"/>
      <c r="O675" s="205"/>
      <c r="P675" s="205"/>
      <c r="Q675" s="205"/>
      <c r="R675" s="203"/>
      <c r="S675" s="203"/>
      <c r="T675" s="203"/>
      <c r="U675" s="203"/>
      <c r="V675" s="203"/>
      <c r="W675" s="203"/>
      <c r="X675" s="203"/>
      <c r="Y675" s="203"/>
      <c r="Z675" s="203"/>
    </row>
    <row r="676" spans="1:26" ht="12.75" x14ac:dyDescent="0.2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04"/>
      <c r="N676" s="204"/>
      <c r="O676" s="205"/>
      <c r="P676" s="205"/>
      <c r="Q676" s="205"/>
      <c r="R676" s="203"/>
      <c r="S676" s="203"/>
      <c r="T676" s="203"/>
      <c r="U676" s="203"/>
      <c r="V676" s="203"/>
      <c r="W676" s="203"/>
      <c r="X676" s="203"/>
      <c r="Y676" s="203"/>
      <c r="Z676" s="203"/>
    </row>
    <row r="677" spans="1:26" ht="12.75" x14ac:dyDescent="0.2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04"/>
      <c r="N677" s="204"/>
      <c r="O677" s="205"/>
      <c r="P677" s="205"/>
      <c r="Q677" s="205"/>
      <c r="R677" s="203"/>
      <c r="S677" s="203"/>
      <c r="T677" s="203"/>
      <c r="U677" s="203"/>
      <c r="V677" s="203"/>
      <c r="W677" s="203"/>
      <c r="X677" s="203"/>
      <c r="Y677" s="203"/>
      <c r="Z677" s="203"/>
    </row>
    <row r="678" spans="1:26" ht="12.75" x14ac:dyDescent="0.2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04"/>
      <c r="N678" s="204"/>
      <c r="O678" s="205"/>
      <c r="P678" s="205"/>
      <c r="Q678" s="205"/>
      <c r="R678" s="203"/>
      <c r="S678" s="203"/>
      <c r="T678" s="203"/>
      <c r="U678" s="203"/>
      <c r="V678" s="203"/>
      <c r="W678" s="203"/>
      <c r="X678" s="203"/>
      <c r="Y678" s="203"/>
      <c r="Z678" s="203"/>
    </row>
    <row r="679" spans="1:26" ht="12.75" x14ac:dyDescent="0.2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04"/>
      <c r="N679" s="204"/>
      <c r="O679" s="205"/>
      <c r="P679" s="205"/>
      <c r="Q679" s="205"/>
      <c r="R679" s="203"/>
      <c r="S679" s="203"/>
      <c r="T679" s="203"/>
      <c r="U679" s="203"/>
      <c r="V679" s="203"/>
      <c r="W679" s="203"/>
      <c r="X679" s="203"/>
      <c r="Y679" s="203"/>
      <c r="Z679" s="203"/>
    </row>
    <row r="680" spans="1:26" ht="12.75" x14ac:dyDescent="0.2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04"/>
      <c r="N680" s="204"/>
      <c r="O680" s="205"/>
      <c r="P680" s="205"/>
      <c r="Q680" s="205"/>
      <c r="R680" s="203"/>
      <c r="S680" s="203"/>
      <c r="T680" s="203"/>
      <c r="U680" s="203"/>
      <c r="V680" s="203"/>
      <c r="W680" s="203"/>
      <c r="X680" s="203"/>
      <c r="Y680" s="203"/>
      <c r="Z680" s="203"/>
    </row>
    <row r="681" spans="1:26" ht="12.75" x14ac:dyDescent="0.2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4"/>
      <c r="N681" s="204"/>
      <c r="O681" s="205"/>
      <c r="P681" s="205"/>
      <c r="Q681" s="205"/>
      <c r="R681" s="203"/>
      <c r="S681" s="203"/>
      <c r="T681" s="203"/>
      <c r="U681" s="203"/>
      <c r="V681" s="203"/>
      <c r="W681" s="203"/>
      <c r="X681" s="203"/>
      <c r="Y681" s="203"/>
      <c r="Z681" s="203"/>
    </row>
    <row r="682" spans="1:26" ht="12.75" x14ac:dyDescent="0.2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04"/>
      <c r="N682" s="204"/>
      <c r="O682" s="205"/>
      <c r="P682" s="205"/>
      <c r="Q682" s="205"/>
      <c r="R682" s="203"/>
      <c r="S682" s="203"/>
      <c r="T682" s="203"/>
      <c r="U682" s="203"/>
      <c r="V682" s="203"/>
      <c r="W682" s="203"/>
      <c r="X682" s="203"/>
      <c r="Y682" s="203"/>
      <c r="Z682" s="203"/>
    </row>
    <row r="683" spans="1:26" ht="12.75" x14ac:dyDescent="0.2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04"/>
      <c r="N683" s="204"/>
      <c r="O683" s="205"/>
      <c r="P683" s="205"/>
      <c r="Q683" s="205"/>
      <c r="R683" s="203"/>
      <c r="S683" s="203"/>
      <c r="T683" s="203"/>
      <c r="U683" s="203"/>
      <c r="V683" s="203"/>
      <c r="W683" s="203"/>
      <c r="X683" s="203"/>
      <c r="Y683" s="203"/>
      <c r="Z683" s="203"/>
    </row>
    <row r="684" spans="1:26" ht="12.75" x14ac:dyDescent="0.2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4"/>
      <c r="N684" s="204"/>
      <c r="O684" s="205"/>
      <c r="P684" s="205"/>
      <c r="Q684" s="205"/>
      <c r="R684" s="203"/>
      <c r="S684" s="203"/>
      <c r="T684" s="203"/>
      <c r="U684" s="203"/>
      <c r="V684" s="203"/>
      <c r="W684" s="203"/>
      <c r="X684" s="203"/>
      <c r="Y684" s="203"/>
      <c r="Z684" s="203"/>
    </row>
    <row r="685" spans="1:26" ht="12.75" x14ac:dyDescent="0.2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04"/>
      <c r="N685" s="204"/>
      <c r="O685" s="205"/>
      <c r="P685" s="205"/>
      <c r="Q685" s="205"/>
      <c r="R685" s="203"/>
      <c r="S685" s="203"/>
      <c r="T685" s="203"/>
      <c r="U685" s="203"/>
      <c r="V685" s="203"/>
      <c r="W685" s="203"/>
      <c r="X685" s="203"/>
      <c r="Y685" s="203"/>
      <c r="Z685" s="203"/>
    </row>
    <row r="686" spans="1:26" ht="12.75" x14ac:dyDescent="0.2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04"/>
      <c r="N686" s="204"/>
      <c r="O686" s="205"/>
      <c r="P686" s="205"/>
      <c r="Q686" s="205"/>
      <c r="R686" s="203"/>
      <c r="S686" s="203"/>
      <c r="T686" s="203"/>
      <c r="U686" s="203"/>
      <c r="V686" s="203"/>
      <c r="W686" s="203"/>
      <c r="X686" s="203"/>
      <c r="Y686" s="203"/>
      <c r="Z686" s="203"/>
    </row>
    <row r="687" spans="1:26" ht="12.75" x14ac:dyDescent="0.2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04"/>
      <c r="N687" s="204"/>
      <c r="O687" s="205"/>
      <c r="P687" s="205"/>
      <c r="Q687" s="205"/>
      <c r="R687" s="203"/>
      <c r="S687" s="203"/>
      <c r="T687" s="203"/>
      <c r="U687" s="203"/>
      <c r="V687" s="203"/>
      <c r="W687" s="203"/>
      <c r="X687" s="203"/>
      <c r="Y687" s="203"/>
      <c r="Z687" s="203"/>
    </row>
    <row r="688" spans="1:26" ht="12.75" x14ac:dyDescent="0.2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04"/>
      <c r="N688" s="204"/>
      <c r="O688" s="205"/>
      <c r="P688" s="205"/>
      <c r="Q688" s="205"/>
      <c r="R688" s="203"/>
      <c r="S688" s="203"/>
      <c r="T688" s="203"/>
      <c r="U688" s="203"/>
      <c r="V688" s="203"/>
      <c r="W688" s="203"/>
      <c r="X688" s="203"/>
      <c r="Y688" s="203"/>
      <c r="Z688" s="203"/>
    </row>
    <row r="689" spans="1:26" ht="12.75" x14ac:dyDescent="0.2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04"/>
      <c r="N689" s="204"/>
      <c r="O689" s="205"/>
      <c r="P689" s="205"/>
      <c r="Q689" s="205"/>
      <c r="R689" s="203"/>
      <c r="S689" s="203"/>
      <c r="T689" s="203"/>
      <c r="U689" s="203"/>
      <c r="V689" s="203"/>
      <c r="W689" s="203"/>
      <c r="X689" s="203"/>
      <c r="Y689" s="203"/>
      <c r="Z689" s="203"/>
    </row>
    <row r="690" spans="1:26" ht="12.75" x14ac:dyDescent="0.2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4"/>
      <c r="N690" s="204"/>
      <c r="O690" s="205"/>
      <c r="P690" s="205"/>
      <c r="Q690" s="205"/>
      <c r="R690" s="203"/>
      <c r="S690" s="203"/>
      <c r="T690" s="203"/>
      <c r="U690" s="203"/>
      <c r="V690" s="203"/>
      <c r="W690" s="203"/>
      <c r="X690" s="203"/>
      <c r="Y690" s="203"/>
      <c r="Z690" s="203"/>
    </row>
    <row r="691" spans="1:26" ht="12.75" x14ac:dyDescent="0.2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04"/>
      <c r="N691" s="204"/>
      <c r="O691" s="205"/>
      <c r="P691" s="205"/>
      <c r="Q691" s="205"/>
      <c r="R691" s="203"/>
      <c r="S691" s="203"/>
      <c r="T691" s="203"/>
      <c r="U691" s="203"/>
      <c r="V691" s="203"/>
      <c r="W691" s="203"/>
      <c r="X691" s="203"/>
      <c r="Y691" s="203"/>
      <c r="Z691" s="203"/>
    </row>
    <row r="692" spans="1:26" ht="12.75" x14ac:dyDescent="0.2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04"/>
      <c r="N692" s="204"/>
      <c r="O692" s="205"/>
      <c r="P692" s="205"/>
      <c r="Q692" s="205"/>
      <c r="R692" s="203"/>
      <c r="S692" s="203"/>
      <c r="T692" s="203"/>
      <c r="U692" s="203"/>
      <c r="V692" s="203"/>
      <c r="W692" s="203"/>
      <c r="X692" s="203"/>
      <c r="Y692" s="203"/>
      <c r="Z692" s="203"/>
    </row>
    <row r="693" spans="1:26" ht="12.75" x14ac:dyDescent="0.2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04"/>
      <c r="N693" s="204"/>
      <c r="O693" s="205"/>
      <c r="P693" s="205"/>
      <c r="Q693" s="205"/>
      <c r="R693" s="203"/>
      <c r="S693" s="203"/>
      <c r="T693" s="203"/>
      <c r="U693" s="203"/>
      <c r="V693" s="203"/>
      <c r="W693" s="203"/>
      <c r="X693" s="203"/>
      <c r="Y693" s="203"/>
      <c r="Z693" s="203"/>
    </row>
    <row r="694" spans="1:26" ht="12.75" x14ac:dyDescent="0.2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04"/>
      <c r="N694" s="204"/>
      <c r="O694" s="205"/>
      <c r="P694" s="205"/>
      <c r="Q694" s="205"/>
      <c r="R694" s="203"/>
      <c r="S694" s="203"/>
      <c r="T694" s="203"/>
      <c r="U694" s="203"/>
      <c r="V694" s="203"/>
      <c r="W694" s="203"/>
      <c r="X694" s="203"/>
      <c r="Y694" s="203"/>
      <c r="Z694" s="203"/>
    </row>
    <row r="695" spans="1:26" ht="12.75" x14ac:dyDescent="0.2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04"/>
      <c r="N695" s="204"/>
      <c r="O695" s="205"/>
      <c r="P695" s="205"/>
      <c r="Q695" s="205"/>
      <c r="R695" s="203"/>
      <c r="S695" s="203"/>
      <c r="T695" s="203"/>
      <c r="U695" s="203"/>
      <c r="V695" s="203"/>
      <c r="W695" s="203"/>
      <c r="X695" s="203"/>
      <c r="Y695" s="203"/>
      <c r="Z695" s="203"/>
    </row>
    <row r="696" spans="1:26" ht="12.75" x14ac:dyDescent="0.2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04"/>
      <c r="N696" s="204"/>
      <c r="O696" s="205"/>
      <c r="P696" s="205"/>
      <c r="Q696" s="205"/>
      <c r="R696" s="203"/>
      <c r="S696" s="203"/>
      <c r="T696" s="203"/>
      <c r="U696" s="203"/>
      <c r="V696" s="203"/>
      <c r="W696" s="203"/>
      <c r="X696" s="203"/>
      <c r="Y696" s="203"/>
      <c r="Z696" s="203"/>
    </row>
    <row r="697" spans="1:26" ht="12.75" x14ac:dyDescent="0.2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04"/>
      <c r="N697" s="204"/>
      <c r="O697" s="205"/>
      <c r="P697" s="205"/>
      <c r="Q697" s="205"/>
      <c r="R697" s="203"/>
      <c r="S697" s="203"/>
      <c r="T697" s="203"/>
      <c r="U697" s="203"/>
      <c r="V697" s="203"/>
      <c r="W697" s="203"/>
      <c r="X697" s="203"/>
      <c r="Y697" s="203"/>
      <c r="Z697" s="203"/>
    </row>
    <row r="698" spans="1:26" ht="12.75" x14ac:dyDescent="0.2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04"/>
      <c r="N698" s="204"/>
      <c r="O698" s="205"/>
      <c r="P698" s="205"/>
      <c r="Q698" s="205"/>
      <c r="R698" s="203"/>
      <c r="S698" s="203"/>
      <c r="T698" s="203"/>
      <c r="U698" s="203"/>
      <c r="V698" s="203"/>
      <c r="W698" s="203"/>
      <c r="X698" s="203"/>
      <c r="Y698" s="203"/>
      <c r="Z698" s="203"/>
    </row>
    <row r="699" spans="1:26" ht="12.75" x14ac:dyDescent="0.2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04"/>
      <c r="N699" s="204"/>
      <c r="O699" s="205"/>
      <c r="P699" s="205"/>
      <c r="Q699" s="205"/>
      <c r="R699" s="203"/>
      <c r="S699" s="203"/>
      <c r="T699" s="203"/>
      <c r="U699" s="203"/>
      <c r="V699" s="203"/>
      <c r="W699" s="203"/>
      <c r="X699" s="203"/>
      <c r="Y699" s="203"/>
      <c r="Z699" s="203"/>
    </row>
    <row r="700" spans="1:26" ht="12.75" x14ac:dyDescent="0.2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4"/>
      <c r="N700" s="204"/>
      <c r="O700" s="205"/>
      <c r="P700" s="205"/>
      <c r="Q700" s="205"/>
      <c r="R700" s="203"/>
      <c r="S700" s="203"/>
      <c r="T700" s="203"/>
      <c r="U700" s="203"/>
      <c r="V700" s="203"/>
      <c r="W700" s="203"/>
      <c r="X700" s="203"/>
      <c r="Y700" s="203"/>
      <c r="Z700" s="203"/>
    </row>
    <row r="701" spans="1:26" ht="12.75" x14ac:dyDescent="0.2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04"/>
      <c r="N701" s="204"/>
      <c r="O701" s="205"/>
      <c r="P701" s="205"/>
      <c r="Q701" s="205"/>
      <c r="R701" s="203"/>
      <c r="S701" s="203"/>
      <c r="T701" s="203"/>
      <c r="U701" s="203"/>
      <c r="V701" s="203"/>
      <c r="W701" s="203"/>
      <c r="X701" s="203"/>
      <c r="Y701" s="203"/>
      <c r="Z701" s="203"/>
    </row>
    <row r="702" spans="1:26" ht="12.75" x14ac:dyDescent="0.2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4"/>
      <c r="N702" s="204"/>
      <c r="O702" s="205"/>
      <c r="P702" s="205"/>
      <c r="Q702" s="205"/>
      <c r="R702" s="203"/>
      <c r="S702" s="203"/>
      <c r="T702" s="203"/>
      <c r="U702" s="203"/>
      <c r="V702" s="203"/>
      <c r="W702" s="203"/>
      <c r="X702" s="203"/>
      <c r="Y702" s="203"/>
      <c r="Z702" s="203"/>
    </row>
    <row r="703" spans="1:26" ht="12.75" x14ac:dyDescent="0.2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04"/>
      <c r="N703" s="204"/>
      <c r="O703" s="205"/>
      <c r="P703" s="205"/>
      <c r="Q703" s="205"/>
      <c r="R703" s="203"/>
      <c r="S703" s="203"/>
      <c r="T703" s="203"/>
      <c r="U703" s="203"/>
      <c r="V703" s="203"/>
      <c r="W703" s="203"/>
      <c r="X703" s="203"/>
      <c r="Y703" s="203"/>
      <c r="Z703" s="203"/>
    </row>
    <row r="704" spans="1:26" ht="12.75" x14ac:dyDescent="0.2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4"/>
      <c r="N704" s="204"/>
      <c r="O704" s="205"/>
      <c r="P704" s="205"/>
      <c r="Q704" s="205"/>
      <c r="R704" s="203"/>
      <c r="S704" s="203"/>
      <c r="T704" s="203"/>
      <c r="U704" s="203"/>
      <c r="V704" s="203"/>
      <c r="W704" s="203"/>
      <c r="X704" s="203"/>
      <c r="Y704" s="203"/>
      <c r="Z704" s="203"/>
    </row>
    <row r="705" spans="1:26" ht="12.75" x14ac:dyDescent="0.2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04"/>
      <c r="N705" s="204"/>
      <c r="O705" s="205"/>
      <c r="P705" s="205"/>
      <c r="Q705" s="205"/>
      <c r="R705" s="203"/>
      <c r="S705" s="203"/>
      <c r="T705" s="203"/>
      <c r="U705" s="203"/>
      <c r="V705" s="203"/>
      <c r="W705" s="203"/>
      <c r="X705" s="203"/>
      <c r="Y705" s="203"/>
      <c r="Z705" s="203"/>
    </row>
    <row r="706" spans="1:26" ht="12.75" x14ac:dyDescent="0.2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04"/>
      <c r="N706" s="204"/>
      <c r="O706" s="205"/>
      <c r="P706" s="205"/>
      <c r="Q706" s="205"/>
      <c r="R706" s="203"/>
      <c r="S706" s="203"/>
      <c r="T706" s="203"/>
      <c r="U706" s="203"/>
      <c r="V706" s="203"/>
      <c r="W706" s="203"/>
      <c r="X706" s="203"/>
      <c r="Y706" s="203"/>
      <c r="Z706" s="203"/>
    </row>
    <row r="707" spans="1:26" ht="12.75" x14ac:dyDescent="0.2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04"/>
      <c r="N707" s="204"/>
      <c r="O707" s="205"/>
      <c r="P707" s="205"/>
      <c r="Q707" s="205"/>
      <c r="R707" s="203"/>
      <c r="S707" s="203"/>
      <c r="T707" s="203"/>
      <c r="U707" s="203"/>
      <c r="V707" s="203"/>
      <c r="W707" s="203"/>
      <c r="X707" s="203"/>
      <c r="Y707" s="203"/>
      <c r="Z707" s="203"/>
    </row>
    <row r="708" spans="1:26" ht="12.75" x14ac:dyDescent="0.2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04"/>
      <c r="N708" s="204"/>
      <c r="O708" s="205"/>
      <c r="P708" s="205"/>
      <c r="Q708" s="205"/>
      <c r="R708" s="203"/>
      <c r="S708" s="203"/>
      <c r="T708" s="203"/>
      <c r="U708" s="203"/>
      <c r="V708" s="203"/>
      <c r="W708" s="203"/>
      <c r="X708" s="203"/>
      <c r="Y708" s="203"/>
      <c r="Z708" s="203"/>
    </row>
    <row r="709" spans="1:26" ht="12.75" x14ac:dyDescent="0.2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04"/>
      <c r="N709" s="204"/>
      <c r="O709" s="205"/>
      <c r="P709" s="205"/>
      <c r="Q709" s="205"/>
      <c r="R709" s="203"/>
      <c r="S709" s="203"/>
      <c r="T709" s="203"/>
      <c r="U709" s="203"/>
      <c r="V709" s="203"/>
      <c r="W709" s="203"/>
      <c r="X709" s="203"/>
      <c r="Y709" s="203"/>
      <c r="Z709" s="203"/>
    </row>
    <row r="710" spans="1:26" ht="12.75" x14ac:dyDescent="0.2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04"/>
      <c r="N710" s="204"/>
      <c r="O710" s="205"/>
      <c r="P710" s="205"/>
      <c r="Q710" s="205"/>
      <c r="R710" s="203"/>
      <c r="S710" s="203"/>
      <c r="T710" s="203"/>
      <c r="U710" s="203"/>
      <c r="V710" s="203"/>
      <c r="W710" s="203"/>
      <c r="X710" s="203"/>
      <c r="Y710" s="203"/>
      <c r="Z710" s="203"/>
    </row>
    <row r="711" spans="1:26" ht="12.75" x14ac:dyDescent="0.2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04"/>
      <c r="N711" s="204"/>
      <c r="O711" s="205"/>
      <c r="P711" s="205"/>
      <c r="Q711" s="205"/>
      <c r="R711" s="203"/>
      <c r="S711" s="203"/>
      <c r="T711" s="203"/>
      <c r="U711" s="203"/>
      <c r="V711" s="203"/>
      <c r="W711" s="203"/>
      <c r="X711" s="203"/>
      <c r="Y711" s="203"/>
      <c r="Z711" s="203"/>
    </row>
    <row r="712" spans="1:26" ht="12.75" x14ac:dyDescent="0.2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4"/>
      <c r="N712" s="204"/>
      <c r="O712" s="205"/>
      <c r="P712" s="205"/>
      <c r="Q712" s="205"/>
      <c r="R712" s="203"/>
      <c r="S712" s="203"/>
      <c r="T712" s="203"/>
      <c r="U712" s="203"/>
      <c r="V712" s="203"/>
      <c r="W712" s="203"/>
      <c r="X712" s="203"/>
      <c r="Y712" s="203"/>
      <c r="Z712" s="203"/>
    </row>
    <row r="713" spans="1:26" ht="12.75" x14ac:dyDescent="0.2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04"/>
      <c r="N713" s="204"/>
      <c r="O713" s="205"/>
      <c r="P713" s="205"/>
      <c r="Q713" s="205"/>
      <c r="R713" s="203"/>
      <c r="S713" s="203"/>
      <c r="T713" s="203"/>
      <c r="U713" s="203"/>
      <c r="V713" s="203"/>
      <c r="W713" s="203"/>
      <c r="X713" s="203"/>
      <c r="Y713" s="203"/>
      <c r="Z713" s="203"/>
    </row>
    <row r="714" spans="1:26" ht="12.75" x14ac:dyDescent="0.2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04"/>
      <c r="N714" s="204"/>
      <c r="O714" s="205"/>
      <c r="P714" s="205"/>
      <c r="Q714" s="205"/>
      <c r="R714" s="203"/>
      <c r="S714" s="203"/>
      <c r="T714" s="203"/>
      <c r="U714" s="203"/>
      <c r="V714" s="203"/>
      <c r="W714" s="203"/>
      <c r="X714" s="203"/>
      <c r="Y714" s="203"/>
      <c r="Z714" s="203"/>
    </row>
    <row r="715" spans="1:26" ht="12.75" x14ac:dyDescent="0.2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04"/>
      <c r="N715" s="204"/>
      <c r="O715" s="205"/>
      <c r="P715" s="205"/>
      <c r="Q715" s="205"/>
      <c r="R715" s="203"/>
      <c r="S715" s="203"/>
      <c r="T715" s="203"/>
      <c r="U715" s="203"/>
      <c r="V715" s="203"/>
      <c r="W715" s="203"/>
      <c r="X715" s="203"/>
      <c r="Y715" s="203"/>
      <c r="Z715" s="203"/>
    </row>
    <row r="716" spans="1:26" ht="12.75" x14ac:dyDescent="0.2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04"/>
      <c r="N716" s="204"/>
      <c r="O716" s="205"/>
      <c r="P716" s="205"/>
      <c r="Q716" s="205"/>
      <c r="R716" s="203"/>
      <c r="S716" s="203"/>
      <c r="T716" s="203"/>
      <c r="U716" s="203"/>
      <c r="V716" s="203"/>
      <c r="W716" s="203"/>
      <c r="X716" s="203"/>
      <c r="Y716" s="203"/>
      <c r="Z716" s="203"/>
    </row>
    <row r="717" spans="1:26" ht="12.75" x14ac:dyDescent="0.2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04"/>
      <c r="N717" s="204"/>
      <c r="O717" s="205"/>
      <c r="P717" s="205"/>
      <c r="Q717" s="205"/>
      <c r="R717" s="203"/>
      <c r="S717" s="203"/>
      <c r="T717" s="203"/>
      <c r="U717" s="203"/>
      <c r="V717" s="203"/>
      <c r="W717" s="203"/>
      <c r="X717" s="203"/>
      <c r="Y717" s="203"/>
      <c r="Z717" s="203"/>
    </row>
    <row r="718" spans="1:26" ht="12.75" x14ac:dyDescent="0.2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04"/>
      <c r="N718" s="204"/>
      <c r="O718" s="205"/>
      <c r="P718" s="205"/>
      <c r="Q718" s="205"/>
      <c r="R718" s="203"/>
      <c r="S718" s="203"/>
      <c r="T718" s="203"/>
      <c r="U718" s="203"/>
      <c r="V718" s="203"/>
      <c r="W718" s="203"/>
      <c r="X718" s="203"/>
      <c r="Y718" s="203"/>
      <c r="Z718" s="203"/>
    </row>
    <row r="719" spans="1:26" ht="12.75" x14ac:dyDescent="0.2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04"/>
      <c r="N719" s="204"/>
      <c r="O719" s="205"/>
      <c r="P719" s="205"/>
      <c r="Q719" s="205"/>
      <c r="R719" s="203"/>
      <c r="S719" s="203"/>
      <c r="T719" s="203"/>
      <c r="U719" s="203"/>
      <c r="V719" s="203"/>
      <c r="W719" s="203"/>
      <c r="X719" s="203"/>
      <c r="Y719" s="203"/>
      <c r="Z719" s="203"/>
    </row>
    <row r="720" spans="1:26" ht="12.75" x14ac:dyDescent="0.2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4"/>
      <c r="N720" s="204"/>
      <c r="O720" s="205"/>
      <c r="P720" s="205"/>
      <c r="Q720" s="205"/>
      <c r="R720" s="203"/>
      <c r="S720" s="203"/>
      <c r="T720" s="203"/>
      <c r="U720" s="203"/>
      <c r="V720" s="203"/>
      <c r="W720" s="203"/>
      <c r="X720" s="203"/>
      <c r="Y720" s="203"/>
      <c r="Z720" s="203"/>
    </row>
    <row r="721" spans="1:26" ht="12.75" x14ac:dyDescent="0.2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04"/>
      <c r="N721" s="204"/>
      <c r="O721" s="205"/>
      <c r="P721" s="205"/>
      <c r="Q721" s="205"/>
      <c r="R721" s="203"/>
      <c r="S721" s="203"/>
      <c r="T721" s="203"/>
      <c r="U721" s="203"/>
      <c r="V721" s="203"/>
      <c r="W721" s="203"/>
      <c r="X721" s="203"/>
      <c r="Y721" s="203"/>
      <c r="Z721" s="203"/>
    </row>
    <row r="722" spans="1:26" ht="12.75" x14ac:dyDescent="0.2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04"/>
      <c r="N722" s="204"/>
      <c r="O722" s="205"/>
      <c r="P722" s="205"/>
      <c r="Q722" s="205"/>
      <c r="R722" s="203"/>
      <c r="S722" s="203"/>
      <c r="T722" s="203"/>
      <c r="U722" s="203"/>
      <c r="V722" s="203"/>
      <c r="W722" s="203"/>
      <c r="X722" s="203"/>
      <c r="Y722" s="203"/>
      <c r="Z722" s="203"/>
    </row>
    <row r="723" spans="1:26" ht="12.75" x14ac:dyDescent="0.2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04"/>
      <c r="N723" s="204"/>
      <c r="O723" s="205"/>
      <c r="P723" s="205"/>
      <c r="Q723" s="205"/>
      <c r="R723" s="203"/>
      <c r="S723" s="203"/>
      <c r="T723" s="203"/>
      <c r="U723" s="203"/>
      <c r="V723" s="203"/>
      <c r="W723" s="203"/>
      <c r="X723" s="203"/>
      <c r="Y723" s="203"/>
      <c r="Z723" s="203"/>
    </row>
    <row r="724" spans="1:26" ht="12.75" x14ac:dyDescent="0.2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4"/>
      <c r="N724" s="204"/>
      <c r="O724" s="205"/>
      <c r="P724" s="205"/>
      <c r="Q724" s="205"/>
      <c r="R724" s="203"/>
      <c r="S724" s="203"/>
      <c r="T724" s="203"/>
      <c r="U724" s="203"/>
      <c r="V724" s="203"/>
      <c r="W724" s="203"/>
      <c r="X724" s="203"/>
      <c r="Y724" s="203"/>
      <c r="Z724" s="203"/>
    </row>
    <row r="725" spans="1:26" ht="12.75" x14ac:dyDescent="0.2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04"/>
      <c r="N725" s="204"/>
      <c r="O725" s="205"/>
      <c r="P725" s="205"/>
      <c r="Q725" s="205"/>
      <c r="R725" s="203"/>
      <c r="S725" s="203"/>
      <c r="T725" s="203"/>
      <c r="U725" s="203"/>
      <c r="V725" s="203"/>
      <c r="W725" s="203"/>
      <c r="X725" s="203"/>
      <c r="Y725" s="203"/>
      <c r="Z725" s="203"/>
    </row>
    <row r="726" spans="1:26" ht="12.75" x14ac:dyDescent="0.2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04"/>
      <c r="N726" s="204"/>
      <c r="O726" s="205"/>
      <c r="P726" s="205"/>
      <c r="Q726" s="205"/>
      <c r="R726" s="203"/>
      <c r="S726" s="203"/>
      <c r="T726" s="203"/>
      <c r="U726" s="203"/>
      <c r="V726" s="203"/>
      <c r="W726" s="203"/>
      <c r="X726" s="203"/>
      <c r="Y726" s="203"/>
      <c r="Z726" s="203"/>
    </row>
    <row r="727" spans="1:26" ht="12.75" x14ac:dyDescent="0.2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04"/>
      <c r="N727" s="204"/>
      <c r="O727" s="205"/>
      <c r="P727" s="205"/>
      <c r="Q727" s="205"/>
      <c r="R727" s="203"/>
      <c r="S727" s="203"/>
      <c r="T727" s="203"/>
      <c r="U727" s="203"/>
      <c r="V727" s="203"/>
      <c r="W727" s="203"/>
      <c r="X727" s="203"/>
      <c r="Y727" s="203"/>
      <c r="Z727" s="203"/>
    </row>
    <row r="728" spans="1:26" ht="12.75" x14ac:dyDescent="0.2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4"/>
      <c r="N728" s="204"/>
      <c r="O728" s="205"/>
      <c r="P728" s="205"/>
      <c r="Q728" s="205"/>
      <c r="R728" s="203"/>
      <c r="S728" s="203"/>
      <c r="T728" s="203"/>
      <c r="U728" s="203"/>
      <c r="V728" s="203"/>
      <c r="W728" s="203"/>
      <c r="X728" s="203"/>
      <c r="Y728" s="203"/>
      <c r="Z728" s="203"/>
    </row>
    <row r="729" spans="1:26" ht="12.75" x14ac:dyDescent="0.2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04"/>
      <c r="N729" s="204"/>
      <c r="O729" s="205"/>
      <c r="P729" s="205"/>
      <c r="Q729" s="205"/>
      <c r="R729" s="203"/>
      <c r="S729" s="203"/>
      <c r="T729" s="203"/>
      <c r="U729" s="203"/>
      <c r="V729" s="203"/>
      <c r="W729" s="203"/>
      <c r="X729" s="203"/>
      <c r="Y729" s="203"/>
      <c r="Z729" s="203"/>
    </row>
    <row r="730" spans="1:26" ht="12.75" x14ac:dyDescent="0.2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04"/>
      <c r="N730" s="204"/>
      <c r="O730" s="205"/>
      <c r="P730" s="205"/>
      <c r="Q730" s="205"/>
      <c r="R730" s="203"/>
      <c r="S730" s="203"/>
      <c r="T730" s="203"/>
      <c r="U730" s="203"/>
      <c r="V730" s="203"/>
      <c r="W730" s="203"/>
      <c r="X730" s="203"/>
      <c r="Y730" s="203"/>
      <c r="Z730" s="203"/>
    </row>
    <row r="731" spans="1:26" ht="12.75" x14ac:dyDescent="0.2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04"/>
      <c r="N731" s="204"/>
      <c r="O731" s="205"/>
      <c r="P731" s="205"/>
      <c r="Q731" s="205"/>
      <c r="R731" s="203"/>
      <c r="S731" s="203"/>
      <c r="T731" s="203"/>
      <c r="U731" s="203"/>
      <c r="V731" s="203"/>
      <c r="W731" s="203"/>
      <c r="X731" s="203"/>
      <c r="Y731" s="203"/>
      <c r="Z731" s="203"/>
    </row>
    <row r="732" spans="1:26" ht="12.75" x14ac:dyDescent="0.2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4"/>
      <c r="N732" s="204"/>
      <c r="O732" s="205"/>
      <c r="P732" s="205"/>
      <c r="Q732" s="205"/>
      <c r="R732" s="203"/>
      <c r="S732" s="203"/>
      <c r="T732" s="203"/>
      <c r="U732" s="203"/>
      <c r="V732" s="203"/>
      <c r="W732" s="203"/>
      <c r="X732" s="203"/>
      <c r="Y732" s="203"/>
      <c r="Z732" s="203"/>
    </row>
    <row r="733" spans="1:26" ht="12.75" x14ac:dyDescent="0.2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04"/>
      <c r="N733" s="204"/>
      <c r="O733" s="205"/>
      <c r="P733" s="205"/>
      <c r="Q733" s="205"/>
      <c r="R733" s="203"/>
      <c r="S733" s="203"/>
      <c r="T733" s="203"/>
      <c r="U733" s="203"/>
      <c r="V733" s="203"/>
      <c r="W733" s="203"/>
      <c r="X733" s="203"/>
      <c r="Y733" s="203"/>
      <c r="Z733" s="203"/>
    </row>
    <row r="734" spans="1:26" ht="12.75" x14ac:dyDescent="0.2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04"/>
      <c r="N734" s="204"/>
      <c r="O734" s="205"/>
      <c r="P734" s="205"/>
      <c r="Q734" s="205"/>
      <c r="R734" s="203"/>
      <c r="S734" s="203"/>
      <c r="T734" s="203"/>
      <c r="U734" s="203"/>
      <c r="V734" s="203"/>
      <c r="W734" s="203"/>
      <c r="X734" s="203"/>
      <c r="Y734" s="203"/>
      <c r="Z734" s="203"/>
    </row>
    <row r="735" spans="1:26" ht="12.75" x14ac:dyDescent="0.2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04"/>
      <c r="N735" s="204"/>
      <c r="O735" s="205"/>
      <c r="P735" s="205"/>
      <c r="Q735" s="205"/>
      <c r="R735" s="203"/>
      <c r="S735" s="203"/>
      <c r="T735" s="203"/>
      <c r="U735" s="203"/>
      <c r="V735" s="203"/>
      <c r="W735" s="203"/>
      <c r="X735" s="203"/>
      <c r="Y735" s="203"/>
      <c r="Z735" s="203"/>
    </row>
    <row r="736" spans="1:26" ht="12.75" x14ac:dyDescent="0.2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04"/>
      <c r="N736" s="204"/>
      <c r="O736" s="205"/>
      <c r="P736" s="205"/>
      <c r="Q736" s="205"/>
      <c r="R736" s="203"/>
      <c r="S736" s="203"/>
      <c r="T736" s="203"/>
      <c r="U736" s="203"/>
      <c r="V736" s="203"/>
      <c r="W736" s="203"/>
      <c r="X736" s="203"/>
      <c r="Y736" s="203"/>
      <c r="Z736" s="203"/>
    </row>
    <row r="737" spans="1:26" ht="12.75" x14ac:dyDescent="0.2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04"/>
      <c r="N737" s="204"/>
      <c r="O737" s="205"/>
      <c r="P737" s="205"/>
      <c r="Q737" s="205"/>
      <c r="R737" s="203"/>
      <c r="S737" s="203"/>
      <c r="T737" s="203"/>
      <c r="U737" s="203"/>
      <c r="V737" s="203"/>
      <c r="W737" s="203"/>
      <c r="X737" s="203"/>
      <c r="Y737" s="203"/>
      <c r="Z737" s="203"/>
    </row>
    <row r="738" spans="1:26" ht="12.75" x14ac:dyDescent="0.2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04"/>
      <c r="N738" s="204"/>
      <c r="O738" s="205"/>
      <c r="P738" s="205"/>
      <c r="Q738" s="205"/>
      <c r="R738" s="203"/>
      <c r="S738" s="203"/>
      <c r="T738" s="203"/>
      <c r="U738" s="203"/>
      <c r="V738" s="203"/>
      <c r="W738" s="203"/>
      <c r="X738" s="203"/>
      <c r="Y738" s="203"/>
      <c r="Z738" s="203"/>
    </row>
    <row r="739" spans="1:26" ht="12.75" x14ac:dyDescent="0.2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04"/>
      <c r="N739" s="204"/>
      <c r="O739" s="205"/>
      <c r="P739" s="205"/>
      <c r="Q739" s="205"/>
      <c r="R739" s="203"/>
      <c r="S739" s="203"/>
      <c r="T739" s="203"/>
      <c r="U739" s="203"/>
      <c r="V739" s="203"/>
      <c r="W739" s="203"/>
      <c r="X739" s="203"/>
      <c r="Y739" s="203"/>
      <c r="Z739" s="203"/>
    </row>
    <row r="740" spans="1:26" ht="12.75" x14ac:dyDescent="0.2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04"/>
      <c r="N740" s="204"/>
      <c r="O740" s="205"/>
      <c r="P740" s="205"/>
      <c r="Q740" s="205"/>
      <c r="R740" s="203"/>
      <c r="S740" s="203"/>
      <c r="T740" s="203"/>
      <c r="U740" s="203"/>
      <c r="V740" s="203"/>
      <c r="W740" s="203"/>
      <c r="X740" s="203"/>
      <c r="Y740" s="203"/>
      <c r="Z740" s="203"/>
    </row>
    <row r="741" spans="1:26" ht="12.75" x14ac:dyDescent="0.2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04"/>
      <c r="N741" s="204"/>
      <c r="O741" s="205"/>
      <c r="P741" s="205"/>
      <c r="Q741" s="205"/>
      <c r="R741" s="203"/>
      <c r="S741" s="203"/>
      <c r="T741" s="203"/>
      <c r="U741" s="203"/>
      <c r="V741" s="203"/>
      <c r="W741" s="203"/>
      <c r="X741" s="203"/>
      <c r="Y741" s="203"/>
      <c r="Z741" s="203"/>
    </row>
    <row r="742" spans="1:26" ht="12.75" x14ac:dyDescent="0.2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04"/>
      <c r="N742" s="204"/>
      <c r="O742" s="205"/>
      <c r="P742" s="205"/>
      <c r="Q742" s="205"/>
      <c r="R742" s="203"/>
      <c r="S742" s="203"/>
      <c r="T742" s="203"/>
      <c r="U742" s="203"/>
      <c r="V742" s="203"/>
      <c r="W742" s="203"/>
      <c r="X742" s="203"/>
      <c r="Y742" s="203"/>
      <c r="Z742" s="203"/>
    </row>
    <row r="743" spans="1:26" ht="12.75" x14ac:dyDescent="0.2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04"/>
      <c r="N743" s="204"/>
      <c r="O743" s="205"/>
      <c r="P743" s="205"/>
      <c r="Q743" s="205"/>
      <c r="R743" s="203"/>
      <c r="S743" s="203"/>
      <c r="T743" s="203"/>
      <c r="U743" s="203"/>
      <c r="V743" s="203"/>
      <c r="W743" s="203"/>
      <c r="X743" s="203"/>
      <c r="Y743" s="203"/>
      <c r="Z743" s="203"/>
    </row>
    <row r="744" spans="1:26" ht="12.75" x14ac:dyDescent="0.2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04"/>
      <c r="N744" s="204"/>
      <c r="O744" s="205"/>
      <c r="P744" s="205"/>
      <c r="Q744" s="205"/>
      <c r="R744" s="203"/>
      <c r="S744" s="203"/>
      <c r="T744" s="203"/>
      <c r="U744" s="203"/>
      <c r="V744" s="203"/>
      <c r="W744" s="203"/>
      <c r="X744" s="203"/>
      <c r="Y744" s="203"/>
      <c r="Z744" s="203"/>
    </row>
    <row r="745" spans="1:26" ht="12.75" x14ac:dyDescent="0.2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4"/>
      <c r="N745" s="204"/>
      <c r="O745" s="205"/>
      <c r="P745" s="205"/>
      <c r="Q745" s="205"/>
      <c r="R745" s="203"/>
      <c r="S745" s="203"/>
      <c r="T745" s="203"/>
      <c r="U745" s="203"/>
      <c r="V745" s="203"/>
      <c r="W745" s="203"/>
      <c r="X745" s="203"/>
      <c r="Y745" s="203"/>
      <c r="Z745" s="203"/>
    </row>
    <row r="746" spans="1:26" ht="12.75" x14ac:dyDescent="0.2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04"/>
      <c r="N746" s="204"/>
      <c r="O746" s="205"/>
      <c r="P746" s="205"/>
      <c r="Q746" s="205"/>
      <c r="R746" s="203"/>
      <c r="S746" s="203"/>
      <c r="T746" s="203"/>
      <c r="U746" s="203"/>
      <c r="V746" s="203"/>
      <c r="W746" s="203"/>
      <c r="X746" s="203"/>
      <c r="Y746" s="203"/>
      <c r="Z746" s="203"/>
    </row>
    <row r="747" spans="1:26" ht="12.75" x14ac:dyDescent="0.2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04"/>
      <c r="N747" s="204"/>
      <c r="O747" s="205"/>
      <c r="P747" s="205"/>
      <c r="Q747" s="205"/>
      <c r="R747" s="203"/>
      <c r="S747" s="203"/>
      <c r="T747" s="203"/>
      <c r="U747" s="203"/>
      <c r="V747" s="203"/>
      <c r="W747" s="203"/>
      <c r="X747" s="203"/>
      <c r="Y747" s="203"/>
      <c r="Z747" s="203"/>
    </row>
    <row r="748" spans="1:26" ht="12.75" x14ac:dyDescent="0.2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04"/>
      <c r="N748" s="204"/>
      <c r="O748" s="205"/>
      <c r="P748" s="205"/>
      <c r="Q748" s="205"/>
      <c r="R748" s="203"/>
      <c r="S748" s="203"/>
      <c r="T748" s="203"/>
      <c r="U748" s="203"/>
      <c r="V748" s="203"/>
      <c r="W748" s="203"/>
      <c r="X748" s="203"/>
      <c r="Y748" s="203"/>
      <c r="Z748" s="203"/>
    </row>
    <row r="749" spans="1:26" ht="12.75" x14ac:dyDescent="0.2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04"/>
      <c r="N749" s="204"/>
      <c r="O749" s="205"/>
      <c r="P749" s="205"/>
      <c r="Q749" s="205"/>
      <c r="R749" s="203"/>
      <c r="S749" s="203"/>
      <c r="T749" s="203"/>
      <c r="U749" s="203"/>
      <c r="V749" s="203"/>
      <c r="W749" s="203"/>
      <c r="X749" s="203"/>
      <c r="Y749" s="203"/>
      <c r="Z749" s="203"/>
    </row>
    <row r="750" spans="1:26" ht="12.75" x14ac:dyDescent="0.2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04"/>
      <c r="N750" s="204"/>
      <c r="O750" s="205"/>
      <c r="P750" s="205"/>
      <c r="Q750" s="205"/>
      <c r="R750" s="203"/>
      <c r="S750" s="203"/>
      <c r="T750" s="203"/>
      <c r="U750" s="203"/>
      <c r="V750" s="203"/>
      <c r="W750" s="203"/>
      <c r="X750" s="203"/>
      <c r="Y750" s="203"/>
      <c r="Z750" s="203"/>
    </row>
    <row r="751" spans="1:26" ht="12.75" x14ac:dyDescent="0.2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4"/>
      <c r="N751" s="204"/>
      <c r="O751" s="205"/>
      <c r="P751" s="205"/>
      <c r="Q751" s="205"/>
      <c r="R751" s="203"/>
      <c r="S751" s="203"/>
      <c r="T751" s="203"/>
      <c r="U751" s="203"/>
      <c r="V751" s="203"/>
      <c r="W751" s="203"/>
      <c r="X751" s="203"/>
      <c r="Y751" s="203"/>
      <c r="Z751" s="203"/>
    </row>
    <row r="752" spans="1:26" ht="12.75" x14ac:dyDescent="0.2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04"/>
      <c r="N752" s="204"/>
      <c r="O752" s="205"/>
      <c r="P752" s="205"/>
      <c r="Q752" s="205"/>
      <c r="R752" s="203"/>
      <c r="S752" s="203"/>
      <c r="T752" s="203"/>
      <c r="U752" s="203"/>
      <c r="V752" s="203"/>
      <c r="W752" s="203"/>
      <c r="X752" s="203"/>
      <c r="Y752" s="203"/>
      <c r="Z752" s="203"/>
    </row>
    <row r="753" spans="1:26" ht="12.75" x14ac:dyDescent="0.2">
      <c r="A753" s="203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04"/>
      <c r="N753" s="204"/>
      <c r="O753" s="205"/>
      <c r="P753" s="205"/>
      <c r="Q753" s="205"/>
      <c r="R753" s="203"/>
      <c r="S753" s="203"/>
      <c r="T753" s="203"/>
      <c r="U753" s="203"/>
      <c r="V753" s="203"/>
      <c r="W753" s="203"/>
      <c r="X753" s="203"/>
      <c r="Y753" s="203"/>
      <c r="Z753" s="203"/>
    </row>
    <row r="754" spans="1:26" ht="12.75" x14ac:dyDescent="0.2">
      <c r="A754" s="203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203"/>
      <c r="M754" s="204"/>
      <c r="N754" s="204"/>
      <c r="O754" s="205"/>
      <c r="P754" s="205"/>
      <c r="Q754" s="205"/>
      <c r="R754" s="203"/>
      <c r="S754" s="203"/>
      <c r="T754" s="203"/>
      <c r="U754" s="203"/>
      <c r="V754" s="203"/>
      <c r="W754" s="203"/>
      <c r="X754" s="203"/>
      <c r="Y754" s="203"/>
      <c r="Z754" s="203"/>
    </row>
    <row r="755" spans="1:26" ht="12.75" x14ac:dyDescent="0.2">
      <c r="A755" s="203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203"/>
      <c r="M755" s="204"/>
      <c r="N755" s="204"/>
      <c r="O755" s="205"/>
      <c r="P755" s="205"/>
      <c r="Q755" s="205"/>
      <c r="R755" s="203"/>
      <c r="S755" s="203"/>
      <c r="T755" s="203"/>
      <c r="U755" s="203"/>
      <c r="V755" s="203"/>
      <c r="W755" s="203"/>
      <c r="X755" s="203"/>
      <c r="Y755" s="203"/>
      <c r="Z755" s="203"/>
    </row>
    <row r="756" spans="1:26" ht="12.75" x14ac:dyDescent="0.2">
      <c r="A756" s="203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203"/>
      <c r="M756" s="204"/>
      <c r="N756" s="204"/>
      <c r="O756" s="205"/>
      <c r="P756" s="205"/>
      <c r="Q756" s="205"/>
      <c r="R756" s="203"/>
      <c r="S756" s="203"/>
      <c r="T756" s="203"/>
      <c r="U756" s="203"/>
      <c r="V756" s="203"/>
      <c r="W756" s="203"/>
      <c r="X756" s="203"/>
      <c r="Y756" s="203"/>
      <c r="Z756" s="203"/>
    </row>
    <row r="757" spans="1:26" ht="12.75" x14ac:dyDescent="0.2">
      <c r="A757" s="203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203"/>
      <c r="M757" s="204"/>
      <c r="N757" s="204"/>
      <c r="O757" s="205"/>
      <c r="P757" s="205"/>
      <c r="Q757" s="205"/>
      <c r="R757" s="203"/>
      <c r="S757" s="203"/>
      <c r="T757" s="203"/>
      <c r="U757" s="203"/>
      <c r="V757" s="203"/>
      <c r="W757" s="203"/>
      <c r="X757" s="203"/>
      <c r="Y757" s="203"/>
      <c r="Z757" s="203"/>
    </row>
    <row r="758" spans="1:26" ht="12.75" x14ac:dyDescent="0.2">
      <c r="A758" s="203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203"/>
      <c r="M758" s="204"/>
      <c r="N758" s="204"/>
      <c r="O758" s="205"/>
      <c r="P758" s="205"/>
      <c r="Q758" s="205"/>
      <c r="R758" s="203"/>
      <c r="S758" s="203"/>
      <c r="T758" s="203"/>
      <c r="U758" s="203"/>
      <c r="V758" s="203"/>
      <c r="W758" s="203"/>
      <c r="X758" s="203"/>
      <c r="Y758" s="203"/>
      <c r="Z758" s="203"/>
    </row>
    <row r="759" spans="1:26" ht="12.75" x14ac:dyDescent="0.2">
      <c r="A759" s="203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203"/>
      <c r="M759" s="204"/>
      <c r="N759" s="204"/>
      <c r="O759" s="205"/>
      <c r="P759" s="205"/>
      <c r="Q759" s="205"/>
      <c r="R759" s="203"/>
      <c r="S759" s="203"/>
      <c r="T759" s="203"/>
      <c r="U759" s="203"/>
      <c r="V759" s="203"/>
      <c r="W759" s="203"/>
      <c r="X759" s="203"/>
      <c r="Y759" s="203"/>
      <c r="Z759" s="203"/>
    </row>
    <row r="760" spans="1:26" ht="12.75" x14ac:dyDescent="0.2">
      <c r="A760" s="203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203"/>
      <c r="M760" s="204"/>
      <c r="N760" s="204"/>
      <c r="O760" s="205"/>
      <c r="P760" s="205"/>
      <c r="Q760" s="205"/>
      <c r="R760" s="203"/>
      <c r="S760" s="203"/>
      <c r="T760" s="203"/>
      <c r="U760" s="203"/>
      <c r="V760" s="203"/>
      <c r="W760" s="203"/>
      <c r="X760" s="203"/>
      <c r="Y760" s="203"/>
      <c r="Z760" s="203"/>
    </row>
    <row r="761" spans="1:26" ht="12.75" x14ac:dyDescent="0.2">
      <c r="A761" s="203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203"/>
      <c r="M761" s="204"/>
      <c r="N761" s="204"/>
      <c r="O761" s="205"/>
      <c r="P761" s="205"/>
      <c r="Q761" s="205"/>
      <c r="R761" s="203"/>
      <c r="S761" s="203"/>
      <c r="T761" s="203"/>
      <c r="U761" s="203"/>
      <c r="V761" s="203"/>
      <c r="W761" s="203"/>
      <c r="X761" s="203"/>
      <c r="Y761" s="203"/>
      <c r="Z761" s="203"/>
    </row>
    <row r="762" spans="1:26" ht="12.75" x14ac:dyDescent="0.2">
      <c r="A762" s="203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203"/>
      <c r="M762" s="204"/>
      <c r="N762" s="204"/>
      <c r="O762" s="205"/>
      <c r="P762" s="205"/>
      <c r="Q762" s="205"/>
      <c r="R762" s="203"/>
      <c r="S762" s="203"/>
      <c r="T762" s="203"/>
      <c r="U762" s="203"/>
      <c r="V762" s="203"/>
      <c r="W762" s="203"/>
      <c r="X762" s="203"/>
      <c r="Y762" s="203"/>
      <c r="Z762" s="203"/>
    </row>
    <row r="763" spans="1:26" ht="12.75" x14ac:dyDescent="0.2">
      <c r="A763" s="203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203"/>
      <c r="M763" s="204"/>
      <c r="N763" s="204"/>
      <c r="O763" s="205"/>
      <c r="P763" s="205"/>
      <c r="Q763" s="205"/>
      <c r="R763" s="203"/>
      <c r="S763" s="203"/>
      <c r="T763" s="203"/>
      <c r="U763" s="203"/>
      <c r="V763" s="203"/>
      <c r="W763" s="203"/>
      <c r="X763" s="203"/>
      <c r="Y763" s="203"/>
      <c r="Z763" s="203"/>
    </row>
    <row r="764" spans="1:26" ht="12.75" x14ac:dyDescent="0.2">
      <c r="A764" s="203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203"/>
      <c r="M764" s="204"/>
      <c r="N764" s="204"/>
      <c r="O764" s="205"/>
      <c r="P764" s="205"/>
      <c r="Q764" s="205"/>
      <c r="R764" s="203"/>
      <c r="S764" s="203"/>
      <c r="T764" s="203"/>
      <c r="U764" s="203"/>
      <c r="V764" s="203"/>
      <c r="W764" s="203"/>
      <c r="X764" s="203"/>
      <c r="Y764" s="203"/>
      <c r="Z764" s="203"/>
    </row>
    <row r="765" spans="1:26" ht="12.75" x14ac:dyDescent="0.2">
      <c r="A765" s="203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203"/>
      <c r="M765" s="204"/>
      <c r="N765" s="204"/>
      <c r="O765" s="205"/>
      <c r="P765" s="205"/>
      <c r="Q765" s="205"/>
      <c r="R765" s="203"/>
      <c r="S765" s="203"/>
      <c r="T765" s="203"/>
      <c r="U765" s="203"/>
      <c r="V765" s="203"/>
      <c r="W765" s="203"/>
      <c r="X765" s="203"/>
      <c r="Y765" s="203"/>
      <c r="Z765" s="203"/>
    </row>
    <row r="766" spans="1:26" ht="12.75" x14ac:dyDescent="0.2">
      <c r="A766" s="203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203"/>
      <c r="M766" s="204"/>
      <c r="N766" s="204"/>
      <c r="O766" s="205"/>
      <c r="P766" s="205"/>
      <c r="Q766" s="205"/>
      <c r="R766" s="203"/>
      <c r="S766" s="203"/>
      <c r="T766" s="203"/>
      <c r="U766" s="203"/>
      <c r="V766" s="203"/>
      <c r="W766" s="203"/>
      <c r="X766" s="203"/>
      <c r="Y766" s="203"/>
      <c r="Z766" s="203"/>
    </row>
    <row r="767" spans="1:26" ht="12.75" x14ac:dyDescent="0.2">
      <c r="A767" s="203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203"/>
      <c r="M767" s="204"/>
      <c r="N767" s="204"/>
      <c r="O767" s="205"/>
      <c r="P767" s="205"/>
      <c r="Q767" s="205"/>
      <c r="R767" s="203"/>
      <c r="S767" s="203"/>
      <c r="T767" s="203"/>
      <c r="U767" s="203"/>
      <c r="V767" s="203"/>
      <c r="W767" s="203"/>
      <c r="X767" s="203"/>
      <c r="Y767" s="203"/>
      <c r="Z767" s="203"/>
    </row>
    <row r="768" spans="1:26" ht="12.75" x14ac:dyDescent="0.2">
      <c r="A768" s="203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203"/>
      <c r="M768" s="204"/>
      <c r="N768" s="204"/>
      <c r="O768" s="205"/>
      <c r="P768" s="205"/>
      <c r="Q768" s="205"/>
      <c r="R768" s="203"/>
      <c r="S768" s="203"/>
      <c r="T768" s="203"/>
      <c r="U768" s="203"/>
      <c r="V768" s="203"/>
      <c r="W768" s="203"/>
      <c r="X768" s="203"/>
      <c r="Y768" s="203"/>
      <c r="Z768" s="203"/>
    </row>
    <row r="769" spans="1:26" ht="12.75" x14ac:dyDescent="0.2">
      <c r="A769" s="203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203"/>
      <c r="M769" s="204"/>
      <c r="N769" s="204"/>
      <c r="O769" s="205"/>
      <c r="P769" s="205"/>
      <c r="Q769" s="205"/>
      <c r="R769" s="203"/>
      <c r="S769" s="203"/>
      <c r="T769" s="203"/>
      <c r="U769" s="203"/>
      <c r="V769" s="203"/>
      <c r="W769" s="203"/>
      <c r="X769" s="203"/>
      <c r="Y769" s="203"/>
      <c r="Z769" s="203"/>
    </row>
    <row r="770" spans="1:26" ht="12.75" x14ac:dyDescent="0.2">
      <c r="A770" s="203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203"/>
      <c r="M770" s="204"/>
      <c r="N770" s="204"/>
      <c r="O770" s="205"/>
      <c r="P770" s="205"/>
      <c r="Q770" s="205"/>
      <c r="R770" s="203"/>
      <c r="S770" s="203"/>
      <c r="T770" s="203"/>
      <c r="U770" s="203"/>
      <c r="V770" s="203"/>
      <c r="W770" s="203"/>
      <c r="X770" s="203"/>
      <c r="Y770" s="203"/>
      <c r="Z770" s="203"/>
    </row>
    <row r="771" spans="1:26" ht="12.75" x14ac:dyDescent="0.2">
      <c r="A771" s="203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203"/>
      <c r="M771" s="204"/>
      <c r="N771" s="204"/>
      <c r="O771" s="205"/>
      <c r="P771" s="205"/>
      <c r="Q771" s="205"/>
      <c r="R771" s="203"/>
      <c r="S771" s="203"/>
      <c r="T771" s="203"/>
      <c r="U771" s="203"/>
      <c r="V771" s="203"/>
      <c r="W771" s="203"/>
      <c r="X771" s="203"/>
      <c r="Y771" s="203"/>
      <c r="Z771" s="203"/>
    </row>
    <row r="772" spans="1:26" ht="12.75" x14ac:dyDescent="0.2">
      <c r="A772" s="203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203"/>
      <c r="M772" s="204"/>
      <c r="N772" s="204"/>
      <c r="O772" s="205"/>
      <c r="P772" s="205"/>
      <c r="Q772" s="205"/>
      <c r="R772" s="203"/>
      <c r="S772" s="203"/>
      <c r="T772" s="203"/>
      <c r="U772" s="203"/>
      <c r="V772" s="203"/>
      <c r="W772" s="203"/>
      <c r="X772" s="203"/>
      <c r="Y772" s="203"/>
      <c r="Z772" s="203"/>
    </row>
    <row r="773" spans="1:26" ht="12.75" x14ac:dyDescent="0.2">
      <c r="A773" s="203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04"/>
      <c r="N773" s="204"/>
      <c r="O773" s="205"/>
      <c r="P773" s="205"/>
      <c r="Q773" s="205"/>
      <c r="R773" s="203"/>
      <c r="S773" s="203"/>
      <c r="T773" s="203"/>
      <c r="U773" s="203"/>
      <c r="V773" s="203"/>
      <c r="W773" s="203"/>
      <c r="X773" s="203"/>
      <c r="Y773" s="203"/>
      <c r="Z773" s="203"/>
    </row>
    <row r="774" spans="1:26" ht="12.75" x14ac:dyDescent="0.2">
      <c r="A774" s="203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203"/>
      <c r="M774" s="204"/>
      <c r="N774" s="204"/>
      <c r="O774" s="205"/>
      <c r="P774" s="205"/>
      <c r="Q774" s="205"/>
      <c r="R774" s="203"/>
      <c r="S774" s="203"/>
      <c r="T774" s="203"/>
      <c r="U774" s="203"/>
      <c r="V774" s="203"/>
      <c r="W774" s="203"/>
      <c r="X774" s="203"/>
      <c r="Y774" s="203"/>
      <c r="Z774" s="203"/>
    </row>
    <row r="775" spans="1:26" ht="12.75" x14ac:dyDescent="0.2">
      <c r="A775" s="203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203"/>
      <c r="M775" s="204"/>
      <c r="N775" s="204"/>
      <c r="O775" s="205"/>
      <c r="P775" s="205"/>
      <c r="Q775" s="205"/>
      <c r="R775" s="203"/>
      <c r="S775" s="203"/>
      <c r="T775" s="203"/>
      <c r="U775" s="203"/>
      <c r="V775" s="203"/>
      <c r="W775" s="203"/>
      <c r="X775" s="203"/>
      <c r="Y775" s="203"/>
      <c r="Z775" s="203"/>
    </row>
    <row r="776" spans="1:26" ht="12.75" x14ac:dyDescent="0.2">
      <c r="A776" s="203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  <c r="M776" s="204"/>
      <c r="N776" s="204"/>
      <c r="O776" s="205"/>
      <c r="P776" s="205"/>
      <c r="Q776" s="205"/>
      <c r="R776" s="203"/>
      <c r="S776" s="203"/>
      <c r="T776" s="203"/>
      <c r="U776" s="203"/>
      <c r="V776" s="203"/>
      <c r="W776" s="203"/>
      <c r="X776" s="203"/>
      <c r="Y776" s="203"/>
      <c r="Z776" s="203"/>
    </row>
    <row r="777" spans="1:26" ht="12.75" x14ac:dyDescent="0.2">
      <c r="A777" s="203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203"/>
      <c r="M777" s="204"/>
      <c r="N777" s="204"/>
      <c r="O777" s="205"/>
      <c r="P777" s="205"/>
      <c r="Q777" s="205"/>
      <c r="R777" s="203"/>
      <c r="S777" s="203"/>
      <c r="T777" s="203"/>
      <c r="U777" s="203"/>
      <c r="V777" s="203"/>
      <c r="W777" s="203"/>
      <c r="X777" s="203"/>
      <c r="Y777" s="203"/>
      <c r="Z777" s="203"/>
    </row>
    <row r="778" spans="1:26" ht="12.75" x14ac:dyDescent="0.2">
      <c r="A778" s="203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203"/>
      <c r="M778" s="204"/>
      <c r="N778" s="204"/>
      <c r="O778" s="205"/>
      <c r="P778" s="205"/>
      <c r="Q778" s="205"/>
      <c r="R778" s="203"/>
      <c r="S778" s="203"/>
      <c r="T778" s="203"/>
      <c r="U778" s="203"/>
      <c r="V778" s="203"/>
      <c r="W778" s="203"/>
      <c r="X778" s="203"/>
      <c r="Y778" s="203"/>
      <c r="Z778" s="203"/>
    </row>
    <row r="779" spans="1:26" ht="12.75" x14ac:dyDescent="0.2">
      <c r="A779" s="203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04"/>
      <c r="N779" s="204"/>
      <c r="O779" s="205"/>
      <c r="P779" s="205"/>
      <c r="Q779" s="205"/>
      <c r="R779" s="203"/>
      <c r="S779" s="203"/>
      <c r="T779" s="203"/>
      <c r="U779" s="203"/>
      <c r="V779" s="203"/>
      <c r="W779" s="203"/>
      <c r="X779" s="203"/>
      <c r="Y779" s="203"/>
      <c r="Z779" s="203"/>
    </row>
    <row r="780" spans="1:26" ht="12.75" x14ac:dyDescent="0.2">
      <c r="A780" s="203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203"/>
      <c r="M780" s="204"/>
      <c r="N780" s="204"/>
      <c r="O780" s="205"/>
      <c r="P780" s="205"/>
      <c r="Q780" s="205"/>
      <c r="R780" s="203"/>
      <c r="S780" s="203"/>
      <c r="T780" s="203"/>
      <c r="U780" s="203"/>
      <c r="V780" s="203"/>
      <c r="W780" s="203"/>
      <c r="X780" s="203"/>
      <c r="Y780" s="203"/>
      <c r="Z780" s="203"/>
    </row>
    <row r="781" spans="1:26" ht="12.75" x14ac:dyDescent="0.2">
      <c r="A781" s="203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203"/>
      <c r="M781" s="204"/>
      <c r="N781" s="204"/>
      <c r="O781" s="205"/>
      <c r="P781" s="205"/>
      <c r="Q781" s="205"/>
      <c r="R781" s="203"/>
      <c r="S781" s="203"/>
      <c r="T781" s="203"/>
      <c r="U781" s="203"/>
      <c r="V781" s="203"/>
      <c r="W781" s="203"/>
      <c r="X781" s="203"/>
      <c r="Y781" s="203"/>
      <c r="Z781" s="203"/>
    </row>
    <row r="782" spans="1:26" ht="12.75" x14ac:dyDescent="0.2">
      <c r="A782" s="203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203"/>
      <c r="M782" s="204"/>
      <c r="N782" s="204"/>
      <c r="O782" s="205"/>
      <c r="P782" s="205"/>
      <c r="Q782" s="205"/>
      <c r="R782" s="203"/>
      <c r="S782" s="203"/>
      <c r="T782" s="203"/>
      <c r="U782" s="203"/>
      <c r="V782" s="203"/>
      <c r="W782" s="203"/>
      <c r="X782" s="203"/>
      <c r="Y782" s="203"/>
      <c r="Z782" s="203"/>
    </row>
    <row r="783" spans="1:26" ht="12.75" x14ac:dyDescent="0.2">
      <c r="A783" s="203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203"/>
      <c r="M783" s="204"/>
      <c r="N783" s="204"/>
      <c r="O783" s="205"/>
      <c r="P783" s="205"/>
      <c r="Q783" s="205"/>
      <c r="R783" s="203"/>
      <c r="S783" s="203"/>
      <c r="T783" s="203"/>
      <c r="U783" s="203"/>
      <c r="V783" s="203"/>
      <c r="W783" s="203"/>
      <c r="X783" s="203"/>
      <c r="Y783" s="203"/>
      <c r="Z783" s="203"/>
    </row>
    <row r="784" spans="1:26" ht="12.75" x14ac:dyDescent="0.2">
      <c r="A784" s="203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203"/>
      <c r="M784" s="204"/>
      <c r="N784" s="204"/>
      <c r="O784" s="205"/>
      <c r="P784" s="205"/>
      <c r="Q784" s="205"/>
      <c r="R784" s="203"/>
      <c r="S784" s="203"/>
      <c r="T784" s="203"/>
      <c r="U784" s="203"/>
      <c r="V784" s="203"/>
      <c r="W784" s="203"/>
      <c r="X784" s="203"/>
      <c r="Y784" s="203"/>
      <c r="Z784" s="203"/>
    </row>
    <row r="785" spans="1:26" ht="12.75" x14ac:dyDescent="0.2">
      <c r="A785" s="203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203"/>
      <c r="M785" s="204"/>
      <c r="N785" s="204"/>
      <c r="O785" s="205"/>
      <c r="P785" s="205"/>
      <c r="Q785" s="205"/>
      <c r="R785" s="203"/>
      <c r="S785" s="203"/>
      <c r="T785" s="203"/>
      <c r="U785" s="203"/>
      <c r="V785" s="203"/>
      <c r="W785" s="203"/>
      <c r="X785" s="203"/>
      <c r="Y785" s="203"/>
      <c r="Z785" s="203"/>
    </row>
    <row r="786" spans="1:26" ht="12.75" x14ac:dyDescent="0.2">
      <c r="A786" s="203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203"/>
      <c r="M786" s="204"/>
      <c r="N786" s="204"/>
      <c r="O786" s="205"/>
      <c r="P786" s="205"/>
      <c r="Q786" s="205"/>
      <c r="R786" s="203"/>
      <c r="S786" s="203"/>
      <c r="T786" s="203"/>
      <c r="U786" s="203"/>
      <c r="V786" s="203"/>
      <c r="W786" s="203"/>
      <c r="X786" s="203"/>
      <c r="Y786" s="203"/>
      <c r="Z786" s="203"/>
    </row>
    <row r="787" spans="1:26" ht="12.75" x14ac:dyDescent="0.2">
      <c r="A787" s="203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203"/>
      <c r="M787" s="204"/>
      <c r="N787" s="204"/>
      <c r="O787" s="205"/>
      <c r="P787" s="205"/>
      <c r="Q787" s="205"/>
      <c r="R787" s="203"/>
      <c r="S787" s="203"/>
      <c r="T787" s="203"/>
      <c r="U787" s="203"/>
      <c r="V787" s="203"/>
      <c r="W787" s="203"/>
      <c r="X787" s="203"/>
      <c r="Y787" s="203"/>
      <c r="Z787" s="203"/>
    </row>
    <row r="788" spans="1:26" ht="12.75" x14ac:dyDescent="0.2">
      <c r="A788" s="203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203"/>
      <c r="M788" s="204"/>
      <c r="N788" s="204"/>
      <c r="O788" s="205"/>
      <c r="P788" s="205"/>
      <c r="Q788" s="205"/>
      <c r="R788" s="203"/>
      <c r="S788" s="203"/>
      <c r="T788" s="203"/>
      <c r="U788" s="203"/>
      <c r="V788" s="203"/>
      <c r="W788" s="203"/>
      <c r="X788" s="203"/>
      <c r="Y788" s="203"/>
      <c r="Z788" s="203"/>
    </row>
    <row r="789" spans="1:26" ht="12.75" x14ac:dyDescent="0.2">
      <c r="A789" s="203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203"/>
      <c r="M789" s="204"/>
      <c r="N789" s="204"/>
      <c r="O789" s="205"/>
      <c r="P789" s="205"/>
      <c r="Q789" s="205"/>
      <c r="R789" s="203"/>
      <c r="S789" s="203"/>
      <c r="T789" s="203"/>
      <c r="U789" s="203"/>
      <c r="V789" s="203"/>
      <c r="W789" s="203"/>
      <c r="X789" s="203"/>
      <c r="Y789" s="203"/>
      <c r="Z789" s="203"/>
    </row>
    <row r="790" spans="1:26" ht="12.75" x14ac:dyDescent="0.2">
      <c r="A790" s="203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203"/>
      <c r="M790" s="204"/>
      <c r="N790" s="204"/>
      <c r="O790" s="205"/>
      <c r="P790" s="205"/>
      <c r="Q790" s="205"/>
      <c r="R790" s="203"/>
      <c r="S790" s="203"/>
      <c r="T790" s="203"/>
      <c r="U790" s="203"/>
      <c r="V790" s="203"/>
      <c r="W790" s="203"/>
      <c r="X790" s="203"/>
      <c r="Y790" s="203"/>
      <c r="Z790" s="203"/>
    </row>
    <row r="791" spans="1:26" ht="12.75" x14ac:dyDescent="0.2">
      <c r="A791" s="203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04"/>
      <c r="N791" s="204"/>
      <c r="O791" s="205"/>
      <c r="P791" s="205"/>
      <c r="Q791" s="205"/>
      <c r="R791" s="203"/>
      <c r="S791" s="203"/>
      <c r="T791" s="203"/>
      <c r="U791" s="203"/>
      <c r="V791" s="203"/>
      <c r="W791" s="203"/>
      <c r="X791" s="203"/>
      <c r="Y791" s="203"/>
      <c r="Z791" s="203"/>
    </row>
    <row r="792" spans="1:26" ht="12.75" x14ac:dyDescent="0.2">
      <c r="A792" s="203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203"/>
      <c r="M792" s="204"/>
      <c r="N792" s="204"/>
      <c r="O792" s="205"/>
      <c r="P792" s="205"/>
      <c r="Q792" s="205"/>
      <c r="R792" s="203"/>
      <c r="S792" s="203"/>
      <c r="T792" s="203"/>
      <c r="U792" s="203"/>
      <c r="V792" s="203"/>
      <c r="W792" s="203"/>
      <c r="X792" s="203"/>
      <c r="Y792" s="203"/>
      <c r="Z792" s="203"/>
    </row>
    <row r="793" spans="1:26" ht="12.75" x14ac:dyDescent="0.2">
      <c r="A793" s="203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203"/>
      <c r="M793" s="204"/>
      <c r="N793" s="204"/>
      <c r="O793" s="205"/>
      <c r="P793" s="205"/>
      <c r="Q793" s="205"/>
      <c r="R793" s="203"/>
      <c r="S793" s="203"/>
      <c r="T793" s="203"/>
      <c r="U793" s="203"/>
      <c r="V793" s="203"/>
      <c r="W793" s="203"/>
      <c r="X793" s="203"/>
      <c r="Y793" s="203"/>
      <c r="Z793" s="203"/>
    </row>
    <row r="794" spans="1:26" ht="12.75" x14ac:dyDescent="0.2">
      <c r="A794" s="203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203"/>
      <c r="M794" s="204"/>
      <c r="N794" s="204"/>
      <c r="O794" s="205"/>
      <c r="P794" s="205"/>
      <c r="Q794" s="205"/>
      <c r="R794" s="203"/>
      <c r="S794" s="203"/>
      <c r="T794" s="203"/>
      <c r="U794" s="203"/>
      <c r="V794" s="203"/>
      <c r="W794" s="203"/>
      <c r="X794" s="203"/>
      <c r="Y794" s="203"/>
      <c r="Z794" s="203"/>
    </row>
    <row r="795" spans="1:26" ht="12.75" x14ac:dyDescent="0.2">
      <c r="A795" s="203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203"/>
      <c r="M795" s="204"/>
      <c r="N795" s="204"/>
      <c r="O795" s="205"/>
      <c r="P795" s="205"/>
      <c r="Q795" s="205"/>
      <c r="R795" s="203"/>
      <c r="S795" s="203"/>
      <c r="T795" s="203"/>
      <c r="U795" s="203"/>
      <c r="V795" s="203"/>
      <c r="W795" s="203"/>
      <c r="X795" s="203"/>
      <c r="Y795" s="203"/>
      <c r="Z795" s="203"/>
    </row>
    <row r="796" spans="1:26" ht="12.75" x14ac:dyDescent="0.2">
      <c r="A796" s="203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203"/>
      <c r="M796" s="204"/>
      <c r="N796" s="204"/>
      <c r="O796" s="205"/>
      <c r="P796" s="205"/>
      <c r="Q796" s="205"/>
      <c r="R796" s="203"/>
      <c r="S796" s="203"/>
      <c r="T796" s="203"/>
      <c r="U796" s="203"/>
      <c r="V796" s="203"/>
      <c r="W796" s="203"/>
      <c r="X796" s="203"/>
      <c r="Y796" s="203"/>
      <c r="Z796" s="203"/>
    </row>
    <row r="797" spans="1:26" ht="12.75" x14ac:dyDescent="0.2">
      <c r="A797" s="203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203"/>
      <c r="M797" s="204"/>
      <c r="N797" s="204"/>
      <c r="O797" s="205"/>
      <c r="P797" s="205"/>
      <c r="Q797" s="205"/>
      <c r="R797" s="203"/>
      <c r="S797" s="203"/>
      <c r="T797" s="203"/>
      <c r="U797" s="203"/>
      <c r="V797" s="203"/>
      <c r="W797" s="203"/>
      <c r="X797" s="203"/>
      <c r="Y797" s="203"/>
      <c r="Z797" s="203"/>
    </row>
    <row r="798" spans="1:26" ht="12.75" x14ac:dyDescent="0.2">
      <c r="A798" s="203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04"/>
      <c r="N798" s="204"/>
      <c r="O798" s="205"/>
      <c r="P798" s="205"/>
      <c r="Q798" s="205"/>
      <c r="R798" s="203"/>
      <c r="S798" s="203"/>
      <c r="T798" s="203"/>
      <c r="U798" s="203"/>
      <c r="V798" s="203"/>
      <c r="W798" s="203"/>
      <c r="X798" s="203"/>
      <c r="Y798" s="203"/>
      <c r="Z798" s="203"/>
    </row>
    <row r="799" spans="1:26" ht="12.75" x14ac:dyDescent="0.2">
      <c r="A799" s="203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203"/>
      <c r="M799" s="204"/>
      <c r="N799" s="204"/>
      <c r="O799" s="205"/>
      <c r="P799" s="205"/>
      <c r="Q799" s="205"/>
      <c r="R799" s="203"/>
      <c r="S799" s="203"/>
      <c r="T799" s="203"/>
      <c r="U799" s="203"/>
      <c r="V799" s="203"/>
      <c r="W799" s="203"/>
      <c r="X799" s="203"/>
      <c r="Y799" s="203"/>
      <c r="Z799" s="203"/>
    </row>
    <row r="800" spans="1:26" ht="12.75" x14ac:dyDescent="0.2">
      <c r="A800" s="203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203"/>
      <c r="M800" s="204"/>
      <c r="N800" s="204"/>
      <c r="O800" s="205"/>
      <c r="P800" s="205"/>
      <c r="Q800" s="205"/>
      <c r="R800" s="203"/>
      <c r="S800" s="203"/>
      <c r="T800" s="203"/>
      <c r="U800" s="203"/>
      <c r="V800" s="203"/>
      <c r="W800" s="203"/>
      <c r="X800" s="203"/>
      <c r="Y800" s="203"/>
      <c r="Z800" s="203"/>
    </row>
    <row r="801" spans="1:26" ht="12.75" x14ac:dyDescent="0.2">
      <c r="A801" s="203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203"/>
      <c r="M801" s="204"/>
      <c r="N801" s="204"/>
      <c r="O801" s="205"/>
      <c r="P801" s="205"/>
      <c r="Q801" s="205"/>
      <c r="R801" s="203"/>
      <c r="S801" s="203"/>
      <c r="T801" s="203"/>
      <c r="U801" s="203"/>
      <c r="V801" s="203"/>
      <c r="W801" s="203"/>
      <c r="X801" s="203"/>
      <c r="Y801" s="203"/>
      <c r="Z801" s="203"/>
    </row>
    <row r="802" spans="1:26" ht="12.75" x14ac:dyDescent="0.2">
      <c r="A802" s="203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203"/>
      <c r="M802" s="204"/>
      <c r="N802" s="204"/>
      <c r="O802" s="205"/>
      <c r="P802" s="205"/>
      <c r="Q802" s="205"/>
      <c r="R802" s="203"/>
      <c r="S802" s="203"/>
      <c r="T802" s="203"/>
      <c r="U802" s="203"/>
      <c r="V802" s="203"/>
      <c r="W802" s="203"/>
      <c r="X802" s="203"/>
      <c r="Y802" s="203"/>
      <c r="Z802" s="203"/>
    </row>
    <row r="803" spans="1:26" ht="12.75" x14ac:dyDescent="0.2">
      <c r="A803" s="203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203"/>
      <c r="M803" s="204"/>
      <c r="N803" s="204"/>
      <c r="O803" s="205"/>
      <c r="P803" s="205"/>
      <c r="Q803" s="205"/>
      <c r="R803" s="203"/>
      <c r="S803" s="203"/>
      <c r="T803" s="203"/>
      <c r="U803" s="203"/>
      <c r="V803" s="203"/>
      <c r="W803" s="203"/>
      <c r="X803" s="203"/>
      <c r="Y803" s="203"/>
      <c r="Z803" s="203"/>
    </row>
    <row r="804" spans="1:26" ht="12.75" x14ac:dyDescent="0.2">
      <c r="A804" s="203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203"/>
      <c r="M804" s="204"/>
      <c r="N804" s="204"/>
      <c r="O804" s="205"/>
      <c r="P804" s="205"/>
      <c r="Q804" s="205"/>
      <c r="R804" s="203"/>
      <c r="S804" s="203"/>
      <c r="T804" s="203"/>
      <c r="U804" s="203"/>
      <c r="V804" s="203"/>
      <c r="W804" s="203"/>
      <c r="X804" s="203"/>
      <c r="Y804" s="203"/>
      <c r="Z804" s="203"/>
    </row>
    <row r="805" spans="1:26" ht="12.75" x14ac:dyDescent="0.2">
      <c r="A805" s="203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203"/>
      <c r="M805" s="204"/>
      <c r="N805" s="204"/>
      <c r="O805" s="205"/>
      <c r="P805" s="205"/>
      <c r="Q805" s="205"/>
      <c r="R805" s="203"/>
      <c r="S805" s="203"/>
      <c r="T805" s="203"/>
      <c r="U805" s="203"/>
      <c r="V805" s="203"/>
      <c r="W805" s="203"/>
      <c r="X805" s="203"/>
      <c r="Y805" s="203"/>
      <c r="Z805" s="203"/>
    </row>
    <row r="806" spans="1:26" ht="12.75" x14ac:dyDescent="0.2">
      <c r="A806" s="203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203"/>
      <c r="M806" s="204"/>
      <c r="N806" s="204"/>
      <c r="O806" s="205"/>
      <c r="P806" s="205"/>
      <c r="Q806" s="205"/>
      <c r="R806" s="203"/>
      <c r="S806" s="203"/>
      <c r="T806" s="203"/>
      <c r="U806" s="203"/>
      <c r="V806" s="203"/>
      <c r="W806" s="203"/>
      <c r="X806" s="203"/>
      <c r="Y806" s="203"/>
      <c r="Z806" s="203"/>
    </row>
    <row r="807" spans="1:26" ht="12.75" x14ac:dyDescent="0.2">
      <c r="A807" s="203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203"/>
      <c r="M807" s="204"/>
      <c r="N807" s="204"/>
      <c r="O807" s="205"/>
      <c r="P807" s="205"/>
      <c r="Q807" s="205"/>
      <c r="R807" s="203"/>
      <c r="S807" s="203"/>
      <c r="T807" s="203"/>
      <c r="U807" s="203"/>
      <c r="V807" s="203"/>
      <c r="W807" s="203"/>
      <c r="X807" s="203"/>
      <c r="Y807" s="203"/>
      <c r="Z807" s="203"/>
    </row>
    <row r="808" spans="1:26" ht="12.75" x14ac:dyDescent="0.2">
      <c r="A808" s="203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203"/>
      <c r="M808" s="204"/>
      <c r="N808" s="204"/>
      <c r="O808" s="205"/>
      <c r="P808" s="205"/>
      <c r="Q808" s="205"/>
      <c r="R808" s="203"/>
      <c r="S808" s="203"/>
      <c r="T808" s="203"/>
      <c r="U808" s="203"/>
      <c r="V808" s="203"/>
      <c r="W808" s="203"/>
      <c r="X808" s="203"/>
      <c r="Y808" s="203"/>
      <c r="Z808" s="203"/>
    </row>
    <row r="809" spans="1:26" ht="12.75" x14ac:dyDescent="0.2">
      <c r="A809" s="203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203"/>
      <c r="M809" s="204"/>
      <c r="N809" s="204"/>
      <c r="O809" s="205"/>
      <c r="P809" s="205"/>
      <c r="Q809" s="205"/>
      <c r="R809" s="203"/>
      <c r="S809" s="203"/>
      <c r="T809" s="203"/>
      <c r="U809" s="203"/>
      <c r="V809" s="203"/>
      <c r="W809" s="203"/>
      <c r="X809" s="203"/>
      <c r="Y809" s="203"/>
      <c r="Z809" s="203"/>
    </row>
    <row r="810" spans="1:26" ht="12.75" x14ac:dyDescent="0.2">
      <c r="A810" s="203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203"/>
      <c r="M810" s="204"/>
      <c r="N810" s="204"/>
      <c r="O810" s="205"/>
      <c r="P810" s="205"/>
      <c r="Q810" s="205"/>
      <c r="R810" s="203"/>
      <c r="S810" s="203"/>
      <c r="T810" s="203"/>
      <c r="U810" s="203"/>
      <c r="V810" s="203"/>
      <c r="W810" s="203"/>
      <c r="X810" s="203"/>
      <c r="Y810" s="203"/>
      <c r="Z810" s="203"/>
    </row>
    <row r="811" spans="1:26" ht="12.75" x14ac:dyDescent="0.2">
      <c r="A811" s="203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203"/>
      <c r="M811" s="204"/>
      <c r="N811" s="204"/>
      <c r="O811" s="205"/>
      <c r="P811" s="205"/>
      <c r="Q811" s="205"/>
      <c r="R811" s="203"/>
      <c r="S811" s="203"/>
      <c r="T811" s="203"/>
      <c r="U811" s="203"/>
      <c r="V811" s="203"/>
      <c r="W811" s="203"/>
      <c r="X811" s="203"/>
      <c r="Y811" s="203"/>
      <c r="Z811" s="203"/>
    </row>
    <row r="812" spans="1:26" ht="12.75" x14ac:dyDescent="0.2">
      <c r="A812" s="203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203"/>
      <c r="M812" s="204"/>
      <c r="N812" s="204"/>
      <c r="O812" s="205"/>
      <c r="P812" s="205"/>
      <c r="Q812" s="205"/>
      <c r="R812" s="203"/>
      <c r="S812" s="203"/>
      <c r="T812" s="203"/>
      <c r="U812" s="203"/>
      <c r="V812" s="203"/>
      <c r="W812" s="203"/>
      <c r="X812" s="203"/>
      <c r="Y812" s="203"/>
      <c r="Z812" s="203"/>
    </row>
    <row r="813" spans="1:26" ht="12.75" x14ac:dyDescent="0.2">
      <c r="A813" s="203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203"/>
      <c r="M813" s="204"/>
      <c r="N813" s="204"/>
      <c r="O813" s="205"/>
      <c r="P813" s="205"/>
      <c r="Q813" s="205"/>
      <c r="R813" s="203"/>
      <c r="S813" s="203"/>
      <c r="T813" s="203"/>
      <c r="U813" s="203"/>
      <c r="V813" s="203"/>
      <c r="W813" s="203"/>
      <c r="X813" s="203"/>
      <c r="Y813" s="203"/>
      <c r="Z813" s="203"/>
    </row>
    <row r="814" spans="1:26" ht="12.75" x14ac:dyDescent="0.2">
      <c r="A814" s="203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203"/>
      <c r="M814" s="204"/>
      <c r="N814" s="204"/>
      <c r="O814" s="205"/>
      <c r="P814" s="205"/>
      <c r="Q814" s="205"/>
      <c r="R814" s="203"/>
      <c r="S814" s="203"/>
      <c r="T814" s="203"/>
      <c r="U814" s="203"/>
      <c r="V814" s="203"/>
      <c r="W814" s="203"/>
      <c r="X814" s="203"/>
      <c r="Y814" s="203"/>
      <c r="Z814" s="203"/>
    </row>
    <row r="815" spans="1:26" ht="12.75" x14ac:dyDescent="0.2">
      <c r="A815" s="203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203"/>
      <c r="M815" s="204"/>
      <c r="N815" s="204"/>
      <c r="O815" s="205"/>
      <c r="P815" s="205"/>
      <c r="Q815" s="205"/>
      <c r="R815" s="203"/>
      <c r="S815" s="203"/>
      <c r="T815" s="203"/>
      <c r="U815" s="203"/>
      <c r="V815" s="203"/>
      <c r="W815" s="203"/>
      <c r="X815" s="203"/>
      <c r="Y815" s="203"/>
      <c r="Z815" s="203"/>
    </row>
    <row r="816" spans="1:26" ht="12.75" x14ac:dyDescent="0.2">
      <c r="A816" s="203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203"/>
      <c r="M816" s="204"/>
      <c r="N816" s="204"/>
      <c r="O816" s="205"/>
      <c r="P816" s="205"/>
      <c r="Q816" s="205"/>
      <c r="R816" s="203"/>
      <c r="S816" s="203"/>
      <c r="T816" s="203"/>
      <c r="U816" s="203"/>
      <c r="V816" s="203"/>
      <c r="W816" s="203"/>
      <c r="X816" s="203"/>
      <c r="Y816" s="203"/>
      <c r="Z816" s="203"/>
    </row>
    <row r="817" spans="1:26" ht="12.75" x14ac:dyDescent="0.2">
      <c r="A817" s="203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203"/>
      <c r="M817" s="204"/>
      <c r="N817" s="204"/>
      <c r="O817" s="205"/>
      <c r="P817" s="205"/>
      <c r="Q817" s="205"/>
      <c r="R817" s="203"/>
      <c r="S817" s="203"/>
      <c r="T817" s="203"/>
      <c r="U817" s="203"/>
      <c r="V817" s="203"/>
      <c r="W817" s="203"/>
      <c r="X817" s="203"/>
      <c r="Y817" s="203"/>
      <c r="Z817" s="203"/>
    </row>
    <row r="818" spans="1:26" ht="12.75" x14ac:dyDescent="0.2">
      <c r="A818" s="203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203"/>
      <c r="M818" s="204"/>
      <c r="N818" s="204"/>
      <c r="O818" s="205"/>
      <c r="P818" s="205"/>
      <c r="Q818" s="205"/>
      <c r="R818" s="203"/>
      <c r="S818" s="203"/>
      <c r="T818" s="203"/>
      <c r="U818" s="203"/>
      <c r="V818" s="203"/>
      <c r="W818" s="203"/>
      <c r="X818" s="203"/>
      <c r="Y818" s="203"/>
      <c r="Z818" s="203"/>
    </row>
    <row r="819" spans="1:26" ht="12.75" x14ac:dyDescent="0.2">
      <c r="A819" s="203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203"/>
      <c r="M819" s="204"/>
      <c r="N819" s="204"/>
      <c r="O819" s="205"/>
      <c r="P819" s="205"/>
      <c r="Q819" s="205"/>
      <c r="R819" s="203"/>
      <c r="S819" s="203"/>
      <c r="T819" s="203"/>
      <c r="U819" s="203"/>
      <c r="V819" s="203"/>
      <c r="W819" s="203"/>
      <c r="X819" s="203"/>
      <c r="Y819" s="203"/>
      <c r="Z819" s="203"/>
    </row>
    <row r="820" spans="1:26" ht="12.75" x14ac:dyDescent="0.2">
      <c r="A820" s="203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203"/>
      <c r="M820" s="204"/>
      <c r="N820" s="204"/>
      <c r="O820" s="205"/>
      <c r="P820" s="205"/>
      <c r="Q820" s="205"/>
      <c r="R820" s="203"/>
      <c r="S820" s="203"/>
      <c r="T820" s="203"/>
      <c r="U820" s="203"/>
      <c r="V820" s="203"/>
      <c r="W820" s="203"/>
      <c r="X820" s="203"/>
      <c r="Y820" s="203"/>
      <c r="Z820" s="203"/>
    </row>
    <row r="821" spans="1:26" ht="12.75" x14ac:dyDescent="0.2">
      <c r="A821" s="203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203"/>
      <c r="M821" s="204"/>
      <c r="N821" s="204"/>
      <c r="O821" s="205"/>
      <c r="P821" s="205"/>
      <c r="Q821" s="205"/>
      <c r="R821" s="203"/>
      <c r="S821" s="203"/>
      <c r="T821" s="203"/>
      <c r="U821" s="203"/>
      <c r="V821" s="203"/>
      <c r="W821" s="203"/>
      <c r="X821" s="203"/>
      <c r="Y821" s="203"/>
      <c r="Z821" s="203"/>
    </row>
    <row r="822" spans="1:26" ht="12.75" x14ac:dyDescent="0.2">
      <c r="A822" s="203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203"/>
      <c r="M822" s="204"/>
      <c r="N822" s="204"/>
      <c r="O822" s="205"/>
      <c r="P822" s="205"/>
      <c r="Q822" s="205"/>
      <c r="R822" s="203"/>
      <c r="S822" s="203"/>
      <c r="T822" s="203"/>
      <c r="U822" s="203"/>
      <c r="V822" s="203"/>
      <c r="W822" s="203"/>
      <c r="X822" s="203"/>
      <c r="Y822" s="203"/>
      <c r="Z822" s="203"/>
    </row>
    <row r="823" spans="1:26" ht="12.75" x14ac:dyDescent="0.2">
      <c r="A823" s="203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203"/>
      <c r="M823" s="204"/>
      <c r="N823" s="204"/>
      <c r="O823" s="205"/>
      <c r="P823" s="205"/>
      <c r="Q823" s="205"/>
      <c r="R823" s="203"/>
      <c r="S823" s="203"/>
      <c r="T823" s="203"/>
      <c r="U823" s="203"/>
      <c r="V823" s="203"/>
      <c r="W823" s="203"/>
      <c r="X823" s="203"/>
      <c r="Y823" s="203"/>
      <c r="Z823" s="203"/>
    </row>
    <row r="824" spans="1:26" ht="12.75" x14ac:dyDescent="0.2">
      <c r="A824" s="203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203"/>
      <c r="M824" s="204"/>
      <c r="N824" s="204"/>
      <c r="O824" s="205"/>
      <c r="P824" s="205"/>
      <c r="Q824" s="205"/>
      <c r="R824" s="203"/>
      <c r="S824" s="203"/>
      <c r="T824" s="203"/>
      <c r="U824" s="203"/>
      <c r="V824" s="203"/>
      <c r="W824" s="203"/>
      <c r="X824" s="203"/>
      <c r="Y824" s="203"/>
      <c r="Z824" s="203"/>
    </row>
    <row r="825" spans="1:26" ht="12.75" x14ac:dyDescent="0.2">
      <c r="A825" s="203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203"/>
      <c r="M825" s="204"/>
      <c r="N825" s="204"/>
      <c r="O825" s="205"/>
      <c r="P825" s="205"/>
      <c r="Q825" s="205"/>
      <c r="R825" s="203"/>
      <c r="S825" s="203"/>
      <c r="T825" s="203"/>
      <c r="U825" s="203"/>
      <c r="V825" s="203"/>
      <c r="W825" s="203"/>
      <c r="X825" s="203"/>
      <c r="Y825" s="203"/>
      <c r="Z825" s="203"/>
    </row>
    <row r="826" spans="1:26" ht="12.75" x14ac:dyDescent="0.2">
      <c r="A826" s="203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203"/>
      <c r="M826" s="204"/>
      <c r="N826" s="204"/>
      <c r="O826" s="205"/>
      <c r="P826" s="205"/>
      <c r="Q826" s="205"/>
      <c r="R826" s="203"/>
      <c r="S826" s="203"/>
      <c r="T826" s="203"/>
      <c r="U826" s="203"/>
      <c r="V826" s="203"/>
      <c r="W826" s="203"/>
      <c r="X826" s="203"/>
      <c r="Y826" s="203"/>
      <c r="Z826" s="203"/>
    </row>
    <row r="827" spans="1:26" ht="12.75" x14ac:dyDescent="0.2">
      <c r="A827" s="203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203"/>
      <c r="M827" s="204"/>
      <c r="N827" s="204"/>
      <c r="O827" s="205"/>
      <c r="P827" s="205"/>
      <c r="Q827" s="205"/>
      <c r="R827" s="203"/>
      <c r="S827" s="203"/>
      <c r="T827" s="203"/>
      <c r="U827" s="203"/>
      <c r="V827" s="203"/>
      <c r="W827" s="203"/>
      <c r="X827" s="203"/>
      <c r="Y827" s="203"/>
      <c r="Z827" s="203"/>
    </row>
    <row r="828" spans="1:26" ht="12.75" x14ac:dyDescent="0.2">
      <c r="A828" s="203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203"/>
      <c r="M828" s="204"/>
      <c r="N828" s="204"/>
      <c r="O828" s="205"/>
      <c r="P828" s="205"/>
      <c r="Q828" s="205"/>
      <c r="R828" s="203"/>
      <c r="S828" s="203"/>
      <c r="T828" s="203"/>
      <c r="U828" s="203"/>
      <c r="V828" s="203"/>
      <c r="W828" s="203"/>
      <c r="X828" s="203"/>
      <c r="Y828" s="203"/>
      <c r="Z828" s="203"/>
    </row>
    <row r="829" spans="1:26" ht="12.75" x14ac:dyDescent="0.2">
      <c r="A829" s="203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203"/>
      <c r="M829" s="204"/>
      <c r="N829" s="204"/>
      <c r="O829" s="205"/>
      <c r="P829" s="205"/>
      <c r="Q829" s="205"/>
      <c r="R829" s="203"/>
      <c r="S829" s="203"/>
      <c r="T829" s="203"/>
      <c r="U829" s="203"/>
      <c r="V829" s="203"/>
      <c r="W829" s="203"/>
      <c r="X829" s="203"/>
      <c r="Y829" s="203"/>
      <c r="Z829" s="203"/>
    </row>
    <row r="830" spans="1:26" ht="12.75" x14ac:dyDescent="0.2">
      <c r="A830" s="203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203"/>
      <c r="M830" s="204"/>
      <c r="N830" s="204"/>
      <c r="O830" s="205"/>
      <c r="P830" s="205"/>
      <c r="Q830" s="205"/>
      <c r="R830" s="203"/>
      <c r="S830" s="203"/>
      <c r="T830" s="203"/>
      <c r="U830" s="203"/>
      <c r="V830" s="203"/>
      <c r="W830" s="203"/>
      <c r="X830" s="203"/>
      <c r="Y830" s="203"/>
      <c r="Z830" s="203"/>
    </row>
    <row r="831" spans="1:26" ht="12.75" x14ac:dyDescent="0.2">
      <c r="A831" s="203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203"/>
      <c r="M831" s="204"/>
      <c r="N831" s="204"/>
      <c r="O831" s="205"/>
      <c r="P831" s="205"/>
      <c r="Q831" s="205"/>
      <c r="R831" s="203"/>
      <c r="S831" s="203"/>
      <c r="T831" s="203"/>
      <c r="U831" s="203"/>
      <c r="V831" s="203"/>
      <c r="W831" s="203"/>
      <c r="X831" s="203"/>
      <c r="Y831" s="203"/>
      <c r="Z831" s="203"/>
    </row>
    <row r="832" spans="1:26" ht="12.75" x14ac:dyDescent="0.2">
      <c r="A832" s="203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203"/>
      <c r="M832" s="204"/>
      <c r="N832" s="204"/>
      <c r="O832" s="205"/>
      <c r="P832" s="205"/>
      <c r="Q832" s="205"/>
      <c r="R832" s="203"/>
      <c r="S832" s="203"/>
      <c r="T832" s="203"/>
      <c r="U832" s="203"/>
      <c r="V832" s="203"/>
      <c r="W832" s="203"/>
      <c r="X832" s="203"/>
      <c r="Y832" s="203"/>
      <c r="Z832" s="203"/>
    </row>
    <row r="833" spans="1:26" ht="12.75" x14ac:dyDescent="0.2">
      <c r="A833" s="203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203"/>
      <c r="M833" s="204"/>
      <c r="N833" s="204"/>
      <c r="O833" s="205"/>
      <c r="P833" s="205"/>
      <c r="Q833" s="205"/>
      <c r="R833" s="203"/>
      <c r="S833" s="203"/>
      <c r="T833" s="203"/>
      <c r="U833" s="203"/>
      <c r="V833" s="203"/>
      <c r="W833" s="203"/>
      <c r="X833" s="203"/>
      <c r="Y833" s="203"/>
      <c r="Z833" s="203"/>
    </row>
    <row r="834" spans="1:26" ht="12.75" x14ac:dyDescent="0.2">
      <c r="A834" s="203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203"/>
      <c r="M834" s="204"/>
      <c r="N834" s="204"/>
      <c r="O834" s="205"/>
      <c r="P834" s="205"/>
      <c r="Q834" s="205"/>
      <c r="R834" s="203"/>
      <c r="S834" s="203"/>
      <c r="T834" s="203"/>
      <c r="U834" s="203"/>
      <c r="V834" s="203"/>
      <c r="W834" s="203"/>
      <c r="X834" s="203"/>
      <c r="Y834" s="203"/>
      <c r="Z834" s="203"/>
    </row>
    <row r="835" spans="1:26" ht="12.75" x14ac:dyDescent="0.2">
      <c r="A835" s="203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203"/>
      <c r="M835" s="204"/>
      <c r="N835" s="204"/>
      <c r="O835" s="205"/>
      <c r="P835" s="205"/>
      <c r="Q835" s="205"/>
      <c r="R835" s="203"/>
      <c r="S835" s="203"/>
      <c r="T835" s="203"/>
      <c r="U835" s="203"/>
      <c r="V835" s="203"/>
      <c r="W835" s="203"/>
      <c r="X835" s="203"/>
      <c r="Y835" s="203"/>
      <c r="Z835" s="203"/>
    </row>
    <row r="836" spans="1:26" ht="12.75" x14ac:dyDescent="0.2">
      <c r="A836" s="203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203"/>
      <c r="M836" s="204"/>
      <c r="N836" s="204"/>
      <c r="O836" s="205"/>
      <c r="P836" s="205"/>
      <c r="Q836" s="205"/>
      <c r="R836" s="203"/>
      <c r="S836" s="203"/>
      <c r="T836" s="203"/>
      <c r="U836" s="203"/>
      <c r="V836" s="203"/>
      <c r="W836" s="203"/>
      <c r="X836" s="203"/>
      <c r="Y836" s="203"/>
      <c r="Z836" s="203"/>
    </row>
    <row r="837" spans="1:26" ht="12.75" x14ac:dyDescent="0.2">
      <c r="A837" s="203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203"/>
      <c r="M837" s="204"/>
      <c r="N837" s="204"/>
      <c r="O837" s="205"/>
      <c r="P837" s="205"/>
      <c r="Q837" s="205"/>
      <c r="R837" s="203"/>
      <c r="S837" s="203"/>
      <c r="T837" s="203"/>
      <c r="U837" s="203"/>
      <c r="V837" s="203"/>
      <c r="W837" s="203"/>
      <c r="X837" s="203"/>
      <c r="Y837" s="203"/>
      <c r="Z837" s="203"/>
    </row>
    <row r="838" spans="1:26" ht="12.75" x14ac:dyDescent="0.2">
      <c r="A838" s="203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203"/>
      <c r="M838" s="204"/>
      <c r="N838" s="204"/>
      <c r="O838" s="205"/>
      <c r="P838" s="205"/>
      <c r="Q838" s="205"/>
      <c r="R838" s="203"/>
      <c r="S838" s="203"/>
      <c r="T838" s="203"/>
      <c r="U838" s="203"/>
      <c r="V838" s="203"/>
      <c r="W838" s="203"/>
      <c r="X838" s="203"/>
      <c r="Y838" s="203"/>
      <c r="Z838" s="203"/>
    </row>
    <row r="839" spans="1:26" ht="12.75" x14ac:dyDescent="0.2">
      <c r="A839" s="203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203"/>
      <c r="M839" s="204"/>
      <c r="N839" s="204"/>
      <c r="O839" s="205"/>
      <c r="P839" s="205"/>
      <c r="Q839" s="205"/>
      <c r="R839" s="203"/>
      <c r="S839" s="203"/>
      <c r="T839" s="203"/>
      <c r="U839" s="203"/>
      <c r="V839" s="203"/>
      <c r="W839" s="203"/>
      <c r="X839" s="203"/>
      <c r="Y839" s="203"/>
      <c r="Z839" s="203"/>
    </row>
    <row r="840" spans="1:26" ht="12.75" x14ac:dyDescent="0.2">
      <c r="A840" s="203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203"/>
      <c r="M840" s="204"/>
      <c r="N840" s="204"/>
      <c r="O840" s="205"/>
      <c r="P840" s="205"/>
      <c r="Q840" s="205"/>
      <c r="R840" s="203"/>
      <c r="S840" s="203"/>
      <c r="T840" s="203"/>
      <c r="U840" s="203"/>
      <c r="V840" s="203"/>
      <c r="W840" s="203"/>
      <c r="X840" s="203"/>
      <c r="Y840" s="203"/>
      <c r="Z840" s="203"/>
    </row>
    <row r="841" spans="1:26" ht="12.75" x14ac:dyDescent="0.2">
      <c r="A841" s="203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203"/>
      <c r="M841" s="204"/>
      <c r="N841" s="204"/>
      <c r="O841" s="205"/>
      <c r="P841" s="205"/>
      <c r="Q841" s="205"/>
      <c r="R841" s="203"/>
      <c r="S841" s="203"/>
      <c r="T841" s="203"/>
      <c r="U841" s="203"/>
      <c r="V841" s="203"/>
      <c r="W841" s="203"/>
      <c r="X841" s="203"/>
      <c r="Y841" s="203"/>
      <c r="Z841" s="203"/>
    </row>
    <row r="842" spans="1:26" ht="12.75" x14ac:dyDescent="0.2">
      <c r="A842" s="203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203"/>
      <c r="M842" s="204"/>
      <c r="N842" s="204"/>
      <c r="O842" s="205"/>
      <c r="P842" s="205"/>
      <c r="Q842" s="205"/>
      <c r="R842" s="203"/>
      <c r="S842" s="203"/>
      <c r="T842" s="203"/>
      <c r="U842" s="203"/>
      <c r="V842" s="203"/>
      <c r="W842" s="203"/>
      <c r="X842" s="203"/>
      <c r="Y842" s="203"/>
      <c r="Z842" s="203"/>
    </row>
    <row r="843" spans="1:26" ht="12.75" x14ac:dyDescent="0.2">
      <c r="A843" s="203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203"/>
      <c r="M843" s="204"/>
      <c r="N843" s="204"/>
      <c r="O843" s="205"/>
      <c r="P843" s="205"/>
      <c r="Q843" s="205"/>
      <c r="R843" s="203"/>
      <c r="S843" s="203"/>
      <c r="T843" s="203"/>
      <c r="U843" s="203"/>
      <c r="V843" s="203"/>
      <c r="W843" s="203"/>
      <c r="X843" s="203"/>
      <c r="Y843" s="203"/>
      <c r="Z843" s="203"/>
    </row>
    <row r="844" spans="1:26" ht="12.75" x14ac:dyDescent="0.2">
      <c r="A844" s="203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203"/>
      <c r="M844" s="204"/>
      <c r="N844" s="204"/>
      <c r="O844" s="205"/>
      <c r="P844" s="205"/>
      <c r="Q844" s="205"/>
      <c r="R844" s="203"/>
      <c r="S844" s="203"/>
      <c r="T844" s="203"/>
      <c r="U844" s="203"/>
      <c r="V844" s="203"/>
      <c r="W844" s="203"/>
      <c r="X844" s="203"/>
      <c r="Y844" s="203"/>
      <c r="Z844" s="203"/>
    </row>
    <row r="845" spans="1:26" ht="12.75" x14ac:dyDescent="0.2">
      <c r="A845" s="203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04"/>
      <c r="N845" s="204"/>
      <c r="O845" s="205"/>
      <c r="P845" s="205"/>
      <c r="Q845" s="205"/>
      <c r="R845" s="203"/>
      <c r="S845" s="203"/>
      <c r="T845" s="203"/>
      <c r="U845" s="203"/>
      <c r="V845" s="203"/>
      <c r="W845" s="203"/>
      <c r="X845" s="203"/>
      <c r="Y845" s="203"/>
      <c r="Z845" s="203"/>
    </row>
    <row r="846" spans="1:26" ht="12.75" x14ac:dyDescent="0.2">
      <c r="A846" s="203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203"/>
      <c r="M846" s="204"/>
      <c r="N846" s="204"/>
      <c r="O846" s="205"/>
      <c r="P846" s="205"/>
      <c r="Q846" s="205"/>
      <c r="R846" s="203"/>
      <c r="S846" s="203"/>
      <c r="T846" s="203"/>
      <c r="U846" s="203"/>
      <c r="V846" s="203"/>
      <c r="W846" s="203"/>
      <c r="X846" s="203"/>
      <c r="Y846" s="203"/>
      <c r="Z846" s="203"/>
    </row>
    <row r="847" spans="1:26" ht="12.75" x14ac:dyDescent="0.2">
      <c r="A847" s="203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203"/>
      <c r="M847" s="204"/>
      <c r="N847" s="204"/>
      <c r="O847" s="205"/>
      <c r="P847" s="205"/>
      <c r="Q847" s="205"/>
      <c r="R847" s="203"/>
      <c r="S847" s="203"/>
      <c r="T847" s="203"/>
      <c r="U847" s="203"/>
      <c r="V847" s="203"/>
      <c r="W847" s="203"/>
      <c r="X847" s="203"/>
      <c r="Y847" s="203"/>
      <c r="Z847" s="203"/>
    </row>
    <row r="848" spans="1:26" ht="12.75" x14ac:dyDescent="0.2">
      <c r="A848" s="203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203"/>
      <c r="M848" s="204"/>
      <c r="N848" s="204"/>
      <c r="O848" s="205"/>
      <c r="P848" s="205"/>
      <c r="Q848" s="205"/>
      <c r="R848" s="203"/>
      <c r="S848" s="203"/>
      <c r="T848" s="203"/>
      <c r="U848" s="203"/>
      <c r="V848" s="203"/>
      <c r="W848" s="203"/>
      <c r="X848" s="203"/>
      <c r="Y848" s="203"/>
      <c r="Z848" s="203"/>
    </row>
    <row r="849" spans="1:26" ht="12.75" x14ac:dyDescent="0.2">
      <c r="A849" s="203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203"/>
      <c r="M849" s="204"/>
      <c r="N849" s="204"/>
      <c r="O849" s="205"/>
      <c r="P849" s="205"/>
      <c r="Q849" s="205"/>
      <c r="R849" s="203"/>
      <c r="S849" s="203"/>
      <c r="T849" s="203"/>
      <c r="U849" s="203"/>
      <c r="V849" s="203"/>
      <c r="W849" s="203"/>
      <c r="X849" s="203"/>
      <c r="Y849" s="203"/>
      <c r="Z849" s="203"/>
    </row>
    <row r="850" spans="1:26" ht="12.75" x14ac:dyDescent="0.2">
      <c r="A850" s="203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203"/>
      <c r="M850" s="204"/>
      <c r="N850" s="204"/>
      <c r="O850" s="205"/>
      <c r="P850" s="205"/>
      <c r="Q850" s="205"/>
      <c r="R850" s="203"/>
      <c r="S850" s="203"/>
      <c r="T850" s="203"/>
      <c r="U850" s="203"/>
      <c r="V850" s="203"/>
      <c r="W850" s="203"/>
      <c r="X850" s="203"/>
      <c r="Y850" s="203"/>
      <c r="Z850" s="203"/>
    </row>
    <row r="851" spans="1:26" ht="12.75" x14ac:dyDescent="0.2">
      <c r="A851" s="203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203"/>
      <c r="M851" s="204"/>
      <c r="N851" s="204"/>
      <c r="O851" s="205"/>
      <c r="P851" s="205"/>
      <c r="Q851" s="205"/>
      <c r="R851" s="203"/>
      <c r="S851" s="203"/>
      <c r="T851" s="203"/>
      <c r="U851" s="203"/>
      <c r="V851" s="203"/>
      <c r="W851" s="203"/>
      <c r="X851" s="203"/>
      <c r="Y851" s="203"/>
      <c r="Z851" s="203"/>
    </row>
    <row r="852" spans="1:26" ht="12.75" x14ac:dyDescent="0.2">
      <c r="A852" s="203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203"/>
      <c r="M852" s="204"/>
      <c r="N852" s="204"/>
      <c r="O852" s="205"/>
      <c r="P852" s="205"/>
      <c r="Q852" s="205"/>
      <c r="R852" s="203"/>
      <c r="S852" s="203"/>
      <c r="T852" s="203"/>
      <c r="U852" s="203"/>
      <c r="V852" s="203"/>
      <c r="W852" s="203"/>
      <c r="X852" s="203"/>
      <c r="Y852" s="203"/>
      <c r="Z852" s="203"/>
    </row>
    <row r="853" spans="1:26" ht="12.75" x14ac:dyDescent="0.2">
      <c r="A853" s="203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203"/>
      <c r="M853" s="204"/>
      <c r="N853" s="204"/>
      <c r="O853" s="205"/>
      <c r="P853" s="205"/>
      <c r="Q853" s="205"/>
      <c r="R853" s="203"/>
      <c r="S853" s="203"/>
      <c r="T853" s="203"/>
      <c r="U853" s="203"/>
      <c r="V853" s="203"/>
      <c r="W853" s="203"/>
      <c r="X853" s="203"/>
      <c r="Y853" s="203"/>
      <c r="Z853" s="203"/>
    </row>
    <row r="854" spans="1:26" ht="12.75" x14ac:dyDescent="0.2">
      <c r="A854" s="203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203"/>
      <c r="M854" s="204"/>
      <c r="N854" s="204"/>
      <c r="O854" s="205"/>
      <c r="P854" s="205"/>
      <c r="Q854" s="205"/>
      <c r="R854" s="203"/>
      <c r="S854" s="203"/>
      <c r="T854" s="203"/>
      <c r="U854" s="203"/>
      <c r="V854" s="203"/>
      <c r="W854" s="203"/>
      <c r="X854" s="203"/>
      <c r="Y854" s="203"/>
      <c r="Z854" s="203"/>
    </row>
    <row r="855" spans="1:26" ht="12.75" x14ac:dyDescent="0.2">
      <c r="A855" s="203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203"/>
      <c r="M855" s="204"/>
      <c r="N855" s="204"/>
      <c r="O855" s="205"/>
      <c r="P855" s="205"/>
      <c r="Q855" s="205"/>
      <c r="R855" s="203"/>
      <c r="S855" s="203"/>
      <c r="T855" s="203"/>
      <c r="U855" s="203"/>
      <c r="V855" s="203"/>
      <c r="W855" s="203"/>
      <c r="X855" s="203"/>
      <c r="Y855" s="203"/>
      <c r="Z855" s="203"/>
    </row>
    <row r="856" spans="1:26" ht="12.75" x14ac:dyDescent="0.2">
      <c r="A856" s="203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203"/>
      <c r="M856" s="204"/>
      <c r="N856" s="204"/>
      <c r="O856" s="205"/>
      <c r="P856" s="205"/>
      <c r="Q856" s="205"/>
      <c r="R856" s="203"/>
      <c r="S856" s="203"/>
      <c r="T856" s="203"/>
      <c r="U856" s="203"/>
      <c r="V856" s="203"/>
      <c r="W856" s="203"/>
      <c r="X856" s="203"/>
      <c r="Y856" s="203"/>
      <c r="Z856" s="203"/>
    </row>
    <row r="857" spans="1:26" ht="12.75" x14ac:dyDescent="0.2">
      <c r="A857" s="203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203"/>
      <c r="M857" s="204"/>
      <c r="N857" s="204"/>
      <c r="O857" s="205"/>
      <c r="P857" s="205"/>
      <c r="Q857" s="205"/>
      <c r="R857" s="203"/>
      <c r="S857" s="203"/>
      <c r="T857" s="203"/>
      <c r="U857" s="203"/>
      <c r="V857" s="203"/>
      <c r="W857" s="203"/>
      <c r="X857" s="203"/>
      <c r="Y857" s="203"/>
      <c r="Z857" s="203"/>
    </row>
    <row r="858" spans="1:26" ht="12.75" x14ac:dyDescent="0.2">
      <c r="A858" s="203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203"/>
      <c r="M858" s="204"/>
      <c r="N858" s="204"/>
      <c r="O858" s="205"/>
      <c r="P858" s="205"/>
      <c r="Q858" s="205"/>
      <c r="R858" s="203"/>
      <c r="S858" s="203"/>
      <c r="T858" s="203"/>
      <c r="U858" s="203"/>
      <c r="V858" s="203"/>
      <c r="W858" s="203"/>
      <c r="X858" s="203"/>
      <c r="Y858" s="203"/>
      <c r="Z858" s="203"/>
    </row>
    <row r="859" spans="1:26" ht="12.75" x14ac:dyDescent="0.2">
      <c r="A859" s="203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203"/>
      <c r="M859" s="204"/>
      <c r="N859" s="204"/>
      <c r="O859" s="205"/>
      <c r="P859" s="205"/>
      <c r="Q859" s="205"/>
      <c r="R859" s="203"/>
      <c r="S859" s="203"/>
      <c r="T859" s="203"/>
      <c r="U859" s="203"/>
      <c r="V859" s="203"/>
      <c r="W859" s="203"/>
      <c r="X859" s="203"/>
      <c r="Y859" s="203"/>
      <c r="Z859" s="203"/>
    </row>
    <row r="860" spans="1:26" ht="12.75" x14ac:dyDescent="0.2">
      <c r="A860" s="203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203"/>
      <c r="M860" s="204"/>
      <c r="N860" s="204"/>
      <c r="O860" s="205"/>
      <c r="P860" s="205"/>
      <c r="Q860" s="205"/>
      <c r="R860" s="203"/>
      <c r="S860" s="203"/>
      <c r="T860" s="203"/>
      <c r="U860" s="203"/>
      <c r="V860" s="203"/>
      <c r="W860" s="203"/>
      <c r="X860" s="203"/>
      <c r="Y860" s="203"/>
      <c r="Z860" s="203"/>
    </row>
    <row r="861" spans="1:26" ht="12.75" x14ac:dyDescent="0.2">
      <c r="A861" s="203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203"/>
      <c r="M861" s="204"/>
      <c r="N861" s="204"/>
      <c r="O861" s="205"/>
      <c r="P861" s="205"/>
      <c r="Q861" s="205"/>
      <c r="R861" s="203"/>
      <c r="S861" s="203"/>
      <c r="T861" s="203"/>
      <c r="U861" s="203"/>
      <c r="V861" s="203"/>
      <c r="W861" s="203"/>
      <c r="X861" s="203"/>
      <c r="Y861" s="203"/>
      <c r="Z861" s="203"/>
    </row>
    <row r="862" spans="1:26" ht="12.75" x14ac:dyDescent="0.2">
      <c r="A862" s="203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203"/>
      <c r="M862" s="204"/>
      <c r="N862" s="204"/>
      <c r="O862" s="205"/>
      <c r="P862" s="205"/>
      <c r="Q862" s="205"/>
      <c r="R862" s="203"/>
      <c r="S862" s="203"/>
      <c r="T862" s="203"/>
      <c r="U862" s="203"/>
      <c r="V862" s="203"/>
      <c r="W862" s="203"/>
      <c r="X862" s="203"/>
      <c r="Y862" s="203"/>
      <c r="Z862" s="203"/>
    </row>
    <row r="863" spans="1:26" ht="12.75" x14ac:dyDescent="0.2">
      <c r="A863" s="203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203"/>
      <c r="M863" s="204"/>
      <c r="N863" s="204"/>
      <c r="O863" s="205"/>
      <c r="P863" s="205"/>
      <c r="Q863" s="205"/>
      <c r="R863" s="203"/>
      <c r="S863" s="203"/>
      <c r="T863" s="203"/>
      <c r="U863" s="203"/>
      <c r="V863" s="203"/>
      <c r="W863" s="203"/>
      <c r="X863" s="203"/>
      <c r="Y863" s="203"/>
      <c r="Z863" s="203"/>
    </row>
    <row r="864" spans="1:26" ht="12.75" x14ac:dyDescent="0.2">
      <c r="A864" s="203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203"/>
      <c r="M864" s="204"/>
      <c r="N864" s="204"/>
      <c r="O864" s="205"/>
      <c r="P864" s="205"/>
      <c r="Q864" s="205"/>
      <c r="R864" s="203"/>
      <c r="S864" s="203"/>
      <c r="T864" s="203"/>
      <c r="U864" s="203"/>
      <c r="V864" s="203"/>
      <c r="W864" s="203"/>
      <c r="X864" s="203"/>
      <c r="Y864" s="203"/>
      <c r="Z864" s="203"/>
    </row>
    <row r="865" spans="1:26" ht="12.75" x14ac:dyDescent="0.2">
      <c r="A865" s="203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203"/>
      <c r="M865" s="204"/>
      <c r="N865" s="204"/>
      <c r="O865" s="205"/>
      <c r="P865" s="205"/>
      <c r="Q865" s="205"/>
      <c r="R865" s="203"/>
      <c r="S865" s="203"/>
      <c r="T865" s="203"/>
      <c r="U865" s="203"/>
      <c r="V865" s="203"/>
      <c r="W865" s="203"/>
      <c r="X865" s="203"/>
      <c r="Y865" s="203"/>
      <c r="Z865" s="203"/>
    </row>
    <row r="866" spans="1:26" ht="12.75" x14ac:dyDescent="0.2">
      <c r="A866" s="203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203"/>
      <c r="M866" s="204"/>
      <c r="N866" s="204"/>
      <c r="O866" s="205"/>
      <c r="P866" s="205"/>
      <c r="Q866" s="205"/>
      <c r="R866" s="203"/>
      <c r="S866" s="203"/>
      <c r="T866" s="203"/>
      <c r="U866" s="203"/>
      <c r="V866" s="203"/>
      <c r="W866" s="203"/>
      <c r="X866" s="203"/>
      <c r="Y866" s="203"/>
      <c r="Z866" s="203"/>
    </row>
    <row r="867" spans="1:26" ht="12.75" x14ac:dyDescent="0.2">
      <c r="A867" s="203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04"/>
      <c r="N867" s="204"/>
      <c r="O867" s="205"/>
      <c r="P867" s="205"/>
      <c r="Q867" s="205"/>
      <c r="R867" s="203"/>
      <c r="S867" s="203"/>
      <c r="T867" s="203"/>
      <c r="U867" s="203"/>
      <c r="V867" s="203"/>
      <c r="W867" s="203"/>
      <c r="X867" s="203"/>
      <c r="Y867" s="203"/>
      <c r="Z867" s="203"/>
    </row>
    <row r="868" spans="1:26" ht="12.75" x14ac:dyDescent="0.2">
      <c r="A868" s="203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203"/>
      <c r="M868" s="204"/>
      <c r="N868" s="204"/>
      <c r="O868" s="205"/>
      <c r="P868" s="205"/>
      <c r="Q868" s="205"/>
      <c r="R868" s="203"/>
      <c r="S868" s="203"/>
      <c r="T868" s="203"/>
      <c r="U868" s="203"/>
      <c r="V868" s="203"/>
      <c r="W868" s="203"/>
      <c r="X868" s="203"/>
      <c r="Y868" s="203"/>
      <c r="Z868" s="203"/>
    </row>
    <row r="869" spans="1:26" ht="12.75" x14ac:dyDescent="0.2">
      <c r="A869" s="203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203"/>
      <c r="M869" s="204"/>
      <c r="N869" s="204"/>
      <c r="O869" s="205"/>
      <c r="P869" s="205"/>
      <c r="Q869" s="205"/>
      <c r="R869" s="203"/>
      <c r="S869" s="203"/>
      <c r="T869" s="203"/>
      <c r="U869" s="203"/>
      <c r="V869" s="203"/>
      <c r="W869" s="203"/>
      <c r="X869" s="203"/>
      <c r="Y869" s="203"/>
      <c r="Z869" s="203"/>
    </row>
    <row r="870" spans="1:26" ht="12.75" x14ac:dyDescent="0.2">
      <c r="A870" s="203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203"/>
      <c r="M870" s="204"/>
      <c r="N870" s="204"/>
      <c r="O870" s="205"/>
      <c r="P870" s="205"/>
      <c r="Q870" s="205"/>
      <c r="R870" s="203"/>
      <c r="S870" s="203"/>
      <c r="T870" s="203"/>
      <c r="U870" s="203"/>
      <c r="V870" s="203"/>
      <c r="W870" s="203"/>
      <c r="X870" s="203"/>
      <c r="Y870" s="203"/>
      <c r="Z870" s="203"/>
    </row>
    <row r="871" spans="1:26" ht="12.75" x14ac:dyDescent="0.2">
      <c r="A871" s="203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203"/>
      <c r="M871" s="204"/>
      <c r="N871" s="204"/>
      <c r="O871" s="205"/>
      <c r="P871" s="205"/>
      <c r="Q871" s="205"/>
      <c r="R871" s="203"/>
      <c r="S871" s="203"/>
      <c r="T871" s="203"/>
      <c r="U871" s="203"/>
      <c r="V871" s="203"/>
      <c r="W871" s="203"/>
      <c r="X871" s="203"/>
      <c r="Y871" s="203"/>
      <c r="Z871" s="203"/>
    </row>
    <row r="872" spans="1:26" ht="12.75" x14ac:dyDescent="0.2">
      <c r="A872" s="203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203"/>
      <c r="M872" s="204"/>
      <c r="N872" s="204"/>
      <c r="O872" s="205"/>
      <c r="P872" s="205"/>
      <c r="Q872" s="205"/>
      <c r="R872" s="203"/>
      <c r="S872" s="203"/>
      <c r="T872" s="203"/>
      <c r="U872" s="203"/>
      <c r="V872" s="203"/>
      <c r="W872" s="203"/>
      <c r="X872" s="203"/>
      <c r="Y872" s="203"/>
      <c r="Z872" s="203"/>
    </row>
    <row r="873" spans="1:26" ht="12.75" x14ac:dyDescent="0.2">
      <c r="A873" s="203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203"/>
      <c r="M873" s="204"/>
      <c r="N873" s="204"/>
      <c r="O873" s="205"/>
      <c r="P873" s="205"/>
      <c r="Q873" s="205"/>
      <c r="R873" s="203"/>
      <c r="S873" s="203"/>
      <c r="T873" s="203"/>
      <c r="U873" s="203"/>
      <c r="V873" s="203"/>
      <c r="W873" s="203"/>
      <c r="X873" s="203"/>
      <c r="Y873" s="203"/>
      <c r="Z873" s="203"/>
    </row>
    <row r="874" spans="1:26" ht="12.75" x14ac:dyDescent="0.2">
      <c r="A874" s="203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203"/>
      <c r="M874" s="204"/>
      <c r="N874" s="204"/>
      <c r="O874" s="205"/>
      <c r="P874" s="205"/>
      <c r="Q874" s="205"/>
      <c r="R874" s="203"/>
      <c r="S874" s="203"/>
      <c r="T874" s="203"/>
      <c r="U874" s="203"/>
      <c r="V874" s="203"/>
      <c r="W874" s="203"/>
      <c r="X874" s="203"/>
      <c r="Y874" s="203"/>
      <c r="Z874" s="203"/>
    </row>
    <row r="875" spans="1:26" ht="12.75" x14ac:dyDescent="0.2">
      <c r="A875" s="203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203"/>
      <c r="M875" s="204"/>
      <c r="N875" s="204"/>
      <c r="O875" s="205"/>
      <c r="P875" s="205"/>
      <c r="Q875" s="205"/>
      <c r="R875" s="203"/>
      <c r="S875" s="203"/>
      <c r="T875" s="203"/>
      <c r="U875" s="203"/>
      <c r="V875" s="203"/>
      <c r="W875" s="203"/>
      <c r="X875" s="203"/>
      <c r="Y875" s="203"/>
      <c r="Z875" s="203"/>
    </row>
    <row r="876" spans="1:26" ht="12.75" x14ac:dyDescent="0.2">
      <c r="A876" s="203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203"/>
      <c r="M876" s="204"/>
      <c r="N876" s="204"/>
      <c r="O876" s="205"/>
      <c r="P876" s="205"/>
      <c r="Q876" s="205"/>
      <c r="R876" s="203"/>
      <c r="S876" s="203"/>
      <c r="T876" s="203"/>
      <c r="U876" s="203"/>
      <c r="V876" s="203"/>
      <c r="W876" s="203"/>
      <c r="X876" s="203"/>
      <c r="Y876" s="203"/>
      <c r="Z876" s="203"/>
    </row>
    <row r="877" spans="1:26" ht="12.75" x14ac:dyDescent="0.2">
      <c r="A877" s="203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203"/>
      <c r="M877" s="204"/>
      <c r="N877" s="204"/>
      <c r="O877" s="205"/>
      <c r="P877" s="205"/>
      <c r="Q877" s="205"/>
      <c r="R877" s="203"/>
      <c r="S877" s="203"/>
      <c r="T877" s="203"/>
      <c r="U877" s="203"/>
      <c r="V877" s="203"/>
      <c r="W877" s="203"/>
      <c r="X877" s="203"/>
      <c r="Y877" s="203"/>
      <c r="Z877" s="203"/>
    </row>
    <row r="878" spans="1:26" ht="12.75" x14ac:dyDescent="0.2">
      <c r="A878" s="203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203"/>
      <c r="M878" s="204"/>
      <c r="N878" s="204"/>
      <c r="O878" s="205"/>
      <c r="P878" s="205"/>
      <c r="Q878" s="205"/>
      <c r="R878" s="203"/>
      <c r="S878" s="203"/>
      <c r="T878" s="203"/>
      <c r="U878" s="203"/>
      <c r="V878" s="203"/>
      <c r="W878" s="203"/>
      <c r="X878" s="203"/>
      <c r="Y878" s="203"/>
      <c r="Z878" s="203"/>
    </row>
    <row r="879" spans="1:26" ht="12.75" x14ac:dyDescent="0.2">
      <c r="A879" s="203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203"/>
      <c r="M879" s="204"/>
      <c r="N879" s="204"/>
      <c r="O879" s="205"/>
      <c r="P879" s="205"/>
      <c r="Q879" s="205"/>
      <c r="R879" s="203"/>
      <c r="S879" s="203"/>
      <c r="T879" s="203"/>
      <c r="U879" s="203"/>
      <c r="V879" s="203"/>
      <c r="W879" s="203"/>
      <c r="X879" s="203"/>
      <c r="Y879" s="203"/>
      <c r="Z879" s="203"/>
    </row>
    <row r="880" spans="1:26" ht="12.75" x14ac:dyDescent="0.2">
      <c r="A880" s="203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203"/>
      <c r="M880" s="204"/>
      <c r="N880" s="204"/>
      <c r="O880" s="205"/>
      <c r="P880" s="205"/>
      <c r="Q880" s="205"/>
      <c r="R880" s="203"/>
      <c r="S880" s="203"/>
      <c r="T880" s="203"/>
      <c r="U880" s="203"/>
      <c r="V880" s="203"/>
      <c r="W880" s="203"/>
      <c r="X880" s="203"/>
      <c r="Y880" s="203"/>
      <c r="Z880" s="203"/>
    </row>
    <row r="881" spans="1:26" ht="12.75" x14ac:dyDescent="0.2">
      <c r="A881" s="203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203"/>
      <c r="M881" s="204"/>
      <c r="N881" s="204"/>
      <c r="O881" s="205"/>
      <c r="P881" s="205"/>
      <c r="Q881" s="205"/>
      <c r="R881" s="203"/>
      <c r="S881" s="203"/>
      <c r="T881" s="203"/>
      <c r="U881" s="203"/>
      <c r="V881" s="203"/>
      <c r="W881" s="203"/>
      <c r="X881" s="203"/>
      <c r="Y881" s="203"/>
      <c r="Z881" s="203"/>
    </row>
    <row r="882" spans="1:26" ht="12.75" x14ac:dyDescent="0.2">
      <c r="A882" s="203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04"/>
      <c r="N882" s="204"/>
      <c r="O882" s="205"/>
      <c r="P882" s="205"/>
      <c r="Q882" s="205"/>
      <c r="R882" s="203"/>
      <c r="S882" s="203"/>
      <c r="T882" s="203"/>
      <c r="U882" s="203"/>
      <c r="V882" s="203"/>
      <c r="W882" s="203"/>
      <c r="X882" s="203"/>
      <c r="Y882" s="203"/>
      <c r="Z882" s="203"/>
    </row>
    <row r="883" spans="1:26" ht="12.75" x14ac:dyDescent="0.2">
      <c r="A883" s="203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203"/>
      <c r="M883" s="204"/>
      <c r="N883" s="204"/>
      <c r="O883" s="205"/>
      <c r="P883" s="205"/>
      <c r="Q883" s="205"/>
      <c r="R883" s="203"/>
      <c r="S883" s="203"/>
      <c r="T883" s="203"/>
      <c r="U883" s="203"/>
      <c r="V883" s="203"/>
      <c r="W883" s="203"/>
      <c r="X883" s="203"/>
      <c r="Y883" s="203"/>
      <c r="Z883" s="203"/>
    </row>
    <row r="884" spans="1:26" ht="12.75" x14ac:dyDescent="0.2">
      <c r="A884" s="203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203"/>
      <c r="M884" s="204"/>
      <c r="N884" s="204"/>
      <c r="O884" s="205"/>
      <c r="P884" s="205"/>
      <c r="Q884" s="205"/>
      <c r="R884" s="203"/>
      <c r="S884" s="203"/>
      <c r="T884" s="203"/>
      <c r="U884" s="203"/>
      <c r="V884" s="203"/>
      <c r="W884" s="203"/>
      <c r="X884" s="203"/>
      <c r="Y884" s="203"/>
      <c r="Z884" s="203"/>
    </row>
    <row r="885" spans="1:26" ht="12.75" x14ac:dyDescent="0.2">
      <c r="A885" s="203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04"/>
      <c r="N885" s="204"/>
      <c r="O885" s="205"/>
      <c r="P885" s="205"/>
      <c r="Q885" s="205"/>
      <c r="R885" s="203"/>
      <c r="S885" s="203"/>
      <c r="T885" s="203"/>
      <c r="U885" s="203"/>
      <c r="V885" s="203"/>
      <c r="W885" s="203"/>
      <c r="X885" s="203"/>
      <c r="Y885" s="203"/>
      <c r="Z885" s="203"/>
    </row>
    <row r="886" spans="1:26" ht="12.75" x14ac:dyDescent="0.2">
      <c r="A886" s="203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204"/>
      <c r="N886" s="204"/>
      <c r="O886" s="205"/>
      <c r="P886" s="205"/>
      <c r="Q886" s="205"/>
      <c r="R886" s="203"/>
      <c r="S886" s="203"/>
      <c r="T886" s="203"/>
      <c r="U886" s="203"/>
      <c r="V886" s="203"/>
      <c r="W886" s="203"/>
      <c r="X886" s="203"/>
      <c r="Y886" s="203"/>
      <c r="Z886" s="203"/>
    </row>
    <row r="887" spans="1:26" ht="12.75" x14ac:dyDescent="0.2">
      <c r="A887" s="203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204"/>
      <c r="N887" s="204"/>
      <c r="O887" s="205"/>
      <c r="P887" s="205"/>
      <c r="Q887" s="205"/>
      <c r="R887" s="203"/>
      <c r="S887" s="203"/>
      <c r="T887" s="203"/>
      <c r="U887" s="203"/>
      <c r="V887" s="203"/>
      <c r="W887" s="203"/>
      <c r="X887" s="203"/>
      <c r="Y887" s="203"/>
      <c r="Z887" s="203"/>
    </row>
    <row r="888" spans="1:26" ht="12.75" x14ac:dyDescent="0.2">
      <c r="A888" s="203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04"/>
      <c r="N888" s="204"/>
      <c r="O888" s="205"/>
      <c r="P888" s="205"/>
      <c r="Q888" s="205"/>
      <c r="R888" s="203"/>
      <c r="S888" s="203"/>
      <c r="T888" s="203"/>
      <c r="U888" s="203"/>
      <c r="V888" s="203"/>
      <c r="W888" s="203"/>
      <c r="X888" s="203"/>
      <c r="Y888" s="203"/>
      <c r="Z888" s="203"/>
    </row>
    <row r="889" spans="1:26" ht="12.75" x14ac:dyDescent="0.2">
      <c r="A889" s="203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203"/>
      <c r="M889" s="204"/>
      <c r="N889" s="204"/>
      <c r="O889" s="205"/>
      <c r="P889" s="205"/>
      <c r="Q889" s="205"/>
      <c r="R889" s="203"/>
      <c r="S889" s="203"/>
      <c r="T889" s="203"/>
      <c r="U889" s="203"/>
      <c r="V889" s="203"/>
      <c r="W889" s="203"/>
      <c r="X889" s="203"/>
      <c r="Y889" s="203"/>
      <c r="Z889" s="203"/>
    </row>
    <row r="890" spans="1:26" ht="12.75" x14ac:dyDescent="0.2">
      <c r="A890" s="203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203"/>
      <c r="M890" s="204"/>
      <c r="N890" s="204"/>
      <c r="O890" s="205"/>
      <c r="P890" s="205"/>
      <c r="Q890" s="205"/>
      <c r="R890" s="203"/>
      <c r="S890" s="203"/>
      <c r="T890" s="203"/>
      <c r="U890" s="203"/>
      <c r="V890" s="203"/>
      <c r="W890" s="203"/>
      <c r="X890" s="203"/>
      <c r="Y890" s="203"/>
      <c r="Z890" s="203"/>
    </row>
    <row r="891" spans="1:26" ht="12.75" x14ac:dyDescent="0.2">
      <c r="A891" s="203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203"/>
      <c r="M891" s="204"/>
      <c r="N891" s="204"/>
      <c r="O891" s="205"/>
      <c r="P891" s="205"/>
      <c r="Q891" s="205"/>
      <c r="R891" s="203"/>
      <c r="S891" s="203"/>
      <c r="T891" s="203"/>
      <c r="U891" s="203"/>
      <c r="V891" s="203"/>
      <c r="W891" s="203"/>
      <c r="X891" s="203"/>
      <c r="Y891" s="203"/>
      <c r="Z891" s="203"/>
    </row>
    <row r="892" spans="1:26" ht="12.75" x14ac:dyDescent="0.2">
      <c r="A892" s="203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04"/>
      <c r="N892" s="204"/>
      <c r="O892" s="205"/>
      <c r="P892" s="205"/>
      <c r="Q892" s="205"/>
      <c r="R892" s="203"/>
      <c r="S892" s="203"/>
      <c r="T892" s="203"/>
      <c r="U892" s="203"/>
      <c r="V892" s="203"/>
      <c r="W892" s="203"/>
      <c r="X892" s="203"/>
      <c r="Y892" s="203"/>
      <c r="Z892" s="203"/>
    </row>
    <row r="893" spans="1:26" ht="12.75" x14ac:dyDescent="0.2">
      <c r="A893" s="203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203"/>
      <c r="M893" s="204"/>
      <c r="N893" s="204"/>
      <c r="O893" s="205"/>
      <c r="P893" s="205"/>
      <c r="Q893" s="205"/>
      <c r="R893" s="203"/>
      <c r="S893" s="203"/>
      <c r="T893" s="203"/>
      <c r="U893" s="203"/>
      <c r="V893" s="203"/>
      <c r="W893" s="203"/>
      <c r="X893" s="203"/>
      <c r="Y893" s="203"/>
      <c r="Z893" s="203"/>
    </row>
    <row r="894" spans="1:26" ht="12.75" x14ac:dyDescent="0.2">
      <c r="A894" s="203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203"/>
      <c r="M894" s="204"/>
      <c r="N894" s="204"/>
      <c r="O894" s="205"/>
      <c r="P894" s="205"/>
      <c r="Q894" s="205"/>
      <c r="R894" s="203"/>
      <c r="S894" s="203"/>
      <c r="T894" s="203"/>
      <c r="U894" s="203"/>
      <c r="V894" s="203"/>
      <c r="W894" s="203"/>
      <c r="X894" s="203"/>
      <c r="Y894" s="203"/>
      <c r="Z894" s="203"/>
    </row>
    <row r="895" spans="1:26" ht="12.75" x14ac:dyDescent="0.2">
      <c r="A895" s="203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203"/>
      <c r="M895" s="204"/>
      <c r="N895" s="204"/>
      <c r="O895" s="205"/>
      <c r="P895" s="205"/>
      <c r="Q895" s="205"/>
      <c r="R895" s="203"/>
      <c r="S895" s="203"/>
      <c r="T895" s="203"/>
      <c r="U895" s="203"/>
      <c r="V895" s="203"/>
      <c r="W895" s="203"/>
      <c r="X895" s="203"/>
      <c r="Y895" s="203"/>
      <c r="Z895" s="203"/>
    </row>
    <row r="896" spans="1:26" ht="12.75" x14ac:dyDescent="0.2">
      <c r="A896" s="203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203"/>
      <c r="M896" s="204"/>
      <c r="N896" s="204"/>
      <c r="O896" s="205"/>
      <c r="P896" s="205"/>
      <c r="Q896" s="205"/>
      <c r="R896" s="203"/>
      <c r="S896" s="203"/>
      <c r="T896" s="203"/>
      <c r="U896" s="203"/>
      <c r="V896" s="203"/>
      <c r="W896" s="203"/>
      <c r="X896" s="203"/>
      <c r="Y896" s="203"/>
      <c r="Z896" s="203"/>
    </row>
    <row r="897" spans="1:26" ht="12.75" x14ac:dyDescent="0.2">
      <c r="A897" s="203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203"/>
      <c r="M897" s="204"/>
      <c r="N897" s="204"/>
      <c r="O897" s="205"/>
      <c r="P897" s="205"/>
      <c r="Q897" s="205"/>
      <c r="R897" s="203"/>
      <c r="S897" s="203"/>
      <c r="T897" s="203"/>
      <c r="U897" s="203"/>
      <c r="V897" s="203"/>
      <c r="W897" s="203"/>
      <c r="X897" s="203"/>
      <c r="Y897" s="203"/>
      <c r="Z897" s="203"/>
    </row>
    <row r="898" spans="1:26" ht="12.75" x14ac:dyDescent="0.2">
      <c r="A898" s="203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203"/>
      <c r="M898" s="204"/>
      <c r="N898" s="204"/>
      <c r="O898" s="205"/>
      <c r="P898" s="205"/>
      <c r="Q898" s="205"/>
      <c r="R898" s="203"/>
      <c r="S898" s="203"/>
      <c r="T898" s="203"/>
      <c r="U898" s="203"/>
      <c r="V898" s="203"/>
      <c r="W898" s="203"/>
      <c r="X898" s="203"/>
      <c r="Y898" s="203"/>
      <c r="Z898" s="203"/>
    </row>
    <row r="899" spans="1:26" ht="12.75" x14ac:dyDescent="0.2">
      <c r="A899" s="203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203"/>
      <c r="M899" s="204"/>
      <c r="N899" s="204"/>
      <c r="O899" s="205"/>
      <c r="P899" s="205"/>
      <c r="Q899" s="205"/>
      <c r="R899" s="203"/>
      <c r="S899" s="203"/>
      <c r="T899" s="203"/>
      <c r="U899" s="203"/>
      <c r="V899" s="203"/>
      <c r="W899" s="203"/>
      <c r="X899" s="203"/>
      <c r="Y899" s="203"/>
      <c r="Z899" s="203"/>
    </row>
    <row r="900" spans="1:26" ht="12.75" x14ac:dyDescent="0.2">
      <c r="A900" s="203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203"/>
      <c r="M900" s="204"/>
      <c r="N900" s="204"/>
      <c r="O900" s="205"/>
      <c r="P900" s="205"/>
      <c r="Q900" s="205"/>
      <c r="R900" s="203"/>
      <c r="S900" s="203"/>
      <c r="T900" s="203"/>
      <c r="U900" s="203"/>
      <c r="V900" s="203"/>
      <c r="W900" s="203"/>
      <c r="X900" s="203"/>
      <c r="Y900" s="203"/>
      <c r="Z900" s="203"/>
    </row>
    <row r="901" spans="1:26" ht="12.75" x14ac:dyDescent="0.2">
      <c r="A901" s="203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203"/>
      <c r="M901" s="204"/>
      <c r="N901" s="204"/>
      <c r="O901" s="205"/>
      <c r="P901" s="205"/>
      <c r="Q901" s="205"/>
      <c r="R901" s="203"/>
      <c r="S901" s="203"/>
      <c r="T901" s="203"/>
      <c r="U901" s="203"/>
      <c r="V901" s="203"/>
      <c r="W901" s="203"/>
      <c r="X901" s="203"/>
      <c r="Y901" s="203"/>
      <c r="Z901" s="203"/>
    </row>
    <row r="902" spans="1:26" ht="12.75" x14ac:dyDescent="0.2">
      <c r="A902" s="203"/>
      <c r="B902" s="203"/>
      <c r="C902" s="203"/>
      <c r="D902" s="203"/>
      <c r="E902" s="203"/>
      <c r="F902" s="203"/>
      <c r="G902" s="203"/>
      <c r="H902" s="203"/>
      <c r="I902" s="203"/>
      <c r="J902" s="203"/>
      <c r="K902" s="203"/>
      <c r="L902" s="203"/>
      <c r="M902" s="204"/>
      <c r="N902" s="204"/>
      <c r="O902" s="205"/>
      <c r="P902" s="205"/>
      <c r="Q902" s="205"/>
      <c r="R902" s="203"/>
      <c r="S902" s="203"/>
      <c r="T902" s="203"/>
      <c r="U902" s="203"/>
      <c r="V902" s="203"/>
      <c r="W902" s="203"/>
      <c r="X902" s="203"/>
      <c r="Y902" s="203"/>
      <c r="Z902" s="203"/>
    </row>
    <row r="903" spans="1:26" ht="12.75" x14ac:dyDescent="0.2">
      <c r="A903" s="203"/>
      <c r="B903" s="203"/>
      <c r="C903" s="203"/>
      <c r="D903" s="203"/>
      <c r="E903" s="203"/>
      <c r="F903" s="203"/>
      <c r="G903" s="203"/>
      <c r="H903" s="203"/>
      <c r="I903" s="203"/>
      <c r="J903" s="203"/>
      <c r="K903" s="203"/>
      <c r="L903" s="203"/>
      <c r="M903" s="204"/>
      <c r="N903" s="204"/>
      <c r="O903" s="205"/>
      <c r="P903" s="205"/>
      <c r="Q903" s="205"/>
      <c r="R903" s="203"/>
      <c r="S903" s="203"/>
      <c r="T903" s="203"/>
      <c r="U903" s="203"/>
      <c r="V903" s="203"/>
      <c r="W903" s="203"/>
      <c r="X903" s="203"/>
      <c r="Y903" s="203"/>
      <c r="Z903" s="203"/>
    </row>
    <row r="904" spans="1:26" ht="12.75" x14ac:dyDescent="0.2">
      <c r="A904" s="203"/>
      <c r="B904" s="203"/>
      <c r="C904" s="203"/>
      <c r="D904" s="203"/>
      <c r="E904" s="203"/>
      <c r="F904" s="203"/>
      <c r="G904" s="203"/>
      <c r="H904" s="203"/>
      <c r="I904" s="203"/>
      <c r="J904" s="203"/>
      <c r="K904" s="203"/>
      <c r="L904" s="203"/>
      <c r="M904" s="204"/>
      <c r="N904" s="204"/>
      <c r="O904" s="205"/>
      <c r="P904" s="205"/>
      <c r="Q904" s="205"/>
      <c r="R904" s="203"/>
      <c r="S904" s="203"/>
      <c r="T904" s="203"/>
      <c r="U904" s="203"/>
      <c r="V904" s="203"/>
      <c r="W904" s="203"/>
      <c r="X904" s="203"/>
      <c r="Y904" s="203"/>
      <c r="Z904" s="203"/>
    </row>
    <row r="905" spans="1:26" ht="12.75" x14ac:dyDescent="0.2">
      <c r="A905" s="203"/>
      <c r="B905" s="203"/>
      <c r="C905" s="203"/>
      <c r="D905" s="203"/>
      <c r="E905" s="203"/>
      <c r="F905" s="203"/>
      <c r="G905" s="203"/>
      <c r="H905" s="203"/>
      <c r="I905" s="203"/>
      <c r="J905" s="203"/>
      <c r="K905" s="203"/>
      <c r="L905" s="203"/>
      <c r="M905" s="204"/>
      <c r="N905" s="204"/>
      <c r="O905" s="205"/>
      <c r="P905" s="205"/>
      <c r="Q905" s="205"/>
      <c r="R905" s="203"/>
      <c r="S905" s="203"/>
      <c r="T905" s="203"/>
      <c r="U905" s="203"/>
      <c r="V905" s="203"/>
      <c r="W905" s="203"/>
      <c r="X905" s="203"/>
      <c r="Y905" s="203"/>
      <c r="Z905" s="203"/>
    </row>
    <row r="906" spans="1:26" ht="12.75" x14ac:dyDescent="0.2">
      <c r="A906" s="203"/>
      <c r="B906" s="203"/>
      <c r="C906" s="203"/>
      <c r="D906" s="203"/>
      <c r="E906" s="203"/>
      <c r="F906" s="203"/>
      <c r="G906" s="203"/>
      <c r="H906" s="203"/>
      <c r="I906" s="203"/>
      <c r="J906" s="203"/>
      <c r="K906" s="203"/>
      <c r="L906" s="203"/>
      <c r="M906" s="204"/>
      <c r="N906" s="204"/>
      <c r="O906" s="205"/>
      <c r="P906" s="205"/>
      <c r="Q906" s="205"/>
      <c r="R906" s="203"/>
      <c r="S906" s="203"/>
      <c r="T906" s="203"/>
      <c r="U906" s="203"/>
      <c r="V906" s="203"/>
      <c r="W906" s="203"/>
      <c r="X906" s="203"/>
      <c r="Y906" s="203"/>
      <c r="Z906" s="203"/>
    </row>
    <row r="907" spans="1:26" ht="12.75" x14ac:dyDescent="0.2">
      <c r="A907" s="203"/>
      <c r="B907" s="203"/>
      <c r="C907" s="203"/>
      <c r="D907" s="203"/>
      <c r="E907" s="203"/>
      <c r="F907" s="203"/>
      <c r="G907" s="203"/>
      <c r="H907" s="203"/>
      <c r="I907" s="203"/>
      <c r="J907" s="203"/>
      <c r="K907" s="203"/>
      <c r="L907" s="203"/>
      <c r="M907" s="204"/>
      <c r="N907" s="204"/>
      <c r="O907" s="205"/>
      <c r="P907" s="205"/>
      <c r="Q907" s="205"/>
      <c r="R907" s="203"/>
      <c r="S907" s="203"/>
      <c r="T907" s="203"/>
      <c r="U907" s="203"/>
      <c r="V907" s="203"/>
      <c r="W907" s="203"/>
      <c r="X907" s="203"/>
      <c r="Y907" s="203"/>
      <c r="Z907" s="203"/>
    </row>
    <row r="908" spans="1:26" ht="12.75" x14ac:dyDescent="0.2">
      <c r="A908" s="203"/>
      <c r="B908" s="203"/>
      <c r="C908" s="203"/>
      <c r="D908" s="203"/>
      <c r="E908" s="203"/>
      <c r="F908" s="203"/>
      <c r="G908" s="203"/>
      <c r="H908" s="203"/>
      <c r="I908" s="203"/>
      <c r="J908" s="203"/>
      <c r="K908" s="203"/>
      <c r="L908" s="203"/>
      <c r="M908" s="204"/>
      <c r="N908" s="204"/>
      <c r="O908" s="205"/>
      <c r="P908" s="205"/>
      <c r="Q908" s="205"/>
      <c r="R908" s="203"/>
      <c r="S908" s="203"/>
      <c r="T908" s="203"/>
      <c r="U908" s="203"/>
      <c r="V908" s="203"/>
      <c r="W908" s="203"/>
      <c r="X908" s="203"/>
      <c r="Y908" s="203"/>
      <c r="Z908" s="203"/>
    </row>
    <row r="909" spans="1:26" ht="12.75" x14ac:dyDescent="0.2">
      <c r="A909" s="203"/>
      <c r="B909" s="203"/>
      <c r="C909" s="203"/>
      <c r="D909" s="203"/>
      <c r="E909" s="203"/>
      <c r="F909" s="203"/>
      <c r="G909" s="203"/>
      <c r="H909" s="203"/>
      <c r="I909" s="203"/>
      <c r="J909" s="203"/>
      <c r="K909" s="203"/>
      <c r="L909" s="203"/>
      <c r="M909" s="204"/>
      <c r="N909" s="204"/>
      <c r="O909" s="205"/>
      <c r="P909" s="205"/>
      <c r="Q909" s="205"/>
      <c r="R909" s="203"/>
      <c r="S909" s="203"/>
      <c r="T909" s="203"/>
      <c r="U909" s="203"/>
      <c r="V909" s="203"/>
      <c r="W909" s="203"/>
      <c r="X909" s="203"/>
      <c r="Y909" s="203"/>
      <c r="Z909" s="203"/>
    </row>
    <row r="910" spans="1:26" ht="12.75" x14ac:dyDescent="0.2">
      <c r="A910" s="203"/>
      <c r="B910" s="203"/>
      <c r="C910" s="203"/>
      <c r="D910" s="203"/>
      <c r="E910" s="203"/>
      <c r="F910" s="203"/>
      <c r="G910" s="203"/>
      <c r="H910" s="203"/>
      <c r="I910" s="203"/>
      <c r="J910" s="203"/>
      <c r="K910" s="203"/>
      <c r="L910" s="203"/>
      <c r="M910" s="204"/>
      <c r="N910" s="204"/>
      <c r="O910" s="205"/>
      <c r="P910" s="205"/>
      <c r="Q910" s="205"/>
      <c r="R910" s="203"/>
      <c r="S910" s="203"/>
      <c r="T910" s="203"/>
      <c r="U910" s="203"/>
      <c r="V910" s="203"/>
      <c r="W910" s="203"/>
      <c r="X910" s="203"/>
      <c r="Y910" s="203"/>
      <c r="Z910" s="203"/>
    </row>
    <row r="911" spans="1:26" ht="12.75" x14ac:dyDescent="0.2">
      <c r="A911" s="203"/>
      <c r="B911" s="203"/>
      <c r="C911" s="203"/>
      <c r="D911" s="203"/>
      <c r="E911" s="203"/>
      <c r="F911" s="203"/>
      <c r="G911" s="203"/>
      <c r="H911" s="203"/>
      <c r="I911" s="203"/>
      <c r="J911" s="203"/>
      <c r="K911" s="203"/>
      <c r="L911" s="203"/>
      <c r="M911" s="204"/>
      <c r="N911" s="204"/>
      <c r="O911" s="205"/>
      <c r="P911" s="205"/>
      <c r="Q911" s="205"/>
      <c r="R911" s="203"/>
      <c r="S911" s="203"/>
      <c r="T911" s="203"/>
      <c r="U911" s="203"/>
      <c r="V911" s="203"/>
      <c r="W911" s="203"/>
      <c r="X911" s="203"/>
      <c r="Y911" s="203"/>
      <c r="Z911" s="203"/>
    </row>
    <row r="912" spans="1:26" ht="12.75" x14ac:dyDescent="0.2">
      <c r="A912" s="203"/>
      <c r="B912" s="203"/>
      <c r="C912" s="203"/>
      <c r="D912" s="203"/>
      <c r="E912" s="203"/>
      <c r="F912" s="203"/>
      <c r="G912" s="203"/>
      <c r="H912" s="203"/>
      <c r="I912" s="203"/>
      <c r="J912" s="203"/>
      <c r="K912" s="203"/>
      <c r="L912" s="203"/>
      <c r="M912" s="204"/>
      <c r="N912" s="204"/>
      <c r="O912" s="205"/>
      <c r="P912" s="205"/>
      <c r="Q912" s="205"/>
      <c r="R912" s="203"/>
      <c r="S912" s="203"/>
      <c r="T912" s="203"/>
      <c r="U912" s="203"/>
      <c r="V912" s="203"/>
      <c r="W912" s="203"/>
      <c r="X912" s="203"/>
      <c r="Y912" s="203"/>
      <c r="Z912" s="203"/>
    </row>
    <row r="913" spans="1:26" ht="12.75" x14ac:dyDescent="0.2">
      <c r="A913" s="203"/>
      <c r="B913" s="203"/>
      <c r="C913" s="203"/>
      <c r="D913" s="203"/>
      <c r="E913" s="203"/>
      <c r="F913" s="203"/>
      <c r="G913" s="203"/>
      <c r="H913" s="203"/>
      <c r="I913" s="203"/>
      <c r="J913" s="203"/>
      <c r="K913" s="203"/>
      <c r="L913" s="203"/>
      <c r="M913" s="204"/>
      <c r="N913" s="204"/>
      <c r="O913" s="205"/>
      <c r="P913" s="205"/>
      <c r="Q913" s="205"/>
      <c r="R913" s="203"/>
      <c r="S913" s="203"/>
      <c r="T913" s="203"/>
      <c r="U913" s="203"/>
      <c r="V913" s="203"/>
      <c r="W913" s="203"/>
      <c r="X913" s="203"/>
      <c r="Y913" s="203"/>
      <c r="Z913" s="203"/>
    </row>
    <row r="914" spans="1:26" ht="12.75" x14ac:dyDescent="0.2">
      <c r="A914" s="203"/>
      <c r="B914" s="203"/>
      <c r="C914" s="203"/>
      <c r="D914" s="203"/>
      <c r="E914" s="203"/>
      <c r="F914" s="203"/>
      <c r="G914" s="203"/>
      <c r="H914" s="203"/>
      <c r="I914" s="203"/>
      <c r="J914" s="203"/>
      <c r="K914" s="203"/>
      <c r="L914" s="203"/>
      <c r="M914" s="204"/>
      <c r="N914" s="204"/>
      <c r="O914" s="205"/>
      <c r="P914" s="205"/>
      <c r="Q914" s="205"/>
      <c r="R914" s="203"/>
      <c r="S914" s="203"/>
      <c r="T914" s="203"/>
      <c r="U914" s="203"/>
      <c r="V914" s="203"/>
      <c r="W914" s="203"/>
      <c r="X914" s="203"/>
      <c r="Y914" s="203"/>
      <c r="Z914" s="203"/>
    </row>
    <row r="915" spans="1:26" ht="12.75" x14ac:dyDescent="0.2">
      <c r="A915" s="203"/>
      <c r="B915" s="203"/>
      <c r="C915" s="203"/>
      <c r="D915" s="203"/>
      <c r="E915" s="203"/>
      <c r="F915" s="203"/>
      <c r="G915" s="203"/>
      <c r="H915" s="203"/>
      <c r="I915" s="203"/>
      <c r="J915" s="203"/>
      <c r="K915" s="203"/>
      <c r="L915" s="203"/>
      <c r="M915" s="204"/>
      <c r="N915" s="204"/>
      <c r="O915" s="205"/>
      <c r="P915" s="205"/>
      <c r="Q915" s="205"/>
      <c r="R915" s="203"/>
      <c r="S915" s="203"/>
      <c r="T915" s="203"/>
      <c r="U915" s="203"/>
      <c r="V915" s="203"/>
      <c r="W915" s="203"/>
      <c r="X915" s="203"/>
      <c r="Y915" s="203"/>
      <c r="Z915" s="203"/>
    </row>
    <row r="916" spans="1:26" ht="12.75" x14ac:dyDescent="0.2">
      <c r="A916" s="203"/>
      <c r="B916" s="203"/>
      <c r="C916" s="203"/>
      <c r="D916" s="203"/>
      <c r="E916" s="203"/>
      <c r="F916" s="203"/>
      <c r="G916" s="203"/>
      <c r="H916" s="203"/>
      <c r="I916" s="203"/>
      <c r="J916" s="203"/>
      <c r="K916" s="203"/>
      <c r="L916" s="203"/>
      <c r="M916" s="204"/>
      <c r="N916" s="204"/>
      <c r="O916" s="205"/>
      <c r="P916" s="205"/>
      <c r="Q916" s="205"/>
      <c r="R916" s="203"/>
      <c r="S916" s="203"/>
      <c r="T916" s="203"/>
      <c r="U916" s="203"/>
      <c r="V916" s="203"/>
      <c r="W916" s="203"/>
      <c r="X916" s="203"/>
      <c r="Y916" s="203"/>
      <c r="Z916" s="203"/>
    </row>
    <row r="917" spans="1:26" ht="12.75" x14ac:dyDescent="0.2">
      <c r="A917" s="203"/>
      <c r="B917" s="203"/>
      <c r="C917" s="203"/>
      <c r="D917" s="203"/>
      <c r="E917" s="203"/>
      <c r="F917" s="203"/>
      <c r="G917" s="203"/>
      <c r="H917" s="203"/>
      <c r="I917" s="203"/>
      <c r="J917" s="203"/>
      <c r="K917" s="203"/>
      <c r="L917" s="203"/>
      <c r="M917" s="204"/>
      <c r="N917" s="204"/>
      <c r="O917" s="205"/>
      <c r="P917" s="205"/>
      <c r="Q917" s="205"/>
      <c r="R917" s="203"/>
      <c r="S917" s="203"/>
      <c r="T917" s="203"/>
      <c r="U917" s="203"/>
      <c r="V917" s="203"/>
      <c r="W917" s="203"/>
      <c r="X917" s="203"/>
      <c r="Y917" s="203"/>
      <c r="Z917" s="203"/>
    </row>
    <row r="918" spans="1:26" ht="12.75" x14ac:dyDescent="0.2">
      <c r="A918" s="203"/>
      <c r="B918" s="203"/>
      <c r="C918" s="203"/>
      <c r="D918" s="203"/>
      <c r="E918" s="203"/>
      <c r="F918" s="203"/>
      <c r="G918" s="203"/>
      <c r="H918" s="203"/>
      <c r="I918" s="203"/>
      <c r="J918" s="203"/>
      <c r="K918" s="203"/>
      <c r="L918" s="203"/>
      <c r="M918" s="204"/>
      <c r="N918" s="204"/>
      <c r="O918" s="205"/>
      <c r="P918" s="205"/>
      <c r="Q918" s="205"/>
      <c r="R918" s="203"/>
      <c r="S918" s="203"/>
      <c r="T918" s="203"/>
      <c r="U918" s="203"/>
      <c r="V918" s="203"/>
      <c r="W918" s="203"/>
      <c r="X918" s="203"/>
      <c r="Y918" s="203"/>
      <c r="Z918" s="203"/>
    </row>
    <row r="919" spans="1:26" ht="12.75" x14ac:dyDescent="0.2">
      <c r="A919" s="203"/>
      <c r="B919" s="203"/>
      <c r="C919" s="203"/>
      <c r="D919" s="203"/>
      <c r="E919" s="203"/>
      <c r="F919" s="203"/>
      <c r="G919" s="203"/>
      <c r="H919" s="203"/>
      <c r="I919" s="203"/>
      <c r="J919" s="203"/>
      <c r="K919" s="203"/>
      <c r="L919" s="203"/>
      <c r="M919" s="204"/>
      <c r="N919" s="204"/>
      <c r="O919" s="205"/>
      <c r="P919" s="205"/>
      <c r="Q919" s="205"/>
      <c r="R919" s="203"/>
      <c r="S919" s="203"/>
      <c r="T919" s="203"/>
      <c r="U919" s="203"/>
      <c r="V919" s="203"/>
      <c r="W919" s="203"/>
      <c r="X919" s="203"/>
      <c r="Y919" s="203"/>
      <c r="Z919" s="203"/>
    </row>
    <row r="920" spans="1:26" ht="12.75" x14ac:dyDescent="0.2">
      <c r="A920" s="203"/>
      <c r="B920" s="203"/>
      <c r="C920" s="203"/>
      <c r="D920" s="203"/>
      <c r="E920" s="203"/>
      <c r="F920" s="203"/>
      <c r="G920" s="203"/>
      <c r="H920" s="203"/>
      <c r="I920" s="203"/>
      <c r="J920" s="203"/>
      <c r="K920" s="203"/>
      <c r="L920" s="203"/>
      <c r="M920" s="204"/>
      <c r="N920" s="204"/>
      <c r="O920" s="205"/>
      <c r="P920" s="205"/>
      <c r="Q920" s="205"/>
      <c r="R920" s="203"/>
      <c r="S920" s="203"/>
      <c r="T920" s="203"/>
      <c r="U920" s="203"/>
      <c r="V920" s="203"/>
      <c r="W920" s="203"/>
      <c r="X920" s="203"/>
      <c r="Y920" s="203"/>
      <c r="Z920" s="203"/>
    </row>
    <row r="921" spans="1:26" ht="12.75" x14ac:dyDescent="0.2">
      <c r="A921" s="203"/>
      <c r="B921" s="203"/>
      <c r="C921" s="203"/>
      <c r="D921" s="203"/>
      <c r="E921" s="203"/>
      <c r="F921" s="203"/>
      <c r="G921" s="203"/>
      <c r="H921" s="203"/>
      <c r="I921" s="203"/>
      <c r="J921" s="203"/>
      <c r="K921" s="203"/>
      <c r="L921" s="203"/>
      <c r="M921" s="204"/>
      <c r="N921" s="204"/>
      <c r="O921" s="205"/>
      <c r="P921" s="205"/>
      <c r="Q921" s="205"/>
      <c r="R921" s="203"/>
      <c r="S921" s="203"/>
      <c r="T921" s="203"/>
      <c r="U921" s="203"/>
      <c r="V921" s="203"/>
      <c r="W921" s="203"/>
      <c r="X921" s="203"/>
      <c r="Y921" s="203"/>
      <c r="Z921" s="203"/>
    </row>
    <row r="922" spans="1:26" ht="12.75" x14ac:dyDescent="0.2">
      <c r="A922" s="203"/>
      <c r="B922" s="203"/>
      <c r="C922" s="203"/>
      <c r="D922" s="203"/>
      <c r="E922" s="203"/>
      <c r="F922" s="203"/>
      <c r="G922" s="203"/>
      <c r="H922" s="203"/>
      <c r="I922" s="203"/>
      <c r="J922" s="203"/>
      <c r="K922" s="203"/>
      <c r="L922" s="203"/>
      <c r="M922" s="204"/>
      <c r="N922" s="204"/>
      <c r="O922" s="205"/>
      <c r="P922" s="205"/>
      <c r="Q922" s="205"/>
      <c r="R922" s="203"/>
      <c r="S922" s="203"/>
      <c r="T922" s="203"/>
      <c r="U922" s="203"/>
      <c r="V922" s="203"/>
      <c r="W922" s="203"/>
      <c r="X922" s="203"/>
      <c r="Y922" s="203"/>
      <c r="Z922" s="203"/>
    </row>
    <row r="923" spans="1:26" ht="12.75" x14ac:dyDescent="0.2">
      <c r="A923" s="203"/>
      <c r="B923" s="203"/>
      <c r="C923" s="203"/>
      <c r="D923" s="203"/>
      <c r="E923" s="203"/>
      <c r="F923" s="203"/>
      <c r="G923" s="203"/>
      <c r="H923" s="203"/>
      <c r="I923" s="203"/>
      <c r="J923" s="203"/>
      <c r="K923" s="203"/>
      <c r="L923" s="203"/>
      <c r="M923" s="204"/>
      <c r="N923" s="204"/>
      <c r="O923" s="205"/>
      <c r="P923" s="205"/>
      <c r="Q923" s="205"/>
      <c r="R923" s="203"/>
      <c r="S923" s="203"/>
      <c r="T923" s="203"/>
      <c r="U923" s="203"/>
      <c r="V923" s="203"/>
      <c r="W923" s="203"/>
      <c r="X923" s="203"/>
      <c r="Y923" s="203"/>
      <c r="Z923" s="203"/>
    </row>
    <row r="924" spans="1:26" ht="12.75" x14ac:dyDescent="0.2">
      <c r="A924" s="203"/>
      <c r="B924" s="203"/>
      <c r="C924" s="203"/>
      <c r="D924" s="203"/>
      <c r="E924" s="203"/>
      <c r="F924" s="203"/>
      <c r="G924" s="203"/>
      <c r="H924" s="203"/>
      <c r="I924" s="203"/>
      <c r="J924" s="203"/>
      <c r="K924" s="203"/>
      <c r="L924" s="203"/>
      <c r="M924" s="204"/>
      <c r="N924" s="204"/>
      <c r="O924" s="205"/>
      <c r="P924" s="205"/>
      <c r="Q924" s="205"/>
      <c r="R924" s="203"/>
      <c r="S924" s="203"/>
      <c r="T924" s="203"/>
      <c r="U924" s="203"/>
      <c r="V924" s="203"/>
      <c r="W924" s="203"/>
      <c r="X924" s="203"/>
      <c r="Y924" s="203"/>
      <c r="Z924" s="203"/>
    </row>
    <row r="925" spans="1:26" ht="12.75" x14ac:dyDescent="0.2">
      <c r="A925" s="203"/>
      <c r="B925" s="203"/>
      <c r="C925" s="203"/>
      <c r="D925" s="203"/>
      <c r="E925" s="203"/>
      <c r="F925" s="203"/>
      <c r="G925" s="203"/>
      <c r="H925" s="203"/>
      <c r="I925" s="203"/>
      <c r="J925" s="203"/>
      <c r="K925" s="203"/>
      <c r="L925" s="203"/>
      <c r="M925" s="204"/>
      <c r="N925" s="204"/>
      <c r="O925" s="205"/>
      <c r="P925" s="205"/>
      <c r="Q925" s="205"/>
      <c r="R925" s="203"/>
      <c r="S925" s="203"/>
      <c r="T925" s="203"/>
      <c r="U925" s="203"/>
      <c r="V925" s="203"/>
      <c r="W925" s="203"/>
      <c r="X925" s="203"/>
      <c r="Y925" s="203"/>
      <c r="Z925" s="203"/>
    </row>
    <row r="926" spans="1:26" ht="12.75" x14ac:dyDescent="0.2">
      <c r="A926" s="203"/>
      <c r="B926" s="203"/>
      <c r="C926" s="203"/>
      <c r="D926" s="203"/>
      <c r="E926" s="203"/>
      <c r="F926" s="203"/>
      <c r="G926" s="203"/>
      <c r="H926" s="203"/>
      <c r="I926" s="203"/>
      <c r="J926" s="203"/>
      <c r="K926" s="203"/>
      <c r="L926" s="203"/>
      <c r="M926" s="204"/>
      <c r="N926" s="204"/>
      <c r="O926" s="205"/>
      <c r="P926" s="205"/>
      <c r="Q926" s="205"/>
      <c r="R926" s="203"/>
      <c r="S926" s="203"/>
      <c r="T926" s="203"/>
      <c r="U926" s="203"/>
      <c r="V926" s="203"/>
      <c r="W926" s="203"/>
      <c r="X926" s="203"/>
      <c r="Y926" s="203"/>
      <c r="Z926" s="203"/>
    </row>
    <row r="927" spans="1:26" ht="12.75" x14ac:dyDescent="0.2">
      <c r="A927" s="203"/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203"/>
      <c r="M927" s="204"/>
      <c r="N927" s="204"/>
      <c r="O927" s="205"/>
      <c r="P927" s="205"/>
      <c r="Q927" s="205"/>
      <c r="R927" s="203"/>
      <c r="S927" s="203"/>
      <c r="T927" s="203"/>
      <c r="U927" s="203"/>
      <c r="V927" s="203"/>
      <c r="W927" s="203"/>
      <c r="X927" s="203"/>
      <c r="Y927" s="203"/>
      <c r="Z927" s="203"/>
    </row>
    <row r="928" spans="1:26" ht="12.75" x14ac:dyDescent="0.2">
      <c r="A928" s="203"/>
      <c r="B928" s="203"/>
      <c r="C928" s="203"/>
      <c r="D928" s="203"/>
      <c r="E928" s="203"/>
      <c r="F928" s="203"/>
      <c r="G928" s="203"/>
      <c r="H928" s="203"/>
      <c r="I928" s="203"/>
      <c r="J928" s="203"/>
      <c r="K928" s="203"/>
      <c r="L928" s="203"/>
      <c r="M928" s="204"/>
      <c r="N928" s="204"/>
      <c r="O928" s="205"/>
      <c r="P928" s="205"/>
      <c r="Q928" s="205"/>
      <c r="R928" s="203"/>
      <c r="S928" s="203"/>
      <c r="T928" s="203"/>
      <c r="U928" s="203"/>
      <c r="V928" s="203"/>
      <c r="W928" s="203"/>
      <c r="X928" s="203"/>
      <c r="Y928" s="203"/>
      <c r="Z928" s="203"/>
    </row>
    <row r="929" spans="1:26" ht="12.75" x14ac:dyDescent="0.2">
      <c r="A929" s="203"/>
      <c r="B929" s="203"/>
      <c r="C929" s="203"/>
      <c r="D929" s="203"/>
      <c r="E929" s="203"/>
      <c r="F929" s="203"/>
      <c r="G929" s="203"/>
      <c r="H929" s="203"/>
      <c r="I929" s="203"/>
      <c r="J929" s="203"/>
      <c r="K929" s="203"/>
      <c r="L929" s="203"/>
      <c r="M929" s="204"/>
      <c r="N929" s="204"/>
      <c r="O929" s="205"/>
      <c r="P929" s="205"/>
      <c r="Q929" s="205"/>
      <c r="R929" s="203"/>
      <c r="S929" s="203"/>
      <c r="T929" s="203"/>
      <c r="U929" s="203"/>
      <c r="V929" s="203"/>
      <c r="W929" s="203"/>
      <c r="X929" s="203"/>
      <c r="Y929" s="203"/>
      <c r="Z929" s="203"/>
    </row>
    <row r="930" spans="1:26" ht="12.75" x14ac:dyDescent="0.2">
      <c r="A930" s="203"/>
      <c r="B930" s="203"/>
      <c r="C930" s="203"/>
      <c r="D930" s="203"/>
      <c r="E930" s="203"/>
      <c r="F930" s="203"/>
      <c r="G930" s="203"/>
      <c r="H930" s="203"/>
      <c r="I930" s="203"/>
      <c r="J930" s="203"/>
      <c r="K930" s="203"/>
      <c r="L930" s="203"/>
      <c r="M930" s="204"/>
      <c r="N930" s="204"/>
      <c r="O930" s="205"/>
      <c r="P930" s="205"/>
      <c r="Q930" s="205"/>
      <c r="R930" s="203"/>
      <c r="S930" s="203"/>
      <c r="T930" s="203"/>
      <c r="U930" s="203"/>
      <c r="V930" s="203"/>
      <c r="W930" s="203"/>
      <c r="X930" s="203"/>
      <c r="Y930" s="203"/>
      <c r="Z930" s="203"/>
    </row>
    <row r="931" spans="1:26" ht="12.75" x14ac:dyDescent="0.2">
      <c r="A931" s="203"/>
      <c r="B931" s="203"/>
      <c r="C931" s="203"/>
      <c r="D931" s="203"/>
      <c r="E931" s="203"/>
      <c r="F931" s="203"/>
      <c r="G931" s="203"/>
      <c r="H931" s="203"/>
      <c r="I931" s="203"/>
      <c r="J931" s="203"/>
      <c r="K931" s="203"/>
      <c r="L931" s="203"/>
      <c r="M931" s="204"/>
      <c r="N931" s="204"/>
      <c r="O931" s="205"/>
      <c r="P931" s="205"/>
      <c r="Q931" s="205"/>
      <c r="R931" s="203"/>
      <c r="S931" s="203"/>
      <c r="T931" s="203"/>
      <c r="U931" s="203"/>
      <c r="V931" s="203"/>
      <c r="W931" s="203"/>
      <c r="X931" s="203"/>
      <c r="Y931" s="203"/>
      <c r="Z931" s="203"/>
    </row>
    <row r="932" spans="1:26" ht="12.75" x14ac:dyDescent="0.2">
      <c r="A932" s="203"/>
      <c r="B932" s="203"/>
      <c r="C932" s="203"/>
      <c r="D932" s="203"/>
      <c r="E932" s="203"/>
      <c r="F932" s="203"/>
      <c r="G932" s="203"/>
      <c r="H932" s="203"/>
      <c r="I932" s="203"/>
      <c r="J932" s="203"/>
      <c r="K932" s="203"/>
      <c r="L932" s="203"/>
      <c r="M932" s="204"/>
      <c r="N932" s="204"/>
      <c r="O932" s="205"/>
      <c r="P932" s="205"/>
      <c r="Q932" s="205"/>
      <c r="R932" s="203"/>
      <c r="S932" s="203"/>
      <c r="T932" s="203"/>
      <c r="U932" s="203"/>
      <c r="V932" s="203"/>
      <c r="W932" s="203"/>
      <c r="X932" s="203"/>
      <c r="Y932" s="203"/>
      <c r="Z932" s="203"/>
    </row>
    <row r="933" spans="1:26" ht="12.75" x14ac:dyDescent="0.2">
      <c r="A933" s="203"/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3"/>
      <c r="M933" s="204"/>
      <c r="N933" s="204"/>
      <c r="O933" s="205"/>
      <c r="P933" s="205"/>
      <c r="Q933" s="205"/>
      <c r="R933" s="203"/>
      <c r="S933" s="203"/>
      <c r="T933" s="203"/>
      <c r="U933" s="203"/>
      <c r="V933" s="203"/>
      <c r="W933" s="203"/>
      <c r="X933" s="203"/>
      <c r="Y933" s="203"/>
      <c r="Z933" s="203"/>
    </row>
    <row r="934" spans="1:26" ht="12.75" x14ac:dyDescent="0.2">
      <c r="A934" s="203"/>
      <c r="B934" s="203"/>
      <c r="C934" s="203"/>
      <c r="D934" s="203"/>
      <c r="E934" s="203"/>
      <c r="F934" s="203"/>
      <c r="G934" s="203"/>
      <c r="H934" s="203"/>
      <c r="I934" s="203"/>
      <c r="J934" s="203"/>
      <c r="K934" s="203"/>
      <c r="L934" s="203"/>
      <c r="M934" s="204"/>
      <c r="N934" s="204"/>
      <c r="O934" s="205"/>
      <c r="P934" s="205"/>
      <c r="Q934" s="205"/>
      <c r="R934" s="203"/>
      <c r="S934" s="203"/>
      <c r="T934" s="203"/>
      <c r="U934" s="203"/>
      <c r="V934" s="203"/>
      <c r="W934" s="203"/>
      <c r="X934" s="203"/>
      <c r="Y934" s="203"/>
      <c r="Z934" s="203"/>
    </row>
    <row r="935" spans="1:26" ht="12.75" x14ac:dyDescent="0.2">
      <c r="A935" s="203"/>
      <c r="B935" s="203"/>
      <c r="C935" s="203"/>
      <c r="D935" s="203"/>
      <c r="E935" s="203"/>
      <c r="F935" s="203"/>
      <c r="G935" s="203"/>
      <c r="H935" s="203"/>
      <c r="I935" s="203"/>
      <c r="J935" s="203"/>
      <c r="K935" s="203"/>
      <c r="L935" s="203"/>
      <c r="M935" s="204"/>
      <c r="N935" s="204"/>
      <c r="O935" s="205"/>
      <c r="P935" s="205"/>
      <c r="Q935" s="205"/>
      <c r="R935" s="203"/>
      <c r="S935" s="203"/>
      <c r="T935" s="203"/>
      <c r="U935" s="203"/>
      <c r="V935" s="203"/>
      <c r="W935" s="203"/>
      <c r="X935" s="203"/>
      <c r="Y935" s="203"/>
      <c r="Z935" s="203"/>
    </row>
    <row r="936" spans="1:26" ht="12.75" x14ac:dyDescent="0.2">
      <c r="A936" s="203"/>
      <c r="B936" s="203"/>
      <c r="C936" s="203"/>
      <c r="D936" s="203"/>
      <c r="E936" s="203"/>
      <c r="F936" s="203"/>
      <c r="G936" s="203"/>
      <c r="H936" s="203"/>
      <c r="I936" s="203"/>
      <c r="J936" s="203"/>
      <c r="K936" s="203"/>
      <c r="L936" s="203"/>
      <c r="M936" s="204"/>
      <c r="N936" s="204"/>
      <c r="O936" s="205"/>
      <c r="P936" s="205"/>
      <c r="Q936" s="205"/>
      <c r="R936" s="203"/>
      <c r="S936" s="203"/>
      <c r="T936" s="203"/>
      <c r="U936" s="203"/>
      <c r="V936" s="203"/>
      <c r="W936" s="203"/>
      <c r="X936" s="203"/>
      <c r="Y936" s="203"/>
      <c r="Z936" s="203"/>
    </row>
    <row r="937" spans="1:26" ht="12.75" x14ac:dyDescent="0.2">
      <c r="A937" s="203"/>
      <c r="B937" s="203"/>
      <c r="C937" s="203"/>
      <c r="D937" s="203"/>
      <c r="E937" s="203"/>
      <c r="F937" s="203"/>
      <c r="G937" s="203"/>
      <c r="H937" s="203"/>
      <c r="I937" s="203"/>
      <c r="J937" s="203"/>
      <c r="K937" s="203"/>
      <c r="L937" s="203"/>
      <c r="M937" s="204"/>
      <c r="N937" s="204"/>
      <c r="O937" s="205"/>
      <c r="P937" s="205"/>
      <c r="Q937" s="205"/>
      <c r="R937" s="203"/>
      <c r="S937" s="203"/>
      <c r="T937" s="203"/>
      <c r="U937" s="203"/>
      <c r="V937" s="203"/>
      <c r="W937" s="203"/>
      <c r="X937" s="203"/>
      <c r="Y937" s="203"/>
      <c r="Z937" s="203"/>
    </row>
    <row r="938" spans="1:26" ht="12.75" x14ac:dyDescent="0.2">
      <c r="A938" s="203"/>
      <c r="B938" s="203"/>
      <c r="C938" s="203"/>
      <c r="D938" s="203"/>
      <c r="E938" s="203"/>
      <c r="F938" s="203"/>
      <c r="G938" s="203"/>
      <c r="H938" s="203"/>
      <c r="I938" s="203"/>
      <c r="J938" s="203"/>
      <c r="K938" s="203"/>
      <c r="L938" s="203"/>
      <c r="M938" s="204"/>
      <c r="N938" s="204"/>
      <c r="O938" s="205"/>
      <c r="P938" s="205"/>
      <c r="Q938" s="205"/>
      <c r="R938" s="203"/>
      <c r="S938" s="203"/>
      <c r="T938" s="203"/>
      <c r="U938" s="203"/>
      <c r="V938" s="203"/>
      <c r="W938" s="203"/>
      <c r="X938" s="203"/>
      <c r="Y938" s="203"/>
      <c r="Z938" s="203"/>
    </row>
    <row r="939" spans="1:26" ht="12.75" x14ac:dyDescent="0.2">
      <c r="A939" s="203"/>
      <c r="B939" s="203"/>
      <c r="C939" s="203"/>
      <c r="D939" s="203"/>
      <c r="E939" s="203"/>
      <c r="F939" s="203"/>
      <c r="G939" s="203"/>
      <c r="H939" s="203"/>
      <c r="I939" s="203"/>
      <c r="J939" s="203"/>
      <c r="K939" s="203"/>
      <c r="L939" s="203"/>
      <c r="M939" s="204"/>
      <c r="N939" s="204"/>
      <c r="O939" s="205"/>
      <c r="P939" s="205"/>
      <c r="Q939" s="205"/>
      <c r="R939" s="203"/>
      <c r="S939" s="203"/>
      <c r="T939" s="203"/>
      <c r="U939" s="203"/>
      <c r="V939" s="203"/>
      <c r="W939" s="203"/>
      <c r="X939" s="203"/>
      <c r="Y939" s="203"/>
      <c r="Z939" s="203"/>
    </row>
    <row r="940" spans="1:26" ht="12.75" x14ac:dyDescent="0.2">
      <c r="A940" s="203"/>
      <c r="B940" s="203"/>
      <c r="C940" s="203"/>
      <c r="D940" s="203"/>
      <c r="E940" s="203"/>
      <c r="F940" s="203"/>
      <c r="G940" s="203"/>
      <c r="H940" s="203"/>
      <c r="I940" s="203"/>
      <c r="J940" s="203"/>
      <c r="K940" s="203"/>
      <c r="L940" s="203"/>
      <c r="M940" s="204"/>
      <c r="N940" s="204"/>
      <c r="O940" s="205"/>
      <c r="P940" s="205"/>
      <c r="Q940" s="205"/>
      <c r="R940" s="203"/>
      <c r="S940" s="203"/>
      <c r="T940" s="203"/>
      <c r="U940" s="203"/>
      <c r="V940" s="203"/>
      <c r="W940" s="203"/>
      <c r="X940" s="203"/>
      <c r="Y940" s="203"/>
      <c r="Z940" s="203"/>
    </row>
    <row r="941" spans="1:26" ht="12.75" x14ac:dyDescent="0.2">
      <c r="A941" s="203"/>
      <c r="B941" s="203"/>
      <c r="C941" s="203"/>
      <c r="D941" s="203"/>
      <c r="E941" s="203"/>
      <c r="F941" s="203"/>
      <c r="G941" s="203"/>
      <c r="H941" s="203"/>
      <c r="I941" s="203"/>
      <c r="J941" s="203"/>
      <c r="K941" s="203"/>
      <c r="L941" s="203"/>
      <c r="M941" s="204"/>
      <c r="N941" s="204"/>
      <c r="O941" s="205"/>
      <c r="P941" s="205"/>
      <c r="Q941" s="205"/>
      <c r="R941" s="203"/>
      <c r="S941" s="203"/>
      <c r="T941" s="203"/>
      <c r="U941" s="203"/>
      <c r="V941" s="203"/>
      <c r="W941" s="203"/>
      <c r="X941" s="203"/>
      <c r="Y941" s="203"/>
      <c r="Z941" s="203"/>
    </row>
    <row r="942" spans="1:26" ht="12.75" x14ac:dyDescent="0.2">
      <c r="A942" s="203"/>
      <c r="B942" s="203"/>
      <c r="C942" s="203"/>
      <c r="D942" s="203"/>
      <c r="E942" s="203"/>
      <c r="F942" s="203"/>
      <c r="G942" s="203"/>
      <c r="H942" s="203"/>
      <c r="I942" s="203"/>
      <c r="J942" s="203"/>
      <c r="K942" s="203"/>
      <c r="L942" s="203"/>
      <c r="M942" s="204"/>
      <c r="N942" s="204"/>
      <c r="O942" s="205"/>
      <c r="P942" s="205"/>
      <c r="Q942" s="205"/>
      <c r="R942" s="203"/>
      <c r="S942" s="203"/>
      <c r="T942" s="203"/>
      <c r="U942" s="203"/>
      <c r="V942" s="203"/>
      <c r="W942" s="203"/>
      <c r="X942" s="203"/>
      <c r="Y942" s="203"/>
      <c r="Z942" s="203"/>
    </row>
    <row r="943" spans="1:26" ht="12.75" x14ac:dyDescent="0.2">
      <c r="A943" s="203"/>
      <c r="B943" s="203"/>
      <c r="C943" s="203"/>
      <c r="D943" s="203"/>
      <c r="E943" s="203"/>
      <c r="F943" s="203"/>
      <c r="G943" s="203"/>
      <c r="H943" s="203"/>
      <c r="I943" s="203"/>
      <c r="J943" s="203"/>
      <c r="K943" s="203"/>
      <c r="L943" s="203"/>
      <c r="M943" s="204"/>
      <c r="N943" s="204"/>
      <c r="O943" s="205"/>
      <c r="P943" s="205"/>
      <c r="Q943" s="205"/>
      <c r="R943" s="203"/>
      <c r="S943" s="203"/>
      <c r="T943" s="203"/>
      <c r="U943" s="203"/>
      <c r="V943" s="203"/>
      <c r="W943" s="203"/>
      <c r="X943" s="203"/>
      <c r="Y943" s="203"/>
      <c r="Z943" s="203"/>
    </row>
    <row r="944" spans="1:26" ht="12.75" x14ac:dyDescent="0.2">
      <c r="A944" s="203"/>
      <c r="B944" s="203"/>
      <c r="C944" s="203"/>
      <c r="D944" s="203"/>
      <c r="E944" s="203"/>
      <c r="F944" s="203"/>
      <c r="G944" s="203"/>
      <c r="H944" s="203"/>
      <c r="I944" s="203"/>
      <c r="J944" s="203"/>
      <c r="K944" s="203"/>
      <c r="L944" s="203"/>
      <c r="M944" s="204"/>
      <c r="N944" s="204"/>
      <c r="O944" s="205"/>
      <c r="P944" s="205"/>
      <c r="Q944" s="205"/>
      <c r="R944" s="203"/>
      <c r="S944" s="203"/>
      <c r="T944" s="203"/>
      <c r="U944" s="203"/>
      <c r="V944" s="203"/>
      <c r="W944" s="203"/>
      <c r="X944" s="203"/>
      <c r="Y944" s="203"/>
      <c r="Z944" s="203"/>
    </row>
    <row r="945" spans="1:26" ht="12.75" x14ac:dyDescent="0.2">
      <c r="A945" s="203"/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3"/>
      <c r="M945" s="204"/>
      <c r="N945" s="204"/>
      <c r="O945" s="205"/>
      <c r="P945" s="205"/>
      <c r="Q945" s="205"/>
      <c r="R945" s="203"/>
      <c r="S945" s="203"/>
      <c r="T945" s="203"/>
      <c r="U945" s="203"/>
      <c r="V945" s="203"/>
      <c r="W945" s="203"/>
      <c r="X945" s="203"/>
      <c r="Y945" s="203"/>
      <c r="Z945" s="203"/>
    </row>
    <row r="946" spans="1:26" ht="12.75" x14ac:dyDescent="0.2">
      <c r="A946" s="203"/>
      <c r="B946" s="203"/>
      <c r="C946" s="203"/>
      <c r="D946" s="203"/>
      <c r="E946" s="203"/>
      <c r="F946" s="203"/>
      <c r="G946" s="203"/>
      <c r="H946" s="203"/>
      <c r="I946" s="203"/>
      <c r="J946" s="203"/>
      <c r="K946" s="203"/>
      <c r="L946" s="203"/>
      <c r="M946" s="204"/>
      <c r="N946" s="204"/>
      <c r="O946" s="205"/>
      <c r="P946" s="205"/>
      <c r="Q946" s="205"/>
      <c r="R946" s="203"/>
      <c r="S946" s="203"/>
      <c r="T946" s="203"/>
      <c r="U946" s="203"/>
      <c r="V946" s="203"/>
      <c r="W946" s="203"/>
      <c r="X946" s="203"/>
      <c r="Y946" s="203"/>
      <c r="Z946" s="203"/>
    </row>
    <row r="947" spans="1:26" ht="12.75" x14ac:dyDescent="0.2">
      <c r="A947" s="203"/>
      <c r="B947" s="203"/>
      <c r="C947" s="203"/>
      <c r="D947" s="203"/>
      <c r="E947" s="203"/>
      <c r="F947" s="203"/>
      <c r="G947" s="203"/>
      <c r="H947" s="203"/>
      <c r="I947" s="203"/>
      <c r="J947" s="203"/>
      <c r="K947" s="203"/>
      <c r="L947" s="203"/>
      <c r="M947" s="204"/>
      <c r="N947" s="204"/>
      <c r="O947" s="205"/>
      <c r="P947" s="205"/>
      <c r="Q947" s="205"/>
      <c r="R947" s="203"/>
      <c r="S947" s="203"/>
      <c r="T947" s="203"/>
      <c r="U947" s="203"/>
      <c r="V947" s="203"/>
      <c r="W947" s="203"/>
      <c r="X947" s="203"/>
      <c r="Y947" s="203"/>
      <c r="Z947" s="203"/>
    </row>
    <row r="948" spans="1:26" ht="12.75" x14ac:dyDescent="0.2">
      <c r="A948" s="203"/>
      <c r="B948" s="203"/>
      <c r="C948" s="203"/>
      <c r="D948" s="203"/>
      <c r="E948" s="203"/>
      <c r="F948" s="203"/>
      <c r="G948" s="203"/>
      <c r="H948" s="203"/>
      <c r="I948" s="203"/>
      <c r="J948" s="203"/>
      <c r="K948" s="203"/>
      <c r="L948" s="203"/>
      <c r="M948" s="204"/>
      <c r="N948" s="204"/>
      <c r="O948" s="205"/>
      <c r="P948" s="205"/>
      <c r="Q948" s="205"/>
      <c r="R948" s="203"/>
      <c r="S948" s="203"/>
      <c r="T948" s="203"/>
      <c r="U948" s="203"/>
      <c r="V948" s="203"/>
      <c r="W948" s="203"/>
      <c r="X948" s="203"/>
      <c r="Y948" s="203"/>
      <c r="Z948" s="203"/>
    </row>
    <row r="949" spans="1:26" ht="12.75" x14ac:dyDescent="0.2">
      <c r="A949" s="203"/>
      <c r="B949" s="203"/>
      <c r="C949" s="203"/>
      <c r="D949" s="203"/>
      <c r="E949" s="203"/>
      <c r="F949" s="203"/>
      <c r="G949" s="203"/>
      <c r="H949" s="203"/>
      <c r="I949" s="203"/>
      <c r="J949" s="203"/>
      <c r="K949" s="203"/>
      <c r="L949" s="203"/>
      <c r="M949" s="204"/>
      <c r="N949" s="204"/>
      <c r="O949" s="205"/>
      <c r="P949" s="205"/>
      <c r="Q949" s="205"/>
      <c r="R949" s="203"/>
      <c r="S949" s="203"/>
      <c r="T949" s="203"/>
      <c r="U949" s="203"/>
      <c r="V949" s="203"/>
      <c r="W949" s="203"/>
      <c r="X949" s="203"/>
      <c r="Y949" s="203"/>
      <c r="Z949" s="203"/>
    </row>
    <row r="950" spans="1:26" ht="12.75" x14ac:dyDescent="0.2">
      <c r="A950" s="203"/>
      <c r="B950" s="203"/>
      <c r="C950" s="203"/>
      <c r="D950" s="203"/>
      <c r="E950" s="203"/>
      <c r="F950" s="203"/>
      <c r="G950" s="203"/>
      <c r="H950" s="203"/>
      <c r="I950" s="203"/>
      <c r="J950" s="203"/>
      <c r="K950" s="203"/>
      <c r="L950" s="203"/>
      <c r="M950" s="204"/>
      <c r="N950" s="204"/>
      <c r="O950" s="205"/>
      <c r="P950" s="205"/>
      <c r="Q950" s="205"/>
      <c r="R950" s="203"/>
      <c r="S950" s="203"/>
      <c r="T950" s="203"/>
      <c r="U950" s="203"/>
      <c r="V950" s="203"/>
      <c r="W950" s="203"/>
      <c r="X950" s="203"/>
      <c r="Y950" s="203"/>
      <c r="Z950" s="203"/>
    </row>
    <row r="951" spans="1:26" ht="12.75" x14ac:dyDescent="0.2">
      <c r="A951" s="203"/>
      <c r="B951" s="203"/>
      <c r="C951" s="203"/>
      <c r="D951" s="203"/>
      <c r="E951" s="203"/>
      <c r="F951" s="203"/>
      <c r="G951" s="203"/>
      <c r="H951" s="203"/>
      <c r="I951" s="203"/>
      <c r="J951" s="203"/>
      <c r="K951" s="203"/>
      <c r="L951" s="203"/>
      <c r="M951" s="204"/>
      <c r="N951" s="204"/>
      <c r="O951" s="205"/>
      <c r="P951" s="205"/>
      <c r="Q951" s="205"/>
      <c r="R951" s="203"/>
      <c r="S951" s="203"/>
      <c r="T951" s="203"/>
      <c r="U951" s="203"/>
      <c r="V951" s="203"/>
      <c r="W951" s="203"/>
      <c r="X951" s="203"/>
      <c r="Y951" s="203"/>
      <c r="Z951" s="203"/>
    </row>
    <row r="952" spans="1:26" ht="12.75" x14ac:dyDescent="0.2">
      <c r="A952" s="203"/>
      <c r="B952" s="203"/>
      <c r="C952" s="203"/>
      <c r="D952" s="203"/>
      <c r="E952" s="203"/>
      <c r="F952" s="203"/>
      <c r="G952" s="203"/>
      <c r="H952" s="203"/>
      <c r="I952" s="203"/>
      <c r="J952" s="203"/>
      <c r="K952" s="203"/>
      <c r="L952" s="203"/>
      <c r="M952" s="204"/>
      <c r="N952" s="204"/>
      <c r="O952" s="205"/>
      <c r="P952" s="205"/>
      <c r="Q952" s="205"/>
      <c r="R952" s="203"/>
      <c r="S952" s="203"/>
      <c r="T952" s="203"/>
      <c r="U952" s="203"/>
      <c r="V952" s="203"/>
      <c r="W952" s="203"/>
      <c r="X952" s="203"/>
      <c r="Y952" s="203"/>
      <c r="Z952" s="203"/>
    </row>
    <row r="953" spans="1:26" ht="12.75" x14ac:dyDescent="0.2">
      <c r="A953" s="203"/>
      <c r="B953" s="203"/>
      <c r="C953" s="203"/>
      <c r="D953" s="203"/>
      <c r="E953" s="203"/>
      <c r="F953" s="203"/>
      <c r="G953" s="203"/>
      <c r="H953" s="203"/>
      <c r="I953" s="203"/>
      <c r="J953" s="203"/>
      <c r="K953" s="203"/>
      <c r="L953" s="203"/>
      <c r="M953" s="204"/>
      <c r="N953" s="204"/>
      <c r="O953" s="205"/>
      <c r="P953" s="205"/>
      <c r="Q953" s="205"/>
      <c r="R953" s="203"/>
      <c r="S953" s="203"/>
      <c r="T953" s="203"/>
      <c r="U953" s="203"/>
      <c r="V953" s="203"/>
      <c r="W953" s="203"/>
      <c r="X953" s="203"/>
      <c r="Y953" s="203"/>
      <c r="Z953" s="203"/>
    </row>
    <row r="954" spans="1:26" ht="12.75" x14ac:dyDescent="0.2">
      <c r="A954" s="203"/>
      <c r="B954" s="203"/>
      <c r="C954" s="203"/>
      <c r="D954" s="203"/>
      <c r="E954" s="203"/>
      <c r="F954" s="203"/>
      <c r="G954" s="203"/>
      <c r="H954" s="203"/>
      <c r="I954" s="203"/>
      <c r="J954" s="203"/>
      <c r="K954" s="203"/>
      <c r="L954" s="203"/>
      <c r="M954" s="204"/>
      <c r="N954" s="204"/>
      <c r="O954" s="205"/>
      <c r="P954" s="205"/>
      <c r="Q954" s="205"/>
      <c r="R954" s="203"/>
      <c r="S954" s="203"/>
      <c r="T954" s="203"/>
      <c r="U954" s="203"/>
      <c r="V954" s="203"/>
      <c r="W954" s="203"/>
      <c r="X954" s="203"/>
      <c r="Y954" s="203"/>
      <c r="Z954" s="203"/>
    </row>
    <row r="955" spans="1:26" ht="12.75" x14ac:dyDescent="0.2">
      <c r="A955" s="203"/>
      <c r="B955" s="203"/>
      <c r="C955" s="203"/>
      <c r="D955" s="203"/>
      <c r="E955" s="203"/>
      <c r="F955" s="203"/>
      <c r="G955" s="203"/>
      <c r="H955" s="203"/>
      <c r="I955" s="203"/>
      <c r="J955" s="203"/>
      <c r="K955" s="203"/>
      <c r="L955" s="203"/>
      <c r="M955" s="204"/>
      <c r="N955" s="204"/>
      <c r="O955" s="205"/>
      <c r="P955" s="205"/>
      <c r="Q955" s="205"/>
      <c r="R955" s="203"/>
      <c r="S955" s="203"/>
      <c r="T955" s="203"/>
      <c r="U955" s="203"/>
      <c r="V955" s="203"/>
      <c r="W955" s="203"/>
      <c r="X955" s="203"/>
      <c r="Y955" s="203"/>
      <c r="Z955" s="203"/>
    </row>
    <row r="956" spans="1:26" ht="12.75" x14ac:dyDescent="0.2">
      <c r="A956" s="203"/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203"/>
      <c r="M956" s="204"/>
      <c r="N956" s="204"/>
      <c r="O956" s="205"/>
      <c r="P956" s="205"/>
      <c r="Q956" s="205"/>
      <c r="R956" s="203"/>
      <c r="S956" s="203"/>
      <c r="T956" s="203"/>
      <c r="U956" s="203"/>
      <c r="V956" s="203"/>
      <c r="W956" s="203"/>
      <c r="X956" s="203"/>
      <c r="Y956" s="203"/>
      <c r="Z956" s="203"/>
    </row>
    <row r="957" spans="1:26" ht="12.75" x14ac:dyDescent="0.2">
      <c r="A957" s="203"/>
      <c r="B957" s="203"/>
      <c r="C957" s="203"/>
      <c r="D957" s="203"/>
      <c r="E957" s="203"/>
      <c r="F957" s="203"/>
      <c r="G957" s="203"/>
      <c r="H957" s="203"/>
      <c r="I957" s="203"/>
      <c r="J957" s="203"/>
      <c r="K957" s="203"/>
      <c r="L957" s="203"/>
      <c r="M957" s="204"/>
      <c r="N957" s="204"/>
      <c r="O957" s="205"/>
      <c r="P957" s="205"/>
      <c r="Q957" s="205"/>
      <c r="R957" s="203"/>
      <c r="S957" s="203"/>
      <c r="T957" s="203"/>
      <c r="U957" s="203"/>
      <c r="V957" s="203"/>
      <c r="W957" s="203"/>
      <c r="X957" s="203"/>
      <c r="Y957" s="203"/>
      <c r="Z957" s="203"/>
    </row>
    <row r="958" spans="1:26" ht="12.75" x14ac:dyDescent="0.2">
      <c r="A958" s="203"/>
      <c r="B958" s="203"/>
      <c r="C958" s="203"/>
      <c r="D958" s="203"/>
      <c r="E958" s="203"/>
      <c r="F958" s="203"/>
      <c r="G958" s="203"/>
      <c r="H958" s="203"/>
      <c r="I958" s="203"/>
      <c r="J958" s="203"/>
      <c r="K958" s="203"/>
      <c r="L958" s="203"/>
      <c r="M958" s="204"/>
      <c r="N958" s="204"/>
      <c r="O958" s="205"/>
      <c r="P958" s="205"/>
      <c r="Q958" s="205"/>
      <c r="R958" s="203"/>
      <c r="S958" s="203"/>
      <c r="T958" s="203"/>
      <c r="U958" s="203"/>
      <c r="V958" s="203"/>
      <c r="W958" s="203"/>
      <c r="X958" s="203"/>
      <c r="Y958" s="203"/>
      <c r="Z958" s="203"/>
    </row>
    <row r="959" spans="1:26" ht="12.75" x14ac:dyDescent="0.2">
      <c r="A959" s="203"/>
      <c r="B959" s="203"/>
      <c r="C959" s="203"/>
      <c r="D959" s="203"/>
      <c r="E959" s="203"/>
      <c r="F959" s="203"/>
      <c r="G959" s="203"/>
      <c r="H959" s="203"/>
      <c r="I959" s="203"/>
      <c r="J959" s="203"/>
      <c r="K959" s="203"/>
      <c r="L959" s="203"/>
      <c r="M959" s="204"/>
      <c r="N959" s="204"/>
      <c r="O959" s="205"/>
      <c r="P959" s="205"/>
      <c r="Q959" s="205"/>
      <c r="R959" s="203"/>
      <c r="S959" s="203"/>
      <c r="T959" s="203"/>
      <c r="U959" s="203"/>
      <c r="V959" s="203"/>
      <c r="W959" s="203"/>
      <c r="X959" s="203"/>
      <c r="Y959" s="203"/>
      <c r="Z959" s="203"/>
    </row>
    <row r="960" spans="1:26" ht="12.75" x14ac:dyDescent="0.2">
      <c r="A960" s="203"/>
      <c r="B960" s="203"/>
      <c r="C960" s="203"/>
      <c r="D960" s="203"/>
      <c r="E960" s="203"/>
      <c r="F960" s="203"/>
      <c r="G960" s="203"/>
      <c r="H960" s="203"/>
      <c r="I960" s="203"/>
      <c r="J960" s="203"/>
      <c r="K960" s="203"/>
      <c r="L960" s="203"/>
      <c r="M960" s="204"/>
      <c r="N960" s="204"/>
      <c r="O960" s="205"/>
      <c r="P960" s="205"/>
      <c r="Q960" s="205"/>
      <c r="R960" s="203"/>
      <c r="S960" s="203"/>
      <c r="T960" s="203"/>
      <c r="U960" s="203"/>
      <c r="V960" s="203"/>
      <c r="W960" s="203"/>
      <c r="X960" s="203"/>
      <c r="Y960" s="203"/>
      <c r="Z960" s="203"/>
    </row>
    <row r="961" spans="1:26" ht="12.75" x14ac:dyDescent="0.2">
      <c r="A961" s="203"/>
      <c r="B961" s="203"/>
      <c r="C961" s="203"/>
      <c r="D961" s="203"/>
      <c r="E961" s="203"/>
      <c r="F961" s="203"/>
      <c r="G961" s="203"/>
      <c r="H961" s="203"/>
      <c r="I961" s="203"/>
      <c r="J961" s="203"/>
      <c r="K961" s="203"/>
      <c r="L961" s="203"/>
      <c r="M961" s="204"/>
      <c r="N961" s="204"/>
      <c r="O961" s="205"/>
      <c r="P961" s="205"/>
      <c r="Q961" s="205"/>
      <c r="R961" s="203"/>
      <c r="S961" s="203"/>
      <c r="T961" s="203"/>
      <c r="U961" s="203"/>
      <c r="V961" s="203"/>
      <c r="W961" s="203"/>
      <c r="X961" s="203"/>
      <c r="Y961" s="203"/>
      <c r="Z961" s="203"/>
    </row>
    <row r="962" spans="1:26" ht="12.75" x14ac:dyDescent="0.2">
      <c r="A962" s="203"/>
      <c r="B962" s="203"/>
      <c r="C962" s="203"/>
      <c r="D962" s="203"/>
      <c r="E962" s="203"/>
      <c r="F962" s="203"/>
      <c r="G962" s="203"/>
      <c r="H962" s="203"/>
      <c r="I962" s="203"/>
      <c r="J962" s="203"/>
      <c r="K962" s="203"/>
      <c r="L962" s="203"/>
      <c r="M962" s="204"/>
      <c r="N962" s="204"/>
      <c r="O962" s="205"/>
      <c r="P962" s="205"/>
      <c r="Q962" s="205"/>
      <c r="R962" s="203"/>
      <c r="S962" s="203"/>
      <c r="T962" s="203"/>
      <c r="U962" s="203"/>
      <c r="V962" s="203"/>
      <c r="W962" s="203"/>
      <c r="X962" s="203"/>
      <c r="Y962" s="203"/>
      <c r="Z962" s="203"/>
    </row>
    <row r="963" spans="1:26" ht="12.75" x14ac:dyDescent="0.2">
      <c r="A963" s="203"/>
      <c r="B963" s="203"/>
      <c r="C963" s="203"/>
      <c r="D963" s="203"/>
      <c r="E963" s="203"/>
      <c r="F963" s="203"/>
      <c r="G963" s="203"/>
      <c r="H963" s="203"/>
      <c r="I963" s="203"/>
      <c r="J963" s="203"/>
      <c r="K963" s="203"/>
      <c r="L963" s="203"/>
      <c r="M963" s="204"/>
      <c r="N963" s="204"/>
      <c r="O963" s="205"/>
      <c r="P963" s="205"/>
      <c r="Q963" s="205"/>
      <c r="R963" s="203"/>
      <c r="S963" s="203"/>
      <c r="T963" s="203"/>
      <c r="U963" s="203"/>
      <c r="V963" s="203"/>
      <c r="W963" s="203"/>
      <c r="X963" s="203"/>
      <c r="Y963" s="203"/>
      <c r="Z963" s="203"/>
    </row>
    <row r="964" spans="1:26" ht="12.75" x14ac:dyDescent="0.2">
      <c r="A964" s="203"/>
      <c r="B964" s="203"/>
      <c r="C964" s="203"/>
      <c r="D964" s="203"/>
      <c r="E964" s="203"/>
      <c r="F964" s="203"/>
      <c r="G964" s="203"/>
      <c r="H964" s="203"/>
      <c r="I964" s="203"/>
      <c r="J964" s="203"/>
      <c r="K964" s="203"/>
      <c r="L964" s="203"/>
      <c r="M964" s="204"/>
      <c r="N964" s="204"/>
      <c r="O964" s="205"/>
      <c r="P964" s="205"/>
      <c r="Q964" s="205"/>
      <c r="R964" s="203"/>
      <c r="S964" s="203"/>
      <c r="T964" s="203"/>
      <c r="U964" s="203"/>
      <c r="V964" s="203"/>
      <c r="W964" s="203"/>
      <c r="X964" s="203"/>
      <c r="Y964" s="203"/>
      <c r="Z964" s="203"/>
    </row>
    <row r="965" spans="1:26" ht="12.75" x14ac:dyDescent="0.2">
      <c r="A965" s="203"/>
      <c r="B965" s="203"/>
      <c r="C965" s="203"/>
      <c r="D965" s="203"/>
      <c r="E965" s="203"/>
      <c r="F965" s="203"/>
      <c r="G965" s="203"/>
      <c r="H965" s="203"/>
      <c r="I965" s="203"/>
      <c r="J965" s="203"/>
      <c r="K965" s="203"/>
      <c r="L965" s="203"/>
      <c r="M965" s="204"/>
      <c r="N965" s="204"/>
      <c r="O965" s="205"/>
      <c r="P965" s="205"/>
      <c r="Q965" s="205"/>
      <c r="R965" s="203"/>
      <c r="S965" s="203"/>
      <c r="T965" s="203"/>
      <c r="U965" s="203"/>
      <c r="V965" s="203"/>
      <c r="W965" s="203"/>
      <c r="X965" s="203"/>
      <c r="Y965" s="203"/>
      <c r="Z965" s="203"/>
    </row>
    <row r="966" spans="1:26" ht="12.75" x14ac:dyDescent="0.2">
      <c r="A966" s="203"/>
      <c r="B966" s="203"/>
      <c r="C966" s="203"/>
      <c r="D966" s="203"/>
      <c r="E966" s="203"/>
      <c r="F966" s="203"/>
      <c r="G966" s="203"/>
      <c r="H966" s="203"/>
      <c r="I966" s="203"/>
      <c r="J966" s="203"/>
      <c r="K966" s="203"/>
      <c r="L966" s="203"/>
      <c r="M966" s="204"/>
      <c r="N966" s="204"/>
      <c r="O966" s="205"/>
      <c r="P966" s="205"/>
      <c r="Q966" s="205"/>
      <c r="R966" s="203"/>
      <c r="S966" s="203"/>
      <c r="T966" s="203"/>
      <c r="U966" s="203"/>
      <c r="V966" s="203"/>
      <c r="W966" s="203"/>
      <c r="X966" s="203"/>
      <c r="Y966" s="203"/>
      <c r="Z966" s="203"/>
    </row>
    <row r="967" spans="1:26" ht="12.75" x14ac:dyDescent="0.2">
      <c r="A967" s="203"/>
      <c r="B967" s="203"/>
      <c r="C967" s="203"/>
      <c r="D967" s="203"/>
      <c r="E967" s="203"/>
      <c r="F967" s="203"/>
      <c r="G967" s="203"/>
      <c r="H967" s="203"/>
      <c r="I967" s="203"/>
      <c r="J967" s="203"/>
      <c r="K967" s="203"/>
      <c r="L967" s="203"/>
      <c r="M967" s="204"/>
      <c r="N967" s="204"/>
      <c r="O967" s="205"/>
      <c r="P967" s="205"/>
      <c r="Q967" s="205"/>
      <c r="R967" s="203"/>
      <c r="S967" s="203"/>
      <c r="T967" s="203"/>
      <c r="U967" s="203"/>
      <c r="V967" s="203"/>
      <c r="W967" s="203"/>
      <c r="X967" s="203"/>
      <c r="Y967" s="203"/>
      <c r="Z967" s="203"/>
    </row>
    <row r="968" spans="1:26" ht="12.75" x14ac:dyDescent="0.2">
      <c r="A968" s="203"/>
      <c r="B968" s="203"/>
      <c r="C968" s="203"/>
      <c r="D968" s="203"/>
      <c r="E968" s="203"/>
      <c r="F968" s="203"/>
      <c r="G968" s="203"/>
      <c r="H968" s="203"/>
      <c r="I968" s="203"/>
      <c r="J968" s="203"/>
      <c r="K968" s="203"/>
      <c r="L968" s="203"/>
      <c r="M968" s="204"/>
      <c r="N968" s="204"/>
      <c r="O968" s="205"/>
      <c r="P968" s="205"/>
      <c r="Q968" s="205"/>
      <c r="R968" s="203"/>
      <c r="S968" s="203"/>
      <c r="T968" s="203"/>
      <c r="U968" s="203"/>
      <c r="V968" s="203"/>
      <c r="W968" s="203"/>
      <c r="X968" s="203"/>
      <c r="Y968" s="203"/>
      <c r="Z968" s="203"/>
    </row>
    <row r="969" spans="1:26" ht="12.75" x14ac:dyDescent="0.2">
      <c r="A969" s="203"/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203"/>
      <c r="M969" s="204"/>
      <c r="N969" s="204"/>
      <c r="O969" s="205"/>
      <c r="P969" s="205"/>
      <c r="Q969" s="205"/>
      <c r="R969" s="203"/>
      <c r="S969" s="203"/>
      <c r="T969" s="203"/>
      <c r="U969" s="203"/>
      <c r="V969" s="203"/>
      <c r="W969" s="203"/>
      <c r="X969" s="203"/>
      <c r="Y969" s="203"/>
      <c r="Z969" s="203"/>
    </row>
    <row r="970" spans="1:26" ht="12.75" x14ac:dyDescent="0.2">
      <c r="A970" s="203"/>
      <c r="B970" s="203"/>
      <c r="C970" s="203"/>
      <c r="D970" s="203"/>
      <c r="E970" s="203"/>
      <c r="F970" s="203"/>
      <c r="G970" s="203"/>
      <c r="H970" s="203"/>
      <c r="I970" s="203"/>
      <c r="J970" s="203"/>
      <c r="K970" s="203"/>
      <c r="L970" s="203"/>
      <c r="M970" s="204"/>
      <c r="N970" s="204"/>
      <c r="O970" s="205"/>
      <c r="P970" s="205"/>
      <c r="Q970" s="205"/>
      <c r="R970" s="203"/>
      <c r="S970" s="203"/>
      <c r="T970" s="203"/>
      <c r="U970" s="203"/>
      <c r="V970" s="203"/>
      <c r="W970" s="203"/>
      <c r="X970" s="203"/>
      <c r="Y970" s="203"/>
      <c r="Z970" s="203"/>
    </row>
    <row r="971" spans="1:26" ht="12.75" x14ac:dyDescent="0.2">
      <c r="A971" s="203"/>
      <c r="B971" s="203"/>
      <c r="C971" s="203"/>
      <c r="D971" s="203"/>
      <c r="E971" s="203"/>
      <c r="F971" s="203"/>
      <c r="G971" s="203"/>
      <c r="H971" s="203"/>
      <c r="I971" s="203"/>
      <c r="J971" s="203"/>
      <c r="K971" s="203"/>
      <c r="L971" s="203"/>
      <c r="M971" s="204"/>
      <c r="N971" s="204"/>
      <c r="O971" s="205"/>
      <c r="P971" s="205"/>
      <c r="Q971" s="205"/>
      <c r="R971" s="203"/>
      <c r="S971" s="203"/>
      <c r="T971" s="203"/>
      <c r="U971" s="203"/>
      <c r="V971" s="203"/>
      <c r="W971" s="203"/>
      <c r="X971" s="203"/>
      <c r="Y971" s="203"/>
      <c r="Z971" s="203"/>
    </row>
    <row r="972" spans="1:26" ht="12.75" x14ac:dyDescent="0.2">
      <c r="A972" s="203"/>
      <c r="B972" s="203"/>
      <c r="C972" s="203"/>
      <c r="D972" s="203"/>
      <c r="E972" s="203"/>
      <c r="F972" s="203"/>
      <c r="G972" s="203"/>
      <c r="H972" s="203"/>
      <c r="I972" s="203"/>
      <c r="J972" s="203"/>
      <c r="K972" s="203"/>
      <c r="L972" s="203"/>
      <c r="M972" s="204"/>
      <c r="N972" s="204"/>
      <c r="O972" s="205"/>
      <c r="P972" s="205"/>
      <c r="Q972" s="205"/>
      <c r="R972" s="203"/>
      <c r="S972" s="203"/>
      <c r="T972" s="203"/>
      <c r="U972" s="203"/>
      <c r="V972" s="203"/>
      <c r="W972" s="203"/>
      <c r="X972" s="203"/>
      <c r="Y972" s="203"/>
      <c r="Z972" s="203"/>
    </row>
    <row r="973" spans="1:26" ht="12.75" x14ac:dyDescent="0.2">
      <c r="A973" s="203"/>
      <c r="B973" s="203"/>
      <c r="C973" s="203"/>
      <c r="D973" s="203"/>
      <c r="E973" s="203"/>
      <c r="F973" s="203"/>
      <c r="G973" s="203"/>
      <c r="H973" s="203"/>
      <c r="I973" s="203"/>
      <c r="J973" s="203"/>
      <c r="K973" s="203"/>
      <c r="L973" s="203"/>
      <c r="M973" s="204"/>
      <c r="N973" s="204"/>
      <c r="O973" s="205"/>
      <c r="P973" s="205"/>
      <c r="Q973" s="205"/>
      <c r="R973" s="203"/>
      <c r="S973" s="203"/>
      <c r="T973" s="203"/>
      <c r="U973" s="203"/>
      <c r="V973" s="203"/>
      <c r="W973" s="203"/>
      <c r="X973" s="203"/>
      <c r="Y973" s="203"/>
      <c r="Z973" s="203"/>
    </row>
    <row r="974" spans="1:26" ht="12.75" x14ac:dyDescent="0.2">
      <c r="A974" s="203"/>
      <c r="B974" s="203"/>
      <c r="C974" s="203"/>
      <c r="D974" s="203"/>
      <c r="E974" s="203"/>
      <c r="F974" s="203"/>
      <c r="G974" s="203"/>
      <c r="H974" s="203"/>
      <c r="I974" s="203"/>
      <c r="J974" s="203"/>
      <c r="K974" s="203"/>
      <c r="L974" s="203"/>
      <c r="M974" s="204"/>
      <c r="N974" s="204"/>
      <c r="O974" s="205"/>
      <c r="P974" s="205"/>
      <c r="Q974" s="205"/>
      <c r="R974" s="203"/>
      <c r="S974" s="203"/>
      <c r="T974" s="203"/>
      <c r="U974" s="203"/>
      <c r="V974" s="203"/>
      <c r="W974" s="203"/>
      <c r="X974" s="203"/>
      <c r="Y974" s="203"/>
      <c r="Z974" s="203"/>
    </row>
    <row r="975" spans="1:26" ht="12.75" x14ac:dyDescent="0.2">
      <c r="A975" s="203"/>
      <c r="B975" s="203"/>
      <c r="C975" s="203"/>
      <c r="D975" s="203"/>
      <c r="E975" s="203"/>
      <c r="F975" s="203"/>
      <c r="G975" s="203"/>
      <c r="H975" s="203"/>
      <c r="I975" s="203"/>
      <c r="J975" s="203"/>
      <c r="K975" s="203"/>
      <c r="L975" s="203"/>
      <c r="M975" s="204"/>
      <c r="N975" s="204"/>
      <c r="O975" s="205"/>
      <c r="P975" s="205"/>
      <c r="Q975" s="205"/>
      <c r="R975" s="203"/>
      <c r="S975" s="203"/>
      <c r="T975" s="203"/>
      <c r="U975" s="203"/>
      <c r="V975" s="203"/>
      <c r="W975" s="203"/>
      <c r="X975" s="203"/>
      <c r="Y975" s="203"/>
      <c r="Z975" s="203"/>
    </row>
    <row r="976" spans="1:26" ht="12.75" x14ac:dyDescent="0.2">
      <c r="A976" s="203"/>
      <c r="B976" s="203"/>
      <c r="C976" s="203"/>
      <c r="D976" s="203"/>
      <c r="E976" s="203"/>
      <c r="F976" s="203"/>
      <c r="G976" s="203"/>
      <c r="H976" s="203"/>
      <c r="I976" s="203"/>
      <c r="J976" s="203"/>
      <c r="K976" s="203"/>
      <c r="L976" s="203"/>
      <c r="M976" s="204"/>
      <c r="N976" s="204"/>
      <c r="O976" s="205"/>
      <c r="P976" s="205"/>
      <c r="Q976" s="205"/>
      <c r="R976" s="203"/>
      <c r="S976" s="203"/>
      <c r="T976" s="203"/>
      <c r="U976" s="203"/>
      <c r="V976" s="203"/>
      <c r="W976" s="203"/>
      <c r="X976" s="203"/>
      <c r="Y976" s="203"/>
      <c r="Z976" s="203"/>
    </row>
    <row r="977" spans="1:26" ht="12.75" x14ac:dyDescent="0.2">
      <c r="A977" s="203"/>
      <c r="B977" s="203"/>
      <c r="C977" s="203"/>
      <c r="D977" s="203"/>
      <c r="E977" s="203"/>
      <c r="F977" s="203"/>
      <c r="G977" s="203"/>
      <c r="H977" s="203"/>
      <c r="I977" s="203"/>
      <c r="J977" s="203"/>
      <c r="K977" s="203"/>
      <c r="L977" s="203"/>
      <c r="M977" s="204"/>
      <c r="N977" s="204"/>
      <c r="O977" s="205"/>
      <c r="P977" s="205"/>
      <c r="Q977" s="205"/>
      <c r="R977" s="203"/>
      <c r="S977" s="203"/>
      <c r="T977" s="203"/>
      <c r="U977" s="203"/>
      <c r="V977" s="203"/>
      <c r="W977" s="203"/>
      <c r="X977" s="203"/>
      <c r="Y977" s="203"/>
      <c r="Z977" s="203"/>
    </row>
    <row r="978" spans="1:26" ht="12.75" x14ac:dyDescent="0.2">
      <c r="A978" s="203"/>
      <c r="B978" s="203"/>
      <c r="C978" s="203"/>
      <c r="D978" s="203"/>
      <c r="E978" s="203"/>
      <c r="F978" s="203"/>
      <c r="G978" s="203"/>
      <c r="H978" s="203"/>
      <c r="I978" s="203"/>
      <c r="J978" s="203"/>
      <c r="K978" s="203"/>
      <c r="L978" s="203"/>
      <c r="M978" s="204"/>
      <c r="N978" s="204"/>
      <c r="O978" s="205"/>
      <c r="P978" s="205"/>
      <c r="Q978" s="205"/>
      <c r="R978" s="203"/>
      <c r="S978" s="203"/>
      <c r="T978" s="203"/>
      <c r="U978" s="203"/>
      <c r="V978" s="203"/>
      <c r="W978" s="203"/>
      <c r="X978" s="203"/>
      <c r="Y978" s="203"/>
      <c r="Z978" s="203"/>
    </row>
    <row r="979" spans="1:26" ht="12.75" x14ac:dyDescent="0.2">
      <c r="A979" s="203"/>
      <c r="B979" s="203"/>
      <c r="C979" s="203"/>
      <c r="D979" s="203"/>
      <c r="E979" s="203"/>
      <c r="F979" s="203"/>
      <c r="G979" s="203"/>
      <c r="H979" s="203"/>
      <c r="I979" s="203"/>
      <c r="J979" s="203"/>
      <c r="K979" s="203"/>
      <c r="L979" s="203"/>
      <c r="M979" s="204"/>
      <c r="N979" s="204"/>
      <c r="O979" s="205"/>
      <c r="P979" s="205"/>
      <c r="Q979" s="205"/>
      <c r="R979" s="203"/>
      <c r="S979" s="203"/>
      <c r="T979" s="203"/>
      <c r="U979" s="203"/>
      <c r="V979" s="203"/>
      <c r="W979" s="203"/>
      <c r="X979" s="203"/>
      <c r="Y979" s="203"/>
      <c r="Z979" s="203"/>
    </row>
    <row r="980" spans="1:26" ht="12.75" x14ac:dyDescent="0.2">
      <c r="A980" s="203"/>
      <c r="B980" s="203"/>
      <c r="C980" s="203"/>
      <c r="D980" s="203"/>
      <c r="E980" s="203"/>
      <c r="F980" s="203"/>
      <c r="G980" s="203"/>
      <c r="H980" s="203"/>
      <c r="I980" s="203"/>
      <c r="J980" s="203"/>
      <c r="K980" s="203"/>
      <c r="L980" s="203"/>
      <c r="M980" s="204"/>
      <c r="N980" s="204"/>
      <c r="O980" s="205"/>
      <c r="P980" s="205"/>
      <c r="Q980" s="205"/>
      <c r="R980" s="203"/>
      <c r="S980" s="203"/>
      <c r="T980" s="203"/>
      <c r="U980" s="203"/>
      <c r="V980" s="203"/>
      <c r="W980" s="203"/>
      <c r="X980" s="203"/>
      <c r="Y980" s="203"/>
      <c r="Z980" s="203"/>
    </row>
    <row r="981" spans="1:26" ht="12.75" x14ac:dyDescent="0.2">
      <c r="A981" s="203"/>
      <c r="B981" s="203"/>
      <c r="C981" s="203"/>
      <c r="D981" s="203"/>
      <c r="E981" s="203"/>
      <c r="F981" s="203"/>
      <c r="G981" s="203"/>
      <c r="H981" s="203"/>
      <c r="I981" s="203"/>
      <c r="J981" s="203"/>
      <c r="K981" s="203"/>
      <c r="L981" s="203"/>
      <c r="M981" s="204"/>
      <c r="N981" s="204"/>
      <c r="O981" s="205"/>
      <c r="P981" s="205"/>
      <c r="Q981" s="205"/>
      <c r="R981" s="203"/>
      <c r="S981" s="203"/>
      <c r="T981" s="203"/>
      <c r="U981" s="203"/>
      <c r="V981" s="203"/>
      <c r="W981" s="203"/>
      <c r="X981" s="203"/>
      <c r="Y981" s="203"/>
      <c r="Z981" s="203"/>
    </row>
    <row r="982" spans="1:26" ht="12.75" x14ac:dyDescent="0.2">
      <c r="A982" s="203"/>
      <c r="B982" s="203"/>
      <c r="C982" s="203"/>
      <c r="D982" s="203"/>
      <c r="E982" s="203"/>
      <c r="F982" s="203"/>
      <c r="G982" s="203"/>
      <c r="H982" s="203"/>
      <c r="I982" s="203"/>
      <c r="J982" s="203"/>
      <c r="K982" s="203"/>
      <c r="L982" s="203"/>
      <c r="M982" s="204"/>
      <c r="N982" s="204"/>
      <c r="O982" s="205"/>
      <c r="P982" s="205"/>
      <c r="Q982" s="205"/>
      <c r="R982" s="203"/>
      <c r="S982" s="203"/>
      <c r="T982" s="203"/>
      <c r="U982" s="203"/>
      <c r="V982" s="203"/>
      <c r="W982" s="203"/>
      <c r="X982" s="203"/>
      <c r="Y982" s="203"/>
      <c r="Z982" s="203"/>
    </row>
    <row r="983" spans="1:26" ht="12.75" x14ac:dyDescent="0.2">
      <c r="A983" s="203"/>
      <c r="B983" s="203"/>
      <c r="C983" s="203"/>
      <c r="D983" s="203"/>
      <c r="E983" s="203"/>
      <c r="F983" s="203"/>
      <c r="G983" s="203"/>
      <c r="H983" s="203"/>
      <c r="I983" s="203"/>
      <c r="J983" s="203"/>
      <c r="K983" s="203"/>
      <c r="L983" s="203"/>
      <c r="M983" s="204"/>
      <c r="N983" s="204"/>
      <c r="O983" s="205"/>
      <c r="P983" s="205"/>
      <c r="Q983" s="205"/>
      <c r="R983" s="203"/>
      <c r="S983" s="203"/>
      <c r="T983" s="203"/>
      <c r="U983" s="203"/>
      <c r="V983" s="203"/>
      <c r="W983" s="203"/>
      <c r="X983" s="203"/>
      <c r="Y983" s="203"/>
      <c r="Z983" s="203"/>
    </row>
    <row r="984" spans="1:26" ht="12.75" x14ac:dyDescent="0.2">
      <c r="A984" s="203"/>
      <c r="B984" s="203"/>
      <c r="C984" s="203"/>
      <c r="D984" s="203"/>
      <c r="E984" s="203"/>
      <c r="F984" s="203"/>
      <c r="G984" s="203"/>
      <c r="H984" s="203"/>
      <c r="I984" s="203"/>
      <c r="J984" s="203"/>
      <c r="K984" s="203"/>
      <c r="L984" s="203"/>
      <c r="M984" s="204"/>
      <c r="N984" s="204"/>
      <c r="O984" s="205"/>
      <c r="P984" s="205"/>
      <c r="Q984" s="205"/>
      <c r="R984" s="203"/>
      <c r="S984" s="203"/>
      <c r="T984" s="203"/>
      <c r="U984" s="203"/>
      <c r="V984" s="203"/>
      <c r="W984" s="203"/>
      <c r="X984" s="203"/>
      <c r="Y984" s="203"/>
      <c r="Z984" s="203"/>
    </row>
    <row r="985" spans="1:26" ht="12.75" x14ac:dyDescent="0.2">
      <c r="A985" s="206"/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</row>
  </sheetData>
  <mergeCells count="26">
    <mergeCell ref="S5:T5"/>
    <mergeCell ref="V5:W5"/>
    <mergeCell ref="A2:B6"/>
    <mergeCell ref="C2:Z2"/>
    <mergeCell ref="C3:Q3"/>
    <mergeCell ref="R3:T4"/>
    <mergeCell ref="U3:W4"/>
    <mergeCell ref="X3:Z4"/>
    <mergeCell ref="C4:G4"/>
    <mergeCell ref="Y5:Z5"/>
    <mergeCell ref="A13:B13"/>
    <mergeCell ref="A31:B31"/>
    <mergeCell ref="A52:B52"/>
    <mergeCell ref="A74:B74"/>
    <mergeCell ref="A89:B89"/>
    <mergeCell ref="H4:I4"/>
    <mergeCell ref="J4:Q4"/>
    <mergeCell ref="C5:C6"/>
    <mergeCell ref="D5:D6"/>
    <mergeCell ref="A7:B7"/>
    <mergeCell ref="E5:E6"/>
    <mergeCell ref="F5:F6"/>
    <mergeCell ref="G5:G6"/>
    <mergeCell ref="J5:K5"/>
    <mergeCell ref="L5:N5"/>
    <mergeCell ref="O5:Q5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AG989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85546875" customWidth="1"/>
    <col min="19" max="20" width="11.42578125" customWidth="1"/>
    <col min="21" max="24" width="10.140625" customWidth="1"/>
    <col min="25" max="25" width="11.42578125" customWidth="1"/>
    <col min="26" max="30" width="10.140625" customWidth="1"/>
    <col min="31" max="31" width="11.42578125" customWidth="1"/>
    <col min="32" max="33" width="10.1406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2">
      <c r="A2" s="438" t="s">
        <v>1</v>
      </c>
      <c r="B2" s="379"/>
      <c r="C2" s="369" t="s">
        <v>133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1"/>
    </row>
    <row r="3" spans="1:33" ht="30" customHeight="1" x14ac:dyDescent="0.2">
      <c r="A3" s="432"/>
      <c r="B3" s="390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39" t="s">
        <v>22</v>
      </c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6"/>
    </row>
    <row r="4" spans="1:33" ht="60" customHeight="1" x14ac:dyDescent="0.2">
      <c r="A4" s="432"/>
      <c r="B4" s="390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440" t="s">
        <v>134</v>
      </c>
      <c r="S4" s="375" t="s">
        <v>135</v>
      </c>
      <c r="T4" s="373"/>
      <c r="U4" s="373"/>
      <c r="V4" s="373"/>
      <c r="W4" s="373"/>
      <c r="X4" s="376"/>
      <c r="Y4" s="375" t="s">
        <v>136</v>
      </c>
      <c r="Z4" s="373"/>
      <c r="AA4" s="373"/>
      <c r="AB4" s="373"/>
      <c r="AC4" s="373"/>
      <c r="AD4" s="376"/>
      <c r="AE4" s="375" t="s">
        <v>137</v>
      </c>
      <c r="AF4" s="373"/>
      <c r="AG4" s="376"/>
    </row>
    <row r="5" spans="1:33" ht="24" customHeight="1" x14ac:dyDescent="0.3">
      <c r="A5" s="432"/>
      <c r="B5" s="390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441"/>
      <c r="S5" s="386" t="s">
        <v>21</v>
      </c>
      <c r="T5" s="376"/>
      <c r="U5" s="393" t="s">
        <v>22</v>
      </c>
      <c r="V5" s="376"/>
      <c r="W5" s="393" t="s">
        <v>22</v>
      </c>
      <c r="X5" s="376"/>
      <c r="Y5" s="386" t="s">
        <v>21</v>
      </c>
      <c r="Z5" s="376"/>
      <c r="AA5" s="393" t="s">
        <v>22</v>
      </c>
      <c r="AB5" s="376"/>
      <c r="AC5" s="393" t="s">
        <v>22</v>
      </c>
      <c r="AD5" s="376"/>
      <c r="AE5" s="207" t="s">
        <v>21</v>
      </c>
      <c r="AF5" s="393" t="s">
        <v>22</v>
      </c>
      <c r="AG5" s="376"/>
    </row>
    <row r="6" spans="1:33" ht="30" customHeight="1" x14ac:dyDescent="0.2">
      <c r="A6" s="433"/>
      <c r="B6" s="382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408"/>
      <c r="S6" s="14" t="s">
        <v>28</v>
      </c>
      <c r="T6" s="208" t="s">
        <v>138</v>
      </c>
      <c r="U6" s="17" t="s">
        <v>28</v>
      </c>
      <c r="V6" s="16" t="s">
        <v>24</v>
      </c>
      <c r="W6" s="209" t="s">
        <v>138</v>
      </c>
      <c r="X6" s="16" t="s">
        <v>24</v>
      </c>
      <c r="Y6" s="14" t="s">
        <v>28</v>
      </c>
      <c r="Z6" s="208" t="s">
        <v>138</v>
      </c>
      <c r="AA6" s="17" t="s">
        <v>28</v>
      </c>
      <c r="AB6" s="16" t="s">
        <v>24</v>
      </c>
      <c r="AC6" s="209" t="s">
        <v>138</v>
      </c>
      <c r="AD6" s="16" t="s">
        <v>24</v>
      </c>
      <c r="AE6" s="18" t="s">
        <v>139</v>
      </c>
      <c r="AF6" s="210" t="s">
        <v>139</v>
      </c>
      <c r="AG6" s="16" t="s">
        <v>24</v>
      </c>
    </row>
    <row r="7" spans="1:33" ht="24" customHeight="1" x14ac:dyDescent="0.3">
      <c r="A7" s="419" t="s">
        <v>31</v>
      </c>
      <c r="B7" s="420"/>
      <c r="C7" s="141">
        <f t="shared" ref="C7:C10" ca="1" si="0">D7+G7</f>
        <v>3675200</v>
      </c>
      <c r="D7" s="142">
        <f t="shared" ref="D7:E7" ca="1" si="1">D8+D9+D12</f>
        <v>3675200</v>
      </c>
      <c r="E7" s="143">
        <f t="shared" ca="1" si="1"/>
        <v>1653800</v>
      </c>
      <c r="F7" s="144">
        <f ca="1">F8+F9</f>
        <v>2021400</v>
      </c>
      <c r="G7" s="145">
        <f t="shared" ref="G7:I7" ca="1" si="2">G8+G9+G12</f>
        <v>0</v>
      </c>
      <c r="H7" s="211">
        <f t="shared" ca="1" si="2"/>
        <v>3313200</v>
      </c>
      <c r="I7" s="211">
        <f t="shared" ca="1" si="2"/>
        <v>0</v>
      </c>
      <c r="J7" s="147">
        <f t="shared" ref="J7:J10" ca="1" si="3">L7+O7</f>
        <v>745646.9800000001</v>
      </c>
      <c r="K7" s="148">
        <f t="shared" ref="K7:K10" ca="1" si="4">IF(C7&gt;0,J7*100/C7,0)</f>
        <v>20.288609599477585</v>
      </c>
      <c r="L7" s="147">
        <f ca="1">L8+L9+L12</f>
        <v>745646.9800000001</v>
      </c>
      <c r="M7" s="149">
        <f t="shared" ref="M7:M10" ca="1" si="5">IF(D7&gt;0,L7*100/D7,0)</f>
        <v>20.288609599477585</v>
      </c>
      <c r="N7" s="149">
        <f t="shared" ref="N7:N10" ca="1" si="6">IF(H7&gt;0,L7*100/H7,0)</f>
        <v>22.505341663648441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2">
        <f t="shared" ref="R7:U7" ca="1" si="9">R8</f>
        <v>0</v>
      </c>
      <c r="S7" s="31">
        <f t="shared" ca="1" si="9"/>
        <v>270</v>
      </c>
      <c r="T7" s="31">
        <f t="shared" ca="1" si="9"/>
        <v>27</v>
      </c>
      <c r="U7" s="32">
        <f t="shared" ca="1" si="9"/>
        <v>0</v>
      </c>
      <c r="V7" s="33">
        <f t="shared" ref="V7:V8" ca="1" si="10">IF(S7&gt;0,U7*100/S7,0)</f>
        <v>0</v>
      </c>
      <c r="W7" s="32">
        <f ca="1">W8</f>
        <v>0</v>
      </c>
      <c r="X7" s="33">
        <f t="shared" ref="X7:X8" ca="1" si="11">IF(T7&gt;0,W7*100/T7,0)</f>
        <v>0</v>
      </c>
      <c r="Y7" s="31">
        <f t="shared" ref="Y7:AA7" ca="1" si="12">Y8</f>
        <v>1070</v>
      </c>
      <c r="Z7" s="31">
        <f t="shared" ca="1" si="12"/>
        <v>107</v>
      </c>
      <c r="AA7" s="32">
        <f t="shared" ca="1" si="12"/>
        <v>10</v>
      </c>
      <c r="AB7" s="33">
        <f t="shared" ref="AB7:AB8" ca="1" si="13">IF(Y7&gt;0,AA7*100/Y7,0)</f>
        <v>0.93457943925233644</v>
      </c>
      <c r="AC7" s="32">
        <f ca="1">AC8</f>
        <v>1</v>
      </c>
      <c r="AD7" s="33">
        <f t="shared" ref="AD7:AD8" ca="1" si="14">IF(Z7&gt;0,AC7*100/Z7,0)</f>
        <v>0.93457943925233644</v>
      </c>
      <c r="AE7" s="31">
        <f t="shared" ref="AE7:AF7" ca="1" si="15">AE8</f>
        <v>27</v>
      </c>
      <c r="AF7" s="32">
        <f t="shared" ca="1" si="15"/>
        <v>0</v>
      </c>
      <c r="AG7" s="33">
        <f t="shared" ref="AG7:AG8" ca="1" si="16">IF(AE7&gt;0,AF7*100/AE7,0)</f>
        <v>0</v>
      </c>
    </row>
    <row r="8" spans="1:33" ht="28.5" customHeight="1" x14ac:dyDescent="0.3">
      <c r="A8" s="152" t="s">
        <v>32</v>
      </c>
      <c r="B8" s="153"/>
      <c r="C8" s="154">
        <f t="shared" ca="1" si="0"/>
        <v>3363200</v>
      </c>
      <c r="D8" s="154">
        <f t="shared" ref="D8:I8" ca="1" si="17">+D13+D31+D52+D74</f>
        <v>3363200</v>
      </c>
      <c r="E8" s="154">
        <f t="shared" ca="1" si="17"/>
        <v>1561000</v>
      </c>
      <c r="F8" s="154">
        <f t="shared" ca="1" si="17"/>
        <v>1802200</v>
      </c>
      <c r="G8" s="154">
        <f t="shared" ca="1" si="17"/>
        <v>0</v>
      </c>
      <c r="H8" s="154">
        <f t="shared" ca="1" si="17"/>
        <v>2741700</v>
      </c>
      <c r="I8" s="154">
        <f t="shared" ca="1" si="17"/>
        <v>0</v>
      </c>
      <c r="J8" s="154">
        <f t="shared" ca="1" si="3"/>
        <v>618319.18000000005</v>
      </c>
      <c r="K8" s="155">
        <f t="shared" ca="1" si="4"/>
        <v>18.384847169362516</v>
      </c>
      <c r="L8" s="154">
        <f ca="1">+L13+L31+L52+L74</f>
        <v>618319.18000000005</v>
      </c>
      <c r="M8" s="156">
        <f t="shared" ca="1" si="5"/>
        <v>18.384847169362516</v>
      </c>
      <c r="N8" s="156">
        <f t="shared" ca="1" si="6"/>
        <v>22.552401065032647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8">
        <f t="shared" ref="R8:U8" ca="1" si="18">+R13+R31+R52+R74</f>
        <v>0</v>
      </c>
      <c r="S8" s="38">
        <f t="shared" ca="1" si="18"/>
        <v>270</v>
      </c>
      <c r="T8" s="38">
        <f t="shared" ca="1" si="18"/>
        <v>27</v>
      </c>
      <c r="U8" s="38">
        <f t="shared" ca="1" si="18"/>
        <v>0</v>
      </c>
      <c r="V8" s="40">
        <f t="shared" ca="1" si="10"/>
        <v>0</v>
      </c>
      <c r="W8" s="38">
        <f ca="1">+W13+W31+W52+W74</f>
        <v>0</v>
      </c>
      <c r="X8" s="40">
        <f t="shared" ca="1" si="11"/>
        <v>0</v>
      </c>
      <c r="Y8" s="38">
        <f t="shared" ref="Y8:AA8" ca="1" si="19">+Y13+Y31+Y52+Y74</f>
        <v>1070</v>
      </c>
      <c r="Z8" s="38">
        <f t="shared" ca="1" si="19"/>
        <v>107</v>
      </c>
      <c r="AA8" s="38">
        <f t="shared" ca="1" si="19"/>
        <v>10</v>
      </c>
      <c r="AB8" s="40">
        <f t="shared" ca="1" si="13"/>
        <v>0.93457943925233644</v>
      </c>
      <c r="AC8" s="38">
        <f ca="1">+AC13+AC31+AC52+AC74</f>
        <v>1</v>
      </c>
      <c r="AD8" s="40">
        <f t="shared" ca="1" si="14"/>
        <v>0.93457943925233644</v>
      </c>
      <c r="AE8" s="38">
        <f t="shared" ref="AE8:AF8" ca="1" si="20">+AE13+AE31+AE52+AE74</f>
        <v>27</v>
      </c>
      <c r="AF8" s="38">
        <f t="shared" ca="1" si="20"/>
        <v>0</v>
      </c>
      <c r="AG8" s="40">
        <f t="shared" ca="1" si="16"/>
        <v>0</v>
      </c>
    </row>
    <row r="9" spans="1:33" ht="28.5" customHeight="1" x14ac:dyDescent="0.3">
      <c r="A9" s="158" t="s">
        <v>33</v>
      </c>
      <c r="B9" s="159"/>
      <c r="C9" s="160">
        <f t="shared" ca="1" si="0"/>
        <v>312000</v>
      </c>
      <c r="D9" s="160">
        <f t="shared" ref="D9:I9" ca="1" si="21">+D10+D11</f>
        <v>312000</v>
      </c>
      <c r="E9" s="160">
        <f t="shared" ca="1" si="21"/>
        <v>92800</v>
      </c>
      <c r="F9" s="160">
        <f t="shared" ca="1" si="21"/>
        <v>219200</v>
      </c>
      <c r="G9" s="160">
        <f t="shared" ca="1" si="21"/>
        <v>0</v>
      </c>
      <c r="H9" s="160">
        <f t="shared" ca="1" si="21"/>
        <v>571500</v>
      </c>
      <c r="I9" s="160">
        <f t="shared" ca="1" si="21"/>
        <v>0</v>
      </c>
      <c r="J9" s="160">
        <f t="shared" ca="1" si="3"/>
        <v>127327.8</v>
      </c>
      <c r="K9" s="161">
        <f t="shared" ca="1" si="4"/>
        <v>40.810192307692304</v>
      </c>
      <c r="L9" s="160">
        <f ca="1">+L10+L11</f>
        <v>127327.8</v>
      </c>
      <c r="M9" s="162">
        <f t="shared" ca="1" si="5"/>
        <v>40.810192307692304</v>
      </c>
      <c r="N9" s="162">
        <f t="shared" ca="1" si="6"/>
        <v>22.27958005249344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46"/>
      <c r="S9" s="46"/>
      <c r="T9" s="46"/>
      <c r="U9" s="46"/>
      <c r="V9" s="49"/>
      <c r="W9" s="46"/>
      <c r="X9" s="49"/>
      <c r="Y9" s="46"/>
      <c r="Z9" s="46"/>
      <c r="AA9" s="46"/>
      <c r="AB9" s="49"/>
      <c r="AC9" s="46"/>
      <c r="AD9" s="49"/>
      <c r="AE9" s="46"/>
      <c r="AF9" s="46"/>
      <c r="AG9" s="49"/>
    </row>
    <row r="10" spans="1:33" ht="28.5" customHeight="1" x14ac:dyDescent="0.3">
      <c r="A10" s="158" t="s">
        <v>34</v>
      </c>
      <c r="B10" s="159"/>
      <c r="C10" s="160">
        <f t="shared" ca="1" si="0"/>
        <v>312000</v>
      </c>
      <c r="D10" s="160">
        <f t="shared" ref="D10:I10" ca="1" si="22">+D89</f>
        <v>312000</v>
      </c>
      <c r="E10" s="160">
        <f t="shared" ca="1" si="22"/>
        <v>92800</v>
      </c>
      <c r="F10" s="160">
        <f t="shared" ca="1" si="22"/>
        <v>219200</v>
      </c>
      <c r="G10" s="160">
        <f t="shared" ca="1" si="22"/>
        <v>0</v>
      </c>
      <c r="H10" s="160">
        <f t="shared" ca="1" si="22"/>
        <v>571500</v>
      </c>
      <c r="I10" s="160">
        <f t="shared" ca="1" si="22"/>
        <v>0</v>
      </c>
      <c r="J10" s="160">
        <f t="shared" ca="1" si="3"/>
        <v>127327.8</v>
      </c>
      <c r="K10" s="161">
        <f t="shared" ca="1" si="4"/>
        <v>40.810192307692304</v>
      </c>
      <c r="L10" s="160">
        <f ca="1">+L89</f>
        <v>127327.8</v>
      </c>
      <c r="M10" s="162">
        <f t="shared" ca="1" si="5"/>
        <v>40.810192307692304</v>
      </c>
      <c r="N10" s="162">
        <f t="shared" ca="1" si="6"/>
        <v>22.27958005249344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46"/>
      <c r="S10" s="46"/>
      <c r="T10" s="46"/>
      <c r="U10" s="46"/>
      <c r="V10" s="49"/>
      <c r="W10" s="46"/>
      <c r="X10" s="49"/>
      <c r="Y10" s="46"/>
      <c r="Z10" s="46"/>
      <c r="AA10" s="46"/>
      <c r="AB10" s="49"/>
      <c r="AC10" s="46"/>
      <c r="AD10" s="49"/>
      <c r="AE10" s="46"/>
      <c r="AF10" s="46"/>
      <c r="AG10" s="49"/>
    </row>
    <row r="11" spans="1:33" ht="28.5" hidden="1" customHeight="1" x14ac:dyDescent="0.3">
      <c r="A11" s="164"/>
      <c r="B11" s="165"/>
      <c r="C11" s="166"/>
      <c r="D11" s="166"/>
      <c r="E11" s="166"/>
      <c r="F11" s="166"/>
      <c r="G11" s="166"/>
      <c r="H11" s="166"/>
      <c r="I11" s="166"/>
      <c r="J11" s="166"/>
      <c r="K11" s="167"/>
      <c r="L11" s="166"/>
      <c r="M11" s="168"/>
      <c r="N11" s="168"/>
      <c r="O11" s="169"/>
      <c r="P11" s="169"/>
      <c r="Q11" s="168"/>
      <c r="R11" s="55"/>
      <c r="S11" s="55"/>
      <c r="T11" s="55"/>
      <c r="U11" s="55"/>
      <c r="V11" s="58"/>
      <c r="W11" s="55"/>
      <c r="X11" s="58"/>
      <c r="Y11" s="55"/>
      <c r="Z11" s="55"/>
      <c r="AA11" s="55"/>
      <c r="AB11" s="58"/>
      <c r="AC11" s="55"/>
      <c r="AD11" s="58"/>
      <c r="AE11" s="55"/>
      <c r="AF11" s="55"/>
      <c r="AG11" s="58"/>
    </row>
    <row r="12" spans="1:33" ht="28.5" hidden="1" customHeight="1" x14ac:dyDescent="0.3">
      <c r="A12" s="170"/>
      <c r="B12" s="171"/>
      <c r="C12" s="166"/>
      <c r="D12" s="166"/>
      <c r="E12" s="166"/>
      <c r="F12" s="166"/>
      <c r="G12" s="166"/>
      <c r="H12" s="166"/>
      <c r="I12" s="166"/>
      <c r="J12" s="166"/>
      <c r="K12" s="167"/>
      <c r="L12" s="166"/>
      <c r="M12" s="168"/>
      <c r="N12" s="168"/>
      <c r="O12" s="169"/>
      <c r="P12" s="169"/>
      <c r="Q12" s="168"/>
      <c r="R12" s="64"/>
      <c r="S12" s="64"/>
      <c r="T12" s="64"/>
      <c r="U12" s="64"/>
      <c r="V12" s="66"/>
      <c r="W12" s="64"/>
      <c r="X12" s="66"/>
      <c r="Y12" s="64"/>
      <c r="Z12" s="64"/>
      <c r="AA12" s="64"/>
      <c r="AB12" s="66"/>
      <c r="AC12" s="64"/>
      <c r="AD12" s="66"/>
      <c r="AE12" s="64"/>
      <c r="AF12" s="64"/>
      <c r="AG12" s="66"/>
    </row>
    <row r="13" spans="1:33" ht="28.5" customHeight="1" x14ac:dyDescent="0.3">
      <c r="A13" s="421" t="s">
        <v>35</v>
      </c>
      <c r="B13" s="422"/>
      <c r="C13" s="154">
        <f t="shared" ref="C13:C88" ca="1" si="23">D13+G13</f>
        <v>1202200</v>
      </c>
      <c r="D13" s="154">
        <f t="shared" ref="D13:I13" ca="1" si="24">SUM(D14:D30)</f>
        <v>1202200</v>
      </c>
      <c r="E13" s="154">
        <f t="shared" ca="1" si="24"/>
        <v>500700</v>
      </c>
      <c r="F13" s="154">
        <f t="shared" ca="1" si="24"/>
        <v>701500</v>
      </c>
      <c r="G13" s="154">
        <f t="shared" ca="1" si="24"/>
        <v>0</v>
      </c>
      <c r="H13" s="154">
        <f t="shared" ca="1" si="24"/>
        <v>1005500</v>
      </c>
      <c r="I13" s="154">
        <f t="shared" ca="1" si="24"/>
        <v>0</v>
      </c>
      <c r="J13" s="154">
        <f t="shared" ref="J13:J88" ca="1" si="25">L13+O13</f>
        <v>271526.13</v>
      </c>
      <c r="K13" s="155">
        <f t="shared" ref="K13:K88" ca="1" si="26">IF(C13&gt;0,J13*100/C13,0)</f>
        <v>22.585770254533355</v>
      </c>
      <c r="L13" s="154">
        <f ca="1">SUM(L14:L30)</f>
        <v>271526.13</v>
      </c>
      <c r="M13" s="156">
        <f t="shared" ref="M13:M88" ca="1" si="27">IF(D13&gt;0,L13*100/D13,0)</f>
        <v>22.585770254533355</v>
      </c>
      <c r="N13" s="156">
        <f t="shared" ref="N13:N88" ca="1" si="28">IF(H13&gt;0,L13*100/H13,0)</f>
        <v>27.004090502237691</v>
      </c>
      <c r="O13" s="157">
        <f ca="1">SUM(O14:O30)</f>
        <v>0</v>
      </c>
      <c r="P13" s="157">
        <f t="shared" ref="P13:P88" ca="1" si="29">IF(G13&gt;0,O13*100/G13,0)</f>
        <v>0</v>
      </c>
      <c r="Q13" s="156">
        <f t="shared" ref="Q13:Q88" ca="1" si="30">IF(I13&gt;0,O13*100/I13,0)</f>
        <v>0</v>
      </c>
      <c r="R13" s="70">
        <f t="shared" ref="R13:U13" ca="1" si="31">SUM(R14:R30)</f>
        <v>0</v>
      </c>
      <c r="S13" s="70">
        <f t="shared" ca="1" si="31"/>
        <v>150</v>
      </c>
      <c r="T13" s="70">
        <f t="shared" ca="1" si="31"/>
        <v>15</v>
      </c>
      <c r="U13" s="70">
        <f t="shared" ca="1" si="31"/>
        <v>0</v>
      </c>
      <c r="V13" s="72">
        <f t="shared" ref="V13:V88" ca="1" si="32">IF(S13&gt;0,U13*100/S13,0)</f>
        <v>0</v>
      </c>
      <c r="W13" s="70">
        <f ca="1">SUM(W14:W30)</f>
        <v>0</v>
      </c>
      <c r="X13" s="72">
        <f t="shared" ref="X13:X88" ca="1" si="33">IF(T13&gt;0,W13*100/T13,0)</f>
        <v>0</v>
      </c>
      <c r="Y13" s="70">
        <f t="shared" ref="Y13:AA13" ca="1" si="34">SUM(Y14:Y30)</f>
        <v>400</v>
      </c>
      <c r="Z13" s="70">
        <f t="shared" ca="1" si="34"/>
        <v>40</v>
      </c>
      <c r="AA13" s="70">
        <f t="shared" ca="1" si="34"/>
        <v>10</v>
      </c>
      <c r="AB13" s="72">
        <f t="shared" ref="AB13:AB88" ca="1" si="35">IF(Y13&gt;0,AA13*100/Y13,0)</f>
        <v>2.5</v>
      </c>
      <c r="AC13" s="70">
        <f ca="1">SUM(AC14:AC30)</f>
        <v>1</v>
      </c>
      <c r="AD13" s="72">
        <f t="shared" ref="AD13:AD88" ca="1" si="36">IF(Z13&gt;0,AC13*100/Z13,0)</f>
        <v>2.5</v>
      </c>
      <c r="AE13" s="70">
        <f t="shared" ref="AE13:AF13" ca="1" si="37">SUM(AE14:AE30)</f>
        <v>15</v>
      </c>
      <c r="AF13" s="70">
        <f t="shared" ca="1" si="37"/>
        <v>0</v>
      </c>
      <c r="AG13" s="72">
        <f t="shared" ref="AG13:AG88" ca="1" si="38">IF(AE13&gt;0,AF13*100/AE13,0)</f>
        <v>0</v>
      </c>
    </row>
    <row r="14" spans="1:33" ht="24" customHeight="1" x14ac:dyDescent="0.3">
      <c r="A14" s="172">
        <v>1</v>
      </c>
      <c r="B14" s="173" t="s">
        <v>36</v>
      </c>
      <c r="C14" s="174">
        <f t="shared" ca="1" si="23"/>
        <v>0</v>
      </c>
      <c r="D14" s="175">
        <f t="shared" ref="D14:D30" ca="1" si="39">+E14+F14</f>
        <v>0</v>
      </c>
      <c r="E14" s="176">
        <f ca="1">IFERROR(__xludf.DUMMYFUNCTION("IMPORTRANGE(""https://docs.google.com/spreadsheets/d/1-uDff_7J0KD5mKrp0Vvzr7lt3OU09vwQwhkpOPPYv2Y/edit?usp=sharing"",""งบพรบ!BR14"")"),0)</f>
        <v>0</v>
      </c>
      <c r="F14" s="176">
        <f ca="1">IFERROR(__xludf.DUMMYFUNCTION("IMPORTRANGE(""https://docs.google.com/spreadsheets/d/1-uDff_7J0KD5mKrp0Vvzr7lt3OU09vwQwhkpOPPYv2Y/edit?usp=sharing"",""งบพรบ!BS14"")"),0)</f>
        <v>0</v>
      </c>
      <c r="G14" s="177">
        <f ca="1">IFERROR(__xludf.DUMMYFUNCTION("IMPORTRANGE(""https://docs.google.com/spreadsheets/d/1-uDff_7J0KD5mKrp0Vvzr7lt3OU09vwQwhkpOPPYv2Y/edit?usp=sharing"",""งบพรบ!BT14"")"),0)</f>
        <v>0</v>
      </c>
      <c r="H14" s="177">
        <f ca="1">IFERROR(__xludf.DUMMYFUNCTION("IMPORTRANGE(""https://docs.google.com/spreadsheets/d/1-uDff_7J0KD5mKrp0Vvzr7lt3OU09vwQwhkpOPPYv2Y/edit?usp=sharing"",""งบพรบ!BV14"")"),0)</f>
        <v>0</v>
      </c>
      <c r="I14" s="177">
        <f ca="1">IFERROR(__xludf.DUMMYFUNCTION("IMPORTRANGE(""https://docs.google.com/spreadsheets/d/1-uDff_7J0KD5mKrp0Vvzr7lt3OU09vwQwhkpOPPYv2Y/edit?usp=sharing"",""งบพรบ!BW14"")"),0)</f>
        <v>0</v>
      </c>
      <c r="J14" s="177">
        <f t="shared" ca="1" si="25"/>
        <v>0</v>
      </c>
      <c r="K14" s="178">
        <f t="shared" ca="1" si="26"/>
        <v>0</v>
      </c>
      <c r="L14" s="177">
        <f ca="1">IFERROR(__xludf.DUMMYFUNCTION("IMPORTRANGE(""https://docs.google.com/spreadsheets/d/1-uDff_7J0KD5mKrp0Vvzr7lt3OU09vwQwhkpOPPYv2Y/edit?usp=sharing"",""งบพรบ!BX14"")"),0)</f>
        <v>0</v>
      </c>
      <c r="M14" s="179">
        <f t="shared" ca="1" si="27"/>
        <v>0</v>
      </c>
      <c r="N14" s="179">
        <f t="shared" ca="1" si="28"/>
        <v>0</v>
      </c>
      <c r="O14" s="180">
        <f ca="1">IFERROR(__xludf.DUMMYFUNCTION("IMPORTRANGE(""https://docs.google.com/spreadsheets/d/1-uDff_7J0KD5mKrp0Vvzr7lt3OU09vwQwhkpOPPYv2Y/edit?usp=sharing"",""งบพรบ!BY14"")"),0)</f>
        <v>0</v>
      </c>
      <c r="P14" s="180">
        <f t="shared" ca="1" si="29"/>
        <v>0</v>
      </c>
      <c r="Q14" s="179">
        <f t="shared" ca="1" si="30"/>
        <v>0</v>
      </c>
      <c r="R14" s="79">
        <f ca="1">IFERROR(__xludf.DUMMYFUNCTION("IMPORTRANGE(""https://docs.google.com/spreadsheets/d/1jTcq05yEiRwXcBMLjiodW9e4biSGYWAHcDj22rKWQ3s/edit?usp=sharing"",""กำแพงเพชร!J149"")"),0)</f>
        <v>0</v>
      </c>
      <c r="S14" s="79">
        <f ca="1">IFERROR(__xludf.DUMMYFUNCTION("IMPORTRANGE(""https://docs.google.com/spreadsheets/d/1jTcq05yEiRwXcBMLjiodW9e4biSGYWAHcDj22rKWQ3s/edit?usp=sharing"",""กำแพงเพชร!I150"")"),0)</f>
        <v>0</v>
      </c>
      <c r="T14" s="79">
        <f ca="1">IFERROR(__xludf.DUMMYFUNCTION("IMPORTRANGE(""https://docs.google.com/spreadsheets/d/1jTcq05yEiRwXcBMLjiodW9e4biSGYWAHcDj22rKWQ3s/edit?usp=sharing"",""กำแพงเพชร!I151"")"),0)</f>
        <v>0</v>
      </c>
      <c r="U14" s="79">
        <f ca="1">IFERROR(__xludf.DUMMYFUNCTION("IMPORTRANGE(""https://docs.google.com/spreadsheets/d/1jTcq05yEiRwXcBMLjiodW9e4biSGYWAHcDj22rKWQ3s/edit?usp=sharing"",""กำแพงเพชร!J150"")"),0)</f>
        <v>0</v>
      </c>
      <c r="V14" s="83">
        <f t="shared" ca="1" si="32"/>
        <v>0</v>
      </c>
      <c r="W14" s="79">
        <f ca="1">IFERROR(__xludf.DUMMYFUNCTION("IMPORTRANGE(""https://docs.google.com/spreadsheets/d/1jTcq05yEiRwXcBMLjiodW9e4biSGYWAHcDj22rKWQ3s/edit?usp=sharing"",""กำแพงเพชร!J151"")"),0)</f>
        <v>0</v>
      </c>
      <c r="X14" s="83">
        <f t="shared" ca="1" si="33"/>
        <v>0</v>
      </c>
      <c r="Y14" s="79">
        <f ca="1">IFERROR(__xludf.DUMMYFUNCTION("IMPORTRANGE(""https://docs.google.com/spreadsheets/d/1jTcq05yEiRwXcBMLjiodW9e4biSGYWAHcDj22rKWQ3s/edit?usp=sharing"",""กำแพงเพชร!I152"")"),0)</f>
        <v>0</v>
      </c>
      <c r="Z14" s="79">
        <f ca="1">IFERROR(__xludf.DUMMYFUNCTION("IMPORTRANGE(""https://docs.google.com/spreadsheets/d/1jTcq05yEiRwXcBMLjiodW9e4biSGYWAHcDj22rKWQ3s/edit?usp=sharing"",""กำแพงเพชร!I153"")"),0)</f>
        <v>0</v>
      </c>
      <c r="AA14" s="79">
        <f ca="1">IFERROR(__xludf.DUMMYFUNCTION("IMPORTRANGE(""https://docs.google.com/spreadsheets/d/1jTcq05yEiRwXcBMLjiodW9e4biSGYWAHcDj22rKWQ3s/edit?usp=sharing"",""กำแพงเพชร!J152"")"),0)</f>
        <v>0</v>
      </c>
      <c r="AB14" s="83">
        <f t="shared" ca="1" si="35"/>
        <v>0</v>
      </c>
      <c r="AC14" s="79">
        <f ca="1">IFERROR(__xludf.DUMMYFUNCTION("IMPORTRANGE(""https://docs.google.com/spreadsheets/d/1jTcq05yEiRwXcBMLjiodW9e4biSGYWAHcDj22rKWQ3s/edit?usp=sharing"",""กำแพงเพชร!J153"")"),0)</f>
        <v>0</v>
      </c>
      <c r="AD14" s="83">
        <f t="shared" ca="1" si="36"/>
        <v>0</v>
      </c>
      <c r="AE14" s="79">
        <f ca="1">IFERROR(__xludf.DUMMYFUNCTION("IMPORTRANGE(""https://docs.google.com/spreadsheets/d/1jTcq05yEiRwXcBMLjiodW9e4biSGYWAHcDj22rKWQ3s/edit?usp=sharing"",""กำแพงเพชร!I154"")"),0)</f>
        <v>0</v>
      </c>
      <c r="AF14" s="79">
        <f ca="1">IFERROR(__xludf.DUMMYFUNCTION("IMPORTRANGE(""https://docs.google.com/spreadsheets/d/1jTcq05yEiRwXcBMLjiodW9e4biSGYWAHcDj22rKWQ3s/edit?usp=sharing"",""กำแพงเพชร!J154"")"),0)</f>
        <v>0</v>
      </c>
      <c r="AG14" s="83">
        <f t="shared" ca="1" si="38"/>
        <v>0</v>
      </c>
    </row>
    <row r="15" spans="1:33" ht="24" customHeight="1" x14ac:dyDescent="0.3">
      <c r="A15" s="172">
        <v>2</v>
      </c>
      <c r="B15" s="173" t="s">
        <v>37</v>
      </c>
      <c r="C15" s="174">
        <f t="shared" ca="1" si="23"/>
        <v>116300</v>
      </c>
      <c r="D15" s="175">
        <f t="shared" ca="1" si="39"/>
        <v>116300</v>
      </c>
      <c r="E15" s="176">
        <f ca="1">IFERROR(__xludf.DUMMYFUNCTION("IMPORTRANGE(""https://docs.google.com/spreadsheets/d/1-uDff_7J0KD5mKrp0Vvzr7lt3OU09vwQwhkpOPPYv2Y/edit?usp=sharing"",""งบพรบ!BR15"")"),0)</f>
        <v>0</v>
      </c>
      <c r="F15" s="176">
        <f ca="1">IFERROR(__xludf.DUMMYFUNCTION("IMPORTRANGE(""https://docs.google.com/spreadsheets/d/1-uDff_7J0KD5mKrp0Vvzr7lt3OU09vwQwhkpOPPYv2Y/edit?usp=sharing"",""งบพรบ!BS15"")"),116300)</f>
        <v>116300</v>
      </c>
      <c r="G15" s="176">
        <f ca="1">IFERROR(__xludf.DUMMYFUNCTION("IMPORTRANGE(""https://docs.google.com/spreadsheets/d/1-uDff_7J0KD5mKrp0Vvzr7lt3OU09vwQwhkpOPPYv2Y/edit?usp=sharing"",""งบพรบ!BT15"")"),0)</f>
        <v>0</v>
      </c>
      <c r="H15" s="176">
        <f ca="1">IFERROR(__xludf.DUMMYFUNCTION("IMPORTRANGE(""https://docs.google.com/spreadsheets/d/1-uDff_7J0KD5mKrp0Vvzr7lt3OU09vwQwhkpOPPYv2Y/edit?usp=sharing"",""งบพรบ!BV15"")"),111300)</f>
        <v>111300</v>
      </c>
      <c r="I15" s="176">
        <f ca="1">IFERROR(__xludf.DUMMYFUNCTION("IMPORTRANGE(""https://docs.google.com/spreadsheets/d/1-uDff_7J0KD5mKrp0Vvzr7lt3OU09vwQwhkpOPPYv2Y/edit?usp=sharing"",""งบพรบ!BW15"")"),0)</f>
        <v>0</v>
      </c>
      <c r="J15" s="176">
        <f t="shared" ca="1" si="25"/>
        <v>0</v>
      </c>
      <c r="K15" s="181">
        <f t="shared" ca="1" si="26"/>
        <v>0</v>
      </c>
      <c r="L15" s="176">
        <f ca="1">IFERROR(__xludf.DUMMYFUNCTION("IMPORTRANGE(""https://docs.google.com/spreadsheets/d/1-uDff_7J0KD5mKrp0Vvzr7lt3OU09vwQwhkpOPPYv2Y/edit?usp=sharing"",""งบพรบ!BX15"")"),0)</f>
        <v>0</v>
      </c>
      <c r="M15" s="179">
        <f t="shared" ca="1" si="27"/>
        <v>0</v>
      </c>
      <c r="N15" s="179">
        <f t="shared" ca="1" si="28"/>
        <v>0</v>
      </c>
      <c r="O15" s="180">
        <f ca="1">IFERROR(__xludf.DUMMYFUNCTION("IMPORTRANGE(""https://docs.google.com/spreadsheets/d/1-uDff_7J0KD5mKrp0Vvzr7lt3OU09vwQwhkpOPPYv2Y/edit?usp=sharing"",""งบพรบ!BY15"")"),0)</f>
        <v>0</v>
      </c>
      <c r="P15" s="180">
        <f t="shared" ca="1" si="29"/>
        <v>0</v>
      </c>
      <c r="Q15" s="179">
        <f t="shared" ca="1" si="30"/>
        <v>0</v>
      </c>
      <c r="R15" s="92">
        <f ca="1">IFERROR(__xludf.DUMMYFUNCTION("IMPORTRANGE(""https://docs.google.com/spreadsheets/d/1KS0zmDSZPk8KnTAbGN-Xk6MtX1YRZD0ldgdt20K4CRk/edit?usp=sharing"",""เชียงราย!J149"")"),0)</f>
        <v>0</v>
      </c>
      <c r="S15" s="92">
        <f ca="1">IFERROR(__xludf.DUMMYFUNCTION("IMPORTRANGE(""https://docs.google.com/spreadsheets/d/1KS0zmDSZPk8KnTAbGN-Xk6MtX1YRZD0ldgdt20K4CRk/edit?usp=sharing"",""เชียงราย!I150"")"),30)</f>
        <v>30</v>
      </c>
      <c r="T15" s="92">
        <f ca="1">IFERROR(__xludf.DUMMYFUNCTION("IMPORTRANGE(""https://docs.google.com/spreadsheets/d/1KS0zmDSZPk8KnTAbGN-Xk6MtX1YRZD0ldgdt20K4CRk/edit?usp=sharing"",""เชียงราย!I151"")"),3)</f>
        <v>3</v>
      </c>
      <c r="U15" s="92">
        <f ca="1">IFERROR(__xludf.DUMMYFUNCTION("IMPORTRANGE(""https://docs.google.com/spreadsheets/d/1KS0zmDSZPk8KnTAbGN-Xk6MtX1YRZD0ldgdt20K4CRk/edit?usp=sharing"",""เชียงราย!J150"")"),0)</f>
        <v>0</v>
      </c>
      <c r="V15" s="93">
        <f t="shared" ca="1" si="32"/>
        <v>0</v>
      </c>
      <c r="W15" s="92">
        <f ca="1">IFERROR(__xludf.DUMMYFUNCTION("IMPORTRANGE(""https://docs.google.com/spreadsheets/d/1KS0zmDSZPk8KnTAbGN-Xk6MtX1YRZD0ldgdt20K4CRk/edit?usp=sharing"",""เชียงราย!J151"")"),0)</f>
        <v>0</v>
      </c>
      <c r="X15" s="93">
        <f t="shared" ca="1" si="33"/>
        <v>0</v>
      </c>
      <c r="Y15" s="92">
        <f ca="1">IFERROR(__xludf.DUMMYFUNCTION("IMPORTRANGE(""https://docs.google.com/spreadsheets/d/1KS0zmDSZPk8KnTAbGN-Xk6MtX1YRZD0ldgdt20K4CRk/edit?usp=sharing"",""เชียงราย!I152"")"),80)</f>
        <v>80</v>
      </c>
      <c r="Z15" s="92">
        <f ca="1">IFERROR(__xludf.DUMMYFUNCTION("IMPORTRANGE(""https://docs.google.com/spreadsheets/d/1KS0zmDSZPk8KnTAbGN-Xk6MtX1YRZD0ldgdt20K4CRk/edit?usp=sharing"",""เชียงราย!I153"")"),8)</f>
        <v>8</v>
      </c>
      <c r="AA15" s="92">
        <f ca="1">IFERROR(__xludf.DUMMYFUNCTION("IMPORTRANGE(""https://docs.google.com/spreadsheets/d/1KS0zmDSZPk8KnTAbGN-Xk6MtX1YRZD0ldgdt20K4CRk/edit?usp=sharing"",""เชียงราย!J152"")"),0)</f>
        <v>0</v>
      </c>
      <c r="AB15" s="93">
        <f t="shared" ca="1" si="35"/>
        <v>0</v>
      </c>
      <c r="AC15" s="92">
        <f ca="1">IFERROR(__xludf.DUMMYFUNCTION("IMPORTRANGE(""https://docs.google.com/spreadsheets/d/1KS0zmDSZPk8KnTAbGN-Xk6MtX1YRZD0ldgdt20K4CRk/edit?usp=sharing"",""เชียงราย!J153"")"),0)</f>
        <v>0</v>
      </c>
      <c r="AD15" s="93">
        <f t="shared" ca="1" si="36"/>
        <v>0</v>
      </c>
      <c r="AE15" s="92">
        <f ca="1">IFERROR(__xludf.DUMMYFUNCTION("IMPORTRANGE(""https://docs.google.com/spreadsheets/d/1KS0zmDSZPk8KnTAbGN-Xk6MtX1YRZD0ldgdt20K4CRk/edit?usp=sharing"",""เชียงราย!I154"")"),3)</f>
        <v>3</v>
      </c>
      <c r="AF15" s="92">
        <f ca="1">IFERROR(__xludf.DUMMYFUNCTION("IMPORTRANGE(""https://docs.google.com/spreadsheets/d/1KS0zmDSZPk8KnTAbGN-Xk6MtX1YRZD0ldgdt20K4CRk/edit?usp=sharing"",""เชียงราย!J154"")"),0)</f>
        <v>0</v>
      </c>
      <c r="AG15" s="93">
        <f t="shared" ca="1" si="38"/>
        <v>0</v>
      </c>
    </row>
    <row r="16" spans="1:33" ht="24" customHeight="1" x14ac:dyDescent="0.3">
      <c r="A16" s="172">
        <v>3</v>
      </c>
      <c r="B16" s="173" t="s">
        <v>38</v>
      </c>
      <c r="C16" s="174">
        <f t="shared" ca="1" si="23"/>
        <v>137700</v>
      </c>
      <c r="D16" s="175">
        <f t="shared" ca="1" si="39"/>
        <v>137700</v>
      </c>
      <c r="E16" s="176">
        <f ca="1">IFERROR(__xludf.DUMMYFUNCTION("IMPORTRANGE(""https://docs.google.com/spreadsheets/d/1-uDff_7J0KD5mKrp0Vvzr7lt3OU09vwQwhkpOPPYv2Y/edit?usp=sharing"",""งบพรบ!BR16"")"),87800)</f>
        <v>87800</v>
      </c>
      <c r="F16" s="176">
        <f ca="1">IFERROR(__xludf.DUMMYFUNCTION("IMPORTRANGE(""https://docs.google.com/spreadsheets/d/1-uDff_7J0KD5mKrp0Vvzr7lt3OU09vwQwhkpOPPYv2Y/edit?usp=sharing"",""งบพรบ!BS16"")"),49900)</f>
        <v>49900</v>
      </c>
      <c r="G16" s="176">
        <f ca="1">IFERROR(__xludf.DUMMYFUNCTION("IMPORTRANGE(""https://docs.google.com/spreadsheets/d/1-uDff_7J0KD5mKrp0Vvzr7lt3OU09vwQwhkpOPPYv2Y/edit?usp=sharing"",""งบพรบ!BT16"")"),0)</f>
        <v>0</v>
      </c>
      <c r="H16" s="176">
        <f ca="1">IFERROR(__xludf.DUMMYFUNCTION("IMPORTRANGE(""https://docs.google.com/spreadsheets/d/1-uDff_7J0KD5mKrp0Vvzr7lt3OU09vwQwhkpOPPYv2Y/edit?usp=sharing"",""งบพรบ!BV16"")"),107900)</f>
        <v>107900</v>
      </c>
      <c r="I16" s="176">
        <f ca="1">IFERROR(__xludf.DUMMYFUNCTION("IMPORTRANGE(""https://docs.google.com/spreadsheets/d/1-uDff_7J0KD5mKrp0Vvzr7lt3OU09vwQwhkpOPPYv2Y/edit?usp=sharing"",""งบพรบ!BW16"")"),0)</f>
        <v>0</v>
      </c>
      <c r="J16" s="176">
        <f t="shared" ca="1" si="25"/>
        <v>63000</v>
      </c>
      <c r="K16" s="181">
        <f t="shared" ca="1" si="26"/>
        <v>45.751633986928105</v>
      </c>
      <c r="L16" s="176">
        <f ca="1">IFERROR(__xludf.DUMMYFUNCTION("IMPORTRANGE(""https://docs.google.com/spreadsheets/d/1-uDff_7J0KD5mKrp0Vvzr7lt3OU09vwQwhkpOPPYv2Y/edit?usp=sharing"",""งบพรบ!BX16"")"),63000)</f>
        <v>63000</v>
      </c>
      <c r="M16" s="179">
        <f t="shared" ca="1" si="27"/>
        <v>45.751633986928105</v>
      </c>
      <c r="N16" s="179">
        <f t="shared" ca="1" si="28"/>
        <v>58.38739573679333</v>
      </c>
      <c r="O16" s="180">
        <f ca="1">IFERROR(__xludf.DUMMYFUNCTION("IMPORTRANGE(""https://docs.google.com/spreadsheets/d/1-uDff_7J0KD5mKrp0Vvzr7lt3OU09vwQwhkpOPPYv2Y/edit?usp=sharing"",""งบพรบ!BY16"")"),0)</f>
        <v>0</v>
      </c>
      <c r="P16" s="180">
        <f t="shared" ca="1" si="29"/>
        <v>0</v>
      </c>
      <c r="Q16" s="179">
        <f t="shared" ca="1" si="30"/>
        <v>0</v>
      </c>
      <c r="R16" s="92">
        <f ca="1">IFERROR(__xludf.DUMMYFUNCTION("IMPORTRANGE(""https://docs.google.com/spreadsheets/d/1rEDxBtusbi64tE0zunoIbsTVV16HeL0oJ6trHQeQ7K8/edit?usp=sharing"",""เชียงใหม่!J149"")"),0)</f>
        <v>0</v>
      </c>
      <c r="S16" s="92">
        <f ca="1">IFERROR(__xludf.DUMMYFUNCTION("IMPORTRANGE(""https://docs.google.com/spreadsheets/d/1rEDxBtusbi64tE0zunoIbsTVV16HeL0oJ6trHQeQ7K8/edit?usp=sharing"",""เชียงใหม่!I150"")"),10)</f>
        <v>10</v>
      </c>
      <c r="T16" s="92">
        <f ca="1">IFERROR(__xludf.DUMMYFUNCTION("IMPORTRANGE(""https://docs.google.com/spreadsheets/d/1rEDxBtusbi64tE0zunoIbsTVV16HeL0oJ6trHQeQ7K8/edit?usp=sharing"",""เชียงใหม่!I151"")"),1)</f>
        <v>1</v>
      </c>
      <c r="U16" s="92">
        <f ca="1">IFERROR(__xludf.DUMMYFUNCTION("IMPORTRANGE(""https://docs.google.com/spreadsheets/d/1rEDxBtusbi64tE0zunoIbsTVV16HeL0oJ6trHQeQ7K8/edit?usp=sharing"",""เชียงใหม่!J150"")"),0)</f>
        <v>0</v>
      </c>
      <c r="V16" s="93">
        <f t="shared" ca="1" si="32"/>
        <v>0</v>
      </c>
      <c r="W16" s="92">
        <f ca="1">IFERROR(__xludf.DUMMYFUNCTION("IMPORTRANGE(""https://docs.google.com/spreadsheets/d/1rEDxBtusbi64tE0zunoIbsTVV16HeL0oJ6trHQeQ7K8/edit?usp=sharing"",""เชียงใหม่!J151"")"),0)</f>
        <v>0</v>
      </c>
      <c r="X16" s="93">
        <f t="shared" ca="1" si="33"/>
        <v>0</v>
      </c>
      <c r="Y16" s="92">
        <f ca="1">IFERROR(__xludf.DUMMYFUNCTION("IMPORTRANGE(""https://docs.google.com/spreadsheets/d/1rEDxBtusbi64tE0zunoIbsTVV16HeL0oJ6trHQeQ7K8/edit?usp=sharing"",""เชียงใหม่!I152"")"),20)</f>
        <v>20</v>
      </c>
      <c r="Z16" s="92">
        <f ca="1">IFERROR(__xludf.DUMMYFUNCTION("IMPORTRANGE(""https://docs.google.com/spreadsheets/d/1rEDxBtusbi64tE0zunoIbsTVV16HeL0oJ6trHQeQ7K8/edit?usp=sharing"",""เชียงใหม่!I153"")"),2)</f>
        <v>2</v>
      </c>
      <c r="AA16" s="92">
        <f ca="1">IFERROR(__xludf.DUMMYFUNCTION("IMPORTRANGE(""https://docs.google.com/spreadsheets/d/1rEDxBtusbi64tE0zunoIbsTVV16HeL0oJ6trHQeQ7K8/edit?usp=sharing"",""เชียงใหม่!J152"")"),0)</f>
        <v>0</v>
      </c>
      <c r="AB16" s="93">
        <f t="shared" ca="1" si="35"/>
        <v>0</v>
      </c>
      <c r="AC16" s="92">
        <f ca="1">IFERROR(__xludf.DUMMYFUNCTION("IMPORTRANGE(""https://docs.google.com/spreadsheets/d/1rEDxBtusbi64tE0zunoIbsTVV16HeL0oJ6trHQeQ7K8/edit?usp=sharing"",""เชียงใหม่!J153"")"),0)</f>
        <v>0</v>
      </c>
      <c r="AD16" s="93">
        <f t="shared" ca="1" si="36"/>
        <v>0</v>
      </c>
      <c r="AE16" s="92">
        <f ca="1">IFERROR(__xludf.DUMMYFUNCTION("IMPORTRANGE(""https://docs.google.com/spreadsheets/d/1rEDxBtusbi64tE0zunoIbsTVV16HeL0oJ6trHQeQ7K8/edit?usp=sharing"",""เชียงใหม่!I154"")"),1)</f>
        <v>1</v>
      </c>
      <c r="AF16" s="92">
        <f ca="1">IFERROR(__xludf.DUMMYFUNCTION("IMPORTRANGE(""https://docs.google.com/spreadsheets/d/1rEDxBtusbi64tE0zunoIbsTVV16HeL0oJ6trHQeQ7K8/edit?usp=sharing"",""เชียงใหม่!J154"")"),0)</f>
        <v>0</v>
      </c>
      <c r="AG16" s="93">
        <f t="shared" ca="1" si="38"/>
        <v>0</v>
      </c>
    </row>
    <row r="17" spans="1:33" ht="24" customHeight="1" x14ac:dyDescent="0.3">
      <c r="A17" s="172">
        <v>4</v>
      </c>
      <c r="B17" s="173" t="s">
        <v>39</v>
      </c>
      <c r="C17" s="174">
        <f t="shared" ca="1" si="23"/>
        <v>115700</v>
      </c>
      <c r="D17" s="175">
        <f t="shared" ca="1" si="39"/>
        <v>115700</v>
      </c>
      <c r="E17" s="176">
        <f ca="1">IFERROR(__xludf.DUMMYFUNCTION("IMPORTRANGE(""https://docs.google.com/spreadsheets/d/1-uDff_7J0KD5mKrp0Vvzr7lt3OU09vwQwhkpOPPYv2Y/edit?usp=sharing"",""งบพรบ!BR17"")"),84100)</f>
        <v>84100</v>
      </c>
      <c r="F17" s="176">
        <f ca="1">IFERROR(__xludf.DUMMYFUNCTION("IMPORTRANGE(""https://docs.google.com/spreadsheets/d/1-uDff_7J0KD5mKrp0Vvzr7lt3OU09vwQwhkpOPPYv2Y/edit?usp=sharing"",""งบพรบ!BS17"")"),31600)</f>
        <v>31600</v>
      </c>
      <c r="G17" s="176">
        <f ca="1">IFERROR(__xludf.DUMMYFUNCTION("IMPORTRANGE(""https://docs.google.com/spreadsheets/d/1-uDff_7J0KD5mKrp0Vvzr7lt3OU09vwQwhkpOPPYv2Y/edit?usp=sharing"",""งบพรบ!BT17"")"),0)</f>
        <v>0</v>
      </c>
      <c r="H17" s="176">
        <f ca="1">IFERROR(__xludf.DUMMYFUNCTION("IMPORTRANGE(""https://docs.google.com/spreadsheets/d/1-uDff_7J0KD5mKrp0Vvzr7lt3OU09vwQwhkpOPPYv2Y/edit?usp=sharing"",""งบพรบ!BV17"")"),87100)</f>
        <v>87100</v>
      </c>
      <c r="I17" s="176">
        <f ca="1">IFERROR(__xludf.DUMMYFUNCTION("IMPORTRANGE(""https://docs.google.com/spreadsheets/d/1-uDff_7J0KD5mKrp0Vvzr7lt3OU09vwQwhkpOPPYv2Y/edit?usp=sharing"",""งบพรบ!BW17"")"),0)</f>
        <v>0</v>
      </c>
      <c r="J17" s="176">
        <f t="shared" ca="1" si="25"/>
        <v>48970</v>
      </c>
      <c r="K17" s="181">
        <f t="shared" ca="1" si="26"/>
        <v>42.324978392394122</v>
      </c>
      <c r="L17" s="176">
        <f ca="1">IFERROR(__xludf.DUMMYFUNCTION("IMPORTRANGE(""https://docs.google.com/spreadsheets/d/1-uDff_7J0KD5mKrp0Vvzr7lt3OU09vwQwhkpOPPYv2Y/edit?usp=sharing"",""งบพรบ!BX17"")"),48970)</f>
        <v>48970</v>
      </c>
      <c r="M17" s="179">
        <f t="shared" ca="1" si="27"/>
        <v>42.324978392394122</v>
      </c>
      <c r="N17" s="179">
        <f t="shared" ca="1" si="28"/>
        <v>56.222732491389209</v>
      </c>
      <c r="O17" s="180">
        <f ca="1">IFERROR(__xludf.DUMMYFUNCTION("IMPORTRANGE(""https://docs.google.com/spreadsheets/d/1-uDff_7J0KD5mKrp0Vvzr7lt3OU09vwQwhkpOPPYv2Y/edit?usp=sharing"",""งบพรบ!BY17"")"),0)</f>
        <v>0</v>
      </c>
      <c r="P17" s="180">
        <f t="shared" ca="1" si="29"/>
        <v>0</v>
      </c>
      <c r="Q17" s="179">
        <f t="shared" ca="1" si="30"/>
        <v>0</v>
      </c>
      <c r="R17" s="92">
        <f ca="1">IFERROR(__xludf.DUMMYFUNCTION("IMPORTRANGE(""https://docs.google.com/spreadsheets/d/1W6MnUbDkMi6xHnHko_XkFDO9kkuL6Wqyc-6OCDFjW9I/edit?usp=sharing"",""ตาก!J149"")"),0)</f>
        <v>0</v>
      </c>
      <c r="S17" s="92">
        <f ca="1">IFERROR(__xludf.DUMMYFUNCTION("IMPORTRANGE(""https://docs.google.com/spreadsheets/d/1W6MnUbDkMi6xHnHko_XkFDO9kkuL6Wqyc-6OCDFjW9I/edit?usp=sharing"",""ตาก!I150"")"),0)</f>
        <v>0</v>
      </c>
      <c r="T17" s="92">
        <f ca="1">IFERROR(__xludf.DUMMYFUNCTION("IMPORTRANGE(""https://docs.google.com/spreadsheets/d/1W6MnUbDkMi6xHnHko_XkFDO9kkuL6Wqyc-6OCDFjW9I/edit?usp=sharing"",""ตาก!I151"")"),0)</f>
        <v>0</v>
      </c>
      <c r="U17" s="92">
        <f ca="1">IFERROR(__xludf.DUMMYFUNCTION("IMPORTRANGE(""https://docs.google.com/spreadsheets/d/1W6MnUbDkMi6xHnHko_XkFDO9kkuL6Wqyc-6OCDFjW9I/edit?usp=sharing"",""ตาก!J150"")"),0)</f>
        <v>0</v>
      </c>
      <c r="V17" s="93">
        <f t="shared" ca="1" si="32"/>
        <v>0</v>
      </c>
      <c r="W17" s="92">
        <f ca="1">IFERROR(__xludf.DUMMYFUNCTION("IMPORTRANGE(""https://docs.google.com/spreadsheets/d/1W6MnUbDkMi6xHnHko_XkFDO9kkuL6Wqyc-6OCDFjW9I/edit?usp=sharing"",""ตาก!J151"")"),0)</f>
        <v>0</v>
      </c>
      <c r="X17" s="93">
        <f t="shared" ca="1" si="33"/>
        <v>0</v>
      </c>
      <c r="Y17" s="92">
        <f ca="1">IFERROR(__xludf.DUMMYFUNCTION("IMPORTRANGE(""https://docs.google.com/spreadsheets/d/1W6MnUbDkMi6xHnHko_XkFDO9kkuL6Wqyc-6OCDFjW9I/edit?usp=sharing"",""ตาก!I152"")"),20)</f>
        <v>20</v>
      </c>
      <c r="Z17" s="92">
        <f ca="1">IFERROR(__xludf.DUMMYFUNCTION("IMPORTRANGE(""https://docs.google.com/spreadsheets/d/1W6MnUbDkMi6xHnHko_XkFDO9kkuL6Wqyc-6OCDFjW9I/edit?usp=sharing"",""ตาก!I153"")"),2)</f>
        <v>2</v>
      </c>
      <c r="AA17" s="92">
        <f ca="1">IFERROR(__xludf.DUMMYFUNCTION("IMPORTRANGE(""https://docs.google.com/spreadsheets/d/1W6MnUbDkMi6xHnHko_XkFDO9kkuL6Wqyc-6OCDFjW9I/edit?usp=sharing"",""ตาก!J152"")"),0)</f>
        <v>0</v>
      </c>
      <c r="AB17" s="93">
        <f t="shared" ca="1" si="35"/>
        <v>0</v>
      </c>
      <c r="AC17" s="92">
        <f ca="1">IFERROR(__xludf.DUMMYFUNCTION("IMPORTRANGE(""https://docs.google.com/spreadsheets/d/1W6MnUbDkMi6xHnHko_XkFDO9kkuL6Wqyc-6OCDFjW9I/edit?usp=sharing"",""ตาก!J153"")"),0)</f>
        <v>0</v>
      </c>
      <c r="AD17" s="93">
        <f t="shared" ca="1" si="36"/>
        <v>0</v>
      </c>
      <c r="AE17" s="92">
        <f ca="1">IFERROR(__xludf.DUMMYFUNCTION("IMPORTRANGE(""https://docs.google.com/spreadsheets/d/1W6MnUbDkMi6xHnHko_XkFDO9kkuL6Wqyc-6OCDFjW9I/edit?usp=sharing"",""ตาก!I154"")"),0)</f>
        <v>0</v>
      </c>
      <c r="AF17" s="92">
        <f ca="1">IFERROR(__xludf.DUMMYFUNCTION("IMPORTRANGE(""https://docs.google.com/spreadsheets/d/1W6MnUbDkMi6xHnHko_XkFDO9kkuL6Wqyc-6OCDFjW9I/edit?usp=sharing"",""ตาก!J154"")"),0)</f>
        <v>0</v>
      </c>
      <c r="AG17" s="93">
        <f t="shared" ca="1" si="38"/>
        <v>0</v>
      </c>
    </row>
    <row r="18" spans="1:33" ht="24" customHeight="1" x14ac:dyDescent="0.3">
      <c r="A18" s="172">
        <v>5</v>
      </c>
      <c r="B18" s="173" t="s">
        <v>40</v>
      </c>
      <c r="C18" s="174">
        <f t="shared" ca="1" si="23"/>
        <v>31600</v>
      </c>
      <c r="D18" s="175">
        <f t="shared" ca="1" si="39"/>
        <v>31600</v>
      </c>
      <c r="E18" s="176">
        <f ca="1">IFERROR(__xludf.DUMMYFUNCTION("IMPORTRANGE(""https://docs.google.com/spreadsheets/d/1-uDff_7J0KD5mKrp0Vvzr7lt3OU09vwQwhkpOPPYv2Y/edit?usp=sharing"",""งบพรบ!BR18"")"),0)</f>
        <v>0</v>
      </c>
      <c r="F18" s="176">
        <f ca="1">IFERROR(__xludf.DUMMYFUNCTION("IMPORTRANGE(""https://docs.google.com/spreadsheets/d/1-uDff_7J0KD5mKrp0Vvzr7lt3OU09vwQwhkpOPPYv2Y/edit?usp=sharing"",""งบพรบ!BS18"")"),31600)</f>
        <v>31600</v>
      </c>
      <c r="G18" s="176">
        <f ca="1">IFERROR(__xludf.DUMMYFUNCTION("IMPORTRANGE(""https://docs.google.com/spreadsheets/d/1-uDff_7J0KD5mKrp0Vvzr7lt3OU09vwQwhkpOPPYv2Y/edit?usp=sharing"",""งบพรบ!BT18"")"),0)</f>
        <v>0</v>
      </c>
      <c r="H18" s="176">
        <f ca="1">IFERROR(__xludf.DUMMYFUNCTION("IMPORTRANGE(""https://docs.google.com/spreadsheets/d/1-uDff_7J0KD5mKrp0Vvzr7lt3OU09vwQwhkpOPPYv2Y/edit?usp=sharing"",""งบพรบ!BV18"")"),26600)</f>
        <v>26600</v>
      </c>
      <c r="I18" s="176">
        <f ca="1">IFERROR(__xludf.DUMMYFUNCTION("IMPORTRANGE(""https://docs.google.com/spreadsheets/d/1-uDff_7J0KD5mKrp0Vvzr7lt3OU09vwQwhkpOPPYv2Y/edit?usp=sharing"",""งบพรบ!BW18"")"),0)</f>
        <v>0</v>
      </c>
      <c r="J18" s="176">
        <f t="shared" ca="1" si="25"/>
        <v>0</v>
      </c>
      <c r="K18" s="181">
        <f t="shared" ca="1" si="26"/>
        <v>0</v>
      </c>
      <c r="L18" s="176">
        <f ca="1">IFERROR(__xludf.DUMMYFUNCTION("IMPORTRANGE(""https://docs.google.com/spreadsheets/d/1-uDff_7J0KD5mKrp0Vvzr7lt3OU09vwQwhkpOPPYv2Y/edit?usp=sharing"",""งบพรบ!BX18"")"),0)</f>
        <v>0</v>
      </c>
      <c r="M18" s="179">
        <f t="shared" ca="1" si="27"/>
        <v>0</v>
      </c>
      <c r="N18" s="179">
        <f t="shared" ca="1" si="28"/>
        <v>0</v>
      </c>
      <c r="O18" s="180">
        <f ca="1">IFERROR(__xludf.DUMMYFUNCTION("IMPORTRANGE(""https://docs.google.com/spreadsheets/d/1-uDff_7J0KD5mKrp0Vvzr7lt3OU09vwQwhkpOPPYv2Y/edit?usp=sharing"",""งบพรบ!BY18"")"),0)</f>
        <v>0</v>
      </c>
      <c r="P18" s="180">
        <f t="shared" ca="1" si="29"/>
        <v>0</v>
      </c>
      <c r="Q18" s="179">
        <f t="shared" ca="1" si="30"/>
        <v>0</v>
      </c>
      <c r="R18" s="92">
        <f ca="1">IFERROR(__xludf.DUMMYFUNCTION("IMPORTRANGE(""https://docs.google.com/spreadsheets/d/1IQAWArduLkta9LpYo4a_ULsyqdta6-6aDDiwpUnQT6c/edit?usp=sharing"",""นครสวรรค์!J149"")"),0)</f>
        <v>0</v>
      </c>
      <c r="S18" s="92">
        <f ca="1">IFERROR(__xludf.DUMMYFUNCTION("IMPORTRANGE(""https://docs.google.com/spreadsheets/d/1IQAWArduLkta9LpYo4a_ULsyqdta6-6aDDiwpUnQT6c/edit?usp=sharing"",""นครสวรรค์!I150"")"),0)</f>
        <v>0</v>
      </c>
      <c r="T18" s="92">
        <f ca="1">IFERROR(__xludf.DUMMYFUNCTION("IMPORTRANGE(""https://docs.google.com/spreadsheets/d/1IQAWArduLkta9LpYo4a_ULsyqdta6-6aDDiwpUnQT6c/edit?usp=sharing"",""นครสวรรค์!I151"")"),0)</f>
        <v>0</v>
      </c>
      <c r="U18" s="92">
        <f ca="1">IFERROR(__xludf.DUMMYFUNCTION("IMPORTRANGE(""https://docs.google.com/spreadsheets/d/1IQAWArduLkta9LpYo4a_ULsyqdta6-6aDDiwpUnQT6c/edit?usp=sharing"",""นครสวรรค์!J150"")"),0)</f>
        <v>0</v>
      </c>
      <c r="V18" s="93">
        <f t="shared" ca="1" si="32"/>
        <v>0</v>
      </c>
      <c r="W18" s="92">
        <f ca="1">IFERROR(__xludf.DUMMYFUNCTION("IMPORTRANGE(""https://docs.google.com/spreadsheets/d/1IQAWArduLkta9LpYo4a_ULsyqdta6-6aDDiwpUnQT6c/edit?usp=sharing"",""นครสวรรค์!J151"")"),0)</f>
        <v>0</v>
      </c>
      <c r="X18" s="93">
        <f t="shared" ca="1" si="33"/>
        <v>0</v>
      </c>
      <c r="Y18" s="92">
        <f ca="1">IFERROR(__xludf.DUMMYFUNCTION("IMPORTRANGE(""https://docs.google.com/spreadsheets/d/1IQAWArduLkta9LpYo4a_ULsyqdta6-6aDDiwpUnQT6c/edit?usp=sharing"",""นครสวรรค์!I152"")"),20)</f>
        <v>20</v>
      </c>
      <c r="Z18" s="92">
        <f ca="1">IFERROR(__xludf.DUMMYFUNCTION("IMPORTRANGE(""https://docs.google.com/spreadsheets/d/1IQAWArduLkta9LpYo4a_ULsyqdta6-6aDDiwpUnQT6c/edit?usp=sharing"",""นครสวรรค์!I153"")"),2)</f>
        <v>2</v>
      </c>
      <c r="AA18" s="92">
        <f ca="1">IFERROR(__xludf.DUMMYFUNCTION("IMPORTRANGE(""https://docs.google.com/spreadsheets/d/1IQAWArduLkta9LpYo4a_ULsyqdta6-6aDDiwpUnQT6c/edit?usp=sharing"",""นครสวรรค์!J152"")"),0)</f>
        <v>0</v>
      </c>
      <c r="AB18" s="93">
        <f t="shared" ca="1" si="35"/>
        <v>0</v>
      </c>
      <c r="AC18" s="92">
        <f ca="1">IFERROR(__xludf.DUMMYFUNCTION("IMPORTRANGE(""https://docs.google.com/spreadsheets/d/1IQAWArduLkta9LpYo4a_ULsyqdta6-6aDDiwpUnQT6c/edit?usp=sharing"",""นครสวรรค์!J153"")"),0)</f>
        <v>0</v>
      </c>
      <c r="AD18" s="93">
        <f t="shared" ca="1" si="36"/>
        <v>0</v>
      </c>
      <c r="AE18" s="92">
        <f ca="1">IFERROR(__xludf.DUMMYFUNCTION("IMPORTRANGE(""https://docs.google.com/spreadsheets/d/1IQAWArduLkta9LpYo4a_ULsyqdta6-6aDDiwpUnQT6c/edit?usp=sharing"",""นครสวรรค์!I154"")"),0)</f>
        <v>0</v>
      </c>
      <c r="AF18" s="92">
        <f ca="1">IFERROR(__xludf.DUMMYFUNCTION("IMPORTRANGE(""https://docs.google.com/spreadsheets/d/1IQAWArduLkta9LpYo4a_ULsyqdta6-6aDDiwpUnQT6c/edit?usp=sharing"",""นครสวรรค์!J154"")"),0)</f>
        <v>0</v>
      </c>
      <c r="AG18" s="93">
        <f t="shared" ca="1" si="38"/>
        <v>0</v>
      </c>
    </row>
    <row r="19" spans="1:33" ht="24" customHeight="1" x14ac:dyDescent="0.3">
      <c r="A19" s="172">
        <v>6</v>
      </c>
      <c r="B19" s="173" t="s">
        <v>41</v>
      </c>
      <c r="C19" s="174">
        <f t="shared" ca="1" si="23"/>
        <v>83100</v>
      </c>
      <c r="D19" s="175">
        <f t="shared" ca="1" si="39"/>
        <v>83100</v>
      </c>
      <c r="E19" s="176">
        <f ca="1">IFERROR(__xludf.DUMMYFUNCTION("IMPORTRANGE(""https://docs.google.com/spreadsheets/d/1-uDff_7J0KD5mKrp0Vvzr7lt3OU09vwQwhkpOPPYv2Y/edit?usp=sharing"",""งบพรบ!BR19"")"),0)</f>
        <v>0</v>
      </c>
      <c r="F19" s="176">
        <f ca="1">IFERROR(__xludf.DUMMYFUNCTION("IMPORTRANGE(""https://docs.google.com/spreadsheets/d/1-uDff_7J0KD5mKrp0Vvzr7lt3OU09vwQwhkpOPPYv2Y/edit?usp=sharing"",""งบพรบ!BS19"")"),83100)</f>
        <v>83100</v>
      </c>
      <c r="G19" s="176">
        <f ca="1">IFERROR(__xludf.DUMMYFUNCTION("IMPORTRANGE(""https://docs.google.com/spreadsheets/d/1-uDff_7J0KD5mKrp0Vvzr7lt3OU09vwQwhkpOPPYv2Y/edit?usp=sharing"",""งบพรบ!BT19"")"),0)</f>
        <v>0</v>
      </c>
      <c r="H19" s="176">
        <f ca="1">IFERROR(__xludf.DUMMYFUNCTION("IMPORTRANGE(""https://docs.google.com/spreadsheets/d/1-uDff_7J0KD5mKrp0Vvzr7lt3OU09vwQwhkpOPPYv2Y/edit?usp=sharing"",""งบพรบ!BV19"")"),78100)</f>
        <v>78100</v>
      </c>
      <c r="I19" s="176">
        <f ca="1">IFERROR(__xludf.DUMMYFUNCTION("IMPORTRANGE(""https://docs.google.com/spreadsheets/d/1-uDff_7J0KD5mKrp0Vvzr7lt3OU09vwQwhkpOPPYv2Y/edit?usp=sharing"",""งบพรบ!BW19"")"),0)</f>
        <v>0</v>
      </c>
      <c r="J19" s="176">
        <f t="shared" ca="1" si="25"/>
        <v>0</v>
      </c>
      <c r="K19" s="181">
        <f t="shared" ca="1" si="26"/>
        <v>0</v>
      </c>
      <c r="L19" s="176">
        <f ca="1">IFERROR(__xludf.DUMMYFUNCTION("IMPORTRANGE(""https://docs.google.com/spreadsheets/d/1-uDff_7J0KD5mKrp0Vvzr7lt3OU09vwQwhkpOPPYv2Y/edit?usp=sharing"",""งบพรบ!BX19"")"),0)</f>
        <v>0</v>
      </c>
      <c r="M19" s="179">
        <f t="shared" ca="1" si="27"/>
        <v>0</v>
      </c>
      <c r="N19" s="179">
        <f t="shared" ca="1" si="28"/>
        <v>0</v>
      </c>
      <c r="O19" s="180">
        <f ca="1">IFERROR(__xludf.DUMMYFUNCTION("IMPORTRANGE(""https://docs.google.com/spreadsheets/d/1-uDff_7J0KD5mKrp0Vvzr7lt3OU09vwQwhkpOPPYv2Y/edit?usp=sharing"",""งบพรบ!BY19"")"),0)</f>
        <v>0</v>
      </c>
      <c r="P19" s="180">
        <f t="shared" ca="1" si="29"/>
        <v>0</v>
      </c>
      <c r="Q19" s="179">
        <f t="shared" ca="1" si="30"/>
        <v>0</v>
      </c>
      <c r="R19" s="92">
        <f ca="1">IFERROR(__xludf.DUMMYFUNCTION("IMPORTRANGE(""https://docs.google.com/spreadsheets/d/10s13Sk5xrltsiR-Zkbmk5DwIaDIKO8XlbJAfqyT7Gvg/edit?usp=sharing"",""น่าน!J149"")"),0)</f>
        <v>0</v>
      </c>
      <c r="S19" s="92">
        <f ca="1">IFERROR(__xludf.DUMMYFUNCTION("IMPORTRANGE(""https://docs.google.com/spreadsheets/d/10s13Sk5xrltsiR-Zkbmk5DwIaDIKO8XlbJAfqyT7Gvg/edit?usp=sharing"",""น่าน!I150"")"),20)</f>
        <v>20</v>
      </c>
      <c r="T19" s="92">
        <f ca="1">IFERROR(__xludf.DUMMYFUNCTION("IMPORTRANGE(""https://docs.google.com/spreadsheets/d/10s13Sk5xrltsiR-Zkbmk5DwIaDIKO8XlbJAfqyT7Gvg/edit?usp=sharing"",""น่าน!I151"")"),2)</f>
        <v>2</v>
      </c>
      <c r="U19" s="92">
        <f ca="1">IFERROR(__xludf.DUMMYFUNCTION("IMPORTRANGE(""https://docs.google.com/spreadsheets/d/10s13Sk5xrltsiR-Zkbmk5DwIaDIKO8XlbJAfqyT7Gvg/edit?usp=sharing"",""น่าน!J150"")"),0)</f>
        <v>0</v>
      </c>
      <c r="V19" s="93">
        <f t="shared" ca="1" si="32"/>
        <v>0</v>
      </c>
      <c r="W19" s="92">
        <f ca="1">IFERROR(__xludf.DUMMYFUNCTION("IMPORTRANGE(""https://docs.google.com/spreadsheets/d/10s13Sk5xrltsiR-Zkbmk5DwIaDIKO8XlbJAfqyT7Gvg/edit?usp=sharing"",""น่าน!J151"")"),0)</f>
        <v>0</v>
      </c>
      <c r="X19" s="93">
        <f t="shared" ca="1" si="33"/>
        <v>0</v>
      </c>
      <c r="Y19" s="92">
        <f ca="1">IFERROR(__xludf.DUMMYFUNCTION("IMPORTRANGE(""https://docs.google.com/spreadsheets/d/10s13Sk5xrltsiR-Zkbmk5DwIaDIKO8XlbJAfqyT7Gvg/edit?usp=sharing"",""น่าน!I152"")"),50)</f>
        <v>50</v>
      </c>
      <c r="Z19" s="92">
        <f ca="1">IFERROR(__xludf.DUMMYFUNCTION("IMPORTRANGE(""https://docs.google.com/spreadsheets/d/10s13Sk5xrltsiR-Zkbmk5DwIaDIKO8XlbJAfqyT7Gvg/edit?usp=sharing"",""น่าน!I153"")"),5)</f>
        <v>5</v>
      </c>
      <c r="AA19" s="92">
        <f ca="1">IFERROR(__xludf.DUMMYFUNCTION("IMPORTRANGE(""https://docs.google.com/spreadsheets/d/10s13Sk5xrltsiR-Zkbmk5DwIaDIKO8XlbJAfqyT7Gvg/edit?usp=sharing"",""น่าน!J152"")"),0)</f>
        <v>0</v>
      </c>
      <c r="AB19" s="93">
        <f t="shared" ca="1" si="35"/>
        <v>0</v>
      </c>
      <c r="AC19" s="92">
        <f ca="1">IFERROR(__xludf.DUMMYFUNCTION("IMPORTRANGE(""https://docs.google.com/spreadsheets/d/10s13Sk5xrltsiR-Zkbmk5DwIaDIKO8XlbJAfqyT7Gvg/edit?usp=sharing"",""น่าน!J153"")"),0)</f>
        <v>0</v>
      </c>
      <c r="AD19" s="93">
        <f t="shared" ca="1" si="36"/>
        <v>0</v>
      </c>
      <c r="AE19" s="92">
        <f ca="1">IFERROR(__xludf.DUMMYFUNCTION("IMPORTRANGE(""https://docs.google.com/spreadsheets/d/10s13Sk5xrltsiR-Zkbmk5DwIaDIKO8XlbJAfqyT7Gvg/edit?usp=sharing"",""น่าน!I154"")"),2)</f>
        <v>2</v>
      </c>
      <c r="AF19" s="92">
        <f ca="1">IFERROR(__xludf.DUMMYFUNCTION("IMPORTRANGE(""https://docs.google.com/spreadsheets/d/10s13Sk5xrltsiR-Zkbmk5DwIaDIKO8XlbJAfqyT7Gvg/edit?usp=sharing"",""น่าน!J154"")"),0)</f>
        <v>0</v>
      </c>
      <c r="AG19" s="93">
        <f t="shared" ca="1" si="38"/>
        <v>0</v>
      </c>
    </row>
    <row r="20" spans="1:33" ht="24" customHeight="1" x14ac:dyDescent="0.3">
      <c r="A20" s="172">
        <v>7</v>
      </c>
      <c r="B20" s="173" t="s">
        <v>42</v>
      </c>
      <c r="C20" s="174">
        <f t="shared" ca="1" si="23"/>
        <v>74800</v>
      </c>
      <c r="D20" s="175">
        <f t="shared" ca="1" si="39"/>
        <v>74800</v>
      </c>
      <c r="E20" s="176">
        <f ca="1">IFERROR(__xludf.DUMMYFUNCTION("IMPORTRANGE(""https://docs.google.com/spreadsheets/d/1-uDff_7J0KD5mKrp0Vvzr7lt3OU09vwQwhkpOPPYv2Y/edit?usp=sharing"",""งบพรบ!BR20"")"),0)</f>
        <v>0</v>
      </c>
      <c r="F20" s="176">
        <f ca="1">IFERROR(__xludf.DUMMYFUNCTION("IMPORTRANGE(""https://docs.google.com/spreadsheets/d/1-uDff_7J0KD5mKrp0Vvzr7lt3OU09vwQwhkpOPPYv2Y/edit?usp=sharing"",""งบพรบ!BS20"")"),74800)</f>
        <v>74800</v>
      </c>
      <c r="G20" s="176">
        <f ca="1">IFERROR(__xludf.DUMMYFUNCTION("IMPORTRANGE(""https://docs.google.com/spreadsheets/d/1-uDff_7J0KD5mKrp0Vvzr7lt3OU09vwQwhkpOPPYv2Y/edit?usp=sharing"",""งบพรบ!BT20"")"),0)</f>
        <v>0</v>
      </c>
      <c r="H20" s="176">
        <f ca="1">IFERROR(__xludf.DUMMYFUNCTION("IMPORTRANGE(""https://docs.google.com/spreadsheets/d/1-uDff_7J0KD5mKrp0Vvzr7lt3OU09vwQwhkpOPPYv2Y/edit?usp=sharing"",""งบพรบ!BV20"")"),69800)</f>
        <v>69800</v>
      </c>
      <c r="I20" s="176">
        <f ca="1">IFERROR(__xludf.DUMMYFUNCTION("IMPORTRANGE(""https://docs.google.com/spreadsheets/d/1-uDff_7J0KD5mKrp0Vvzr7lt3OU09vwQwhkpOPPYv2Y/edit?usp=sharing"",""งบพรบ!BW20"")"),0)</f>
        <v>0</v>
      </c>
      <c r="J20" s="176">
        <f t="shared" ca="1" si="25"/>
        <v>0</v>
      </c>
      <c r="K20" s="181">
        <f t="shared" ca="1" si="26"/>
        <v>0</v>
      </c>
      <c r="L20" s="176">
        <f ca="1">IFERROR(__xludf.DUMMYFUNCTION("IMPORTRANGE(""https://docs.google.com/spreadsheets/d/1-uDff_7J0KD5mKrp0Vvzr7lt3OU09vwQwhkpOPPYv2Y/edit?usp=sharing"",""งบพรบ!BX20"")"),0)</f>
        <v>0</v>
      </c>
      <c r="M20" s="179">
        <f t="shared" ca="1" si="27"/>
        <v>0</v>
      </c>
      <c r="N20" s="179">
        <f t="shared" ca="1" si="28"/>
        <v>0</v>
      </c>
      <c r="O20" s="180">
        <f ca="1">IFERROR(__xludf.DUMMYFUNCTION("IMPORTRANGE(""https://docs.google.com/spreadsheets/d/1-uDff_7J0KD5mKrp0Vvzr7lt3OU09vwQwhkpOPPYv2Y/edit?usp=sharing"",""งบพรบ!BY20"")"),0)</f>
        <v>0</v>
      </c>
      <c r="P20" s="180">
        <f t="shared" ca="1" si="29"/>
        <v>0</v>
      </c>
      <c r="Q20" s="179">
        <f t="shared" ca="1" si="30"/>
        <v>0</v>
      </c>
      <c r="R20" s="92">
        <f ca="1">IFERROR(__xludf.DUMMYFUNCTION("IMPORTRANGE(""https://docs.google.com/spreadsheets/d/1uu4nAn4Dbi1XREnLKKotUANlKXa7yCgRcgq8HEzQYW8/edit?usp=sharing"",""พะเยา!J149"")"),0)</f>
        <v>0</v>
      </c>
      <c r="S20" s="92">
        <f ca="1">IFERROR(__xludf.DUMMYFUNCTION("IMPORTRANGE(""https://docs.google.com/spreadsheets/d/1uu4nAn4Dbi1XREnLKKotUANlKXa7yCgRcgq8HEzQYW8/edit?usp=sharing"",""พะเยา!I150"")"),20)</f>
        <v>20</v>
      </c>
      <c r="T20" s="92">
        <f ca="1">IFERROR(__xludf.DUMMYFUNCTION("IMPORTRANGE(""https://docs.google.com/spreadsheets/d/1uu4nAn4Dbi1XREnLKKotUANlKXa7yCgRcgq8HEzQYW8/edit?usp=sharing"",""พะเยา!I151"")"),2)</f>
        <v>2</v>
      </c>
      <c r="U20" s="92">
        <f ca="1">IFERROR(__xludf.DUMMYFUNCTION("IMPORTRANGE(""https://docs.google.com/spreadsheets/d/1uu4nAn4Dbi1XREnLKKotUANlKXa7yCgRcgq8HEzQYW8/edit?usp=sharing"",""พะเยา!J150"")"),0)</f>
        <v>0</v>
      </c>
      <c r="V20" s="93">
        <f t="shared" ca="1" si="32"/>
        <v>0</v>
      </c>
      <c r="W20" s="92">
        <f ca="1">IFERROR(__xludf.DUMMYFUNCTION("IMPORTRANGE(""https://docs.google.com/spreadsheets/d/1uu4nAn4Dbi1XREnLKKotUANlKXa7yCgRcgq8HEzQYW8/edit?usp=sharing"",""พะเยา!J151"")"),0)</f>
        <v>0</v>
      </c>
      <c r="X20" s="93">
        <f t="shared" ca="1" si="33"/>
        <v>0</v>
      </c>
      <c r="Y20" s="92">
        <f ca="1">IFERROR(__xludf.DUMMYFUNCTION("IMPORTRANGE(""https://docs.google.com/spreadsheets/d/1uu4nAn4Dbi1XREnLKKotUANlKXa7yCgRcgq8HEzQYW8/edit?usp=sharing"",""พะเยา!I152"")"),40)</f>
        <v>40</v>
      </c>
      <c r="Z20" s="92">
        <f ca="1">IFERROR(__xludf.DUMMYFUNCTION("IMPORTRANGE(""https://docs.google.com/spreadsheets/d/1uu4nAn4Dbi1XREnLKKotUANlKXa7yCgRcgq8HEzQYW8/edit?usp=sharing"",""พะเยา!I153"")"),4)</f>
        <v>4</v>
      </c>
      <c r="AA20" s="92">
        <f ca="1">IFERROR(__xludf.DUMMYFUNCTION("IMPORTRANGE(""https://docs.google.com/spreadsheets/d/1uu4nAn4Dbi1XREnLKKotUANlKXa7yCgRcgq8HEzQYW8/edit?usp=sharing"",""พะเยา!J152"")"),0)</f>
        <v>0</v>
      </c>
      <c r="AB20" s="93">
        <f t="shared" ca="1" si="35"/>
        <v>0</v>
      </c>
      <c r="AC20" s="92">
        <f ca="1">IFERROR(__xludf.DUMMYFUNCTION("IMPORTRANGE(""https://docs.google.com/spreadsheets/d/1uu4nAn4Dbi1XREnLKKotUANlKXa7yCgRcgq8HEzQYW8/edit?usp=sharing"",""พะเยา!J153"")"),0)</f>
        <v>0</v>
      </c>
      <c r="AD20" s="93">
        <f t="shared" ca="1" si="36"/>
        <v>0</v>
      </c>
      <c r="AE20" s="92">
        <f ca="1">IFERROR(__xludf.DUMMYFUNCTION("IMPORTRANGE(""https://docs.google.com/spreadsheets/d/1uu4nAn4Dbi1XREnLKKotUANlKXa7yCgRcgq8HEzQYW8/edit?usp=sharing"",""พะเยา!I154"")"),2)</f>
        <v>2</v>
      </c>
      <c r="AF20" s="92">
        <f ca="1">IFERROR(__xludf.DUMMYFUNCTION("IMPORTRANGE(""https://docs.google.com/spreadsheets/d/1uu4nAn4Dbi1XREnLKKotUANlKXa7yCgRcgq8HEzQYW8/edit?usp=sharing"",""พะเยา!J154"")"),0)</f>
        <v>0</v>
      </c>
      <c r="AG20" s="93">
        <f t="shared" ca="1" si="38"/>
        <v>0</v>
      </c>
    </row>
    <row r="21" spans="1:33" ht="24" customHeight="1" x14ac:dyDescent="0.3">
      <c r="A21" s="172">
        <v>8</v>
      </c>
      <c r="B21" s="173" t="s">
        <v>43</v>
      </c>
      <c r="C21" s="174">
        <f t="shared" ca="1" si="23"/>
        <v>0</v>
      </c>
      <c r="D21" s="175">
        <f t="shared" ca="1" si="39"/>
        <v>0</v>
      </c>
      <c r="E21" s="176">
        <f ca="1">IFERROR(__xludf.DUMMYFUNCTION("IMPORTRANGE(""https://docs.google.com/spreadsheets/d/1-uDff_7J0KD5mKrp0Vvzr7lt3OU09vwQwhkpOPPYv2Y/edit?usp=sharing"",""งบพรบ!BR21"")"),0)</f>
        <v>0</v>
      </c>
      <c r="F21" s="176">
        <f ca="1">IFERROR(__xludf.DUMMYFUNCTION("IMPORTRANGE(""https://docs.google.com/spreadsheets/d/1-uDff_7J0KD5mKrp0Vvzr7lt3OU09vwQwhkpOPPYv2Y/edit?usp=sharing"",""งบพรบ!BS21"")"),0)</f>
        <v>0</v>
      </c>
      <c r="G21" s="176">
        <f ca="1">IFERROR(__xludf.DUMMYFUNCTION("IMPORTRANGE(""https://docs.google.com/spreadsheets/d/1-uDff_7J0KD5mKrp0Vvzr7lt3OU09vwQwhkpOPPYv2Y/edit?usp=sharing"",""งบพรบ!BT21"")"),0)</f>
        <v>0</v>
      </c>
      <c r="H21" s="176">
        <f ca="1">IFERROR(__xludf.DUMMYFUNCTION("IMPORTRANGE(""https://docs.google.com/spreadsheets/d/1-uDff_7J0KD5mKrp0Vvzr7lt3OU09vwQwhkpOPPYv2Y/edit?usp=sharing"",""งบพรบ!BV21"")"),0)</f>
        <v>0</v>
      </c>
      <c r="I21" s="176">
        <f ca="1">IFERROR(__xludf.DUMMYFUNCTION("IMPORTRANGE(""https://docs.google.com/spreadsheets/d/1-uDff_7J0KD5mKrp0Vvzr7lt3OU09vwQwhkpOPPYv2Y/edit?usp=sharing"",""งบพรบ!BW21"")"),0)</f>
        <v>0</v>
      </c>
      <c r="J21" s="176">
        <f t="shared" ca="1" si="25"/>
        <v>0</v>
      </c>
      <c r="K21" s="181">
        <f t="shared" ca="1" si="26"/>
        <v>0</v>
      </c>
      <c r="L21" s="176">
        <f ca="1">IFERROR(__xludf.DUMMYFUNCTION("IMPORTRANGE(""https://docs.google.com/spreadsheets/d/1-uDff_7J0KD5mKrp0Vvzr7lt3OU09vwQwhkpOPPYv2Y/edit?usp=sharing"",""งบพรบ!BX21"")"),0)</f>
        <v>0</v>
      </c>
      <c r="M21" s="179">
        <f t="shared" ca="1" si="27"/>
        <v>0</v>
      </c>
      <c r="N21" s="179">
        <f t="shared" ca="1" si="28"/>
        <v>0</v>
      </c>
      <c r="O21" s="180">
        <f ca="1">IFERROR(__xludf.DUMMYFUNCTION("IMPORTRANGE(""https://docs.google.com/spreadsheets/d/1-uDff_7J0KD5mKrp0Vvzr7lt3OU09vwQwhkpOPPYv2Y/edit?usp=sharing"",""งบพรบ!BY21"")"),0)</f>
        <v>0</v>
      </c>
      <c r="P21" s="180">
        <f t="shared" ca="1" si="29"/>
        <v>0</v>
      </c>
      <c r="Q21" s="179">
        <f t="shared" ca="1" si="30"/>
        <v>0</v>
      </c>
      <c r="R21" s="92">
        <f ca="1">IFERROR(__xludf.DUMMYFUNCTION("IMPORTRANGE(""https://docs.google.com/spreadsheets/d/1xfJKIQxVOaPDIICqsflNlLu3JacTDk1FP9RH4phX7mI/edit?usp=sharing"",""พิจิตร!J149"")"),0)</f>
        <v>0</v>
      </c>
      <c r="S21" s="92">
        <f ca="1">IFERROR(__xludf.DUMMYFUNCTION("IMPORTRANGE(""https://docs.google.com/spreadsheets/d/1xfJKIQxVOaPDIICqsflNlLu3JacTDk1FP9RH4phX7mI/edit?usp=sharing"",""พิจิตร!I150"")"),0)</f>
        <v>0</v>
      </c>
      <c r="T21" s="92">
        <f ca="1">IFERROR(__xludf.DUMMYFUNCTION("IMPORTRANGE(""https://docs.google.com/spreadsheets/d/1xfJKIQxVOaPDIICqsflNlLu3JacTDk1FP9RH4phX7mI/edit?usp=sharing"",""พิจิตร!I151"")"),0)</f>
        <v>0</v>
      </c>
      <c r="U21" s="92">
        <f ca="1">IFERROR(__xludf.DUMMYFUNCTION("IMPORTRANGE(""https://docs.google.com/spreadsheets/d/1xfJKIQxVOaPDIICqsflNlLu3JacTDk1FP9RH4phX7mI/edit?usp=sharing"",""พิจิตร!J150"")"),0)</f>
        <v>0</v>
      </c>
      <c r="V21" s="93">
        <f t="shared" ca="1" si="32"/>
        <v>0</v>
      </c>
      <c r="W21" s="92">
        <f ca="1">IFERROR(__xludf.DUMMYFUNCTION("IMPORTRANGE(""https://docs.google.com/spreadsheets/d/1xfJKIQxVOaPDIICqsflNlLu3JacTDk1FP9RH4phX7mI/edit?usp=sharing"",""พิจิตร!J151"")"),0)</f>
        <v>0</v>
      </c>
      <c r="X21" s="93">
        <f t="shared" ca="1" si="33"/>
        <v>0</v>
      </c>
      <c r="Y21" s="92">
        <f ca="1">IFERROR(__xludf.DUMMYFUNCTION("IMPORTRANGE(""https://docs.google.com/spreadsheets/d/1xfJKIQxVOaPDIICqsflNlLu3JacTDk1FP9RH4phX7mI/edit?usp=sharing"",""พิจิตร!I152"")"),0)</f>
        <v>0</v>
      </c>
      <c r="Z21" s="92">
        <f ca="1">IFERROR(__xludf.DUMMYFUNCTION("IMPORTRANGE(""https://docs.google.com/spreadsheets/d/1xfJKIQxVOaPDIICqsflNlLu3JacTDk1FP9RH4phX7mI/edit?usp=sharing"",""พิจิตร!I153"")"),0)</f>
        <v>0</v>
      </c>
      <c r="AA21" s="92">
        <f ca="1">IFERROR(__xludf.DUMMYFUNCTION("IMPORTRANGE(""https://docs.google.com/spreadsheets/d/1xfJKIQxVOaPDIICqsflNlLu3JacTDk1FP9RH4phX7mI/edit?usp=sharing"",""พิจิตร!J152"")"),0)</f>
        <v>0</v>
      </c>
      <c r="AB21" s="93">
        <f t="shared" ca="1" si="35"/>
        <v>0</v>
      </c>
      <c r="AC21" s="92">
        <f ca="1">IFERROR(__xludf.DUMMYFUNCTION("IMPORTRANGE(""https://docs.google.com/spreadsheets/d/1xfJKIQxVOaPDIICqsflNlLu3JacTDk1FP9RH4phX7mI/edit?usp=sharing"",""พิจิตร!J153"")"),0)</f>
        <v>0</v>
      </c>
      <c r="AD21" s="93">
        <f t="shared" ca="1" si="36"/>
        <v>0</v>
      </c>
      <c r="AE21" s="92">
        <f ca="1">IFERROR(__xludf.DUMMYFUNCTION("IMPORTRANGE(""https://docs.google.com/spreadsheets/d/1xfJKIQxVOaPDIICqsflNlLu3JacTDk1FP9RH4phX7mI/edit?usp=sharing"",""พิจิตร!I154"")"),0)</f>
        <v>0</v>
      </c>
      <c r="AF21" s="92">
        <f ca="1">IFERROR(__xludf.DUMMYFUNCTION("IMPORTRANGE(""https://docs.google.com/spreadsheets/d/1xfJKIQxVOaPDIICqsflNlLu3JacTDk1FP9RH4phX7mI/edit?usp=sharing"",""พิจิตร!J154"")"),0)</f>
        <v>0</v>
      </c>
      <c r="AG21" s="93">
        <f t="shared" ca="1" si="38"/>
        <v>0</v>
      </c>
    </row>
    <row r="22" spans="1:33" ht="24" customHeight="1" x14ac:dyDescent="0.3">
      <c r="A22" s="172">
        <v>9</v>
      </c>
      <c r="B22" s="173" t="s">
        <v>44</v>
      </c>
      <c r="C22" s="174">
        <f t="shared" ca="1" si="23"/>
        <v>0</v>
      </c>
      <c r="D22" s="175">
        <f t="shared" ca="1" si="39"/>
        <v>0</v>
      </c>
      <c r="E22" s="176">
        <f ca="1">IFERROR(__xludf.DUMMYFUNCTION("IMPORTRANGE(""https://docs.google.com/spreadsheets/d/1-uDff_7J0KD5mKrp0Vvzr7lt3OU09vwQwhkpOPPYv2Y/edit?usp=sharing"",""งบพรบ!BR22"")"),0)</f>
        <v>0</v>
      </c>
      <c r="F22" s="176">
        <f ca="1">IFERROR(__xludf.DUMMYFUNCTION("IMPORTRANGE(""https://docs.google.com/spreadsheets/d/1-uDff_7J0KD5mKrp0Vvzr7lt3OU09vwQwhkpOPPYv2Y/edit?usp=sharing"",""งบพรบ!BS22"")"),0)</f>
        <v>0</v>
      </c>
      <c r="G22" s="176">
        <f ca="1">IFERROR(__xludf.DUMMYFUNCTION("IMPORTRANGE(""https://docs.google.com/spreadsheets/d/1-uDff_7J0KD5mKrp0Vvzr7lt3OU09vwQwhkpOPPYv2Y/edit?usp=sharing"",""งบพรบ!BT22"")"),0)</f>
        <v>0</v>
      </c>
      <c r="H22" s="176">
        <f ca="1">IFERROR(__xludf.DUMMYFUNCTION("IMPORTRANGE(""https://docs.google.com/spreadsheets/d/1-uDff_7J0KD5mKrp0Vvzr7lt3OU09vwQwhkpOPPYv2Y/edit?usp=sharing"",""งบพรบ!BV22"")"),0)</f>
        <v>0</v>
      </c>
      <c r="I22" s="176">
        <f ca="1">IFERROR(__xludf.DUMMYFUNCTION("IMPORTRANGE(""https://docs.google.com/spreadsheets/d/1-uDff_7J0KD5mKrp0Vvzr7lt3OU09vwQwhkpOPPYv2Y/edit?usp=sharing"",""งบพรบ!BW22"")"),0)</f>
        <v>0</v>
      </c>
      <c r="J22" s="176">
        <f t="shared" ca="1" si="25"/>
        <v>0</v>
      </c>
      <c r="K22" s="181">
        <f t="shared" ca="1" si="26"/>
        <v>0</v>
      </c>
      <c r="L22" s="176">
        <f ca="1">IFERROR(__xludf.DUMMYFUNCTION("IMPORTRANGE(""https://docs.google.com/spreadsheets/d/1-uDff_7J0KD5mKrp0Vvzr7lt3OU09vwQwhkpOPPYv2Y/edit?usp=sharing"",""งบพรบ!BX22"")"),0)</f>
        <v>0</v>
      </c>
      <c r="M22" s="179">
        <f t="shared" ca="1" si="27"/>
        <v>0</v>
      </c>
      <c r="N22" s="179">
        <f t="shared" ca="1" si="28"/>
        <v>0</v>
      </c>
      <c r="O22" s="180">
        <f ca="1">IFERROR(__xludf.DUMMYFUNCTION("IMPORTRANGE(""https://docs.google.com/spreadsheets/d/1-uDff_7J0KD5mKrp0Vvzr7lt3OU09vwQwhkpOPPYv2Y/edit?usp=sharing"",""งบพรบ!BY22"")"),0)</f>
        <v>0</v>
      </c>
      <c r="P22" s="180">
        <f t="shared" ca="1" si="29"/>
        <v>0</v>
      </c>
      <c r="Q22" s="179">
        <f t="shared" ca="1" si="30"/>
        <v>0</v>
      </c>
      <c r="R22" s="92">
        <f ca="1">IFERROR(__xludf.DUMMYFUNCTION("IMPORTRANGE(""https://docs.google.com/spreadsheets/d/1JtRfZkJMHtEhI5RdRHxYUG4FIZHqKDpNyIuN7A1Q0_k/edit?usp=sharing"",""พิษณุโลก!J149"")"),0)</f>
        <v>0</v>
      </c>
      <c r="S22" s="92">
        <f ca="1">IFERROR(__xludf.DUMMYFUNCTION("IMPORTRANGE(""https://docs.google.com/spreadsheets/d/1JtRfZkJMHtEhI5RdRHxYUG4FIZHqKDpNyIuN7A1Q0_k/edit?usp=sharing"",""พิษณุโลก!I150"")"),0)</f>
        <v>0</v>
      </c>
      <c r="T22" s="92">
        <f ca="1">IFERROR(__xludf.DUMMYFUNCTION("IMPORTRANGE(""https://docs.google.com/spreadsheets/d/1JtRfZkJMHtEhI5RdRHxYUG4FIZHqKDpNyIuN7A1Q0_k/edit?usp=sharing"",""พิษณุโลก!I151"")"),0)</f>
        <v>0</v>
      </c>
      <c r="U22" s="92">
        <f ca="1">IFERROR(__xludf.DUMMYFUNCTION("IMPORTRANGE(""https://docs.google.com/spreadsheets/d/1JtRfZkJMHtEhI5RdRHxYUG4FIZHqKDpNyIuN7A1Q0_k/edit?usp=sharing"",""พิษณุโลก!J150"")"),0)</f>
        <v>0</v>
      </c>
      <c r="V22" s="93">
        <f t="shared" ca="1" si="32"/>
        <v>0</v>
      </c>
      <c r="W22" s="92">
        <f ca="1">IFERROR(__xludf.DUMMYFUNCTION("IMPORTRANGE(""https://docs.google.com/spreadsheets/d/1JtRfZkJMHtEhI5RdRHxYUG4FIZHqKDpNyIuN7A1Q0_k/edit?usp=sharing"",""พิษณุโลก!J151"")"),0)</f>
        <v>0</v>
      </c>
      <c r="X22" s="93">
        <f t="shared" ca="1" si="33"/>
        <v>0</v>
      </c>
      <c r="Y22" s="92">
        <f ca="1">IFERROR(__xludf.DUMMYFUNCTION("IMPORTRANGE(""https://docs.google.com/spreadsheets/d/1JtRfZkJMHtEhI5RdRHxYUG4FIZHqKDpNyIuN7A1Q0_k/edit?usp=sharing"",""พิษณุโลก!I152"")"),0)</f>
        <v>0</v>
      </c>
      <c r="Z22" s="92">
        <f ca="1">IFERROR(__xludf.DUMMYFUNCTION("IMPORTRANGE(""https://docs.google.com/spreadsheets/d/1JtRfZkJMHtEhI5RdRHxYUG4FIZHqKDpNyIuN7A1Q0_k/edit?usp=sharing"",""พิษณุโลก!I153"")"),0)</f>
        <v>0</v>
      </c>
      <c r="AA22" s="92">
        <f ca="1">IFERROR(__xludf.DUMMYFUNCTION("IMPORTRANGE(""https://docs.google.com/spreadsheets/d/1JtRfZkJMHtEhI5RdRHxYUG4FIZHqKDpNyIuN7A1Q0_k/edit?usp=sharing"",""พิษณุโลก!J152"")"),0)</f>
        <v>0</v>
      </c>
      <c r="AB22" s="93">
        <f t="shared" ca="1" si="35"/>
        <v>0</v>
      </c>
      <c r="AC22" s="92">
        <f ca="1">IFERROR(__xludf.DUMMYFUNCTION("IMPORTRANGE(""https://docs.google.com/spreadsheets/d/1JtRfZkJMHtEhI5RdRHxYUG4FIZHqKDpNyIuN7A1Q0_k/edit?usp=sharing"",""พิษณุโลก!J153"")"),0)</f>
        <v>0</v>
      </c>
      <c r="AD22" s="93">
        <f t="shared" ca="1" si="36"/>
        <v>0</v>
      </c>
      <c r="AE22" s="92">
        <f ca="1">IFERROR(__xludf.DUMMYFUNCTION("IMPORTRANGE(""https://docs.google.com/spreadsheets/d/1JtRfZkJMHtEhI5RdRHxYUG4FIZHqKDpNyIuN7A1Q0_k/edit?usp=sharing"",""พิษณุโลก!I154"")"),0)</f>
        <v>0</v>
      </c>
      <c r="AF22" s="92">
        <f ca="1">IFERROR(__xludf.DUMMYFUNCTION("IMPORTRANGE(""https://docs.google.com/spreadsheets/d/1JtRfZkJMHtEhI5RdRHxYUG4FIZHqKDpNyIuN7A1Q0_k/edit?usp=sharing"",""พิษณุโลก!J154"")"),0)</f>
        <v>0</v>
      </c>
      <c r="AG22" s="93">
        <f t="shared" ca="1" si="38"/>
        <v>0</v>
      </c>
    </row>
    <row r="23" spans="1:33" ht="24" customHeight="1" x14ac:dyDescent="0.3">
      <c r="A23" s="172">
        <v>10</v>
      </c>
      <c r="B23" s="173" t="s">
        <v>45</v>
      </c>
      <c r="C23" s="174">
        <f t="shared" ca="1" si="23"/>
        <v>23300</v>
      </c>
      <c r="D23" s="175">
        <f t="shared" ca="1" si="39"/>
        <v>23300</v>
      </c>
      <c r="E23" s="176">
        <f ca="1">IFERROR(__xludf.DUMMYFUNCTION("IMPORTRANGE(""https://docs.google.com/spreadsheets/d/1-uDff_7J0KD5mKrp0Vvzr7lt3OU09vwQwhkpOPPYv2Y/edit?usp=sharing"",""งบพรบ!BR23"")"),0)</f>
        <v>0</v>
      </c>
      <c r="F23" s="176">
        <f ca="1">IFERROR(__xludf.DUMMYFUNCTION("IMPORTRANGE(""https://docs.google.com/spreadsheets/d/1-uDff_7J0KD5mKrp0Vvzr7lt3OU09vwQwhkpOPPYv2Y/edit?usp=sharing"",""งบพรบ!BS23"")"),23300)</f>
        <v>23300</v>
      </c>
      <c r="G23" s="176">
        <f ca="1">IFERROR(__xludf.DUMMYFUNCTION("IMPORTRANGE(""https://docs.google.com/spreadsheets/d/1-uDff_7J0KD5mKrp0Vvzr7lt3OU09vwQwhkpOPPYv2Y/edit?usp=sharing"",""งบพรบ!BT23"")"),0)</f>
        <v>0</v>
      </c>
      <c r="H23" s="176">
        <f ca="1">IFERROR(__xludf.DUMMYFUNCTION("IMPORTRANGE(""https://docs.google.com/spreadsheets/d/1-uDff_7J0KD5mKrp0Vvzr7lt3OU09vwQwhkpOPPYv2Y/edit?usp=sharing"",""งบพรบ!BV23"")"),18300)</f>
        <v>18300</v>
      </c>
      <c r="I23" s="176">
        <f ca="1">IFERROR(__xludf.DUMMYFUNCTION("IMPORTRANGE(""https://docs.google.com/spreadsheets/d/1-uDff_7J0KD5mKrp0Vvzr7lt3OU09vwQwhkpOPPYv2Y/edit?usp=sharing"",""งบพรบ!BW23"")"),0)</f>
        <v>0</v>
      </c>
      <c r="J23" s="176">
        <f t="shared" ca="1" si="25"/>
        <v>14680</v>
      </c>
      <c r="K23" s="181">
        <f t="shared" ca="1" si="26"/>
        <v>63.004291845493562</v>
      </c>
      <c r="L23" s="176">
        <f ca="1">IFERROR(__xludf.DUMMYFUNCTION("IMPORTRANGE(""https://docs.google.com/spreadsheets/d/1-uDff_7J0KD5mKrp0Vvzr7lt3OU09vwQwhkpOPPYv2Y/edit?usp=sharing"",""งบพรบ!BX23"")"),14680)</f>
        <v>14680</v>
      </c>
      <c r="M23" s="179">
        <f t="shared" ca="1" si="27"/>
        <v>63.004291845493562</v>
      </c>
      <c r="N23" s="179">
        <f t="shared" ca="1" si="28"/>
        <v>80.21857923497268</v>
      </c>
      <c r="O23" s="180">
        <f ca="1">IFERROR(__xludf.DUMMYFUNCTION("IMPORTRANGE(""https://docs.google.com/spreadsheets/d/1-uDff_7J0KD5mKrp0Vvzr7lt3OU09vwQwhkpOPPYv2Y/edit?usp=sharing"",""งบพรบ!BY23"")"),0)</f>
        <v>0</v>
      </c>
      <c r="P23" s="180">
        <f t="shared" ca="1" si="29"/>
        <v>0</v>
      </c>
      <c r="Q23" s="179">
        <f t="shared" ca="1" si="30"/>
        <v>0</v>
      </c>
      <c r="R23" s="92">
        <f ca="1">IFERROR(__xludf.DUMMYFUNCTION("IMPORTRANGE(""https://docs.google.com/spreadsheets/d/1xlcVZWUNn6SuWm0c307h32SiGkd9BaeQWlAktfD3KO8/edit?usp=sharing"",""เพชรบูรณ์!J149"")"),0)</f>
        <v>0</v>
      </c>
      <c r="S23" s="92">
        <f ca="1">IFERROR(__xludf.DUMMYFUNCTION("IMPORTRANGE(""https://docs.google.com/spreadsheets/d/1xlcVZWUNn6SuWm0c307h32SiGkd9BaeQWlAktfD3KO8/edit?usp=sharing"",""เพชรบูรณ์!I150"")"),0)</f>
        <v>0</v>
      </c>
      <c r="T23" s="92">
        <f ca="1">IFERROR(__xludf.DUMMYFUNCTION("IMPORTRANGE(""https://docs.google.com/spreadsheets/d/1xlcVZWUNn6SuWm0c307h32SiGkd9BaeQWlAktfD3KO8/edit?usp=sharing"",""เพชรบูรณ์!I151"")"),0)</f>
        <v>0</v>
      </c>
      <c r="U23" s="92">
        <f ca="1">IFERROR(__xludf.DUMMYFUNCTION("IMPORTRANGE(""https://docs.google.com/spreadsheets/d/1xlcVZWUNn6SuWm0c307h32SiGkd9BaeQWlAktfD3KO8/edit?usp=sharing"",""เพชรบูรณ์!J150"")"),0)</f>
        <v>0</v>
      </c>
      <c r="V23" s="93">
        <f t="shared" ca="1" si="32"/>
        <v>0</v>
      </c>
      <c r="W23" s="92">
        <f ca="1">IFERROR(__xludf.DUMMYFUNCTION("IMPORTRANGE(""https://docs.google.com/spreadsheets/d/1xlcVZWUNn6SuWm0c307h32SiGkd9BaeQWlAktfD3KO8/edit?usp=sharing"",""เพชรบูรณ์!J151"")"),0)</f>
        <v>0</v>
      </c>
      <c r="X23" s="93">
        <f t="shared" ca="1" si="33"/>
        <v>0</v>
      </c>
      <c r="Y23" s="92">
        <f ca="1">IFERROR(__xludf.DUMMYFUNCTION("IMPORTRANGE(""https://docs.google.com/spreadsheets/d/1xlcVZWUNn6SuWm0c307h32SiGkd9BaeQWlAktfD3KO8/edit?usp=sharing"",""เพชรบูรณ์!I152"")"),10)</f>
        <v>10</v>
      </c>
      <c r="Z23" s="92">
        <f ca="1">IFERROR(__xludf.DUMMYFUNCTION("IMPORTRANGE(""https://docs.google.com/spreadsheets/d/1xlcVZWUNn6SuWm0c307h32SiGkd9BaeQWlAktfD3KO8/edit?usp=sharing"",""เพชรบูรณ์!I153"")"),1)</f>
        <v>1</v>
      </c>
      <c r="AA23" s="92">
        <f ca="1">IFERROR(__xludf.DUMMYFUNCTION("IMPORTRANGE(""https://docs.google.com/spreadsheets/d/1xlcVZWUNn6SuWm0c307h32SiGkd9BaeQWlAktfD3KO8/edit?usp=sharing"",""เพชรบูรณ์!J152"")"),10)</f>
        <v>10</v>
      </c>
      <c r="AB23" s="93">
        <f t="shared" ca="1" si="35"/>
        <v>100</v>
      </c>
      <c r="AC23" s="92">
        <f ca="1">IFERROR(__xludf.DUMMYFUNCTION("IMPORTRANGE(""https://docs.google.com/spreadsheets/d/1xlcVZWUNn6SuWm0c307h32SiGkd9BaeQWlAktfD3KO8/edit?usp=sharing"",""เพชรบูรณ์!J153"")"),1)</f>
        <v>1</v>
      </c>
      <c r="AD23" s="93">
        <f t="shared" ca="1" si="36"/>
        <v>100</v>
      </c>
      <c r="AE23" s="92">
        <f ca="1">IFERROR(__xludf.DUMMYFUNCTION("IMPORTRANGE(""https://docs.google.com/spreadsheets/d/1xlcVZWUNn6SuWm0c307h32SiGkd9BaeQWlAktfD3KO8/edit?usp=sharing"",""เพชรบูรณ์!I154"")"),0)</f>
        <v>0</v>
      </c>
      <c r="AF23" s="92">
        <f ca="1">IFERROR(__xludf.DUMMYFUNCTION("IMPORTRANGE(""https://docs.google.com/spreadsheets/d/1xlcVZWUNn6SuWm0c307h32SiGkd9BaeQWlAktfD3KO8/edit?usp=sharing"",""เพชรบูรณ์!J154"")"),0)</f>
        <v>0</v>
      </c>
      <c r="AG23" s="93">
        <f t="shared" ca="1" si="38"/>
        <v>0</v>
      </c>
    </row>
    <row r="24" spans="1:33" ht="24" customHeight="1" x14ac:dyDescent="0.3">
      <c r="A24" s="172">
        <v>11</v>
      </c>
      <c r="B24" s="173" t="s">
        <v>46</v>
      </c>
      <c r="C24" s="174">
        <f t="shared" ca="1" si="23"/>
        <v>164700</v>
      </c>
      <c r="D24" s="175">
        <f t="shared" ca="1" si="39"/>
        <v>164700</v>
      </c>
      <c r="E24" s="176">
        <f ca="1">IFERROR(__xludf.DUMMYFUNCTION("IMPORTRANGE(""https://docs.google.com/spreadsheets/d/1-uDff_7J0KD5mKrp0Vvzr7lt3OU09vwQwhkpOPPYv2Y/edit?usp=sharing"",""งบพรบ!BR24"")"),81600)</f>
        <v>81600</v>
      </c>
      <c r="F24" s="176">
        <f ca="1">IFERROR(__xludf.DUMMYFUNCTION("IMPORTRANGE(""https://docs.google.com/spreadsheets/d/1-uDff_7J0KD5mKrp0Vvzr7lt3OU09vwQwhkpOPPYv2Y/edit?usp=sharing"",""งบพรบ!BS24"")"),83100)</f>
        <v>83100</v>
      </c>
      <c r="G24" s="176">
        <f ca="1">IFERROR(__xludf.DUMMYFUNCTION("IMPORTRANGE(""https://docs.google.com/spreadsheets/d/1-uDff_7J0KD5mKrp0Vvzr7lt3OU09vwQwhkpOPPYv2Y/edit?usp=sharing"",""งบพรบ!BT24"")"),0)</f>
        <v>0</v>
      </c>
      <c r="H24" s="176">
        <f ca="1">IFERROR(__xludf.DUMMYFUNCTION("IMPORTRANGE(""https://docs.google.com/spreadsheets/d/1-uDff_7J0KD5mKrp0Vvzr7lt3OU09vwQwhkpOPPYv2Y/edit?usp=sharing"",""งบพรบ!BV24"")"),136600)</f>
        <v>136600</v>
      </c>
      <c r="I24" s="176">
        <f ca="1">IFERROR(__xludf.DUMMYFUNCTION("IMPORTRANGE(""https://docs.google.com/spreadsheets/d/1-uDff_7J0KD5mKrp0Vvzr7lt3OU09vwQwhkpOPPYv2Y/edit?usp=sharing"",""งบพรบ!BW24"")"),0)</f>
        <v>0</v>
      </c>
      <c r="J24" s="176">
        <f t="shared" ca="1" si="25"/>
        <v>19550</v>
      </c>
      <c r="K24" s="181">
        <f t="shared" ca="1" si="26"/>
        <v>11.870066788099574</v>
      </c>
      <c r="L24" s="176">
        <f ca="1">IFERROR(__xludf.DUMMYFUNCTION("IMPORTRANGE(""https://docs.google.com/spreadsheets/d/1-uDff_7J0KD5mKrp0Vvzr7lt3OU09vwQwhkpOPPYv2Y/edit?usp=sharing"",""งบพรบ!BX24"")"),19550)</f>
        <v>19550</v>
      </c>
      <c r="M24" s="179">
        <f t="shared" ca="1" si="27"/>
        <v>11.870066788099574</v>
      </c>
      <c r="N24" s="179">
        <f t="shared" ca="1" si="28"/>
        <v>14.31185944363104</v>
      </c>
      <c r="O24" s="180">
        <f ca="1">IFERROR(__xludf.DUMMYFUNCTION("IMPORTRANGE(""https://docs.google.com/spreadsheets/d/1-uDff_7J0KD5mKrp0Vvzr7lt3OU09vwQwhkpOPPYv2Y/edit?usp=sharing"",""งบพรบ!BY24"")"),0)</f>
        <v>0</v>
      </c>
      <c r="P24" s="180">
        <f t="shared" ca="1" si="29"/>
        <v>0</v>
      </c>
      <c r="Q24" s="179">
        <f t="shared" ca="1" si="30"/>
        <v>0</v>
      </c>
      <c r="R24" s="92">
        <f ca="1">IFERROR(__xludf.DUMMYFUNCTION("IMPORTRANGE(""https://docs.google.com/spreadsheets/d/1lOVebEIsI9qjGXl6EX66luk7wiuP2tBaryw-wKvv4e0/edit?usp=sharing"",""แพร่!J149"")"),0)</f>
        <v>0</v>
      </c>
      <c r="S24" s="92">
        <f ca="1">IFERROR(__xludf.DUMMYFUNCTION("IMPORTRANGE(""https://docs.google.com/spreadsheets/d/1lOVebEIsI9qjGXl6EX66luk7wiuP2tBaryw-wKvv4e0/edit?usp=sharing"",""แพร่!I150"")"),10)</f>
        <v>10</v>
      </c>
      <c r="T24" s="92">
        <f ca="1">IFERROR(__xludf.DUMMYFUNCTION("IMPORTRANGE(""https://docs.google.com/spreadsheets/d/1lOVebEIsI9qjGXl6EX66luk7wiuP2tBaryw-wKvv4e0/edit?usp=sharing"",""แพร่!I151"")"),1)</f>
        <v>1</v>
      </c>
      <c r="U24" s="92">
        <f ca="1">IFERROR(__xludf.DUMMYFUNCTION("IMPORTRANGE(""https://docs.google.com/spreadsheets/d/1lOVebEIsI9qjGXl6EX66luk7wiuP2tBaryw-wKvv4e0/edit?usp=sharing"",""แพร่!J150"")"),0)</f>
        <v>0</v>
      </c>
      <c r="V24" s="93">
        <f t="shared" ca="1" si="32"/>
        <v>0</v>
      </c>
      <c r="W24" s="92">
        <f ca="1">IFERROR(__xludf.DUMMYFUNCTION("IMPORTRANGE(""https://docs.google.com/spreadsheets/d/1lOVebEIsI9qjGXl6EX66luk7wiuP2tBaryw-wKvv4e0/edit?usp=sharing"",""แพร่!J151"")"),0)</f>
        <v>0</v>
      </c>
      <c r="X24" s="93">
        <f t="shared" ca="1" si="33"/>
        <v>0</v>
      </c>
      <c r="Y24" s="92">
        <f ca="1">IFERROR(__xludf.DUMMYFUNCTION("IMPORTRANGE(""https://docs.google.com/spreadsheets/d/1lOVebEIsI9qjGXl6EX66luk7wiuP2tBaryw-wKvv4e0/edit?usp=sharing"",""แพร่!I152"")"),60)</f>
        <v>60</v>
      </c>
      <c r="Z24" s="92">
        <f ca="1">IFERROR(__xludf.DUMMYFUNCTION("IMPORTRANGE(""https://docs.google.com/spreadsheets/d/1lOVebEIsI9qjGXl6EX66luk7wiuP2tBaryw-wKvv4e0/edit?usp=sharing"",""แพร่!I153"")"),6)</f>
        <v>6</v>
      </c>
      <c r="AA24" s="92">
        <f ca="1">IFERROR(__xludf.DUMMYFUNCTION("IMPORTRANGE(""https://docs.google.com/spreadsheets/d/1lOVebEIsI9qjGXl6EX66luk7wiuP2tBaryw-wKvv4e0/edit?usp=sharing"",""แพร่!J152"")"),0)</f>
        <v>0</v>
      </c>
      <c r="AB24" s="93">
        <f t="shared" ca="1" si="35"/>
        <v>0</v>
      </c>
      <c r="AC24" s="92">
        <f ca="1">IFERROR(__xludf.DUMMYFUNCTION("IMPORTRANGE(""https://docs.google.com/spreadsheets/d/1lOVebEIsI9qjGXl6EX66luk7wiuP2tBaryw-wKvv4e0/edit?usp=sharing"",""แพร่!J153"")"),0)</f>
        <v>0</v>
      </c>
      <c r="AD24" s="93">
        <f t="shared" ca="1" si="36"/>
        <v>0</v>
      </c>
      <c r="AE24" s="92">
        <f ca="1">IFERROR(__xludf.DUMMYFUNCTION("IMPORTRANGE(""https://docs.google.com/spreadsheets/d/1lOVebEIsI9qjGXl6EX66luk7wiuP2tBaryw-wKvv4e0/edit?usp=sharing"",""แพร่!I154"")"),1)</f>
        <v>1</v>
      </c>
      <c r="AF24" s="92">
        <f ca="1">IFERROR(__xludf.DUMMYFUNCTION("IMPORTRANGE(""https://docs.google.com/spreadsheets/d/1lOVebEIsI9qjGXl6EX66luk7wiuP2tBaryw-wKvv4e0/edit?usp=sharing"",""แพร่!J154"")"),0)</f>
        <v>0</v>
      </c>
      <c r="AG24" s="93">
        <f t="shared" ca="1" si="38"/>
        <v>0</v>
      </c>
    </row>
    <row r="25" spans="1:33" ht="24" customHeight="1" x14ac:dyDescent="0.3">
      <c r="A25" s="172">
        <v>12</v>
      </c>
      <c r="B25" s="173" t="s">
        <v>47</v>
      </c>
      <c r="C25" s="174">
        <f t="shared" ca="1" si="23"/>
        <v>0</v>
      </c>
      <c r="D25" s="175">
        <f t="shared" ca="1" si="39"/>
        <v>0</v>
      </c>
      <c r="E25" s="176">
        <f ca="1">IFERROR(__xludf.DUMMYFUNCTION("IMPORTRANGE(""https://docs.google.com/spreadsheets/d/1-uDff_7J0KD5mKrp0Vvzr7lt3OU09vwQwhkpOPPYv2Y/edit?usp=sharing"",""งบพรบ!BR25"")"),0)</f>
        <v>0</v>
      </c>
      <c r="F25" s="176">
        <f ca="1">IFERROR(__xludf.DUMMYFUNCTION("IMPORTRANGE(""https://docs.google.com/spreadsheets/d/1-uDff_7J0KD5mKrp0Vvzr7lt3OU09vwQwhkpOPPYv2Y/edit?usp=sharing"",""งบพรบ!BS25"")"),0)</f>
        <v>0</v>
      </c>
      <c r="G25" s="176">
        <f ca="1">IFERROR(__xludf.DUMMYFUNCTION("IMPORTRANGE(""https://docs.google.com/spreadsheets/d/1-uDff_7J0KD5mKrp0Vvzr7lt3OU09vwQwhkpOPPYv2Y/edit?usp=sharing"",""งบพรบ!BT25"")"),0)</f>
        <v>0</v>
      </c>
      <c r="H25" s="176">
        <f ca="1">IFERROR(__xludf.DUMMYFUNCTION("IMPORTRANGE(""https://docs.google.com/spreadsheets/d/1-uDff_7J0KD5mKrp0Vvzr7lt3OU09vwQwhkpOPPYv2Y/edit?usp=sharing"",""งบพรบ!BV25"")"),0)</f>
        <v>0</v>
      </c>
      <c r="I25" s="176">
        <f ca="1">IFERROR(__xludf.DUMMYFUNCTION("IMPORTRANGE(""https://docs.google.com/spreadsheets/d/1-uDff_7J0KD5mKrp0Vvzr7lt3OU09vwQwhkpOPPYv2Y/edit?usp=sharing"",""งบพรบ!BW25"")"),0)</f>
        <v>0</v>
      </c>
      <c r="J25" s="176">
        <f t="shared" ca="1" si="25"/>
        <v>0</v>
      </c>
      <c r="K25" s="181">
        <f t="shared" ca="1" si="26"/>
        <v>0</v>
      </c>
      <c r="L25" s="176">
        <f ca="1">IFERROR(__xludf.DUMMYFUNCTION("IMPORTRANGE(""https://docs.google.com/spreadsheets/d/1-uDff_7J0KD5mKrp0Vvzr7lt3OU09vwQwhkpOPPYv2Y/edit?usp=sharing"",""งบพรบ!BX25"")"),0)</f>
        <v>0</v>
      </c>
      <c r="M25" s="179">
        <f t="shared" ca="1" si="27"/>
        <v>0</v>
      </c>
      <c r="N25" s="179">
        <f t="shared" ca="1" si="28"/>
        <v>0</v>
      </c>
      <c r="O25" s="180">
        <f ca="1">IFERROR(__xludf.DUMMYFUNCTION("IMPORTRANGE(""https://docs.google.com/spreadsheets/d/1-uDff_7J0KD5mKrp0Vvzr7lt3OU09vwQwhkpOPPYv2Y/edit?usp=sharing"",""งบพรบ!BY25"")"),0)</f>
        <v>0</v>
      </c>
      <c r="P25" s="180">
        <f t="shared" ca="1" si="29"/>
        <v>0</v>
      </c>
      <c r="Q25" s="179">
        <f t="shared" ca="1" si="30"/>
        <v>0</v>
      </c>
      <c r="R25" s="92">
        <f ca="1">IFERROR(__xludf.DUMMYFUNCTION("IMPORTRANGE(""https://docs.google.com/spreadsheets/d/1dQrvX0vEcN7Gu0fnZ0B5S90AeR19zth4XlExFBeExMY/edit?usp=sharing"",""แม่ฮ่องสอน!J149"")"),0)</f>
        <v>0</v>
      </c>
      <c r="S25" s="92">
        <f ca="1">IFERROR(__xludf.DUMMYFUNCTION("IMPORTRANGE(""https://docs.google.com/spreadsheets/d/1dQrvX0vEcN7Gu0fnZ0B5S90AeR19zth4XlExFBeExMY/edit?usp=sharing"",""แม่ฮ่องสอน!I150"")"),0)</f>
        <v>0</v>
      </c>
      <c r="T25" s="92">
        <f ca="1">IFERROR(__xludf.DUMMYFUNCTION("IMPORTRANGE(""https://docs.google.com/spreadsheets/d/1dQrvX0vEcN7Gu0fnZ0B5S90AeR19zth4XlExFBeExMY/edit?usp=sharing"",""แม่ฮ่องสอน!I151"")"),0)</f>
        <v>0</v>
      </c>
      <c r="U25" s="92">
        <f ca="1">IFERROR(__xludf.DUMMYFUNCTION("IMPORTRANGE(""https://docs.google.com/spreadsheets/d/1dQrvX0vEcN7Gu0fnZ0B5S90AeR19zth4XlExFBeExMY/edit?usp=sharing"",""แม่ฮ่องสอน!J150"")"),0)</f>
        <v>0</v>
      </c>
      <c r="V25" s="93">
        <f t="shared" ca="1" si="32"/>
        <v>0</v>
      </c>
      <c r="W25" s="92">
        <f ca="1">IFERROR(__xludf.DUMMYFUNCTION("IMPORTRANGE(""https://docs.google.com/spreadsheets/d/1dQrvX0vEcN7Gu0fnZ0B5S90AeR19zth4XlExFBeExMY/edit?usp=sharing"",""แม่ฮ่องสอน!J151"")"),0)</f>
        <v>0</v>
      </c>
      <c r="X25" s="93">
        <f t="shared" ca="1" si="33"/>
        <v>0</v>
      </c>
      <c r="Y25" s="92">
        <f ca="1">IFERROR(__xludf.DUMMYFUNCTION("IMPORTRANGE(""https://docs.google.com/spreadsheets/d/1dQrvX0vEcN7Gu0fnZ0B5S90AeR19zth4XlExFBeExMY/edit?usp=sharing"",""แม่ฮ่องสอน!I152"")"),0)</f>
        <v>0</v>
      </c>
      <c r="Z25" s="92">
        <f ca="1">IFERROR(__xludf.DUMMYFUNCTION("IMPORTRANGE(""https://docs.google.com/spreadsheets/d/1dQrvX0vEcN7Gu0fnZ0B5S90AeR19zth4XlExFBeExMY/edit?usp=sharing"",""แม่ฮ่องสอน!I153"")"),0)</f>
        <v>0</v>
      </c>
      <c r="AA25" s="92">
        <f ca="1">IFERROR(__xludf.DUMMYFUNCTION("IMPORTRANGE(""https://docs.google.com/spreadsheets/d/1dQrvX0vEcN7Gu0fnZ0B5S90AeR19zth4XlExFBeExMY/edit?usp=sharing"",""แม่ฮ่องสอน!J152"")"),0)</f>
        <v>0</v>
      </c>
      <c r="AB25" s="93">
        <f t="shared" ca="1" si="35"/>
        <v>0</v>
      </c>
      <c r="AC25" s="92">
        <f ca="1">IFERROR(__xludf.DUMMYFUNCTION("IMPORTRANGE(""https://docs.google.com/spreadsheets/d/1dQrvX0vEcN7Gu0fnZ0B5S90AeR19zth4XlExFBeExMY/edit?usp=sharing"",""แม่ฮ่องสอน!J153"")"),0)</f>
        <v>0</v>
      </c>
      <c r="AD25" s="93">
        <f t="shared" ca="1" si="36"/>
        <v>0</v>
      </c>
      <c r="AE25" s="92">
        <f ca="1">IFERROR(__xludf.DUMMYFUNCTION("IMPORTRANGE(""https://docs.google.com/spreadsheets/d/1dQrvX0vEcN7Gu0fnZ0B5S90AeR19zth4XlExFBeExMY/edit?usp=sharing"",""แม่ฮ่องสอน!I154"")"),0)</f>
        <v>0</v>
      </c>
      <c r="AF25" s="92">
        <f ca="1">IFERROR(__xludf.DUMMYFUNCTION("IMPORTRANGE(""https://docs.google.com/spreadsheets/d/1dQrvX0vEcN7Gu0fnZ0B5S90AeR19zth4XlExFBeExMY/edit?usp=sharing"",""แม่ฮ่องสอน!J154"")"),0)</f>
        <v>0</v>
      </c>
      <c r="AG25" s="93">
        <f t="shared" ca="1" si="38"/>
        <v>0</v>
      </c>
    </row>
    <row r="26" spans="1:33" ht="24" customHeight="1" x14ac:dyDescent="0.3">
      <c r="A26" s="172">
        <v>13</v>
      </c>
      <c r="B26" s="173" t="s">
        <v>48</v>
      </c>
      <c r="C26" s="174">
        <f t="shared" ca="1" si="23"/>
        <v>164700</v>
      </c>
      <c r="D26" s="175">
        <f t="shared" ca="1" si="39"/>
        <v>164700</v>
      </c>
      <c r="E26" s="176">
        <f ca="1">IFERROR(__xludf.DUMMYFUNCTION("IMPORTRANGE(""https://docs.google.com/spreadsheets/d/1-uDff_7J0KD5mKrp0Vvzr7lt3OU09vwQwhkpOPPYv2Y/edit?usp=sharing"",""งบพรบ!BR26"")"),81600)</f>
        <v>81600</v>
      </c>
      <c r="F26" s="176">
        <f ca="1">IFERROR(__xludf.DUMMYFUNCTION("IMPORTRANGE(""https://docs.google.com/spreadsheets/d/1-uDff_7J0KD5mKrp0Vvzr7lt3OU09vwQwhkpOPPYv2Y/edit?usp=sharing"",""งบพรบ!BS26"")"),83100)</f>
        <v>83100</v>
      </c>
      <c r="G26" s="176">
        <f ca="1">IFERROR(__xludf.DUMMYFUNCTION("IMPORTRANGE(""https://docs.google.com/spreadsheets/d/1-uDff_7J0KD5mKrp0Vvzr7lt3OU09vwQwhkpOPPYv2Y/edit?usp=sharing"",""งบพรบ!BT26"")"),0)</f>
        <v>0</v>
      </c>
      <c r="H26" s="176">
        <f ca="1">IFERROR(__xludf.DUMMYFUNCTION("IMPORTRANGE(""https://docs.google.com/spreadsheets/d/1-uDff_7J0KD5mKrp0Vvzr7lt3OU09vwQwhkpOPPYv2Y/edit?usp=sharing"",""งบพรบ!BV26"")"),136600)</f>
        <v>136600</v>
      </c>
      <c r="I26" s="176">
        <f ca="1">IFERROR(__xludf.DUMMYFUNCTION("IMPORTRANGE(""https://docs.google.com/spreadsheets/d/1-uDff_7J0KD5mKrp0Vvzr7lt3OU09vwQwhkpOPPYv2Y/edit?usp=sharing"",""งบพรบ!BW26"")"),0)</f>
        <v>0</v>
      </c>
      <c r="J26" s="176">
        <f t="shared" ca="1" si="25"/>
        <v>40615</v>
      </c>
      <c r="K26" s="181">
        <f t="shared" ca="1" si="26"/>
        <v>24.659987856709169</v>
      </c>
      <c r="L26" s="176">
        <f ca="1">IFERROR(__xludf.DUMMYFUNCTION("IMPORTRANGE(""https://docs.google.com/spreadsheets/d/1-uDff_7J0KD5mKrp0Vvzr7lt3OU09vwQwhkpOPPYv2Y/edit?usp=sharing"",""งบพรบ!BX26"")"),40615)</f>
        <v>40615</v>
      </c>
      <c r="M26" s="179">
        <f t="shared" ca="1" si="27"/>
        <v>24.659987856709169</v>
      </c>
      <c r="N26" s="179">
        <f t="shared" ca="1" si="28"/>
        <v>29.732796486090777</v>
      </c>
      <c r="O26" s="180">
        <f ca="1">IFERROR(__xludf.DUMMYFUNCTION("IMPORTRANGE(""https://docs.google.com/spreadsheets/d/1-uDff_7J0KD5mKrp0Vvzr7lt3OU09vwQwhkpOPPYv2Y/edit?usp=sharing"",""งบพรบ!BY26"")"),0)</f>
        <v>0</v>
      </c>
      <c r="P26" s="180">
        <f t="shared" ca="1" si="29"/>
        <v>0</v>
      </c>
      <c r="Q26" s="179">
        <f t="shared" ca="1" si="30"/>
        <v>0</v>
      </c>
      <c r="R26" s="92">
        <f ca="1">IFERROR(__xludf.DUMMYFUNCTION("IMPORTRANGE(""https://docs.google.com/spreadsheets/d/1DY4XTNNwjluuxqdfdn6qvOSlMRrZqUtmYcZR0ttFiG4/edit?usp=sharing"",""ลำปาง!J149"")"),0)</f>
        <v>0</v>
      </c>
      <c r="S26" s="92">
        <f ca="1">IFERROR(__xludf.DUMMYFUNCTION("IMPORTRANGE(""https://docs.google.com/spreadsheets/d/1DY4XTNNwjluuxqdfdn6qvOSlMRrZqUtmYcZR0ttFiG4/edit?usp=sharing"",""ลำปาง!I150"")"),30)</f>
        <v>30</v>
      </c>
      <c r="T26" s="92">
        <f ca="1">IFERROR(__xludf.DUMMYFUNCTION("IMPORTRANGE(""https://docs.google.com/spreadsheets/d/1DY4XTNNwjluuxqdfdn6qvOSlMRrZqUtmYcZR0ttFiG4/edit?usp=sharing"",""ลำปาง!I151"")"),3)</f>
        <v>3</v>
      </c>
      <c r="U26" s="92">
        <f ca="1">IFERROR(__xludf.DUMMYFUNCTION("IMPORTRANGE(""https://docs.google.com/spreadsheets/d/1DY4XTNNwjluuxqdfdn6qvOSlMRrZqUtmYcZR0ttFiG4/edit?usp=sharing"",""ลำปาง!J150"")"),0)</f>
        <v>0</v>
      </c>
      <c r="V26" s="93">
        <f t="shared" ca="1" si="32"/>
        <v>0</v>
      </c>
      <c r="W26" s="92">
        <f ca="1">IFERROR(__xludf.DUMMYFUNCTION("IMPORTRANGE(""https://docs.google.com/spreadsheets/d/1DY4XTNNwjluuxqdfdn6qvOSlMRrZqUtmYcZR0ttFiG4/edit?usp=sharing"",""ลำปาง!J151"")"),0)</f>
        <v>0</v>
      </c>
      <c r="X26" s="93">
        <f t="shared" ca="1" si="33"/>
        <v>0</v>
      </c>
      <c r="Y26" s="92">
        <f ca="1">IFERROR(__xludf.DUMMYFUNCTION("IMPORTRANGE(""https://docs.google.com/spreadsheets/d/1DY4XTNNwjluuxqdfdn6qvOSlMRrZqUtmYcZR0ttFiG4/edit?usp=sharing"",""ลำปาง!I152"")"),40)</f>
        <v>40</v>
      </c>
      <c r="Z26" s="92">
        <f ca="1">IFERROR(__xludf.DUMMYFUNCTION("IMPORTRANGE(""https://docs.google.com/spreadsheets/d/1DY4XTNNwjluuxqdfdn6qvOSlMRrZqUtmYcZR0ttFiG4/edit?usp=sharing"",""ลำปาง!I153"")"),4)</f>
        <v>4</v>
      </c>
      <c r="AA26" s="92">
        <f ca="1">IFERROR(__xludf.DUMMYFUNCTION("IMPORTRANGE(""https://docs.google.com/spreadsheets/d/1DY4XTNNwjluuxqdfdn6qvOSlMRrZqUtmYcZR0ttFiG4/edit?usp=sharing"",""ลำปาง!J152"")"),0)</f>
        <v>0</v>
      </c>
      <c r="AB26" s="93">
        <f t="shared" ca="1" si="35"/>
        <v>0</v>
      </c>
      <c r="AC26" s="92">
        <f ca="1">IFERROR(__xludf.DUMMYFUNCTION("IMPORTRANGE(""https://docs.google.com/spreadsheets/d/1DY4XTNNwjluuxqdfdn6qvOSlMRrZqUtmYcZR0ttFiG4/edit?usp=sharing"",""ลำปาง!J153"")"),0)</f>
        <v>0</v>
      </c>
      <c r="AD26" s="93">
        <f t="shared" ca="1" si="36"/>
        <v>0</v>
      </c>
      <c r="AE26" s="92">
        <f ca="1">IFERROR(__xludf.DUMMYFUNCTION("IMPORTRANGE(""https://docs.google.com/spreadsheets/d/1DY4XTNNwjluuxqdfdn6qvOSlMRrZqUtmYcZR0ttFiG4/edit?usp=sharing"",""ลำปาง!I154"")"),3)</f>
        <v>3</v>
      </c>
      <c r="AF26" s="92">
        <f ca="1">IFERROR(__xludf.DUMMYFUNCTION("IMPORTRANGE(""https://docs.google.com/spreadsheets/d/1DY4XTNNwjluuxqdfdn6qvOSlMRrZqUtmYcZR0ttFiG4/edit?usp=sharing"",""ลำปาง!J154"")"),0)</f>
        <v>0</v>
      </c>
      <c r="AG26" s="93">
        <f t="shared" ca="1" si="38"/>
        <v>0</v>
      </c>
    </row>
    <row r="27" spans="1:33" ht="24" customHeight="1" x14ac:dyDescent="0.3">
      <c r="A27" s="172">
        <v>14</v>
      </c>
      <c r="B27" s="173" t="s">
        <v>49</v>
      </c>
      <c r="C27" s="174">
        <f t="shared" ca="1" si="23"/>
        <v>0</v>
      </c>
      <c r="D27" s="175">
        <f t="shared" ca="1" si="39"/>
        <v>0</v>
      </c>
      <c r="E27" s="176">
        <f ca="1">IFERROR(__xludf.DUMMYFUNCTION("IMPORTRANGE(""https://docs.google.com/spreadsheets/d/1-uDff_7J0KD5mKrp0Vvzr7lt3OU09vwQwhkpOPPYv2Y/edit?usp=sharing"",""งบพรบ!BR27"")"),0)</f>
        <v>0</v>
      </c>
      <c r="F27" s="176">
        <f ca="1">IFERROR(__xludf.DUMMYFUNCTION("IMPORTRANGE(""https://docs.google.com/spreadsheets/d/1-uDff_7J0KD5mKrp0Vvzr7lt3OU09vwQwhkpOPPYv2Y/edit?usp=sharing"",""งบพรบ!BS27"")"),0)</f>
        <v>0</v>
      </c>
      <c r="G27" s="176">
        <f ca="1">IFERROR(__xludf.DUMMYFUNCTION("IMPORTRANGE(""https://docs.google.com/spreadsheets/d/1-uDff_7J0KD5mKrp0Vvzr7lt3OU09vwQwhkpOPPYv2Y/edit?usp=sharing"",""งบพรบ!BT27"")"),0)</f>
        <v>0</v>
      </c>
      <c r="H27" s="176">
        <f ca="1">IFERROR(__xludf.DUMMYFUNCTION("IMPORTRANGE(""https://docs.google.com/spreadsheets/d/1-uDff_7J0KD5mKrp0Vvzr7lt3OU09vwQwhkpOPPYv2Y/edit?usp=sharing"",""งบพรบ!BV27"")"),0)</f>
        <v>0</v>
      </c>
      <c r="I27" s="176">
        <f ca="1">IFERROR(__xludf.DUMMYFUNCTION("IMPORTRANGE(""https://docs.google.com/spreadsheets/d/1-uDff_7J0KD5mKrp0Vvzr7lt3OU09vwQwhkpOPPYv2Y/edit?usp=sharing"",""งบพรบ!BW27"")"),0)</f>
        <v>0</v>
      </c>
      <c r="J27" s="176">
        <f t="shared" ca="1" si="25"/>
        <v>0</v>
      </c>
      <c r="K27" s="181">
        <f t="shared" ca="1" si="26"/>
        <v>0</v>
      </c>
      <c r="L27" s="176">
        <f ca="1">IFERROR(__xludf.DUMMYFUNCTION("IMPORTRANGE(""https://docs.google.com/spreadsheets/d/1-uDff_7J0KD5mKrp0Vvzr7lt3OU09vwQwhkpOPPYv2Y/edit?usp=sharing"",""งบพรบ!BX27"")"),0)</f>
        <v>0</v>
      </c>
      <c r="M27" s="179">
        <f t="shared" ca="1" si="27"/>
        <v>0</v>
      </c>
      <c r="N27" s="179">
        <f t="shared" ca="1" si="28"/>
        <v>0</v>
      </c>
      <c r="O27" s="180">
        <f ca="1">IFERROR(__xludf.DUMMYFUNCTION("IMPORTRANGE(""https://docs.google.com/spreadsheets/d/1-uDff_7J0KD5mKrp0Vvzr7lt3OU09vwQwhkpOPPYv2Y/edit?usp=sharing"",""งบพรบ!BY27"")"),0)</f>
        <v>0</v>
      </c>
      <c r="P27" s="180">
        <f t="shared" ca="1" si="29"/>
        <v>0</v>
      </c>
      <c r="Q27" s="179">
        <f t="shared" ca="1" si="30"/>
        <v>0</v>
      </c>
      <c r="R27" s="92">
        <f ca="1">IFERROR(__xludf.DUMMYFUNCTION("IMPORTRANGE(""https://docs.google.com/spreadsheets/d/1ICwG78r0OFT8biBlxnBF8r7she7gNSzOvJ958PWT09c/edit?usp=sharing"",""ลำพูน!J149"")"),0)</f>
        <v>0</v>
      </c>
      <c r="S27" s="92">
        <f ca="1">IFERROR(__xludf.DUMMYFUNCTION("IMPORTRANGE(""https://docs.google.com/spreadsheets/d/1ICwG78r0OFT8biBlxnBF8r7she7gNSzOvJ958PWT09c/edit?usp=sharing"",""ลำพูน!I150"")"),0)</f>
        <v>0</v>
      </c>
      <c r="T27" s="92">
        <f ca="1">IFERROR(__xludf.DUMMYFUNCTION("IMPORTRANGE(""https://docs.google.com/spreadsheets/d/1ICwG78r0OFT8biBlxnBF8r7she7gNSzOvJ958PWT09c/edit?usp=sharing"",""ลำพูน!I151"")"),0)</f>
        <v>0</v>
      </c>
      <c r="U27" s="92">
        <f ca="1">IFERROR(__xludf.DUMMYFUNCTION("IMPORTRANGE(""https://docs.google.com/spreadsheets/d/1ICwG78r0OFT8biBlxnBF8r7she7gNSzOvJ958PWT09c/edit?usp=sharing"",""ลำพูน!J150"")"),0)</f>
        <v>0</v>
      </c>
      <c r="V27" s="93">
        <f t="shared" ca="1" si="32"/>
        <v>0</v>
      </c>
      <c r="W27" s="92">
        <f ca="1">IFERROR(__xludf.DUMMYFUNCTION("IMPORTRANGE(""https://docs.google.com/spreadsheets/d/1ICwG78r0OFT8biBlxnBF8r7she7gNSzOvJ958PWT09c/edit?usp=sharing"",""ลำพูน!J151"")"),0)</f>
        <v>0</v>
      </c>
      <c r="X27" s="93">
        <f t="shared" ca="1" si="33"/>
        <v>0</v>
      </c>
      <c r="Y27" s="92">
        <f ca="1">IFERROR(__xludf.DUMMYFUNCTION("IMPORTRANGE(""https://docs.google.com/spreadsheets/d/1ICwG78r0OFT8biBlxnBF8r7she7gNSzOvJ958PWT09c/edit?usp=sharing"",""ลำพูน!I152"")"),0)</f>
        <v>0</v>
      </c>
      <c r="Z27" s="92">
        <f ca="1">IFERROR(__xludf.DUMMYFUNCTION("IMPORTRANGE(""https://docs.google.com/spreadsheets/d/1ICwG78r0OFT8biBlxnBF8r7she7gNSzOvJ958PWT09c/edit?usp=sharing"",""ลำพูน!I153"")"),0)</f>
        <v>0</v>
      </c>
      <c r="AA27" s="92">
        <f ca="1">IFERROR(__xludf.DUMMYFUNCTION("IMPORTRANGE(""https://docs.google.com/spreadsheets/d/1ICwG78r0OFT8biBlxnBF8r7she7gNSzOvJ958PWT09c/edit?usp=sharing"",""ลำพูน!J152"")"),0)</f>
        <v>0</v>
      </c>
      <c r="AB27" s="93">
        <f t="shared" ca="1" si="35"/>
        <v>0</v>
      </c>
      <c r="AC27" s="92">
        <f ca="1">IFERROR(__xludf.DUMMYFUNCTION("IMPORTRANGE(""https://docs.google.com/spreadsheets/d/1ICwG78r0OFT8biBlxnBF8r7she7gNSzOvJ958PWT09c/edit?usp=sharing"",""ลำพูน!J153"")"),0)</f>
        <v>0</v>
      </c>
      <c r="AD27" s="93">
        <f t="shared" ca="1" si="36"/>
        <v>0</v>
      </c>
      <c r="AE27" s="92">
        <f ca="1">IFERROR(__xludf.DUMMYFUNCTION("IMPORTRANGE(""https://docs.google.com/spreadsheets/d/1ICwG78r0OFT8biBlxnBF8r7she7gNSzOvJ958PWT09c/edit?usp=sharing"",""ลำพูน!I154"")"),0)</f>
        <v>0</v>
      </c>
      <c r="AF27" s="92">
        <f ca="1">IFERROR(__xludf.DUMMYFUNCTION("IMPORTRANGE(""https://docs.google.com/spreadsheets/d/1ICwG78r0OFT8biBlxnBF8r7she7gNSzOvJ958PWT09c/edit?usp=sharing"",""ลำพูน!J154"")"),0)</f>
        <v>0</v>
      </c>
      <c r="AG27" s="93">
        <f t="shared" ca="1" si="38"/>
        <v>0</v>
      </c>
    </row>
    <row r="28" spans="1:33" ht="24" customHeight="1" x14ac:dyDescent="0.3">
      <c r="A28" s="172">
        <v>15</v>
      </c>
      <c r="B28" s="173" t="s">
        <v>50</v>
      </c>
      <c r="C28" s="174">
        <f t="shared" ca="1" si="23"/>
        <v>0</v>
      </c>
      <c r="D28" s="175">
        <f t="shared" ca="1" si="39"/>
        <v>0</v>
      </c>
      <c r="E28" s="176">
        <f ca="1">IFERROR(__xludf.DUMMYFUNCTION("IMPORTRANGE(""https://docs.google.com/spreadsheets/d/1-uDff_7J0KD5mKrp0Vvzr7lt3OU09vwQwhkpOPPYv2Y/edit?usp=sharing"",""งบพรบ!BR28"")"),0)</f>
        <v>0</v>
      </c>
      <c r="F28" s="176">
        <f ca="1">IFERROR(__xludf.DUMMYFUNCTION("IMPORTRANGE(""https://docs.google.com/spreadsheets/d/1-uDff_7J0KD5mKrp0Vvzr7lt3OU09vwQwhkpOPPYv2Y/edit?usp=sharing"",""งบพรบ!BS28"")"),0)</f>
        <v>0</v>
      </c>
      <c r="G28" s="176">
        <f ca="1">IFERROR(__xludf.DUMMYFUNCTION("IMPORTRANGE(""https://docs.google.com/spreadsheets/d/1-uDff_7J0KD5mKrp0Vvzr7lt3OU09vwQwhkpOPPYv2Y/edit?usp=sharing"",""งบพรบ!BT28"")"),0)</f>
        <v>0</v>
      </c>
      <c r="H28" s="176">
        <f ca="1">IFERROR(__xludf.DUMMYFUNCTION("IMPORTRANGE(""https://docs.google.com/spreadsheets/d/1-uDff_7J0KD5mKrp0Vvzr7lt3OU09vwQwhkpOPPYv2Y/edit?usp=sharing"",""งบพรบ!BV28"")"),0)</f>
        <v>0</v>
      </c>
      <c r="I28" s="176">
        <f ca="1">IFERROR(__xludf.DUMMYFUNCTION("IMPORTRANGE(""https://docs.google.com/spreadsheets/d/1-uDff_7J0KD5mKrp0Vvzr7lt3OU09vwQwhkpOPPYv2Y/edit?usp=sharing"",""งบพรบ!BW28"")"),0)</f>
        <v>0</v>
      </c>
      <c r="J28" s="176">
        <f t="shared" ca="1" si="25"/>
        <v>0</v>
      </c>
      <c r="K28" s="181">
        <f t="shared" ca="1" si="26"/>
        <v>0</v>
      </c>
      <c r="L28" s="176">
        <f ca="1">IFERROR(__xludf.DUMMYFUNCTION("IMPORTRANGE(""https://docs.google.com/spreadsheets/d/1-uDff_7J0KD5mKrp0Vvzr7lt3OU09vwQwhkpOPPYv2Y/edit?usp=sharing"",""งบพรบ!BX28"")"),0)</f>
        <v>0</v>
      </c>
      <c r="M28" s="179">
        <f t="shared" ca="1" si="27"/>
        <v>0</v>
      </c>
      <c r="N28" s="179">
        <f t="shared" ca="1" si="28"/>
        <v>0</v>
      </c>
      <c r="O28" s="180">
        <f ca="1">IFERROR(__xludf.DUMMYFUNCTION("IMPORTRANGE(""https://docs.google.com/spreadsheets/d/1-uDff_7J0KD5mKrp0Vvzr7lt3OU09vwQwhkpOPPYv2Y/edit?usp=sharing"",""งบพรบ!BY28"")"),0)</f>
        <v>0</v>
      </c>
      <c r="P28" s="180">
        <f t="shared" ca="1" si="29"/>
        <v>0</v>
      </c>
      <c r="Q28" s="179">
        <f t="shared" ca="1" si="30"/>
        <v>0</v>
      </c>
      <c r="R28" s="92">
        <f ca="1">IFERROR(__xludf.DUMMYFUNCTION("IMPORTRANGE(""https://docs.google.com/spreadsheets/d/1B0f2xJpZUC6Z0xXnqKlZtEPzsf6L84eP1r1Q15seqRM/edit?usp=sharing"",""สุโขทัย!J149"")"),0)</f>
        <v>0</v>
      </c>
      <c r="S28" s="92">
        <f ca="1">IFERROR(__xludf.DUMMYFUNCTION("IMPORTRANGE(""https://docs.google.com/spreadsheets/d/1B0f2xJpZUC6Z0xXnqKlZtEPzsf6L84eP1r1Q15seqRM/edit?usp=sharing"",""สุโขทัย!I150"")"),0)</f>
        <v>0</v>
      </c>
      <c r="T28" s="92">
        <f ca="1">IFERROR(__xludf.DUMMYFUNCTION("IMPORTRANGE(""https://docs.google.com/spreadsheets/d/1B0f2xJpZUC6Z0xXnqKlZtEPzsf6L84eP1r1Q15seqRM/edit?usp=sharing"",""สุโขทัย!I151"")"),0)</f>
        <v>0</v>
      </c>
      <c r="U28" s="92">
        <f ca="1">IFERROR(__xludf.DUMMYFUNCTION("IMPORTRANGE(""https://docs.google.com/spreadsheets/d/1B0f2xJpZUC6Z0xXnqKlZtEPzsf6L84eP1r1Q15seqRM/edit?usp=sharing"",""สุโขทัย!J150"")"),0)</f>
        <v>0</v>
      </c>
      <c r="V28" s="93">
        <f t="shared" ca="1" si="32"/>
        <v>0</v>
      </c>
      <c r="W28" s="92">
        <f ca="1">IFERROR(__xludf.DUMMYFUNCTION("IMPORTRANGE(""https://docs.google.com/spreadsheets/d/1B0f2xJpZUC6Z0xXnqKlZtEPzsf6L84eP1r1Q15seqRM/edit?usp=sharing"",""สุโขทัย!J151"")"),0)</f>
        <v>0</v>
      </c>
      <c r="X28" s="93">
        <f t="shared" ca="1" si="33"/>
        <v>0</v>
      </c>
      <c r="Y28" s="92">
        <f ca="1">IFERROR(__xludf.DUMMYFUNCTION("IMPORTRANGE(""https://docs.google.com/spreadsheets/d/1B0f2xJpZUC6Z0xXnqKlZtEPzsf6L84eP1r1Q15seqRM/edit?usp=sharing"",""สุโขทัย!I152"")"),0)</f>
        <v>0</v>
      </c>
      <c r="Z28" s="92">
        <f ca="1">IFERROR(__xludf.DUMMYFUNCTION("IMPORTRANGE(""https://docs.google.com/spreadsheets/d/1B0f2xJpZUC6Z0xXnqKlZtEPzsf6L84eP1r1Q15seqRM/edit?usp=sharing"",""สุโขทัย!I153"")"),0)</f>
        <v>0</v>
      </c>
      <c r="AA28" s="92">
        <f ca="1">IFERROR(__xludf.DUMMYFUNCTION("IMPORTRANGE(""https://docs.google.com/spreadsheets/d/1B0f2xJpZUC6Z0xXnqKlZtEPzsf6L84eP1r1Q15seqRM/edit?usp=sharing"",""สุโขทัย!J152"")"),0)</f>
        <v>0</v>
      </c>
      <c r="AB28" s="93">
        <f t="shared" ca="1" si="35"/>
        <v>0</v>
      </c>
      <c r="AC28" s="92">
        <f ca="1">IFERROR(__xludf.DUMMYFUNCTION("IMPORTRANGE(""https://docs.google.com/spreadsheets/d/1B0f2xJpZUC6Z0xXnqKlZtEPzsf6L84eP1r1Q15seqRM/edit?usp=sharing"",""สุโขทัย!J153"")"),0)</f>
        <v>0</v>
      </c>
      <c r="AD28" s="93">
        <f t="shared" ca="1" si="36"/>
        <v>0</v>
      </c>
      <c r="AE28" s="92">
        <f ca="1">IFERROR(__xludf.DUMMYFUNCTION("IMPORTRANGE(""https://docs.google.com/spreadsheets/d/1B0f2xJpZUC6Z0xXnqKlZtEPzsf6L84eP1r1Q15seqRM/edit?usp=sharing"",""สุโขทัย!I154"")"),0)</f>
        <v>0</v>
      </c>
      <c r="AF28" s="92">
        <f ca="1">IFERROR(__xludf.DUMMYFUNCTION("IMPORTRANGE(""https://docs.google.com/spreadsheets/d/1B0f2xJpZUC6Z0xXnqKlZtEPzsf6L84eP1r1Q15seqRM/edit?usp=sharing"",""สุโขทัย!J154"")"),0)</f>
        <v>0</v>
      </c>
      <c r="AG28" s="93">
        <f t="shared" ca="1" si="38"/>
        <v>0</v>
      </c>
    </row>
    <row r="29" spans="1:33" ht="24" customHeight="1" x14ac:dyDescent="0.3">
      <c r="A29" s="172">
        <v>16</v>
      </c>
      <c r="B29" s="173" t="s">
        <v>51</v>
      </c>
      <c r="C29" s="174">
        <f t="shared" ca="1" si="23"/>
        <v>136400</v>
      </c>
      <c r="D29" s="175">
        <f t="shared" ca="1" si="39"/>
        <v>136400</v>
      </c>
      <c r="E29" s="176">
        <f ca="1">IFERROR(__xludf.DUMMYFUNCTION("IMPORTRANGE(""https://docs.google.com/spreadsheets/d/1-uDff_7J0KD5mKrp0Vvzr7lt3OU09vwQwhkpOPPYv2Y/edit?usp=sharing"",""งบพรบ!BR29"")"),86500)</f>
        <v>86500</v>
      </c>
      <c r="F29" s="176">
        <f ca="1">IFERROR(__xludf.DUMMYFUNCTION("IMPORTRANGE(""https://docs.google.com/spreadsheets/d/1-uDff_7J0KD5mKrp0Vvzr7lt3OU09vwQwhkpOPPYv2Y/edit?usp=sharing"",""งบพรบ!BS29"")"),49900)</f>
        <v>49900</v>
      </c>
      <c r="G29" s="176">
        <f ca="1">IFERROR(__xludf.DUMMYFUNCTION("IMPORTRANGE(""https://docs.google.com/spreadsheets/d/1-uDff_7J0KD5mKrp0Vvzr7lt3OU09vwQwhkpOPPYv2Y/edit?usp=sharing"",""งบพรบ!BT29"")"),0)</f>
        <v>0</v>
      </c>
      <c r="H29" s="176">
        <f ca="1">IFERROR(__xludf.DUMMYFUNCTION("IMPORTRANGE(""https://docs.google.com/spreadsheets/d/1-uDff_7J0KD5mKrp0Vvzr7lt3OU09vwQwhkpOPPYv2Y/edit?usp=sharing"",""งบพรบ!BV29"")"),106900)</f>
        <v>106900</v>
      </c>
      <c r="I29" s="176">
        <f ca="1">IFERROR(__xludf.DUMMYFUNCTION("IMPORTRANGE(""https://docs.google.com/spreadsheets/d/1-uDff_7J0KD5mKrp0Vvzr7lt3OU09vwQwhkpOPPYv2Y/edit?usp=sharing"",""งบพรบ!BW29"")"),0)</f>
        <v>0</v>
      </c>
      <c r="J29" s="176">
        <f t="shared" ca="1" si="25"/>
        <v>60897.63</v>
      </c>
      <c r="K29" s="181">
        <f t="shared" ca="1" si="26"/>
        <v>44.646356304985339</v>
      </c>
      <c r="L29" s="176">
        <f ca="1">IFERROR(__xludf.DUMMYFUNCTION("IMPORTRANGE(""https://docs.google.com/spreadsheets/d/1-uDff_7J0KD5mKrp0Vvzr7lt3OU09vwQwhkpOPPYv2Y/edit?usp=sharing"",""งบพรบ!BX29"")"),60897.63)</f>
        <v>60897.63</v>
      </c>
      <c r="M29" s="179">
        <f t="shared" ca="1" si="27"/>
        <v>44.646356304985339</v>
      </c>
      <c r="N29" s="179">
        <f t="shared" ca="1" si="28"/>
        <v>56.966913002806358</v>
      </c>
      <c r="O29" s="180">
        <f ca="1">IFERROR(__xludf.DUMMYFUNCTION("IMPORTRANGE(""https://docs.google.com/spreadsheets/d/1-uDff_7J0KD5mKrp0Vvzr7lt3OU09vwQwhkpOPPYv2Y/edit?usp=sharing"",""งบพรบ!BY29"")"),0)</f>
        <v>0</v>
      </c>
      <c r="P29" s="180">
        <f t="shared" ca="1" si="29"/>
        <v>0</v>
      </c>
      <c r="Q29" s="179">
        <f t="shared" ca="1" si="30"/>
        <v>0</v>
      </c>
      <c r="R29" s="92">
        <f ca="1">IFERROR(__xludf.DUMMYFUNCTION("IMPORTRANGE(""https://docs.google.com/spreadsheets/d/1v0b9pFQCsKUVExMei7AgY2yQkdeNQvtOssygGsXbiKo/edit?usp=sharing"",""อุตรดิตถ์!J149"")"),0)</f>
        <v>0</v>
      </c>
      <c r="S29" s="92">
        <f ca="1">IFERROR(__xludf.DUMMYFUNCTION("IMPORTRANGE(""https://docs.google.com/spreadsheets/d/1v0b9pFQCsKUVExMei7AgY2yQkdeNQvtOssygGsXbiKo/edit?usp=sharing"",""อุตรดิตถ์!I150"")"),10)</f>
        <v>10</v>
      </c>
      <c r="T29" s="92">
        <f ca="1">IFERROR(__xludf.DUMMYFUNCTION("IMPORTRANGE(""https://docs.google.com/spreadsheets/d/1v0b9pFQCsKUVExMei7AgY2yQkdeNQvtOssygGsXbiKo/edit?usp=sharing"",""อุตรดิตถ์!I151"")"),1)</f>
        <v>1</v>
      </c>
      <c r="U29" s="92">
        <f ca="1">IFERROR(__xludf.DUMMYFUNCTION("IMPORTRANGE(""https://docs.google.com/spreadsheets/d/1v0b9pFQCsKUVExMei7AgY2yQkdeNQvtOssygGsXbiKo/edit?usp=sharing"",""อุตรดิตถ์!J150"")"),0)</f>
        <v>0</v>
      </c>
      <c r="V29" s="93">
        <f t="shared" ca="1" si="32"/>
        <v>0</v>
      </c>
      <c r="W29" s="92">
        <f ca="1">IFERROR(__xludf.DUMMYFUNCTION("IMPORTRANGE(""https://docs.google.com/spreadsheets/d/1v0b9pFQCsKUVExMei7AgY2yQkdeNQvtOssygGsXbiKo/edit?usp=sharing"",""อุตรดิตถ์!J151"")"),0)</f>
        <v>0</v>
      </c>
      <c r="X29" s="93">
        <f t="shared" ca="1" si="33"/>
        <v>0</v>
      </c>
      <c r="Y29" s="92">
        <f ca="1">IFERROR(__xludf.DUMMYFUNCTION("IMPORTRANGE(""https://docs.google.com/spreadsheets/d/1v0b9pFQCsKUVExMei7AgY2yQkdeNQvtOssygGsXbiKo/edit?usp=sharing"",""อุตรดิตถ์!I152"")"),20)</f>
        <v>20</v>
      </c>
      <c r="Z29" s="92">
        <f ca="1">IFERROR(__xludf.DUMMYFUNCTION("IMPORTRANGE(""https://docs.google.com/spreadsheets/d/1v0b9pFQCsKUVExMei7AgY2yQkdeNQvtOssygGsXbiKo/edit?usp=sharing"",""อุตรดิตถ์!I153"")"),2)</f>
        <v>2</v>
      </c>
      <c r="AA29" s="92">
        <f ca="1">IFERROR(__xludf.DUMMYFUNCTION("IMPORTRANGE(""https://docs.google.com/spreadsheets/d/1v0b9pFQCsKUVExMei7AgY2yQkdeNQvtOssygGsXbiKo/edit?usp=sharing"",""อุตรดิตถ์!J152"")"),0)</f>
        <v>0</v>
      </c>
      <c r="AB29" s="93">
        <f t="shared" ca="1" si="35"/>
        <v>0</v>
      </c>
      <c r="AC29" s="92">
        <f ca="1">IFERROR(__xludf.DUMMYFUNCTION("IMPORTRANGE(""https://docs.google.com/spreadsheets/d/1v0b9pFQCsKUVExMei7AgY2yQkdeNQvtOssygGsXbiKo/edit?usp=sharing"",""อุตรดิตถ์!J153"")"),0)</f>
        <v>0</v>
      </c>
      <c r="AD29" s="93">
        <f t="shared" ca="1" si="36"/>
        <v>0</v>
      </c>
      <c r="AE29" s="92">
        <f ca="1">IFERROR(__xludf.DUMMYFUNCTION("IMPORTRANGE(""https://docs.google.com/spreadsheets/d/1v0b9pFQCsKUVExMei7AgY2yQkdeNQvtOssygGsXbiKo/edit?usp=sharing"",""อุตรดิตถ์!I154"")"),1)</f>
        <v>1</v>
      </c>
      <c r="AF29" s="92">
        <f ca="1">IFERROR(__xludf.DUMMYFUNCTION("IMPORTRANGE(""https://docs.google.com/spreadsheets/d/1v0b9pFQCsKUVExMei7AgY2yQkdeNQvtOssygGsXbiKo/edit?usp=sharing"",""อุตรดิตถ์!J154"")"),0)</f>
        <v>0</v>
      </c>
      <c r="AG29" s="93">
        <f t="shared" ca="1" si="38"/>
        <v>0</v>
      </c>
    </row>
    <row r="30" spans="1:33" ht="24" customHeight="1" x14ac:dyDescent="0.3">
      <c r="A30" s="182">
        <v>17</v>
      </c>
      <c r="B30" s="183" t="s">
        <v>52</v>
      </c>
      <c r="C30" s="184">
        <f t="shared" ca="1" si="23"/>
        <v>153900</v>
      </c>
      <c r="D30" s="185">
        <f t="shared" ca="1" si="39"/>
        <v>153900</v>
      </c>
      <c r="E30" s="186">
        <f ca="1">IFERROR(__xludf.DUMMYFUNCTION("IMPORTRANGE(""https://docs.google.com/spreadsheets/d/1-uDff_7J0KD5mKrp0Vvzr7lt3OU09vwQwhkpOPPYv2Y/edit?usp=sharing"",""งบพรบ!BR30"")"),79100)</f>
        <v>79100</v>
      </c>
      <c r="F30" s="186">
        <f ca="1">IFERROR(__xludf.DUMMYFUNCTION("IMPORTRANGE(""https://docs.google.com/spreadsheets/d/1-uDff_7J0KD5mKrp0Vvzr7lt3OU09vwQwhkpOPPYv2Y/edit?usp=sharing"",""งบพรบ!BS30"")"),74800)</f>
        <v>74800</v>
      </c>
      <c r="G30" s="186">
        <f ca="1">IFERROR(__xludf.DUMMYFUNCTION("IMPORTRANGE(""https://docs.google.com/spreadsheets/d/1-uDff_7J0KD5mKrp0Vvzr7lt3OU09vwQwhkpOPPYv2Y/edit?usp=sharing"",""งบพรบ!BT30"")"),0)</f>
        <v>0</v>
      </c>
      <c r="H30" s="186">
        <f ca="1">IFERROR(__xludf.DUMMYFUNCTION("IMPORTRANGE(""https://docs.google.com/spreadsheets/d/1-uDff_7J0KD5mKrp0Vvzr7lt3OU09vwQwhkpOPPYv2Y/edit?usp=sharing"",""งบพรบ!BV30"")"),126300)</f>
        <v>126300</v>
      </c>
      <c r="I30" s="186">
        <f ca="1">IFERROR(__xludf.DUMMYFUNCTION("IMPORTRANGE(""https://docs.google.com/spreadsheets/d/1-uDff_7J0KD5mKrp0Vvzr7lt3OU09vwQwhkpOPPYv2Y/edit?usp=sharing"",""งบพรบ!BW30"")"),0)</f>
        <v>0</v>
      </c>
      <c r="J30" s="186">
        <f t="shared" ca="1" si="25"/>
        <v>23813.5</v>
      </c>
      <c r="K30" s="187">
        <f t="shared" ca="1" si="26"/>
        <v>15.473359324236517</v>
      </c>
      <c r="L30" s="186">
        <f ca="1">IFERROR(__xludf.DUMMYFUNCTION("IMPORTRANGE(""https://docs.google.com/spreadsheets/d/1-uDff_7J0KD5mKrp0Vvzr7lt3OU09vwQwhkpOPPYv2Y/edit?usp=sharing"",""งบพรบ!BX30"")"),23813.5)</f>
        <v>23813.5</v>
      </c>
      <c r="M30" s="188">
        <f t="shared" ca="1" si="27"/>
        <v>15.473359324236517</v>
      </c>
      <c r="N30" s="188">
        <f t="shared" ca="1" si="28"/>
        <v>18.854711005542359</v>
      </c>
      <c r="O30" s="189">
        <f ca="1">IFERROR(__xludf.DUMMYFUNCTION("IMPORTRANGE(""https://docs.google.com/spreadsheets/d/1-uDff_7J0KD5mKrp0Vvzr7lt3OU09vwQwhkpOPPYv2Y/edit?usp=sharing"",""งบพรบ!BY30"")"),0)</f>
        <v>0</v>
      </c>
      <c r="P30" s="189">
        <f t="shared" ca="1" si="29"/>
        <v>0</v>
      </c>
      <c r="Q30" s="188">
        <f t="shared" ca="1" si="30"/>
        <v>0</v>
      </c>
      <c r="R30" s="103">
        <f ca="1">IFERROR(__xludf.DUMMYFUNCTION("IMPORTRANGE(""https://docs.google.com/spreadsheets/d/1UsNK1e-WWiCo2PvGqdNfdme4m17_Ezd3J69EeeiQPD0/edit?usp=sharing"",""อุทัยธานี!J149"")"),0)</f>
        <v>0</v>
      </c>
      <c r="S30" s="103">
        <f ca="1">IFERROR(__xludf.DUMMYFUNCTION("IMPORTRANGE(""https://docs.google.com/spreadsheets/d/1UsNK1e-WWiCo2PvGqdNfdme4m17_Ezd3J69EeeiQPD0/edit?usp=sharing"",""อุทัยธานี!I150"")"),20)</f>
        <v>20</v>
      </c>
      <c r="T30" s="103">
        <f ca="1">IFERROR(__xludf.DUMMYFUNCTION("IMPORTRANGE(""https://docs.google.com/spreadsheets/d/1UsNK1e-WWiCo2PvGqdNfdme4m17_Ezd3J69EeeiQPD0/edit?usp=sharing"",""อุทัยธานี!I151"")"),2)</f>
        <v>2</v>
      </c>
      <c r="U30" s="103">
        <f ca="1">IFERROR(__xludf.DUMMYFUNCTION("IMPORTRANGE(""https://docs.google.com/spreadsheets/d/1UsNK1e-WWiCo2PvGqdNfdme4m17_Ezd3J69EeeiQPD0/edit?usp=sharing"",""อุทัยธานี!J150"")"),0)</f>
        <v>0</v>
      </c>
      <c r="V30" s="104">
        <f t="shared" ca="1" si="32"/>
        <v>0</v>
      </c>
      <c r="W30" s="103">
        <f ca="1">IFERROR(__xludf.DUMMYFUNCTION("IMPORTRANGE(""https://docs.google.com/spreadsheets/d/1UsNK1e-WWiCo2PvGqdNfdme4m17_Ezd3J69EeeiQPD0/edit?usp=sharing"",""อุทัยธานี!J151"")"),0)</f>
        <v>0</v>
      </c>
      <c r="X30" s="104">
        <f t="shared" ca="1" si="33"/>
        <v>0</v>
      </c>
      <c r="Y30" s="103">
        <f ca="1">IFERROR(__xludf.DUMMYFUNCTION("IMPORTRANGE(""https://docs.google.com/spreadsheets/d/1UsNK1e-WWiCo2PvGqdNfdme4m17_Ezd3J69EeeiQPD0/edit?usp=sharing"",""อุทัยธานี!I152"")"),40)</f>
        <v>40</v>
      </c>
      <c r="Z30" s="103">
        <f ca="1">IFERROR(__xludf.DUMMYFUNCTION("IMPORTRANGE(""https://docs.google.com/spreadsheets/d/1UsNK1e-WWiCo2PvGqdNfdme4m17_Ezd3J69EeeiQPD0/edit?usp=sharing"",""อุทัยธานี!I153"")"),4)</f>
        <v>4</v>
      </c>
      <c r="AA30" s="103">
        <f ca="1">IFERROR(__xludf.DUMMYFUNCTION("IMPORTRANGE(""https://docs.google.com/spreadsheets/d/1UsNK1e-WWiCo2PvGqdNfdme4m17_Ezd3J69EeeiQPD0/edit?usp=sharing"",""อุทัยธานี!J152"")"),0)</f>
        <v>0</v>
      </c>
      <c r="AB30" s="104">
        <f t="shared" ca="1" si="35"/>
        <v>0</v>
      </c>
      <c r="AC30" s="103">
        <f ca="1">IFERROR(__xludf.DUMMYFUNCTION("IMPORTRANGE(""https://docs.google.com/spreadsheets/d/1UsNK1e-WWiCo2PvGqdNfdme4m17_Ezd3J69EeeiQPD0/edit?usp=sharing"",""อุทัยธานี!J153"")"),0)</f>
        <v>0</v>
      </c>
      <c r="AD30" s="104">
        <f t="shared" ca="1" si="36"/>
        <v>0</v>
      </c>
      <c r="AE30" s="103">
        <f ca="1">IFERROR(__xludf.DUMMYFUNCTION("IMPORTRANGE(""https://docs.google.com/spreadsheets/d/1UsNK1e-WWiCo2PvGqdNfdme4m17_Ezd3J69EeeiQPD0/edit?usp=sharing"",""อุทัยธานี!I154"")"),2)</f>
        <v>2</v>
      </c>
      <c r="AF30" s="103">
        <f ca="1">IFERROR(__xludf.DUMMYFUNCTION("IMPORTRANGE(""https://docs.google.com/spreadsheets/d/1UsNK1e-WWiCo2PvGqdNfdme4m17_Ezd3J69EeeiQPD0/edit?usp=sharing"",""อุทัยธานี!J154"")"),0)</f>
        <v>0</v>
      </c>
      <c r="AG30" s="104">
        <f t="shared" ca="1" si="38"/>
        <v>0</v>
      </c>
    </row>
    <row r="31" spans="1:33" ht="21" customHeight="1" x14ac:dyDescent="0.3">
      <c r="A31" s="421" t="s">
        <v>53</v>
      </c>
      <c r="B31" s="422"/>
      <c r="C31" s="154">
        <f t="shared" ca="1" si="23"/>
        <v>772800</v>
      </c>
      <c r="D31" s="154">
        <f t="shared" ref="D31:I31" ca="1" si="40">SUM(D32:D51)</f>
        <v>772800</v>
      </c>
      <c r="E31" s="154">
        <f t="shared" ca="1" si="40"/>
        <v>340500</v>
      </c>
      <c r="F31" s="154">
        <f t="shared" ca="1" si="40"/>
        <v>432300</v>
      </c>
      <c r="G31" s="154">
        <f t="shared" ca="1" si="40"/>
        <v>0</v>
      </c>
      <c r="H31" s="154">
        <f t="shared" ca="1" si="40"/>
        <v>621300</v>
      </c>
      <c r="I31" s="154">
        <f t="shared" ca="1" si="40"/>
        <v>0</v>
      </c>
      <c r="J31" s="154">
        <f t="shared" ca="1" si="25"/>
        <v>161285.65</v>
      </c>
      <c r="K31" s="155">
        <f t="shared" ca="1" si="26"/>
        <v>20.870296325051761</v>
      </c>
      <c r="L31" s="154">
        <f ca="1">SUM(L32:L51)</f>
        <v>161285.65</v>
      </c>
      <c r="M31" s="156">
        <f t="shared" ca="1" si="27"/>
        <v>20.870296325051761</v>
      </c>
      <c r="N31" s="156">
        <f t="shared" ca="1" si="28"/>
        <v>25.95938355061967</v>
      </c>
      <c r="O31" s="157">
        <f ca="1">SUM(O32:O51)</f>
        <v>0</v>
      </c>
      <c r="P31" s="157">
        <f t="shared" ca="1" si="29"/>
        <v>0</v>
      </c>
      <c r="Q31" s="156">
        <f t="shared" ca="1" si="30"/>
        <v>0</v>
      </c>
      <c r="R31" s="68">
        <f t="shared" ref="R31:U31" ca="1" si="41">SUM(R32:R51)</f>
        <v>0</v>
      </c>
      <c r="S31" s="68">
        <f t="shared" ca="1" si="41"/>
        <v>20</v>
      </c>
      <c r="T31" s="68">
        <f t="shared" ca="1" si="41"/>
        <v>2</v>
      </c>
      <c r="U31" s="68">
        <f t="shared" ca="1" si="41"/>
        <v>0</v>
      </c>
      <c r="V31" s="107">
        <f t="shared" ca="1" si="32"/>
        <v>0</v>
      </c>
      <c r="W31" s="68">
        <f ca="1">SUM(W32:W51)</f>
        <v>0</v>
      </c>
      <c r="X31" s="107">
        <f t="shared" ca="1" si="33"/>
        <v>0</v>
      </c>
      <c r="Y31" s="68">
        <f t="shared" ref="Y31:AA31" ca="1" si="42">SUM(Y32:Y51)</f>
        <v>290</v>
      </c>
      <c r="Z31" s="68">
        <f t="shared" ca="1" si="42"/>
        <v>29</v>
      </c>
      <c r="AA31" s="68">
        <f t="shared" ca="1" si="42"/>
        <v>0</v>
      </c>
      <c r="AB31" s="107">
        <f t="shared" ca="1" si="35"/>
        <v>0</v>
      </c>
      <c r="AC31" s="68">
        <f ca="1">SUM(AC32:AC51)</f>
        <v>0</v>
      </c>
      <c r="AD31" s="107">
        <f t="shared" ca="1" si="36"/>
        <v>0</v>
      </c>
      <c r="AE31" s="68">
        <f t="shared" ref="AE31:AF31" ca="1" si="43">SUM(AE32:AE51)</f>
        <v>2</v>
      </c>
      <c r="AF31" s="68">
        <f t="shared" ca="1" si="43"/>
        <v>0</v>
      </c>
      <c r="AG31" s="107">
        <f t="shared" ca="1" si="38"/>
        <v>0</v>
      </c>
    </row>
    <row r="32" spans="1:33" ht="21" customHeight="1" x14ac:dyDescent="0.3">
      <c r="A32" s="172">
        <v>1</v>
      </c>
      <c r="B32" s="173" t="s">
        <v>54</v>
      </c>
      <c r="C32" s="174">
        <f t="shared" ca="1" si="23"/>
        <v>0</v>
      </c>
      <c r="D32" s="175">
        <f t="shared" ref="D32:D51" ca="1" si="44">+E32+F32</f>
        <v>0</v>
      </c>
      <c r="E32" s="176">
        <f ca="1">IFERROR(__xludf.DUMMYFUNCTION("IMPORTRANGE(""https://docs.google.com/spreadsheets/d/1-uDff_7J0KD5mKrp0Vvzr7lt3OU09vwQwhkpOPPYv2Y/edit?usp=sharing"",""งบพรบ!BR32"")"),0)</f>
        <v>0</v>
      </c>
      <c r="F32" s="176">
        <f ca="1">IFERROR(__xludf.DUMMYFUNCTION("IMPORTRANGE(""https://docs.google.com/spreadsheets/d/1-uDff_7J0KD5mKrp0Vvzr7lt3OU09vwQwhkpOPPYv2Y/edit?usp=sharing"",""งบพรบ!BS32"")"),0)</f>
        <v>0</v>
      </c>
      <c r="G32" s="177">
        <f ca="1">IFERROR(__xludf.DUMMYFUNCTION("IMPORTRANGE(""https://docs.google.com/spreadsheets/d/1-uDff_7J0KD5mKrp0Vvzr7lt3OU09vwQwhkpOPPYv2Y/edit?usp=sharing"",""งบพรบ!BT32"")"),0)</f>
        <v>0</v>
      </c>
      <c r="H32" s="177">
        <f ca="1">IFERROR(__xludf.DUMMYFUNCTION("IMPORTRANGE(""https://docs.google.com/spreadsheets/d/1-uDff_7J0KD5mKrp0Vvzr7lt3OU09vwQwhkpOPPYv2Y/edit?usp=sharing"",""งบพรบ!BV32"")"),0)</f>
        <v>0</v>
      </c>
      <c r="I32" s="177">
        <f ca="1">IFERROR(__xludf.DUMMYFUNCTION("IMPORTRANGE(""https://docs.google.com/spreadsheets/d/1-uDff_7J0KD5mKrp0Vvzr7lt3OU09vwQwhkpOPPYv2Y/edit?usp=sharing"",""งบพรบ!BW32"")"),0)</f>
        <v>0</v>
      </c>
      <c r="J32" s="177">
        <f t="shared" ca="1" si="25"/>
        <v>0</v>
      </c>
      <c r="K32" s="178">
        <f t="shared" ca="1" si="26"/>
        <v>0</v>
      </c>
      <c r="L32" s="177">
        <f ca="1">IFERROR(__xludf.DUMMYFUNCTION("IMPORTRANGE(""https://docs.google.com/spreadsheets/d/1-uDff_7J0KD5mKrp0Vvzr7lt3OU09vwQwhkpOPPYv2Y/edit?usp=sharing"",""งบพรบ!BX32"")"),0)</f>
        <v>0</v>
      </c>
      <c r="M32" s="179">
        <f t="shared" ca="1" si="27"/>
        <v>0</v>
      </c>
      <c r="N32" s="179">
        <f t="shared" ca="1" si="28"/>
        <v>0</v>
      </c>
      <c r="O32" s="180">
        <f ca="1">IFERROR(__xludf.DUMMYFUNCTION("IMPORTRANGE(""https://docs.google.com/spreadsheets/d/1-uDff_7J0KD5mKrp0Vvzr7lt3OU09vwQwhkpOPPYv2Y/edit?usp=sharing"",""งบพรบ!BY32"")"),0)</f>
        <v>0</v>
      </c>
      <c r="P32" s="180">
        <f t="shared" ca="1" si="29"/>
        <v>0</v>
      </c>
      <c r="Q32" s="179">
        <f t="shared" ca="1" si="30"/>
        <v>0</v>
      </c>
      <c r="R32" s="79">
        <f ca="1">IFERROR(__xludf.DUMMYFUNCTION("IMPORTRANGE(""https://docs.google.com/spreadsheets/d/1yhBcrRPreicbMKl9Bu_Snb2-OcQAF62RKfhTLhJ2eAA/edit?usp=sharing"",""กาฬสินธุ์!J149"")"),0)</f>
        <v>0</v>
      </c>
      <c r="S32" s="79">
        <f ca="1">IFERROR(__xludf.DUMMYFUNCTION("IMPORTRANGE(""https://docs.google.com/spreadsheets/d/1yhBcrRPreicbMKl9Bu_Snb2-OcQAF62RKfhTLhJ2eAA/edit?usp=sharing"",""กาฬสินธุ์!I150"")"),0)</f>
        <v>0</v>
      </c>
      <c r="T32" s="79">
        <f ca="1">IFERROR(__xludf.DUMMYFUNCTION("IMPORTRANGE(""https://docs.google.com/spreadsheets/d/1yhBcrRPreicbMKl9Bu_Snb2-OcQAF62RKfhTLhJ2eAA/edit?usp=sharing"",""กาฬสินธุ์!I151"")"),0)</f>
        <v>0</v>
      </c>
      <c r="U32" s="79">
        <f ca="1">IFERROR(__xludf.DUMMYFUNCTION("IMPORTRANGE(""https://docs.google.com/spreadsheets/d/1yhBcrRPreicbMKl9Bu_Snb2-OcQAF62RKfhTLhJ2eAA/edit?usp=sharing"",""กาฬสินธุ์!J150"")"),0)</f>
        <v>0</v>
      </c>
      <c r="V32" s="83">
        <f t="shared" ca="1" si="32"/>
        <v>0</v>
      </c>
      <c r="W32" s="79">
        <f ca="1">IFERROR(__xludf.DUMMYFUNCTION("IMPORTRANGE(""https://docs.google.com/spreadsheets/d/1yhBcrRPreicbMKl9Bu_Snb2-OcQAF62RKfhTLhJ2eAA/edit?usp=sharing"",""กาฬสินธุ์!J151"")"),0)</f>
        <v>0</v>
      </c>
      <c r="X32" s="83">
        <f t="shared" ca="1" si="33"/>
        <v>0</v>
      </c>
      <c r="Y32" s="79">
        <f ca="1">IFERROR(__xludf.DUMMYFUNCTION("IMPORTRANGE(""https://docs.google.com/spreadsheets/d/1yhBcrRPreicbMKl9Bu_Snb2-OcQAF62RKfhTLhJ2eAA/edit?usp=sharing"",""กาฬสินธุ์!I152"")"),0)</f>
        <v>0</v>
      </c>
      <c r="Z32" s="79">
        <f ca="1">IFERROR(__xludf.DUMMYFUNCTION("IMPORTRANGE(""https://docs.google.com/spreadsheets/d/1yhBcrRPreicbMKl9Bu_Snb2-OcQAF62RKfhTLhJ2eAA/edit?usp=sharing"",""กาฬสินธุ์!I153"")"),0)</f>
        <v>0</v>
      </c>
      <c r="AA32" s="79">
        <f ca="1">IFERROR(__xludf.DUMMYFUNCTION("IMPORTRANGE(""https://docs.google.com/spreadsheets/d/1yhBcrRPreicbMKl9Bu_Snb2-OcQAF62RKfhTLhJ2eAA/edit?usp=sharing"",""กาฬสินธุ์!J152"")"),0)</f>
        <v>0</v>
      </c>
      <c r="AB32" s="83">
        <f t="shared" ca="1" si="35"/>
        <v>0</v>
      </c>
      <c r="AC32" s="79">
        <f ca="1">IFERROR(__xludf.DUMMYFUNCTION("IMPORTRANGE(""https://docs.google.com/spreadsheets/d/1yhBcrRPreicbMKl9Bu_Snb2-OcQAF62RKfhTLhJ2eAA/edit?usp=sharing"",""กาฬสินธุ์!J153"")"),0)</f>
        <v>0</v>
      </c>
      <c r="AD32" s="83">
        <f t="shared" ca="1" si="36"/>
        <v>0</v>
      </c>
      <c r="AE32" s="79">
        <f ca="1">IFERROR(__xludf.DUMMYFUNCTION("IMPORTRANGE(""https://docs.google.com/spreadsheets/d/1yhBcrRPreicbMKl9Bu_Snb2-OcQAF62RKfhTLhJ2eAA/edit?usp=sharing"",""กาฬสินธุ์!I154"")"),0)</f>
        <v>0</v>
      </c>
      <c r="AF32" s="79">
        <f ca="1">IFERROR(__xludf.DUMMYFUNCTION("IMPORTRANGE(""https://docs.google.com/spreadsheets/d/1yhBcrRPreicbMKl9Bu_Snb2-OcQAF62RKfhTLhJ2eAA/edit?usp=sharing"",""กาฬสินธุ์!J154"")"),0)</f>
        <v>0</v>
      </c>
      <c r="AG32" s="83">
        <f t="shared" ca="1" si="38"/>
        <v>0</v>
      </c>
    </row>
    <row r="33" spans="1:33" ht="21" customHeight="1" x14ac:dyDescent="0.3">
      <c r="A33" s="172">
        <v>2</v>
      </c>
      <c r="B33" s="173" t="s">
        <v>55</v>
      </c>
      <c r="C33" s="174">
        <f t="shared" ca="1" si="23"/>
        <v>23300</v>
      </c>
      <c r="D33" s="175">
        <f t="shared" ca="1" si="44"/>
        <v>23300</v>
      </c>
      <c r="E33" s="176">
        <f ca="1">IFERROR(__xludf.DUMMYFUNCTION("IMPORTRANGE(""https://docs.google.com/spreadsheets/d/1-uDff_7J0KD5mKrp0Vvzr7lt3OU09vwQwhkpOPPYv2Y/edit?usp=sharing"",""งบพรบ!BR33"")"),0)</f>
        <v>0</v>
      </c>
      <c r="F33" s="176">
        <f ca="1">IFERROR(__xludf.DUMMYFUNCTION("IMPORTRANGE(""https://docs.google.com/spreadsheets/d/1-uDff_7J0KD5mKrp0Vvzr7lt3OU09vwQwhkpOPPYv2Y/edit?usp=sharing"",""งบพรบ!BS33"")"),23300)</f>
        <v>23300</v>
      </c>
      <c r="G33" s="176">
        <f ca="1">IFERROR(__xludf.DUMMYFUNCTION("IMPORTRANGE(""https://docs.google.com/spreadsheets/d/1-uDff_7J0KD5mKrp0Vvzr7lt3OU09vwQwhkpOPPYv2Y/edit?usp=sharing"",""งบพรบ!BT33"")"),0)</f>
        <v>0</v>
      </c>
      <c r="H33" s="176">
        <f ca="1">IFERROR(__xludf.DUMMYFUNCTION("IMPORTRANGE(""https://docs.google.com/spreadsheets/d/1-uDff_7J0KD5mKrp0Vvzr7lt3OU09vwQwhkpOPPYv2Y/edit?usp=sharing"",""งบพรบ!BV33"")"),18300)</f>
        <v>18300</v>
      </c>
      <c r="I33" s="176">
        <f ca="1">IFERROR(__xludf.DUMMYFUNCTION("IMPORTRANGE(""https://docs.google.com/spreadsheets/d/1-uDff_7J0KD5mKrp0Vvzr7lt3OU09vwQwhkpOPPYv2Y/edit?usp=sharing"",""งบพรบ!BW33"")"),0)</f>
        <v>0</v>
      </c>
      <c r="J33" s="176">
        <f t="shared" ca="1" si="25"/>
        <v>0</v>
      </c>
      <c r="K33" s="181">
        <f t="shared" ca="1" si="26"/>
        <v>0</v>
      </c>
      <c r="L33" s="176">
        <f ca="1">IFERROR(__xludf.DUMMYFUNCTION("IMPORTRANGE(""https://docs.google.com/spreadsheets/d/1-uDff_7J0KD5mKrp0Vvzr7lt3OU09vwQwhkpOPPYv2Y/edit?usp=sharing"",""งบพรบ!BX33"")"),0)</f>
        <v>0</v>
      </c>
      <c r="M33" s="179">
        <f t="shared" ca="1" si="27"/>
        <v>0</v>
      </c>
      <c r="N33" s="179">
        <f t="shared" ca="1" si="28"/>
        <v>0</v>
      </c>
      <c r="O33" s="180">
        <f ca="1">IFERROR(__xludf.DUMMYFUNCTION("IMPORTRANGE(""https://docs.google.com/spreadsheets/d/1-uDff_7J0KD5mKrp0Vvzr7lt3OU09vwQwhkpOPPYv2Y/edit?usp=sharing"",""งบพรบ!BY33"")"),0)</f>
        <v>0</v>
      </c>
      <c r="P33" s="180">
        <f t="shared" ca="1" si="29"/>
        <v>0</v>
      </c>
      <c r="Q33" s="179">
        <f t="shared" ca="1" si="30"/>
        <v>0</v>
      </c>
      <c r="R33" s="92">
        <f ca="1">IFERROR(__xludf.DUMMYFUNCTION("IMPORTRANGE(""https://docs.google.com/spreadsheets/d/1aHkj4IaQMThhwWwevcOymEh837vdxeC_PycurhTbGFA/edit?usp=sharing"",""ขอนแก่น!J149"")"),0)</f>
        <v>0</v>
      </c>
      <c r="S33" s="92">
        <f ca="1">IFERROR(__xludf.DUMMYFUNCTION("IMPORTRANGE(""https://docs.google.com/spreadsheets/d/1aHkj4IaQMThhwWwevcOymEh837vdxeC_PycurhTbGFA/edit?usp=sharing"",""ขอนแก่น!I150"")"),0)</f>
        <v>0</v>
      </c>
      <c r="T33" s="92">
        <f ca="1">IFERROR(__xludf.DUMMYFUNCTION("IMPORTRANGE(""https://docs.google.com/spreadsheets/d/1aHkj4IaQMThhwWwevcOymEh837vdxeC_PycurhTbGFA/edit?usp=sharing"",""ขอนแก่น!I151"")"),0)</f>
        <v>0</v>
      </c>
      <c r="U33" s="92">
        <f ca="1">IFERROR(__xludf.DUMMYFUNCTION("IMPORTRANGE(""https://docs.google.com/spreadsheets/d/1aHkj4IaQMThhwWwevcOymEh837vdxeC_PycurhTbGFA/edit?usp=sharing"",""ขอนแก่น!J150"")"),0)</f>
        <v>0</v>
      </c>
      <c r="V33" s="93">
        <f t="shared" ca="1" si="32"/>
        <v>0</v>
      </c>
      <c r="W33" s="92">
        <f ca="1">IFERROR(__xludf.DUMMYFUNCTION("IMPORTRANGE(""https://docs.google.com/spreadsheets/d/1aHkj4IaQMThhwWwevcOymEh837vdxeC_PycurhTbGFA/edit?usp=sharing"",""ขอนแก่น!J151"")"),0)</f>
        <v>0</v>
      </c>
      <c r="X33" s="93">
        <f t="shared" ca="1" si="33"/>
        <v>0</v>
      </c>
      <c r="Y33" s="92">
        <f ca="1">IFERROR(__xludf.DUMMYFUNCTION("IMPORTRANGE(""https://docs.google.com/spreadsheets/d/1aHkj4IaQMThhwWwevcOymEh837vdxeC_PycurhTbGFA/edit?usp=sharing"",""ขอนแก่น!I152"")"),10)</f>
        <v>10</v>
      </c>
      <c r="Z33" s="92">
        <f ca="1">IFERROR(__xludf.DUMMYFUNCTION("IMPORTRANGE(""https://docs.google.com/spreadsheets/d/1aHkj4IaQMThhwWwevcOymEh837vdxeC_PycurhTbGFA/edit?usp=sharing"",""ขอนแก่น!I153"")"),1)</f>
        <v>1</v>
      </c>
      <c r="AA33" s="92">
        <f ca="1">IFERROR(__xludf.DUMMYFUNCTION("IMPORTRANGE(""https://docs.google.com/spreadsheets/d/1aHkj4IaQMThhwWwevcOymEh837vdxeC_PycurhTbGFA/edit?usp=sharing"",""ขอนแก่น!J152"")"),0)</f>
        <v>0</v>
      </c>
      <c r="AB33" s="93">
        <f t="shared" ca="1" si="35"/>
        <v>0</v>
      </c>
      <c r="AC33" s="92">
        <f ca="1">IFERROR(__xludf.DUMMYFUNCTION("IMPORTRANGE(""https://docs.google.com/spreadsheets/d/1aHkj4IaQMThhwWwevcOymEh837vdxeC_PycurhTbGFA/edit?usp=sharing"",""ขอนแก่น!J153"")"),0)</f>
        <v>0</v>
      </c>
      <c r="AD33" s="93">
        <f t="shared" ca="1" si="36"/>
        <v>0</v>
      </c>
      <c r="AE33" s="92">
        <f ca="1">IFERROR(__xludf.DUMMYFUNCTION("IMPORTRANGE(""https://docs.google.com/spreadsheets/d/1aHkj4IaQMThhwWwevcOymEh837vdxeC_PycurhTbGFA/edit?usp=sharing"",""ขอนแก่น!I154"")"),0)</f>
        <v>0</v>
      </c>
      <c r="AF33" s="92">
        <f ca="1">IFERROR(__xludf.DUMMYFUNCTION("IMPORTRANGE(""https://docs.google.com/spreadsheets/d/1aHkj4IaQMThhwWwevcOymEh837vdxeC_PycurhTbGFA/edit?usp=sharing"",""ขอนแก่น!J154"")"),0)</f>
        <v>0</v>
      </c>
      <c r="AG33" s="93">
        <f t="shared" ca="1" si="38"/>
        <v>0</v>
      </c>
    </row>
    <row r="34" spans="1:33" ht="21" customHeight="1" x14ac:dyDescent="0.3">
      <c r="A34" s="172">
        <v>3</v>
      </c>
      <c r="B34" s="173" t="s">
        <v>56</v>
      </c>
      <c r="C34" s="174">
        <f t="shared" ca="1" si="23"/>
        <v>0</v>
      </c>
      <c r="D34" s="175">
        <f t="shared" ca="1" si="44"/>
        <v>0</v>
      </c>
      <c r="E34" s="176">
        <f ca="1">IFERROR(__xludf.DUMMYFUNCTION("IMPORTRANGE(""https://docs.google.com/spreadsheets/d/1-uDff_7J0KD5mKrp0Vvzr7lt3OU09vwQwhkpOPPYv2Y/edit?usp=sharing"",""งบพรบ!BR34"")"),0)</f>
        <v>0</v>
      </c>
      <c r="F34" s="176">
        <f ca="1">IFERROR(__xludf.DUMMYFUNCTION("IMPORTRANGE(""https://docs.google.com/spreadsheets/d/1-uDff_7J0KD5mKrp0Vvzr7lt3OU09vwQwhkpOPPYv2Y/edit?usp=sharing"",""งบพรบ!BS34"")"),0)</f>
        <v>0</v>
      </c>
      <c r="G34" s="176">
        <f ca="1">IFERROR(__xludf.DUMMYFUNCTION("IMPORTRANGE(""https://docs.google.com/spreadsheets/d/1-uDff_7J0KD5mKrp0Vvzr7lt3OU09vwQwhkpOPPYv2Y/edit?usp=sharing"",""งบพรบ!BT34"")"),0)</f>
        <v>0</v>
      </c>
      <c r="H34" s="176">
        <f ca="1">IFERROR(__xludf.DUMMYFUNCTION("IMPORTRANGE(""https://docs.google.com/spreadsheets/d/1-uDff_7J0KD5mKrp0Vvzr7lt3OU09vwQwhkpOPPYv2Y/edit?usp=sharing"",""งบพรบ!BV34"")"),0)</f>
        <v>0</v>
      </c>
      <c r="I34" s="176">
        <f ca="1">IFERROR(__xludf.DUMMYFUNCTION("IMPORTRANGE(""https://docs.google.com/spreadsheets/d/1-uDff_7J0KD5mKrp0Vvzr7lt3OU09vwQwhkpOPPYv2Y/edit?usp=sharing"",""งบพรบ!BW34"")"),0)</f>
        <v>0</v>
      </c>
      <c r="J34" s="176">
        <f t="shared" ca="1" si="25"/>
        <v>0</v>
      </c>
      <c r="K34" s="181">
        <f t="shared" ca="1" si="26"/>
        <v>0</v>
      </c>
      <c r="L34" s="176">
        <f ca="1">IFERROR(__xludf.DUMMYFUNCTION("IMPORTRANGE(""https://docs.google.com/spreadsheets/d/1-uDff_7J0KD5mKrp0Vvzr7lt3OU09vwQwhkpOPPYv2Y/edit?usp=sharing"",""งบพรบ!BX34"")"),0)</f>
        <v>0</v>
      </c>
      <c r="M34" s="179">
        <f t="shared" ca="1" si="27"/>
        <v>0</v>
      </c>
      <c r="N34" s="179">
        <f t="shared" ca="1" si="28"/>
        <v>0</v>
      </c>
      <c r="O34" s="180">
        <f ca="1">IFERROR(__xludf.DUMMYFUNCTION("IMPORTRANGE(""https://docs.google.com/spreadsheets/d/1-uDff_7J0KD5mKrp0Vvzr7lt3OU09vwQwhkpOPPYv2Y/edit?usp=sharing"",""งบพรบ!BY34"")"),0)</f>
        <v>0</v>
      </c>
      <c r="P34" s="180">
        <f t="shared" ca="1" si="29"/>
        <v>0</v>
      </c>
      <c r="Q34" s="179">
        <f t="shared" ca="1" si="30"/>
        <v>0</v>
      </c>
      <c r="R34" s="92">
        <f ca="1">IFERROR(__xludf.DUMMYFUNCTION("IMPORTRANGE(""https://docs.google.com/spreadsheets/d/1FvTu2DsIWUjP6WCWra38Bkj_oOl_sOMf14r5Fg5srxU/edit?usp=sharing"",""ชัยภูมิ!J149"")"),0)</f>
        <v>0</v>
      </c>
      <c r="S34" s="92">
        <f ca="1">IFERROR(__xludf.DUMMYFUNCTION("IMPORTRANGE(""https://docs.google.com/spreadsheets/d/1FvTu2DsIWUjP6WCWra38Bkj_oOl_sOMf14r5Fg5srxU/edit?usp=sharing"",""ชัยภูมิ!I150"")"),0)</f>
        <v>0</v>
      </c>
      <c r="T34" s="92">
        <f ca="1">IFERROR(__xludf.DUMMYFUNCTION("IMPORTRANGE(""https://docs.google.com/spreadsheets/d/1FvTu2DsIWUjP6WCWra38Bkj_oOl_sOMf14r5Fg5srxU/edit?usp=sharing"",""ชัยภูมิ!I151"")"),0)</f>
        <v>0</v>
      </c>
      <c r="U34" s="92">
        <f ca="1">IFERROR(__xludf.DUMMYFUNCTION("IMPORTRANGE(""https://docs.google.com/spreadsheets/d/1FvTu2DsIWUjP6WCWra38Bkj_oOl_sOMf14r5Fg5srxU/edit?usp=sharing"",""ชัยภูมิ!J150"")"),0)</f>
        <v>0</v>
      </c>
      <c r="V34" s="93">
        <f t="shared" ca="1" si="32"/>
        <v>0</v>
      </c>
      <c r="W34" s="92">
        <f ca="1">IFERROR(__xludf.DUMMYFUNCTION("IMPORTRANGE(""https://docs.google.com/spreadsheets/d/1FvTu2DsIWUjP6WCWra38Bkj_oOl_sOMf14r5Fg5srxU/edit?usp=sharing"",""ชัยภูมิ!J151"")"),0)</f>
        <v>0</v>
      </c>
      <c r="X34" s="93">
        <f t="shared" ca="1" si="33"/>
        <v>0</v>
      </c>
      <c r="Y34" s="92">
        <f ca="1">IFERROR(__xludf.DUMMYFUNCTION("IMPORTRANGE(""https://docs.google.com/spreadsheets/d/1FvTu2DsIWUjP6WCWra38Bkj_oOl_sOMf14r5Fg5srxU/edit?usp=sharing"",""ชัยภูมิ!I152"")"),0)</f>
        <v>0</v>
      </c>
      <c r="Z34" s="92">
        <f ca="1">IFERROR(__xludf.DUMMYFUNCTION("IMPORTRANGE(""https://docs.google.com/spreadsheets/d/1FvTu2DsIWUjP6WCWra38Bkj_oOl_sOMf14r5Fg5srxU/edit?usp=sharing"",""ชัยภูมิ!I153"")"),0)</f>
        <v>0</v>
      </c>
      <c r="AA34" s="92">
        <f ca="1">IFERROR(__xludf.DUMMYFUNCTION("IMPORTRANGE(""https://docs.google.com/spreadsheets/d/1FvTu2DsIWUjP6WCWra38Bkj_oOl_sOMf14r5Fg5srxU/edit?usp=sharing"",""ชัยภูมิ!J152"")"),0)</f>
        <v>0</v>
      </c>
      <c r="AB34" s="93">
        <f t="shared" ca="1" si="35"/>
        <v>0</v>
      </c>
      <c r="AC34" s="92">
        <f ca="1">IFERROR(__xludf.DUMMYFUNCTION("IMPORTRANGE(""https://docs.google.com/spreadsheets/d/1FvTu2DsIWUjP6WCWra38Bkj_oOl_sOMf14r5Fg5srxU/edit?usp=sharing"",""ชัยภูมิ!J153"")"),0)</f>
        <v>0</v>
      </c>
      <c r="AD34" s="93">
        <f t="shared" ca="1" si="36"/>
        <v>0</v>
      </c>
      <c r="AE34" s="92">
        <f ca="1">IFERROR(__xludf.DUMMYFUNCTION("IMPORTRANGE(""https://docs.google.com/spreadsheets/d/1FvTu2DsIWUjP6WCWra38Bkj_oOl_sOMf14r5Fg5srxU/edit?usp=sharing"",""ชัยภูมิ!I154"")"),0)</f>
        <v>0</v>
      </c>
      <c r="AF34" s="92">
        <f ca="1">IFERROR(__xludf.DUMMYFUNCTION("IMPORTRANGE(""https://docs.google.com/spreadsheets/d/1FvTu2DsIWUjP6WCWra38Bkj_oOl_sOMf14r5Fg5srxU/edit?usp=sharing"",""ชัยภูมิ!J154"")"),0)</f>
        <v>0</v>
      </c>
      <c r="AG34" s="93">
        <f t="shared" ca="1" si="38"/>
        <v>0</v>
      </c>
    </row>
    <row r="35" spans="1:33" ht="21" customHeight="1" x14ac:dyDescent="0.3">
      <c r="A35" s="172">
        <v>4</v>
      </c>
      <c r="B35" s="173" t="s">
        <v>57</v>
      </c>
      <c r="C35" s="174">
        <f t="shared" ca="1" si="23"/>
        <v>106200</v>
      </c>
      <c r="D35" s="175">
        <f t="shared" ca="1" si="44"/>
        <v>106200</v>
      </c>
      <c r="E35" s="176">
        <f ca="1">IFERROR(__xludf.DUMMYFUNCTION("IMPORTRANGE(""https://docs.google.com/spreadsheets/d/1-uDff_7J0KD5mKrp0Vvzr7lt3OU09vwQwhkpOPPYv2Y/edit?usp=sharing"",""งบพรบ!BR35"")"),82900)</f>
        <v>82900</v>
      </c>
      <c r="F35" s="176">
        <f ca="1">IFERROR(__xludf.DUMMYFUNCTION("IMPORTRANGE(""https://docs.google.com/spreadsheets/d/1-uDff_7J0KD5mKrp0Vvzr7lt3OU09vwQwhkpOPPYv2Y/edit?usp=sharing"",""งบพรบ!BS35"")"),23300)</f>
        <v>23300</v>
      </c>
      <c r="G35" s="176">
        <f ca="1">IFERROR(__xludf.DUMMYFUNCTION("IMPORTRANGE(""https://docs.google.com/spreadsheets/d/1-uDff_7J0KD5mKrp0Vvzr7lt3OU09vwQwhkpOPPYv2Y/edit?usp=sharing"",""งบพรบ!BT35"")"),0)</f>
        <v>0</v>
      </c>
      <c r="H35" s="176">
        <f ca="1">IFERROR(__xludf.DUMMYFUNCTION("IMPORTRANGE(""https://docs.google.com/spreadsheets/d/1-uDff_7J0KD5mKrp0Vvzr7lt3OU09vwQwhkpOPPYv2Y/edit?usp=sharing"",""งบพรบ!BV35"")"),77800)</f>
        <v>77800</v>
      </c>
      <c r="I35" s="176">
        <f ca="1">IFERROR(__xludf.DUMMYFUNCTION("IMPORTRANGE(""https://docs.google.com/spreadsheets/d/1-uDff_7J0KD5mKrp0Vvzr7lt3OU09vwQwhkpOPPYv2Y/edit?usp=sharing"",""งบพรบ!BW35"")"),0)</f>
        <v>0</v>
      </c>
      <c r="J35" s="176">
        <f t="shared" ca="1" si="25"/>
        <v>29080</v>
      </c>
      <c r="K35" s="181">
        <f t="shared" ca="1" si="26"/>
        <v>27.382297551789076</v>
      </c>
      <c r="L35" s="176">
        <f ca="1">IFERROR(__xludf.DUMMYFUNCTION("IMPORTRANGE(""https://docs.google.com/spreadsheets/d/1-uDff_7J0KD5mKrp0Vvzr7lt3OU09vwQwhkpOPPYv2Y/edit?usp=sharing"",""งบพรบ!BX35"")"),29080)</f>
        <v>29080</v>
      </c>
      <c r="M35" s="179">
        <f t="shared" ca="1" si="27"/>
        <v>27.382297551789076</v>
      </c>
      <c r="N35" s="179">
        <f t="shared" ca="1" si="28"/>
        <v>37.377892030848329</v>
      </c>
      <c r="O35" s="180">
        <f ca="1">IFERROR(__xludf.DUMMYFUNCTION("IMPORTRANGE(""https://docs.google.com/spreadsheets/d/1-uDff_7J0KD5mKrp0Vvzr7lt3OU09vwQwhkpOPPYv2Y/edit?usp=sharing"",""งบพรบ!BY35"")"),0)</f>
        <v>0</v>
      </c>
      <c r="P35" s="180">
        <f t="shared" ca="1" si="29"/>
        <v>0</v>
      </c>
      <c r="Q35" s="179">
        <f t="shared" ca="1" si="30"/>
        <v>0</v>
      </c>
      <c r="R35" s="92">
        <f ca="1">IFERROR(__xludf.DUMMYFUNCTION("IMPORTRANGE(""https://docs.google.com/spreadsheets/d/1XVB7oCJ3pr-vBUdflwPQ8Z2LlzhnCvZaaYjAfP-647E/edit?usp=sharing"",""นครพนม!J149"")"),0)</f>
        <v>0</v>
      </c>
      <c r="S35" s="92">
        <f ca="1">IFERROR(__xludf.DUMMYFUNCTION("IMPORTRANGE(""https://docs.google.com/spreadsheets/d/1XVB7oCJ3pr-vBUdflwPQ8Z2LlzhnCvZaaYjAfP-647E/edit?usp=sharing"",""นครพนม!I150"")"),0)</f>
        <v>0</v>
      </c>
      <c r="T35" s="92">
        <f ca="1">IFERROR(__xludf.DUMMYFUNCTION("IMPORTRANGE(""https://docs.google.com/spreadsheets/d/1XVB7oCJ3pr-vBUdflwPQ8Z2LlzhnCvZaaYjAfP-647E/edit?usp=sharing"",""นครพนม!I151"")"),0)</f>
        <v>0</v>
      </c>
      <c r="U35" s="92">
        <f ca="1">IFERROR(__xludf.DUMMYFUNCTION("IMPORTRANGE(""https://docs.google.com/spreadsheets/d/1XVB7oCJ3pr-vBUdflwPQ8Z2LlzhnCvZaaYjAfP-647E/edit?usp=sharing"",""นครพนม!J150"")"),0)</f>
        <v>0</v>
      </c>
      <c r="V35" s="93">
        <f t="shared" ca="1" si="32"/>
        <v>0</v>
      </c>
      <c r="W35" s="92">
        <f ca="1">IFERROR(__xludf.DUMMYFUNCTION("IMPORTRANGE(""https://docs.google.com/spreadsheets/d/1XVB7oCJ3pr-vBUdflwPQ8Z2LlzhnCvZaaYjAfP-647E/edit?usp=sharing"",""นครพนม!J151"")"),0)</f>
        <v>0</v>
      </c>
      <c r="X35" s="93">
        <f t="shared" ca="1" si="33"/>
        <v>0</v>
      </c>
      <c r="Y35" s="92">
        <f ca="1">IFERROR(__xludf.DUMMYFUNCTION("IMPORTRANGE(""https://docs.google.com/spreadsheets/d/1XVB7oCJ3pr-vBUdflwPQ8Z2LlzhnCvZaaYjAfP-647E/edit?usp=sharing"",""นครพนม!I152"")"),10)</f>
        <v>10</v>
      </c>
      <c r="Z35" s="92">
        <f ca="1">IFERROR(__xludf.DUMMYFUNCTION("IMPORTRANGE(""https://docs.google.com/spreadsheets/d/1XVB7oCJ3pr-vBUdflwPQ8Z2LlzhnCvZaaYjAfP-647E/edit?usp=sharing"",""นครพนม!I153"")"),1)</f>
        <v>1</v>
      </c>
      <c r="AA35" s="92">
        <f ca="1">IFERROR(__xludf.DUMMYFUNCTION("IMPORTRANGE(""https://docs.google.com/spreadsheets/d/1XVB7oCJ3pr-vBUdflwPQ8Z2LlzhnCvZaaYjAfP-647E/edit?usp=sharing"",""นครพนม!J152"")"),0)</f>
        <v>0</v>
      </c>
      <c r="AB35" s="93">
        <f t="shared" ca="1" si="35"/>
        <v>0</v>
      </c>
      <c r="AC35" s="92">
        <f ca="1">IFERROR(__xludf.DUMMYFUNCTION("IMPORTRANGE(""https://docs.google.com/spreadsheets/d/1XVB7oCJ3pr-vBUdflwPQ8Z2LlzhnCvZaaYjAfP-647E/edit?usp=sharing"",""นครพนม!J153"")"),0)</f>
        <v>0</v>
      </c>
      <c r="AD35" s="93">
        <f t="shared" ca="1" si="36"/>
        <v>0</v>
      </c>
      <c r="AE35" s="92">
        <f ca="1">IFERROR(__xludf.DUMMYFUNCTION("IMPORTRANGE(""https://docs.google.com/spreadsheets/d/1XVB7oCJ3pr-vBUdflwPQ8Z2LlzhnCvZaaYjAfP-647E/edit?usp=sharing"",""นครพนม!I154"")"),0)</f>
        <v>0</v>
      </c>
      <c r="AF35" s="92">
        <f ca="1">IFERROR(__xludf.DUMMYFUNCTION("IMPORTRANGE(""https://docs.google.com/spreadsheets/d/1XVB7oCJ3pr-vBUdflwPQ8Z2LlzhnCvZaaYjAfP-647E/edit?usp=sharing"",""นครพนม!J154"")"),0)</f>
        <v>0</v>
      </c>
      <c r="AG35" s="93">
        <f t="shared" ca="1" si="38"/>
        <v>0</v>
      </c>
    </row>
    <row r="36" spans="1:33" ht="21" customHeight="1" x14ac:dyDescent="0.3">
      <c r="A36" s="172">
        <v>5</v>
      </c>
      <c r="B36" s="173" t="s">
        <v>58</v>
      </c>
      <c r="C36" s="174">
        <f t="shared" ca="1" si="23"/>
        <v>91400</v>
      </c>
      <c r="D36" s="175">
        <f t="shared" ca="1" si="44"/>
        <v>91400</v>
      </c>
      <c r="E36" s="176">
        <f ca="1">IFERROR(__xludf.DUMMYFUNCTION("IMPORTRANGE(""https://docs.google.com/spreadsheets/d/1-uDff_7J0KD5mKrp0Vvzr7lt3OU09vwQwhkpOPPYv2Y/edit?usp=sharing"",""งบพรบ!BR36"")"),0)</f>
        <v>0</v>
      </c>
      <c r="F36" s="176">
        <f ca="1">IFERROR(__xludf.DUMMYFUNCTION("IMPORTRANGE(""https://docs.google.com/spreadsheets/d/1-uDff_7J0KD5mKrp0Vvzr7lt3OU09vwQwhkpOPPYv2Y/edit?usp=sharing"",""งบพรบ!BS36"")"),91400)</f>
        <v>91400</v>
      </c>
      <c r="G36" s="176">
        <f ca="1">IFERROR(__xludf.DUMMYFUNCTION("IMPORTRANGE(""https://docs.google.com/spreadsheets/d/1-uDff_7J0KD5mKrp0Vvzr7lt3OU09vwQwhkpOPPYv2Y/edit?usp=sharing"",""งบพรบ!BT36"")"),0)</f>
        <v>0</v>
      </c>
      <c r="H36" s="176">
        <f ca="1">IFERROR(__xludf.DUMMYFUNCTION("IMPORTRANGE(""https://docs.google.com/spreadsheets/d/1-uDff_7J0KD5mKrp0Vvzr7lt3OU09vwQwhkpOPPYv2Y/edit?usp=sharing"",""งบพรบ!BV36"")"),86400)</f>
        <v>86400</v>
      </c>
      <c r="I36" s="176">
        <f ca="1">IFERROR(__xludf.DUMMYFUNCTION("IMPORTRANGE(""https://docs.google.com/spreadsheets/d/1-uDff_7J0KD5mKrp0Vvzr7lt3OU09vwQwhkpOPPYv2Y/edit?usp=sharing"",""งบพรบ!BW36"")"),0)</f>
        <v>0</v>
      </c>
      <c r="J36" s="176">
        <f t="shared" ca="1" si="25"/>
        <v>0</v>
      </c>
      <c r="K36" s="181">
        <f t="shared" ca="1" si="26"/>
        <v>0</v>
      </c>
      <c r="L36" s="176">
        <f ca="1">IFERROR(__xludf.DUMMYFUNCTION("IMPORTRANGE(""https://docs.google.com/spreadsheets/d/1-uDff_7J0KD5mKrp0Vvzr7lt3OU09vwQwhkpOPPYv2Y/edit?usp=sharing"",""งบพรบ!BX36"")"),0)</f>
        <v>0</v>
      </c>
      <c r="M36" s="179">
        <f t="shared" ca="1" si="27"/>
        <v>0</v>
      </c>
      <c r="N36" s="179">
        <f t="shared" ca="1" si="28"/>
        <v>0</v>
      </c>
      <c r="O36" s="180">
        <f ca="1">IFERROR(__xludf.DUMMYFUNCTION("IMPORTRANGE(""https://docs.google.com/spreadsheets/d/1-uDff_7J0KD5mKrp0Vvzr7lt3OU09vwQwhkpOPPYv2Y/edit?usp=sharing"",""งบพรบ!BY36"")"),0)</f>
        <v>0</v>
      </c>
      <c r="P36" s="180">
        <f t="shared" ca="1" si="29"/>
        <v>0</v>
      </c>
      <c r="Q36" s="179">
        <f t="shared" ca="1" si="30"/>
        <v>0</v>
      </c>
      <c r="R36" s="92">
        <f ca="1">IFERROR(__xludf.DUMMYFUNCTION("IMPORTRANGE(""https://docs.google.com/spreadsheets/d/1Mnpb-8PYAgn85W6KOTD40hc_Xc55CaLfHoGAbrZ8tls/edit?usp=sharing"",""นครราชสีมา!J149"")"),0)</f>
        <v>0</v>
      </c>
      <c r="S36" s="92">
        <f ca="1">IFERROR(__xludf.DUMMYFUNCTION("IMPORTRANGE(""https://docs.google.com/spreadsheets/d/1Mnpb-8PYAgn85W6KOTD40hc_Xc55CaLfHoGAbrZ8tls/edit?usp=sharing"",""นครราชสีมา!I150"")"),20)</f>
        <v>20</v>
      </c>
      <c r="T36" s="92">
        <f ca="1">IFERROR(__xludf.DUMMYFUNCTION("IMPORTRANGE(""https://docs.google.com/spreadsheets/d/1Mnpb-8PYAgn85W6KOTD40hc_Xc55CaLfHoGAbrZ8tls/edit?usp=sharing"",""นครราชสีมา!I151"")"),2)</f>
        <v>2</v>
      </c>
      <c r="U36" s="92">
        <f ca="1">IFERROR(__xludf.DUMMYFUNCTION("IMPORTRANGE(""https://docs.google.com/spreadsheets/d/1Mnpb-8PYAgn85W6KOTD40hc_Xc55CaLfHoGAbrZ8tls/edit?usp=sharing"",""นครราชสีมา!J150"")"),0)</f>
        <v>0</v>
      </c>
      <c r="V36" s="93">
        <f t="shared" ca="1" si="32"/>
        <v>0</v>
      </c>
      <c r="W36" s="92">
        <f ca="1">IFERROR(__xludf.DUMMYFUNCTION("IMPORTRANGE(""https://docs.google.com/spreadsheets/d/1Mnpb-8PYAgn85W6KOTD40hc_Xc55CaLfHoGAbrZ8tls/edit?usp=sharing"",""นครราชสีมา!J151"")"),0)</f>
        <v>0</v>
      </c>
      <c r="X36" s="93">
        <f t="shared" ca="1" si="33"/>
        <v>0</v>
      </c>
      <c r="Y36" s="92">
        <f ca="1">IFERROR(__xludf.DUMMYFUNCTION("IMPORTRANGE(""https://docs.google.com/spreadsheets/d/1Mnpb-8PYAgn85W6KOTD40hc_Xc55CaLfHoGAbrZ8tls/edit?usp=sharing"",""นครราชสีมา!I152"")"),60)</f>
        <v>60</v>
      </c>
      <c r="Z36" s="92">
        <f ca="1">IFERROR(__xludf.DUMMYFUNCTION("IMPORTRANGE(""https://docs.google.com/spreadsheets/d/1Mnpb-8PYAgn85W6KOTD40hc_Xc55CaLfHoGAbrZ8tls/edit?usp=sharing"",""นครราชสีมา!I153"")"),6)</f>
        <v>6</v>
      </c>
      <c r="AA36" s="92">
        <f ca="1">IFERROR(__xludf.DUMMYFUNCTION("IMPORTRANGE(""https://docs.google.com/spreadsheets/d/1Mnpb-8PYAgn85W6KOTD40hc_Xc55CaLfHoGAbrZ8tls/edit?usp=sharing"",""นครราชสีมา!J152"")"),0)</f>
        <v>0</v>
      </c>
      <c r="AB36" s="93">
        <f t="shared" ca="1" si="35"/>
        <v>0</v>
      </c>
      <c r="AC36" s="92">
        <f ca="1">IFERROR(__xludf.DUMMYFUNCTION("IMPORTRANGE(""https://docs.google.com/spreadsheets/d/1Mnpb-8PYAgn85W6KOTD40hc_Xc55CaLfHoGAbrZ8tls/edit?usp=sharing"",""นครราชสีมา!J153"")"),0)</f>
        <v>0</v>
      </c>
      <c r="AD36" s="93">
        <f t="shared" ca="1" si="36"/>
        <v>0</v>
      </c>
      <c r="AE36" s="92">
        <f ca="1">IFERROR(__xludf.DUMMYFUNCTION("IMPORTRANGE(""https://docs.google.com/spreadsheets/d/1Mnpb-8PYAgn85W6KOTD40hc_Xc55CaLfHoGAbrZ8tls/edit?usp=sharing"",""นครราชสีมา!I154"")"),2)</f>
        <v>2</v>
      </c>
      <c r="AF36" s="92">
        <f ca="1">IFERROR(__xludf.DUMMYFUNCTION("IMPORTRANGE(""https://docs.google.com/spreadsheets/d/1Mnpb-8PYAgn85W6KOTD40hc_Xc55CaLfHoGAbrZ8tls/edit?usp=sharing"",""นครราชสีมา!J154"")"),0)</f>
        <v>0</v>
      </c>
      <c r="AG36" s="93">
        <f t="shared" ca="1" si="38"/>
        <v>0</v>
      </c>
    </row>
    <row r="37" spans="1:33" ht="21" customHeight="1" x14ac:dyDescent="0.3">
      <c r="A37" s="172">
        <v>6</v>
      </c>
      <c r="B37" s="173" t="s">
        <v>59</v>
      </c>
      <c r="C37" s="174">
        <f t="shared" ca="1" si="23"/>
        <v>23300</v>
      </c>
      <c r="D37" s="175">
        <f t="shared" ca="1" si="44"/>
        <v>23300</v>
      </c>
      <c r="E37" s="176">
        <f ca="1">IFERROR(__xludf.DUMMYFUNCTION("IMPORTRANGE(""https://docs.google.com/spreadsheets/d/1-uDff_7J0KD5mKrp0Vvzr7lt3OU09vwQwhkpOPPYv2Y/edit?usp=sharing"",""งบพรบ!BR37"")"),0)</f>
        <v>0</v>
      </c>
      <c r="F37" s="176">
        <f ca="1">IFERROR(__xludf.DUMMYFUNCTION("IMPORTRANGE(""https://docs.google.com/spreadsheets/d/1-uDff_7J0KD5mKrp0Vvzr7lt3OU09vwQwhkpOPPYv2Y/edit?usp=sharing"",""งบพรบ!BS37"")"),23300)</f>
        <v>23300</v>
      </c>
      <c r="G37" s="176">
        <f ca="1">IFERROR(__xludf.DUMMYFUNCTION("IMPORTRANGE(""https://docs.google.com/spreadsheets/d/1-uDff_7J0KD5mKrp0Vvzr7lt3OU09vwQwhkpOPPYv2Y/edit?usp=sharing"",""งบพรบ!BT37"")"),0)</f>
        <v>0</v>
      </c>
      <c r="H37" s="176">
        <f ca="1">IFERROR(__xludf.DUMMYFUNCTION("IMPORTRANGE(""https://docs.google.com/spreadsheets/d/1-uDff_7J0KD5mKrp0Vvzr7lt3OU09vwQwhkpOPPYv2Y/edit?usp=sharing"",""งบพรบ!BV37"")"),18300)</f>
        <v>18300</v>
      </c>
      <c r="I37" s="176">
        <f ca="1">IFERROR(__xludf.DUMMYFUNCTION("IMPORTRANGE(""https://docs.google.com/spreadsheets/d/1-uDff_7J0KD5mKrp0Vvzr7lt3OU09vwQwhkpOPPYv2Y/edit?usp=sharing"",""งบพรบ!BW37"")"),0)</f>
        <v>0</v>
      </c>
      <c r="J37" s="176">
        <f t="shared" ca="1" si="25"/>
        <v>0</v>
      </c>
      <c r="K37" s="181">
        <f t="shared" ca="1" si="26"/>
        <v>0</v>
      </c>
      <c r="L37" s="176">
        <f ca="1">IFERROR(__xludf.DUMMYFUNCTION("IMPORTRANGE(""https://docs.google.com/spreadsheets/d/1-uDff_7J0KD5mKrp0Vvzr7lt3OU09vwQwhkpOPPYv2Y/edit?usp=sharing"",""งบพรบ!BX37"")"),0)</f>
        <v>0</v>
      </c>
      <c r="M37" s="179">
        <f t="shared" ca="1" si="27"/>
        <v>0</v>
      </c>
      <c r="N37" s="179">
        <f t="shared" ca="1" si="28"/>
        <v>0</v>
      </c>
      <c r="O37" s="180">
        <f ca="1">IFERROR(__xludf.DUMMYFUNCTION("IMPORTRANGE(""https://docs.google.com/spreadsheets/d/1-uDff_7J0KD5mKrp0Vvzr7lt3OU09vwQwhkpOPPYv2Y/edit?usp=sharing"",""งบพรบ!BY37"")"),0)</f>
        <v>0</v>
      </c>
      <c r="P37" s="180">
        <f t="shared" ca="1" si="29"/>
        <v>0</v>
      </c>
      <c r="Q37" s="179">
        <f t="shared" ca="1" si="30"/>
        <v>0</v>
      </c>
      <c r="R37" s="92">
        <f ca="1">IFERROR(__xludf.DUMMYFUNCTION("IMPORTRANGE(""https://docs.google.com/spreadsheets/d/1xoDLGBv9CYbyosIhki0kTq6IpYNj-gpjxfobnaDiut0/edit?usp=sharing"",""บึงกาฬ!J149"")"),0)</f>
        <v>0</v>
      </c>
      <c r="S37" s="92">
        <f ca="1">IFERROR(__xludf.DUMMYFUNCTION("IMPORTRANGE(""https://docs.google.com/spreadsheets/d/1xoDLGBv9CYbyosIhki0kTq6IpYNj-gpjxfobnaDiut0/edit?usp=sharing"",""บึงกาฬ!I150"")"),0)</f>
        <v>0</v>
      </c>
      <c r="T37" s="92">
        <f ca="1">IFERROR(__xludf.DUMMYFUNCTION("IMPORTRANGE(""https://docs.google.com/spreadsheets/d/1xoDLGBv9CYbyosIhki0kTq6IpYNj-gpjxfobnaDiut0/edit?usp=sharing"",""บึงกาฬ!I151"")"),0)</f>
        <v>0</v>
      </c>
      <c r="U37" s="92">
        <f ca="1">IFERROR(__xludf.DUMMYFUNCTION("IMPORTRANGE(""https://docs.google.com/spreadsheets/d/1xoDLGBv9CYbyosIhki0kTq6IpYNj-gpjxfobnaDiut0/edit?usp=sharing"",""บึงกาฬ!J150"")"),0)</f>
        <v>0</v>
      </c>
      <c r="V37" s="93">
        <f t="shared" ca="1" si="32"/>
        <v>0</v>
      </c>
      <c r="W37" s="92">
        <f ca="1">IFERROR(__xludf.DUMMYFUNCTION("IMPORTRANGE(""https://docs.google.com/spreadsheets/d/1xoDLGBv9CYbyosIhki0kTq6IpYNj-gpjxfobnaDiut0/edit?usp=sharing"",""บึงกาฬ!J151"")"),0)</f>
        <v>0</v>
      </c>
      <c r="X37" s="93">
        <f t="shared" ca="1" si="33"/>
        <v>0</v>
      </c>
      <c r="Y37" s="92">
        <f ca="1">IFERROR(__xludf.DUMMYFUNCTION("IMPORTRANGE(""https://docs.google.com/spreadsheets/d/1xoDLGBv9CYbyosIhki0kTq6IpYNj-gpjxfobnaDiut0/edit?usp=sharing"",""บึงกาฬ!I152"")"),10)</f>
        <v>10</v>
      </c>
      <c r="Z37" s="92">
        <f ca="1">IFERROR(__xludf.DUMMYFUNCTION("IMPORTRANGE(""https://docs.google.com/spreadsheets/d/1xoDLGBv9CYbyosIhki0kTq6IpYNj-gpjxfobnaDiut0/edit?usp=sharing"",""บึงกาฬ!I153"")"),1)</f>
        <v>1</v>
      </c>
      <c r="AA37" s="92">
        <f ca="1">IFERROR(__xludf.DUMMYFUNCTION("IMPORTRANGE(""https://docs.google.com/spreadsheets/d/1xoDLGBv9CYbyosIhki0kTq6IpYNj-gpjxfobnaDiut0/edit?usp=sharing"",""บึงกาฬ!J152"")"),0)</f>
        <v>0</v>
      </c>
      <c r="AB37" s="93">
        <f t="shared" ca="1" si="35"/>
        <v>0</v>
      </c>
      <c r="AC37" s="92">
        <f ca="1">IFERROR(__xludf.DUMMYFUNCTION("IMPORTRANGE(""https://docs.google.com/spreadsheets/d/1xoDLGBv9CYbyosIhki0kTq6IpYNj-gpjxfobnaDiut0/edit?usp=sharing"",""บึงกาฬ!J153"")"),0)</f>
        <v>0</v>
      </c>
      <c r="AD37" s="93">
        <f t="shared" ca="1" si="36"/>
        <v>0</v>
      </c>
      <c r="AE37" s="92">
        <f ca="1">IFERROR(__xludf.DUMMYFUNCTION("IMPORTRANGE(""https://docs.google.com/spreadsheets/d/1xoDLGBv9CYbyosIhki0kTq6IpYNj-gpjxfobnaDiut0/edit?usp=sharing"",""บึงกาฬ!I154"")"),0)</f>
        <v>0</v>
      </c>
      <c r="AF37" s="92">
        <f ca="1">IFERROR(__xludf.DUMMYFUNCTION("IMPORTRANGE(""https://docs.google.com/spreadsheets/d/1xoDLGBv9CYbyosIhki0kTq6IpYNj-gpjxfobnaDiut0/edit?usp=sharing"",""บึงกาฬ!J154"")"),0)</f>
        <v>0</v>
      </c>
      <c r="AG37" s="93">
        <f t="shared" ca="1" si="38"/>
        <v>0</v>
      </c>
    </row>
    <row r="38" spans="1:33" ht="21" customHeight="1" x14ac:dyDescent="0.3">
      <c r="A38" s="172">
        <v>7</v>
      </c>
      <c r="B38" s="173" t="s">
        <v>60</v>
      </c>
      <c r="C38" s="174">
        <f t="shared" ca="1" si="23"/>
        <v>0</v>
      </c>
      <c r="D38" s="175">
        <f t="shared" ca="1" si="44"/>
        <v>0</v>
      </c>
      <c r="E38" s="176">
        <f ca="1">IFERROR(__xludf.DUMMYFUNCTION("IMPORTRANGE(""https://docs.google.com/spreadsheets/d/1-uDff_7J0KD5mKrp0Vvzr7lt3OU09vwQwhkpOPPYv2Y/edit?usp=sharing"",""งบพรบ!BR38"")"),0)</f>
        <v>0</v>
      </c>
      <c r="F38" s="176">
        <f ca="1">IFERROR(__xludf.DUMMYFUNCTION("IMPORTRANGE(""https://docs.google.com/spreadsheets/d/1-uDff_7J0KD5mKrp0Vvzr7lt3OU09vwQwhkpOPPYv2Y/edit?usp=sharing"",""งบพรบ!BS38"")"),0)</f>
        <v>0</v>
      </c>
      <c r="G38" s="176">
        <f ca="1">IFERROR(__xludf.DUMMYFUNCTION("IMPORTRANGE(""https://docs.google.com/spreadsheets/d/1-uDff_7J0KD5mKrp0Vvzr7lt3OU09vwQwhkpOPPYv2Y/edit?usp=sharing"",""งบพรบ!BT38"")"),0)</f>
        <v>0</v>
      </c>
      <c r="H38" s="176">
        <f ca="1">IFERROR(__xludf.DUMMYFUNCTION("IMPORTRANGE(""https://docs.google.com/spreadsheets/d/1-uDff_7J0KD5mKrp0Vvzr7lt3OU09vwQwhkpOPPYv2Y/edit?usp=sharing"",""งบพรบ!BV38"")"),0)</f>
        <v>0</v>
      </c>
      <c r="I38" s="176">
        <f ca="1">IFERROR(__xludf.DUMMYFUNCTION("IMPORTRANGE(""https://docs.google.com/spreadsheets/d/1-uDff_7J0KD5mKrp0Vvzr7lt3OU09vwQwhkpOPPYv2Y/edit?usp=sharing"",""งบพรบ!BW38"")"),0)</f>
        <v>0</v>
      </c>
      <c r="J38" s="176">
        <f t="shared" ca="1" si="25"/>
        <v>0</v>
      </c>
      <c r="K38" s="181">
        <f t="shared" ca="1" si="26"/>
        <v>0</v>
      </c>
      <c r="L38" s="176">
        <f ca="1">IFERROR(__xludf.DUMMYFUNCTION("IMPORTRANGE(""https://docs.google.com/spreadsheets/d/1-uDff_7J0KD5mKrp0Vvzr7lt3OU09vwQwhkpOPPYv2Y/edit?usp=sharing"",""งบพรบ!BX38"")"),0)</f>
        <v>0</v>
      </c>
      <c r="M38" s="179">
        <f t="shared" ca="1" si="27"/>
        <v>0</v>
      </c>
      <c r="N38" s="179">
        <f t="shared" ca="1" si="28"/>
        <v>0</v>
      </c>
      <c r="O38" s="180">
        <f ca="1">IFERROR(__xludf.DUMMYFUNCTION("IMPORTRANGE(""https://docs.google.com/spreadsheets/d/1-uDff_7J0KD5mKrp0Vvzr7lt3OU09vwQwhkpOPPYv2Y/edit?usp=sharing"",""งบพรบ!BY38"")"),0)</f>
        <v>0</v>
      </c>
      <c r="P38" s="180">
        <f t="shared" ca="1" si="29"/>
        <v>0</v>
      </c>
      <c r="Q38" s="179">
        <f t="shared" ca="1" si="30"/>
        <v>0</v>
      </c>
      <c r="R38" s="92">
        <f ca="1">IFERROR(__xludf.DUMMYFUNCTION("IMPORTRANGE(""https://docs.google.com/spreadsheets/d/1MMPq-JyI6DSgQETxuSiXkesP-P7JHuemnE6QJIa-Nlw/edit?usp=sharing"",""บุรีรัมย์!J149"")"),0)</f>
        <v>0</v>
      </c>
      <c r="S38" s="92">
        <f ca="1">IFERROR(__xludf.DUMMYFUNCTION("IMPORTRANGE(""https://docs.google.com/spreadsheets/d/1MMPq-JyI6DSgQETxuSiXkesP-P7JHuemnE6QJIa-Nlw/edit?usp=sharing"",""บุรีรัมย์!I150"")"),0)</f>
        <v>0</v>
      </c>
      <c r="T38" s="92">
        <f ca="1">IFERROR(__xludf.DUMMYFUNCTION("IMPORTRANGE(""https://docs.google.com/spreadsheets/d/1MMPq-JyI6DSgQETxuSiXkesP-P7JHuemnE6QJIa-Nlw/edit?usp=sharing"",""บุรีรัมย์!I151"")"),0)</f>
        <v>0</v>
      </c>
      <c r="U38" s="92">
        <f ca="1">IFERROR(__xludf.DUMMYFUNCTION("IMPORTRANGE(""https://docs.google.com/spreadsheets/d/1MMPq-JyI6DSgQETxuSiXkesP-P7JHuemnE6QJIa-Nlw/edit?usp=sharing"",""บุรีรัมย์!J150"")"),0)</f>
        <v>0</v>
      </c>
      <c r="V38" s="93">
        <f t="shared" ca="1" si="32"/>
        <v>0</v>
      </c>
      <c r="W38" s="92">
        <f ca="1">IFERROR(__xludf.DUMMYFUNCTION("IMPORTRANGE(""https://docs.google.com/spreadsheets/d/1MMPq-JyI6DSgQETxuSiXkesP-P7JHuemnE6QJIa-Nlw/edit?usp=sharing"",""บุรีรัมย์!J151"")"),0)</f>
        <v>0</v>
      </c>
      <c r="X38" s="93">
        <f t="shared" ca="1" si="33"/>
        <v>0</v>
      </c>
      <c r="Y38" s="92">
        <f ca="1">IFERROR(__xludf.DUMMYFUNCTION("IMPORTRANGE(""https://docs.google.com/spreadsheets/d/1MMPq-JyI6DSgQETxuSiXkesP-P7JHuemnE6QJIa-Nlw/edit?usp=sharing"",""บุรีรัมย์!I152"")"),0)</f>
        <v>0</v>
      </c>
      <c r="Z38" s="92">
        <f ca="1">IFERROR(__xludf.DUMMYFUNCTION("IMPORTRANGE(""https://docs.google.com/spreadsheets/d/1MMPq-JyI6DSgQETxuSiXkesP-P7JHuemnE6QJIa-Nlw/edit?usp=sharing"",""บุรีรัมย์!I153"")"),0)</f>
        <v>0</v>
      </c>
      <c r="AA38" s="92">
        <f ca="1">IFERROR(__xludf.DUMMYFUNCTION("IMPORTRANGE(""https://docs.google.com/spreadsheets/d/1MMPq-JyI6DSgQETxuSiXkesP-P7JHuemnE6QJIa-Nlw/edit?usp=sharing"",""บุรีรัมย์!J152"")"),0)</f>
        <v>0</v>
      </c>
      <c r="AB38" s="93">
        <f t="shared" ca="1" si="35"/>
        <v>0</v>
      </c>
      <c r="AC38" s="92">
        <f ca="1">IFERROR(__xludf.DUMMYFUNCTION("IMPORTRANGE(""https://docs.google.com/spreadsheets/d/1MMPq-JyI6DSgQETxuSiXkesP-P7JHuemnE6QJIa-Nlw/edit?usp=sharing"",""บุรีรัมย์!J153"")"),0)</f>
        <v>0</v>
      </c>
      <c r="AD38" s="93">
        <f t="shared" ca="1" si="36"/>
        <v>0</v>
      </c>
      <c r="AE38" s="92">
        <f ca="1">IFERROR(__xludf.DUMMYFUNCTION("IMPORTRANGE(""https://docs.google.com/spreadsheets/d/1MMPq-JyI6DSgQETxuSiXkesP-P7JHuemnE6QJIa-Nlw/edit?usp=sharing"",""บุรีรัมย์!I154"")"),0)</f>
        <v>0</v>
      </c>
      <c r="AF38" s="92">
        <f ca="1">IFERROR(__xludf.DUMMYFUNCTION("IMPORTRANGE(""https://docs.google.com/spreadsheets/d/1MMPq-JyI6DSgQETxuSiXkesP-P7JHuemnE6QJIa-Nlw/edit?usp=sharing"",""บุรีรัมย์!J154"")"),0)</f>
        <v>0</v>
      </c>
      <c r="AG38" s="93">
        <f t="shared" ca="1" si="38"/>
        <v>0</v>
      </c>
    </row>
    <row r="39" spans="1:33" ht="21" customHeight="1" x14ac:dyDescent="0.3">
      <c r="A39" s="172">
        <v>8</v>
      </c>
      <c r="B39" s="173" t="s">
        <v>61</v>
      </c>
      <c r="C39" s="174">
        <f t="shared" ca="1" si="23"/>
        <v>48200</v>
      </c>
      <c r="D39" s="175">
        <f t="shared" ca="1" si="44"/>
        <v>48200</v>
      </c>
      <c r="E39" s="176">
        <f ca="1">IFERROR(__xludf.DUMMYFUNCTION("IMPORTRANGE(""https://docs.google.com/spreadsheets/d/1-uDff_7J0KD5mKrp0Vvzr7lt3OU09vwQwhkpOPPYv2Y/edit?usp=sharing"",""งบพรบ!BR39"")"),0)</f>
        <v>0</v>
      </c>
      <c r="F39" s="176">
        <f ca="1">IFERROR(__xludf.DUMMYFUNCTION("IMPORTRANGE(""https://docs.google.com/spreadsheets/d/1-uDff_7J0KD5mKrp0Vvzr7lt3OU09vwQwhkpOPPYv2Y/edit?usp=sharing"",""งบพรบ!BS39"")"),48200)</f>
        <v>48200</v>
      </c>
      <c r="G39" s="176">
        <f ca="1">IFERROR(__xludf.DUMMYFUNCTION("IMPORTRANGE(""https://docs.google.com/spreadsheets/d/1-uDff_7J0KD5mKrp0Vvzr7lt3OU09vwQwhkpOPPYv2Y/edit?usp=sharing"",""งบพรบ!BT39"")"),0)</f>
        <v>0</v>
      </c>
      <c r="H39" s="176">
        <f ca="1">IFERROR(__xludf.DUMMYFUNCTION("IMPORTRANGE(""https://docs.google.com/spreadsheets/d/1-uDff_7J0KD5mKrp0Vvzr7lt3OU09vwQwhkpOPPYv2Y/edit?usp=sharing"",""งบพรบ!BV39"")"),43200)</f>
        <v>43200</v>
      </c>
      <c r="I39" s="176">
        <f ca="1">IFERROR(__xludf.DUMMYFUNCTION("IMPORTRANGE(""https://docs.google.com/spreadsheets/d/1-uDff_7J0KD5mKrp0Vvzr7lt3OU09vwQwhkpOPPYv2Y/edit?usp=sharing"",""งบพรบ!BW39"")"),0)</f>
        <v>0</v>
      </c>
      <c r="J39" s="176">
        <f t="shared" ca="1" si="25"/>
        <v>5350</v>
      </c>
      <c r="K39" s="181">
        <f t="shared" ca="1" si="26"/>
        <v>11.099585062240664</v>
      </c>
      <c r="L39" s="176">
        <f ca="1">IFERROR(__xludf.DUMMYFUNCTION("IMPORTRANGE(""https://docs.google.com/spreadsheets/d/1-uDff_7J0KD5mKrp0Vvzr7lt3OU09vwQwhkpOPPYv2Y/edit?usp=sharing"",""งบพรบ!BX39"")"),5350)</f>
        <v>5350</v>
      </c>
      <c r="M39" s="179">
        <f t="shared" ca="1" si="27"/>
        <v>11.099585062240664</v>
      </c>
      <c r="N39" s="179">
        <f t="shared" ca="1" si="28"/>
        <v>12.38425925925926</v>
      </c>
      <c r="O39" s="180">
        <f ca="1">IFERROR(__xludf.DUMMYFUNCTION("IMPORTRANGE(""https://docs.google.com/spreadsheets/d/1-uDff_7J0KD5mKrp0Vvzr7lt3OU09vwQwhkpOPPYv2Y/edit?usp=sharing"",""งบพรบ!BY39"")"),0)</f>
        <v>0</v>
      </c>
      <c r="P39" s="180">
        <f t="shared" ca="1" si="29"/>
        <v>0</v>
      </c>
      <c r="Q39" s="179">
        <f t="shared" ca="1" si="30"/>
        <v>0</v>
      </c>
      <c r="R39" s="92">
        <f ca="1">IFERROR(__xludf.DUMMYFUNCTION("IMPORTRANGE(""https://docs.google.com/spreadsheets/d/1l6IZ8xUPgMrESzcTYwhA1k_tPjeQjJPTqlm8Gd9eU5g/edit?usp=sharing"",""มหาสารคาม!J149"")"),0)</f>
        <v>0</v>
      </c>
      <c r="S39" s="92">
        <f ca="1">IFERROR(__xludf.DUMMYFUNCTION("IMPORTRANGE(""https://docs.google.com/spreadsheets/d/1l6IZ8xUPgMrESzcTYwhA1k_tPjeQjJPTqlm8Gd9eU5g/edit?usp=sharing"",""มหาสารคาม!I150"")"),0)</f>
        <v>0</v>
      </c>
      <c r="T39" s="92">
        <f ca="1">IFERROR(__xludf.DUMMYFUNCTION("IMPORTRANGE(""https://docs.google.com/spreadsheets/d/1l6IZ8xUPgMrESzcTYwhA1k_tPjeQjJPTqlm8Gd9eU5g/edit?usp=sharing"",""มหาสารคาม!I151"")"),0)</f>
        <v>0</v>
      </c>
      <c r="U39" s="92">
        <f ca="1">IFERROR(__xludf.DUMMYFUNCTION("IMPORTRANGE(""https://docs.google.com/spreadsheets/d/1l6IZ8xUPgMrESzcTYwhA1k_tPjeQjJPTqlm8Gd9eU5g/edit?usp=sharing"",""มหาสารคาม!J150"")"),0)</f>
        <v>0</v>
      </c>
      <c r="V39" s="93">
        <f t="shared" ca="1" si="32"/>
        <v>0</v>
      </c>
      <c r="W39" s="92">
        <f ca="1">IFERROR(__xludf.DUMMYFUNCTION("IMPORTRANGE(""https://docs.google.com/spreadsheets/d/1l6IZ8xUPgMrESzcTYwhA1k_tPjeQjJPTqlm8Gd9eU5g/edit?usp=sharing"",""มหาสารคาม!J151"")"),0)</f>
        <v>0</v>
      </c>
      <c r="X39" s="93">
        <f t="shared" ca="1" si="33"/>
        <v>0</v>
      </c>
      <c r="Y39" s="92">
        <f ca="1">IFERROR(__xludf.DUMMYFUNCTION("IMPORTRANGE(""https://docs.google.com/spreadsheets/d/1l6IZ8xUPgMrESzcTYwhA1k_tPjeQjJPTqlm8Gd9eU5g/edit?usp=sharing"",""มหาสารคาม!I152"")"),40)</f>
        <v>40</v>
      </c>
      <c r="Z39" s="92">
        <f ca="1">IFERROR(__xludf.DUMMYFUNCTION("IMPORTRANGE(""https://docs.google.com/spreadsheets/d/1l6IZ8xUPgMrESzcTYwhA1k_tPjeQjJPTqlm8Gd9eU5g/edit?usp=sharing"",""มหาสารคาม!I153"")"),4)</f>
        <v>4</v>
      </c>
      <c r="AA39" s="92">
        <f ca="1">IFERROR(__xludf.DUMMYFUNCTION("IMPORTRANGE(""https://docs.google.com/spreadsheets/d/1l6IZ8xUPgMrESzcTYwhA1k_tPjeQjJPTqlm8Gd9eU5g/edit?usp=sharing"",""มหาสารคาม!J152"")"),0)</f>
        <v>0</v>
      </c>
      <c r="AB39" s="93">
        <f t="shared" ca="1" si="35"/>
        <v>0</v>
      </c>
      <c r="AC39" s="92">
        <f ca="1">IFERROR(__xludf.DUMMYFUNCTION("IMPORTRANGE(""https://docs.google.com/spreadsheets/d/1l6IZ8xUPgMrESzcTYwhA1k_tPjeQjJPTqlm8Gd9eU5g/edit?usp=sharing"",""มหาสารคาม!J153"")"),0)</f>
        <v>0</v>
      </c>
      <c r="AD39" s="93">
        <f t="shared" ca="1" si="36"/>
        <v>0</v>
      </c>
      <c r="AE39" s="92">
        <f ca="1">IFERROR(__xludf.DUMMYFUNCTION("IMPORTRANGE(""https://docs.google.com/spreadsheets/d/1l6IZ8xUPgMrESzcTYwhA1k_tPjeQjJPTqlm8Gd9eU5g/edit?usp=sharing"",""มหาสารคาม!I154"")"),0)</f>
        <v>0</v>
      </c>
      <c r="AF39" s="92">
        <f ca="1">IFERROR(__xludf.DUMMYFUNCTION("IMPORTRANGE(""https://docs.google.com/spreadsheets/d/1l6IZ8xUPgMrESzcTYwhA1k_tPjeQjJPTqlm8Gd9eU5g/edit?usp=sharing"",""มหาสารคาม!J154"")"),0)</f>
        <v>0</v>
      </c>
      <c r="AG39" s="93">
        <f t="shared" ca="1" si="38"/>
        <v>0</v>
      </c>
    </row>
    <row r="40" spans="1:33" ht="21" customHeight="1" x14ac:dyDescent="0.3">
      <c r="A40" s="172">
        <v>9</v>
      </c>
      <c r="B40" s="173" t="s">
        <v>62</v>
      </c>
      <c r="C40" s="174">
        <f t="shared" ca="1" si="23"/>
        <v>31600</v>
      </c>
      <c r="D40" s="175">
        <f t="shared" ca="1" si="44"/>
        <v>31600</v>
      </c>
      <c r="E40" s="176">
        <f ca="1">IFERROR(__xludf.DUMMYFUNCTION("IMPORTRANGE(""https://docs.google.com/spreadsheets/d/1-uDff_7J0KD5mKrp0Vvzr7lt3OU09vwQwhkpOPPYv2Y/edit?usp=sharing"",""งบพรบ!BR40"")"),0)</f>
        <v>0</v>
      </c>
      <c r="F40" s="176">
        <f ca="1">IFERROR(__xludf.DUMMYFUNCTION("IMPORTRANGE(""https://docs.google.com/spreadsheets/d/1-uDff_7J0KD5mKrp0Vvzr7lt3OU09vwQwhkpOPPYv2Y/edit?usp=sharing"",""งบพรบ!BS40"")"),31600)</f>
        <v>31600</v>
      </c>
      <c r="G40" s="176">
        <f ca="1">IFERROR(__xludf.DUMMYFUNCTION("IMPORTRANGE(""https://docs.google.com/spreadsheets/d/1-uDff_7J0KD5mKrp0Vvzr7lt3OU09vwQwhkpOPPYv2Y/edit?usp=sharing"",""งบพรบ!BT40"")"),0)</f>
        <v>0</v>
      </c>
      <c r="H40" s="176">
        <f ca="1">IFERROR(__xludf.DUMMYFUNCTION("IMPORTRANGE(""https://docs.google.com/spreadsheets/d/1-uDff_7J0KD5mKrp0Vvzr7lt3OU09vwQwhkpOPPYv2Y/edit?usp=sharing"",""งบพรบ!BV40"")"),26600)</f>
        <v>26600</v>
      </c>
      <c r="I40" s="176">
        <f ca="1">IFERROR(__xludf.DUMMYFUNCTION("IMPORTRANGE(""https://docs.google.com/spreadsheets/d/1-uDff_7J0KD5mKrp0Vvzr7lt3OU09vwQwhkpOPPYv2Y/edit?usp=sharing"",""งบพรบ!BW40"")"),0)</f>
        <v>0</v>
      </c>
      <c r="J40" s="176">
        <f t="shared" ca="1" si="25"/>
        <v>0</v>
      </c>
      <c r="K40" s="181">
        <f t="shared" ca="1" si="26"/>
        <v>0</v>
      </c>
      <c r="L40" s="176">
        <f ca="1">IFERROR(__xludf.DUMMYFUNCTION("IMPORTRANGE(""https://docs.google.com/spreadsheets/d/1-uDff_7J0KD5mKrp0Vvzr7lt3OU09vwQwhkpOPPYv2Y/edit?usp=sharing"",""งบพรบ!BX40"")"),0)</f>
        <v>0</v>
      </c>
      <c r="M40" s="179">
        <f t="shared" ca="1" si="27"/>
        <v>0</v>
      </c>
      <c r="N40" s="179">
        <f t="shared" ca="1" si="28"/>
        <v>0</v>
      </c>
      <c r="O40" s="180">
        <f ca="1">IFERROR(__xludf.DUMMYFUNCTION("IMPORTRANGE(""https://docs.google.com/spreadsheets/d/1-uDff_7J0KD5mKrp0Vvzr7lt3OU09vwQwhkpOPPYv2Y/edit?usp=sharing"",""งบพรบ!BY40"")"),0)</f>
        <v>0</v>
      </c>
      <c r="P40" s="180">
        <f t="shared" ca="1" si="29"/>
        <v>0</v>
      </c>
      <c r="Q40" s="179">
        <f t="shared" ca="1" si="30"/>
        <v>0</v>
      </c>
      <c r="R40" s="92">
        <f ca="1">IFERROR(__xludf.DUMMYFUNCTION("IMPORTRANGE(""https://docs.google.com/spreadsheets/d/1uB74YLqNjWX6FObjekfB2NtSYigTQyR2rq9u4Ub2Sq4/edit?usp=sharing"",""มุกดาหาร!J149"")"),0)</f>
        <v>0</v>
      </c>
      <c r="S40" s="92">
        <f ca="1">IFERROR(__xludf.DUMMYFUNCTION("IMPORTRANGE(""https://docs.google.com/spreadsheets/d/1uB74YLqNjWX6FObjekfB2NtSYigTQyR2rq9u4Ub2Sq4/edit?usp=sharing"",""มุกดาหาร!I150"")"),0)</f>
        <v>0</v>
      </c>
      <c r="T40" s="92">
        <f ca="1">IFERROR(__xludf.DUMMYFUNCTION("IMPORTRANGE(""https://docs.google.com/spreadsheets/d/1uB74YLqNjWX6FObjekfB2NtSYigTQyR2rq9u4Ub2Sq4/edit?usp=sharing"",""มุกดาหาร!I151"")"),0)</f>
        <v>0</v>
      </c>
      <c r="U40" s="92">
        <f ca="1">IFERROR(__xludf.DUMMYFUNCTION("IMPORTRANGE(""https://docs.google.com/spreadsheets/d/1uB74YLqNjWX6FObjekfB2NtSYigTQyR2rq9u4Ub2Sq4/edit?usp=sharing"",""มุกดาหาร!J150"")"),0)</f>
        <v>0</v>
      </c>
      <c r="V40" s="93">
        <f t="shared" ca="1" si="32"/>
        <v>0</v>
      </c>
      <c r="W40" s="92">
        <f ca="1">IFERROR(__xludf.DUMMYFUNCTION("IMPORTRANGE(""https://docs.google.com/spreadsheets/d/1uB74YLqNjWX6FObjekfB2NtSYigTQyR2rq9u4Ub2Sq4/edit?usp=sharing"",""มุกดาหาร!J151"")"),0)</f>
        <v>0</v>
      </c>
      <c r="X40" s="93">
        <f t="shared" ca="1" si="33"/>
        <v>0</v>
      </c>
      <c r="Y40" s="92">
        <f ca="1">IFERROR(__xludf.DUMMYFUNCTION("IMPORTRANGE(""https://docs.google.com/spreadsheets/d/1uB74YLqNjWX6FObjekfB2NtSYigTQyR2rq9u4Ub2Sq4/edit?usp=sharing"",""มุกดาหาร!I152"")"),20)</f>
        <v>20</v>
      </c>
      <c r="Z40" s="92">
        <f ca="1">IFERROR(__xludf.DUMMYFUNCTION("IMPORTRANGE(""https://docs.google.com/spreadsheets/d/1uB74YLqNjWX6FObjekfB2NtSYigTQyR2rq9u4Ub2Sq4/edit?usp=sharing"",""มุกดาหาร!I153"")"),2)</f>
        <v>2</v>
      </c>
      <c r="AA40" s="92">
        <f ca="1">IFERROR(__xludf.DUMMYFUNCTION("IMPORTRANGE(""https://docs.google.com/spreadsheets/d/1uB74YLqNjWX6FObjekfB2NtSYigTQyR2rq9u4Ub2Sq4/edit?usp=sharing"",""มุกดาหาร!J152"")"),0)</f>
        <v>0</v>
      </c>
      <c r="AB40" s="93">
        <f t="shared" ca="1" si="35"/>
        <v>0</v>
      </c>
      <c r="AC40" s="92">
        <f ca="1">IFERROR(__xludf.DUMMYFUNCTION("IMPORTRANGE(""https://docs.google.com/spreadsheets/d/1uB74YLqNjWX6FObjekfB2NtSYigTQyR2rq9u4Ub2Sq4/edit?usp=sharing"",""มุกดาหาร!J153"")"),0)</f>
        <v>0</v>
      </c>
      <c r="AD40" s="93">
        <f t="shared" ca="1" si="36"/>
        <v>0</v>
      </c>
      <c r="AE40" s="92">
        <f ca="1">IFERROR(__xludf.DUMMYFUNCTION("IMPORTRANGE(""https://docs.google.com/spreadsheets/d/1uB74YLqNjWX6FObjekfB2NtSYigTQyR2rq9u4Ub2Sq4/edit?usp=sharing"",""มุกดาหาร!I154"")"),0)</f>
        <v>0</v>
      </c>
      <c r="AF40" s="92">
        <f ca="1">IFERROR(__xludf.DUMMYFUNCTION("IMPORTRANGE(""https://docs.google.com/spreadsheets/d/1uB74YLqNjWX6FObjekfB2NtSYigTQyR2rq9u4Ub2Sq4/edit?usp=sharing"",""มุกดาหาร!J154"")"),0)</f>
        <v>0</v>
      </c>
      <c r="AG40" s="93">
        <f t="shared" ca="1" si="38"/>
        <v>0</v>
      </c>
    </row>
    <row r="41" spans="1:33" ht="21" customHeight="1" x14ac:dyDescent="0.3">
      <c r="A41" s="172">
        <v>10</v>
      </c>
      <c r="B41" s="173" t="s">
        <v>63</v>
      </c>
      <c r="C41" s="174">
        <f t="shared" ca="1" si="23"/>
        <v>31600</v>
      </c>
      <c r="D41" s="175">
        <f t="shared" ca="1" si="44"/>
        <v>31600</v>
      </c>
      <c r="E41" s="176">
        <f ca="1">IFERROR(__xludf.DUMMYFUNCTION("IMPORTRANGE(""https://docs.google.com/spreadsheets/d/1-uDff_7J0KD5mKrp0Vvzr7lt3OU09vwQwhkpOPPYv2Y/edit?usp=sharing"",""งบพรบ!BR41"")"),0)</f>
        <v>0</v>
      </c>
      <c r="F41" s="176">
        <f ca="1">IFERROR(__xludf.DUMMYFUNCTION("IMPORTRANGE(""https://docs.google.com/spreadsheets/d/1-uDff_7J0KD5mKrp0Vvzr7lt3OU09vwQwhkpOPPYv2Y/edit?usp=sharing"",""งบพรบ!BS41"")"),31600)</f>
        <v>31600</v>
      </c>
      <c r="G41" s="176">
        <f ca="1">IFERROR(__xludf.DUMMYFUNCTION("IMPORTRANGE(""https://docs.google.com/spreadsheets/d/1-uDff_7J0KD5mKrp0Vvzr7lt3OU09vwQwhkpOPPYv2Y/edit?usp=sharing"",""งบพรบ!BT41"")"),0)</f>
        <v>0</v>
      </c>
      <c r="H41" s="176">
        <f ca="1">IFERROR(__xludf.DUMMYFUNCTION("IMPORTRANGE(""https://docs.google.com/spreadsheets/d/1-uDff_7J0KD5mKrp0Vvzr7lt3OU09vwQwhkpOPPYv2Y/edit?usp=sharing"",""งบพรบ!BV41"")"),26600)</f>
        <v>26600</v>
      </c>
      <c r="I41" s="176">
        <f ca="1">IFERROR(__xludf.DUMMYFUNCTION("IMPORTRANGE(""https://docs.google.com/spreadsheets/d/1-uDff_7J0KD5mKrp0Vvzr7lt3OU09vwQwhkpOPPYv2Y/edit?usp=sharing"",""งบพรบ!BW41"")"),0)</f>
        <v>0</v>
      </c>
      <c r="J41" s="176">
        <f t="shared" ca="1" si="25"/>
        <v>0</v>
      </c>
      <c r="K41" s="181">
        <f t="shared" ca="1" si="26"/>
        <v>0</v>
      </c>
      <c r="L41" s="176">
        <f ca="1">IFERROR(__xludf.DUMMYFUNCTION("IMPORTRANGE(""https://docs.google.com/spreadsheets/d/1-uDff_7J0KD5mKrp0Vvzr7lt3OU09vwQwhkpOPPYv2Y/edit?usp=sharing"",""งบพรบ!BX41"")"),0)</f>
        <v>0</v>
      </c>
      <c r="M41" s="179">
        <f t="shared" ca="1" si="27"/>
        <v>0</v>
      </c>
      <c r="N41" s="179">
        <f t="shared" ca="1" si="28"/>
        <v>0</v>
      </c>
      <c r="O41" s="180">
        <f ca="1">IFERROR(__xludf.DUMMYFUNCTION("IMPORTRANGE(""https://docs.google.com/spreadsheets/d/1-uDff_7J0KD5mKrp0Vvzr7lt3OU09vwQwhkpOPPYv2Y/edit?usp=sharing"",""งบพรบ!BY41"")"),0)</f>
        <v>0</v>
      </c>
      <c r="P41" s="180">
        <f t="shared" ca="1" si="29"/>
        <v>0</v>
      </c>
      <c r="Q41" s="179">
        <f t="shared" ca="1" si="30"/>
        <v>0</v>
      </c>
      <c r="R41" s="92">
        <f ca="1">IFERROR(__xludf.DUMMYFUNCTION("IMPORTRANGE(""https://docs.google.com/spreadsheets/d/1NexK3geCPxCTO1fzNF8dPec7yZyUx3OaWkFBC9HsQOo/edit?usp=sharing"",""ยโสธร!J149"")"),0)</f>
        <v>0</v>
      </c>
      <c r="S41" s="92">
        <f ca="1">IFERROR(__xludf.DUMMYFUNCTION("IMPORTRANGE(""https://docs.google.com/spreadsheets/d/1NexK3geCPxCTO1fzNF8dPec7yZyUx3OaWkFBC9HsQOo/edit?usp=sharing"",""ยโสธร!I150"")"),0)</f>
        <v>0</v>
      </c>
      <c r="T41" s="92">
        <f ca="1">IFERROR(__xludf.DUMMYFUNCTION("IMPORTRANGE(""https://docs.google.com/spreadsheets/d/1NexK3geCPxCTO1fzNF8dPec7yZyUx3OaWkFBC9HsQOo/edit?usp=sharing"",""ยโสธร!I151"")"),0)</f>
        <v>0</v>
      </c>
      <c r="U41" s="92">
        <f ca="1">IFERROR(__xludf.DUMMYFUNCTION("IMPORTRANGE(""https://docs.google.com/spreadsheets/d/1NexK3geCPxCTO1fzNF8dPec7yZyUx3OaWkFBC9HsQOo/edit?usp=sharing"",""ยโสธร!J150"")"),0)</f>
        <v>0</v>
      </c>
      <c r="V41" s="93">
        <f t="shared" ca="1" si="32"/>
        <v>0</v>
      </c>
      <c r="W41" s="92">
        <f ca="1">IFERROR(__xludf.DUMMYFUNCTION("IMPORTRANGE(""https://docs.google.com/spreadsheets/d/1NexK3geCPxCTO1fzNF8dPec7yZyUx3OaWkFBC9HsQOo/edit?usp=sharing"",""ยโสธร!J151"")"),0)</f>
        <v>0</v>
      </c>
      <c r="X41" s="93">
        <f t="shared" ca="1" si="33"/>
        <v>0</v>
      </c>
      <c r="Y41" s="92">
        <f ca="1">IFERROR(__xludf.DUMMYFUNCTION("IMPORTRANGE(""https://docs.google.com/spreadsheets/d/1NexK3geCPxCTO1fzNF8dPec7yZyUx3OaWkFBC9HsQOo/edit?usp=sharing"",""ยโสธร!I152"")"),20)</f>
        <v>20</v>
      </c>
      <c r="Z41" s="92">
        <f ca="1">IFERROR(__xludf.DUMMYFUNCTION("IMPORTRANGE(""https://docs.google.com/spreadsheets/d/1NexK3geCPxCTO1fzNF8dPec7yZyUx3OaWkFBC9HsQOo/edit?usp=sharing"",""ยโสธร!I153"")"),2)</f>
        <v>2</v>
      </c>
      <c r="AA41" s="92">
        <f ca="1">IFERROR(__xludf.DUMMYFUNCTION("IMPORTRANGE(""https://docs.google.com/spreadsheets/d/1NexK3geCPxCTO1fzNF8dPec7yZyUx3OaWkFBC9HsQOo/edit?usp=sharing"",""ยโสธร!J152"")"),0)</f>
        <v>0</v>
      </c>
      <c r="AB41" s="93">
        <f t="shared" ca="1" si="35"/>
        <v>0</v>
      </c>
      <c r="AC41" s="92">
        <f ca="1">IFERROR(__xludf.DUMMYFUNCTION("IMPORTRANGE(""https://docs.google.com/spreadsheets/d/1NexK3geCPxCTO1fzNF8dPec7yZyUx3OaWkFBC9HsQOo/edit?usp=sharing"",""ยโสธร!J153"")"),0)</f>
        <v>0</v>
      </c>
      <c r="AD41" s="93">
        <f t="shared" ca="1" si="36"/>
        <v>0</v>
      </c>
      <c r="AE41" s="92">
        <f ca="1">IFERROR(__xludf.DUMMYFUNCTION("IMPORTRANGE(""https://docs.google.com/spreadsheets/d/1NexK3geCPxCTO1fzNF8dPec7yZyUx3OaWkFBC9HsQOo/edit?usp=sharing"",""ยโสธร!I154"")"),0)</f>
        <v>0</v>
      </c>
      <c r="AF41" s="92">
        <f ca="1">IFERROR(__xludf.DUMMYFUNCTION("IMPORTRANGE(""https://docs.google.com/spreadsheets/d/1NexK3geCPxCTO1fzNF8dPec7yZyUx3OaWkFBC9HsQOo/edit?usp=sharing"",""ยโสธร!J154"")"),0)</f>
        <v>0</v>
      </c>
      <c r="AG41" s="93">
        <f t="shared" ca="1" si="38"/>
        <v>0</v>
      </c>
    </row>
    <row r="42" spans="1:33" ht="21" customHeight="1" x14ac:dyDescent="0.3">
      <c r="A42" s="172">
        <v>11</v>
      </c>
      <c r="B42" s="173" t="s">
        <v>64</v>
      </c>
      <c r="C42" s="174">
        <f t="shared" ca="1" si="23"/>
        <v>0</v>
      </c>
      <c r="D42" s="175">
        <f t="shared" ca="1" si="44"/>
        <v>0</v>
      </c>
      <c r="E42" s="176">
        <f ca="1">IFERROR(__xludf.DUMMYFUNCTION("IMPORTRANGE(""https://docs.google.com/spreadsheets/d/1-uDff_7J0KD5mKrp0Vvzr7lt3OU09vwQwhkpOPPYv2Y/edit?usp=sharing"",""งบพรบ!BR42"")"),0)</f>
        <v>0</v>
      </c>
      <c r="F42" s="176">
        <f ca="1">IFERROR(__xludf.DUMMYFUNCTION("IMPORTRANGE(""https://docs.google.com/spreadsheets/d/1-uDff_7J0KD5mKrp0Vvzr7lt3OU09vwQwhkpOPPYv2Y/edit?usp=sharing"",""งบพรบ!BS42"")"),0)</f>
        <v>0</v>
      </c>
      <c r="G42" s="176">
        <f ca="1">IFERROR(__xludf.DUMMYFUNCTION("IMPORTRANGE(""https://docs.google.com/spreadsheets/d/1-uDff_7J0KD5mKrp0Vvzr7lt3OU09vwQwhkpOPPYv2Y/edit?usp=sharing"",""งบพรบ!BT42"")"),0)</f>
        <v>0</v>
      </c>
      <c r="H42" s="176">
        <f ca="1">IFERROR(__xludf.DUMMYFUNCTION("IMPORTRANGE(""https://docs.google.com/spreadsheets/d/1-uDff_7J0KD5mKrp0Vvzr7lt3OU09vwQwhkpOPPYv2Y/edit?usp=sharing"",""งบพรบ!BV42"")"),0)</f>
        <v>0</v>
      </c>
      <c r="I42" s="176">
        <f ca="1">IFERROR(__xludf.DUMMYFUNCTION("IMPORTRANGE(""https://docs.google.com/spreadsheets/d/1-uDff_7J0KD5mKrp0Vvzr7lt3OU09vwQwhkpOPPYv2Y/edit?usp=sharing"",""งบพรบ!BW42"")"),0)</f>
        <v>0</v>
      </c>
      <c r="J42" s="176">
        <f t="shared" ca="1" si="25"/>
        <v>0</v>
      </c>
      <c r="K42" s="181">
        <f t="shared" ca="1" si="26"/>
        <v>0</v>
      </c>
      <c r="L42" s="176">
        <f ca="1">IFERROR(__xludf.DUMMYFUNCTION("IMPORTRANGE(""https://docs.google.com/spreadsheets/d/1-uDff_7J0KD5mKrp0Vvzr7lt3OU09vwQwhkpOPPYv2Y/edit?usp=sharing"",""งบพรบ!BX42"")"),0)</f>
        <v>0</v>
      </c>
      <c r="M42" s="179">
        <f t="shared" ca="1" si="27"/>
        <v>0</v>
      </c>
      <c r="N42" s="179">
        <f t="shared" ca="1" si="28"/>
        <v>0</v>
      </c>
      <c r="O42" s="180">
        <f ca="1">IFERROR(__xludf.DUMMYFUNCTION("IMPORTRANGE(""https://docs.google.com/spreadsheets/d/1-uDff_7J0KD5mKrp0Vvzr7lt3OU09vwQwhkpOPPYv2Y/edit?usp=sharing"",""งบพรบ!BY42"")"),0)</f>
        <v>0</v>
      </c>
      <c r="P42" s="180">
        <f t="shared" ca="1" si="29"/>
        <v>0</v>
      </c>
      <c r="Q42" s="179">
        <f t="shared" ca="1" si="30"/>
        <v>0</v>
      </c>
      <c r="R42" s="92">
        <f ca="1">IFERROR(__xludf.DUMMYFUNCTION("IMPORTRANGE(""https://docs.google.com/spreadsheets/d/1v_cJrbBlyqmnHPReHk44g9NrMRdENNlSy_E_c5M9fIg/edit?usp=sharing"",""ร้อยเอ็ด!J149"")"),0)</f>
        <v>0</v>
      </c>
      <c r="S42" s="92">
        <f ca="1">IFERROR(__xludf.DUMMYFUNCTION("IMPORTRANGE(""https://docs.google.com/spreadsheets/d/1v_cJrbBlyqmnHPReHk44g9NrMRdENNlSy_E_c5M9fIg/edit?usp=sharing"",""ร้อยเอ็ด!I150"")"),0)</f>
        <v>0</v>
      </c>
      <c r="T42" s="92">
        <f ca="1">IFERROR(__xludf.DUMMYFUNCTION("IMPORTRANGE(""https://docs.google.com/spreadsheets/d/1v_cJrbBlyqmnHPReHk44g9NrMRdENNlSy_E_c5M9fIg/edit?usp=sharing"",""ร้อยเอ็ด!I151"")"),0)</f>
        <v>0</v>
      </c>
      <c r="U42" s="92">
        <f ca="1">IFERROR(__xludf.DUMMYFUNCTION("IMPORTRANGE(""https://docs.google.com/spreadsheets/d/1v_cJrbBlyqmnHPReHk44g9NrMRdENNlSy_E_c5M9fIg/edit?usp=sharing"",""ร้อยเอ็ด!J150"")"),0)</f>
        <v>0</v>
      </c>
      <c r="V42" s="93">
        <f t="shared" ca="1" si="32"/>
        <v>0</v>
      </c>
      <c r="W42" s="92">
        <f ca="1">IFERROR(__xludf.DUMMYFUNCTION("IMPORTRANGE(""https://docs.google.com/spreadsheets/d/1v_cJrbBlyqmnHPReHk44g9NrMRdENNlSy_E_c5M9fIg/edit?usp=sharing"",""ร้อยเอ็ด!J151"")"),0)</f>
        <v>0</v>
      </c>
      <c r="X42" s="93">
        <f t="shared" ca="1" si="33"/>
        <v>0</v>
      </c>
      <c r="Y42" s="92">
        <f ca="1">IFERROR(__xludf.DUMMYFUNCTION("IMPORTRANGE(""https://docs.google.com/spreadsheets/d/1v_cJrbBlyqmnHPReHk44g9NrMRdENNlSy_E_c5M9fIg/edit?usp=sharing"",""ร้อยเอ็ด!I152"")"),0)</f>
        <v>0</v>
      </c>
      <c r="Z42" s="92">
        <f ca="1">IFERROR(__xludf.DUMMYFUNCTION("IMPORTRANGE(""https://docs.google.com/spreadsheets/d/1v_cJrbBlyqmnHPReHk44g9NrMRdENNlSy_E_c5M9fIg/edit?usp=sharing"",""ร้อยเอ็ด!I153"")"),0)</f>
        <v>0</v>
      </c>
      <c r="AA42" s="92">
        <f ca="1">IFERROR(__xludf.DUMMYFUNCTION("IMPORTRANGE(""https://docs.google.com/spreadsheets/d/1v_cJrbBlyqmnHPReHk44g9NrMRdENNlSy_E_c5M9fIg/edit?usp=sharing"",""ร้อยเอ็ด!J152"")"),0)</f>
        <v>0</v>
      </c>
      <c r="AB42" s="93">
        <f t="shared" ca="1" si="35"/>
        <v>0</v>
      </c>
      <c r="AC42" s="92">
        <f ca="1">IFERROR(__xludf.DUMMYFUNCTION("IMPORTRANGE(""https://docs.google.com/spreadsheets/d/1v_cJrbBlyqmnHPReHk44g9NrMRdENNlSy_E_c5M9fIg/edit?usp=sharing"",""ร้อยเอ็ด!J153"")"),0)</f>
        <v>0</v>
      </c>
      <c r="AD42" s="93">
        <f t="shared" ca="1" si="36"/>
        <v>0</v>
      </c>
      <c r="AE42" s="92">
        <f ca="1">IFERROR(__xludf.DUMMYFUNCTION("IMPORTRANGE(""https://docs.google.com/spreadsheets/d/1v_cJrbBlyqmnHPReHk44g9NrMRdENNlSy_E_c5M9fIg/edit?usp=sharing"",""ร้อยเอ็ด!I154"")"),0)</f>
        <v>0</v>
      </c>
      <c r="AF42" s="92">
        <f ca="1">IFERROR(__xludf.DUMMYFUNCTION("IMPORTRANGE(""https://docs.google.com/spreadsheets/d/1v_cJrbBlyqmnHPReHk44g9NrMRdENNlSy_E_c5M9fIg/edit?usp=sharing"",""ร้อยเอ็ด!J154"")"),0)</f>
        <v>0</v>
      </c>
      <c r="AG42" s="93">
        <f t="shared" ca="1" si="38"/>
        <v>0</v>
      </c>
    </row>
    <row r="43" spans="1:33" ht="21" customHeight="1" x14ac:dyDescent="0.3">
      <c r="A43" s="172">
        <v>12</v>
      </c>
      <c r="B43" s="173" t="s">
        <v>65</v>
      </c>
      <c r="C43" s="174">
        <f t="shared" ca="1" si="23"/>
        <v>117600</v>
      </c>
      <c r="D43" s="175">
        <f t="shared" ca="1" si="44"/>
        <v>117600</v>
      </c>
      <c r="E43" s="176">
        <f ca="1">IFERROR(__xludf.DUMMYFUNCTION("IMPORTRANGE(""https://docs.google.com/spreadsheets/d/1-uDff_7J0KD5mKrp0Vvzr7lt3OU09vwQwhkpOPPYv2Y/edit?usp=sharing"",""งบพรบ!BR43"")"),86000)</f>
        <v>86000</v>
      </c>
      <c r="F43" s="176">
        <f ca="1">IFERROR(__xludf.DUMMYFUNCTION("IMPORTRANGE(""https://docs.google.com/spreadsheets/d/1-uDff_7J0KD5mKrp0Vvzr7lt3OU09vwQwhkpOPPYv2Y/edit?usp=sharing"",""งบพรบ!BS43"")"),31600)</f>
        <v>31600</v>
      </c>
      <c r="G43" s="176">
        <f ca="1">IFERROR(__xludf.DUMMYFUNCTION("IMPORTRANGE(""https://docs.google.com/spreadsheets/d/1-uDff_7J0KD5mKrp0Vvzr7lt3OU09vwQwhkpOPPYv2Y/edit?usp=sharing"",""งบพรบ!BT43"")"),0)</f>
        <v>0</v>
      </c>
      <c r="H43" s="176">
        <f ca="1">IFERROR(__xludf.DUMMYFUNCTION("IMPORTRANGE(""https://docs.google.com/spreadsheets/d/1-uDff_7J0KD5mKrp0Vvzr7lt3OU09vwQwhkpOPPYv2Y/edit?usp=sharing"",""งบพรบ!BV43"")"),88100)</f>
        <v>88100</v>
      </c>
      <c r="I43" s="176">
        <f ca="1">IFERROR(__xludf.DUMMYFUNCTION("IMPORTRANGE(""https://docs.google.com/spreadsheets/d/1-uDff_7J0KD5mKrp0Vvzr7lt3OU09vwQwhkpOPPYv2Y/edit?usp=sharing"",""งบพรบ!BW43"")"),0)</f>
        <v>0</v>
      </c>
      <c r="J43" s="176">
        <f t="shared" ca="1" si="25"/>
        <v>34261.449999999997</v>
      </c>
      <c r="K43" s="181">
        <f t="shared" ca="1" si="26"/>
        <v>29.133886054421765</v>
      </c>
      <c r="L43" s="176">
        <f ca="1">IFERROR(__xludf.DUMMYFUNCTION("IMPORTRANGE(""https://docs.google.com/spreadsheets/d/1-uDff_7J0KD5mKrp0Vvzr7lt3OU09vwQwhkpOPPYv2Y/edit?usp=sharing"",""งบพรบ!BX43"")"),34261.45)</f>
        <v>34261.449999999997</v>
      </c>
      <c r="M43" s="179">
        <f t="shared" ca="1" si="27"/>
        <v>29.133886054421765</v>
      </c>
      <c r="N43" s="179">
        <f t="shared" ca="1" si="28"/>
        <v>38.889273552780928</v>
      </c>
      <c r="O43" s="180">
        <f ca="1">IFERROR(__xludf.DUMMYFUNCTION("IMPORTRANGE(""https://docs.google.com/spreadsheets/d/1-uDff_7J0KD5mKrp0Vvzr7lt3OU09vwQwhkpOPPYv2Y/edit?usp=sharing"",""งบพรบ!BY43"")"),0)</f>
        <v>0</v>
      </c>
      <c r="P43" s="180">
        <f t="shared" ca="1" si="29"/>
        <v>0</v>
      </c>
      <c r="Q43" s="179">
        <f t="shared" ca="1" si="30"/>
        <v>0</v>
      </c>
      <c r="R43" s="92">
        <f ca="1">IFERROR(__xludf.DUMMYFUNCTION("IMPORTRANGE(""https://docs.google.com/spreadsheets/d/1Ul4RCpCX66NxYADU1QpwAPjOmBzW64SsT11s1wzXw_c/edit?usp=sharing"",""เลย!J149"")"),0)</f>
        <v>0</v>
      </c>
      <c r="S43" s="92">
        <f ca="1">IFERROR(__xludf.DUMMYFUNCTION("IMPORTRANGE(""https://docs.google.com/spreadsheets/d/1Ul4RCpCX66NxYADU1QpwAPjOmBzW64SsT11s1wzXw_c/edit?usp=sharing"",""เลย!I150"")"),0)</f>
        <v>0</v>
      </c>
      <c r="T43" s="92">
        <f ca="1">IFERROR(__xludf.DUMMYFUNCTION("IMPORTRANGE(""https://docs.google.com/spreadsheets/d/1Ul4RCpCX66NxYADU1QpwAPjOmBzW64SsT11s1wzXw_c/edit?usp=sharing"",""เลย!I151"")"),0)</f>
        <v>0</v>
      </c>
      <c r="U43" s="92">
        <f ca="1">IFERROR(__xludf.DUMMYFUNCTION("IMPORTRANGE(""https://docs.google.com/spreadsheets/d/1Ul4RCpCX66NxYADU1QpwAPjOmBzW64SsT11s1wzXw_c/edit?usp=sharing"",""เลย!J150"")"),0)</f>
        <v>0</v>
      </c>
      <c r="V43" s="93">
        <f t="shared" ca="1" si="32"/>
        <v>0</v>
      </c>
      <c r="W43" s="92">
        <f ca="1">IFERROR(__xludf.DUMMYFUNCTION("IMPORTRANGE(""https://docs.google.com/spreadsheets/d/1Ul4RCpCX66NxYADU1QpwAPjOmBzW64SsT11s1wzXw_c/edit?usp=sharing"",""เลย!J151"")"),0)</f>
        <v>0</v>
      </c>
      <c r="X43" s="93">
        <f t="shared" ca="1" si="33"/>
        <v>0</v>
      </c>
      <c r="Y43" s="92">
        <f ca="1">IFERROR(__xludf.DUMMYFUNCTION("IMPORTRANGE(""https://docs.google.com/spreadsheets/d/1Ul4RCpCX66NxYADU1QpwAPjOmBzW64SsT11s1wzXw_c/edit?usp=sharing"",""เลย!I152"")"),20)</f>
        <v>20</v>
      </c>
      <c r="Z43" s="92">
        <f ca="1">IFERROR(__xludf.DUMMYFUNCTION("IMPORTRANGE(""https://docs.google.com/spreadsheets/d/1Ul4RCpCX66NxYADU1QpwAPjOmBzW64SsT11s1wzXw_c/edit?usp=sharing"",""เลย!I153"")"),2)</f>
        <v>2</v>
      </c>
      <c r="AA43" s="92">
        <f ca="1">IFERROR(__xludf.DUMMYFUNCTION("IMPORTRANGE(""https://docs.google.com/spreadsheets/d/1Ul4RCpCX66NxYADU1QpwAPjOmBzW64SsT11s1wzXw_c/edit?usp=sharing"",""เลย!J152"")"),0)</f>
        <v>0</v>
      </c>
      <c r="AB43" s="93">
        <f t="shared" ca="1" si="35"/>
        <v>0</v>
      </c>
      <c r="AC43" s="92">
        <f ca="1">IFERROR(__xludf.DUMMYFUNCTION("IMPORTRANGE(""https://docs.google.com/spreadsheets/d/1Ul4RCpCX66NxYADU1QpwAPjOmBzW64SsT11s1wzXw_c/edit?usp=sharing"",""เลย!J153"")"),0)</f>
        <v>0</v>
      </c>
      <c r="AD43" s="93">
        <f t="shared" ca="1" si="36"/>
        <v>0</v>
      </c>
      <c r="AE43" s="92">
        <f ca="1">IFERROR(__xludf.DUMMYFUNCTION("IMPORTRANGE(""https://docs.google.com/spreadsheets/d/1Ul4RCpCX66NxYADU1QpwAPjOmBzW64SsT11s1wzXw_c/edit?usp=sharing"",""เลย!I154"")"),0)</f>
        <v>0</v>
      </c>
      <c r="AF43" s="92">
        <f ca="1">IFERROR(__xludf.DUMMYFUNCTION("IMPORTRANGE(""https://docs.google.com/spreadsheets/d/1Ul4RCpCX66NxYADU1QpwAPjOmBzW64SsT11s1wzXw_c/edit?usp=sharing"",""เลย!J154"")"),0)</f>
        <v>0</v>
      </c>
      <c r="AG43" s="93">
        <f t="shared" ca="1" si="38"/>
        <v>0</v>
      </c>
    </row>
    <row r="44" spans="1:33" ht="21" customHeight="1" x14ac:dyDescent="0.3">
      <c r="A44" s="172">
        <v>13</v>
      </c>
      <c r="B44" s="173" t="s">
        <v>66</v>
      </c>
      <c r="C44" s="174">
        <f t="shared" ca="1" si="23"/>
        <v>0</v>
      </c>
      <c r="D44" s="175">
        <f t="shared" ca="1" si="44"/>
        <v>0</v>
      </c>
      <c r="E44" s="176">
        <f ca="1">IFERROR(__xludf.DUMMYFUNCTION("IMPORTRANGE(""https://docs.google.com/spreadsheets/d/1-uDff_7J0KD5mKrp0Vvzr7lt3OU09vwQwhkpOPPYv2Y/edit?usp=sharing"",""งบพรบ!BR44"")"),0)</f>
        <v>0</v>
      </c>
      <c r="F44" s="176">
        <f ca="1">IFERROR(__xludf.DUMMYFUNCTION("IMPORTRANGE(""https://docs.google.com/spreadsheets/d/1-uDff_7J0KD5mKrp0Vvzr7lt3OU09vwQwhkpOPPYv2Y/edit?usp=sharing"",""งบพรบ!BS44"")"),0)</f>
        <v>0</v>
      </c>
      <c r="G44" s="176">
        <f ca="1">IFERROR(__xludf.DUMMYFUNCTION("IMPORTRANGE(""https://docs.google.com/spreadsheets/d/1-uDff_7J0KD5mKrp0Vvzr7lt3OU09vwQwhkpOPPYv2Y/edit?usp=sharing"",""งบพรบ!BT44"")"),0)</f>
        <v>0</v>
      </c>
      <c r="H44" s="176">
        <f ca="1">IFERROR(__xludf.DUMMYFUNCTION("IMPORTRANGE(""https://docs.google.com/spreadsheets/d/1-uDff_7J0KD5mKrp0Vvzr7lt3OU09vwQwhkpOPPYv2Y/edit?usp=sharing"",""งบพรบ!BV44"")"),0)</f>
        <v>0</v>
      </c>
      <c r="I44" s="176">
        <f ca="1">IFERROR(__xludf.DUMMYFUNCTION("IMPORTRANGE(""https://docs.google.com/spreadsheets/d/1-uDff_7J0KD5mKrp0Vvzr7lt3OU09vwQwhkpOPPYv2Y/edit?usp=sharing"",""งบพรบ!BW44"")"),0)</f>
        <v>0</v>
      </c>
      <c r="J44" s="176">
        <f t="shared" ca="1" si="25"/>
        <v>0</v>
      </c>
      <c r="K44" s="181">
        <f t="shared" ca="1" si="26"/>
        <v>0</v>
      </c>
      <c r="L44" s="176">
        <f ca="1">IFERROR(__xludf.DUMMYFUNCTION("IMPORTRANGE(""https://docs.google.com/spreadsheets/d/1-uDff_7J0KD5mKrp0Vvzr7lt3OU09vwQwhkpOPPYv2Y/edit?usp=sharing"",""งบพรบ!BX44"")"),0)</f>
        <v>0</v>
      </c>
      <c r="M44" s="179">
        <f t="shared" ca="1" si="27"/>
        <v>0</v>
      </c>
      <c r="N44" s="179">
        <f t="shared" ca="1" si="28"/>
        <v>0</v>
      </c>
      <c r="O44" s="180">
        <f ca="1">IFERROR(__xludf.DUMMYFUNCTION("IMPORTRANGE(""https://docs.google.com/spreadsheets/d/1-uDff_7J0KD5mKrp0Vvzr7lt3OU09vwQwhkpOPPYv2Y/edit?usp=sharing"",""งบพรบ!BY44"")"),0)</f>
        <v>0</v>
      </c>
      <c r="P44" s="180">
        <f t="shared" ca="1" si="29"/>
        <v>0</v>
      </c>
      <c r="Q44" s="179">
        <f t="shared" ca="1" si="30"/>
        <v>0</v>
      </c>
      <c r="R44" s="92">
        <f ca="1">IFERROR(__xludf.DUMMYFUNCTION("IMPORTRANGE(""https://docs.google.com/spreadsheets/d/1bRrNKwbHDVktQG10isr5vbWRtt5spIZPpkOSWgbT5ug/edit?usp=sharing"",""ศรีสะเกษ!J149"")"),0)</f>
        <v>0</v>
      </c>
      <c r="S44" s="92">
        <f ca="1">IFERROR(__xludf.DUMMYFUNCTION("IMPORTRANGE(""https://docs.google.com/spreadsheets/d/1bRrNKwbHDVktQG10isr5vbWRtt5spIZPpkOSWgbT5ug/edit?usp=sharing"",""ศรีสะเกษ!I150"")"),0)</f>
        <v>0</v>
      </c>
      <c r="T44" s="92">
        <f ca="1">IFERROR(__xludf.DUMMYFUNCTION("IMPORTRANGE(""https://docs.google.com/spreadsheets/d/1bRrNKwbHDVktQG10isr5vbWRtt5spIZPpkOSWgbT5ug/edit?usp=sharing"",""ศรีสะเกษ!I151"")"),0)</f>
        <v>0</v>
      </c>
      <c r="U44" s="92">
        <f ca="1">IFERROR(__xludf.DUMMYFUNCTION("IMPORTRANGE(""https://docs.google.com/spreadsheets/d/1bRrNKwbHDVktQG10isr5vbWRtt5spIZPpkOSWgbT5ug/edit?usp=sharing"",""ศรีสะเกษ!J150"")"),0)</f>
        <v>0</v>
      </c>
      <c r="V44" s="93">
        <f t="shared" ca="1" si="32"/>
        <v>0</v>
      </c>
      <c r="W44" s="92">
        <f ca="1">IFERROR(__xludf.DUMMYFUNCTION("IMPORTRANGE(""https://docs.google.com/spreadsheets/d/1bRrNKwbHDVktQG10isr5vbWRtt5spIZPpkOSWgbT5ug/edit?usp=sharing"",""ศรีสะเกษ!J151"")"),0)</f>
        <v>0</v>
      </c>
      <c r="X44" s="93">
        <f t="shared" ca="1" si="33"/>
        <v>0</v>
      </c>
      <c r="Y44" s="92">
        <f ca="1">IFERROR(__xludf.DUMMYFUNCTION("IMPORTRANGE(""https://docs.google.com/spreadsheets/d/1bRrNKwbHDVktQG10isr5vbWRtt5spIZPpkOSWgbT5ug/edit?usp=sharing"",""ศรีสะเกษ!I152"")"),0)</f>
        <v>0</v>
      </c>
      <c r="Z44" s="92">
        <f ca="1">IFERROR(__xludf.DUMMYFUNCTION("IMPORTRANGE(""https://docs.google.com/spreadsheets/d/1bRrNKwbHDVktQG10isr5vbWRtt5spIZPpkOSWgbT5ug/edit?usp=sharing"",""ศรีสะเกษ!I153"")"),0)</f>
        <v>0</v>
      </c>
      <c r="AA44" s="92">
        <f ca="1">IFERROR(__xludf.DUMMYFUNCTION("IMPORTRANGE(""https://docs.google.com/spreadsheets/d/1bRrNKwbHDVktQG10isr5vbWRtt5spIZPpkOSWgbT5ug/edit?usp=sharing"",""ศรีสะเกษ!J152"")"),0)</f>
        <v>0</v>
      </c>
      <c r="AB44" s="93">
        <f t="shared" ca="1" si="35"/>
        <v>0</v>
      </c>
      <c r="AC44" s="92">
        <f ca="1">IFERROR(__xludf.DUMMYFUNCTION("IMPORTRANGE(""https://docs.google.com/spreadsheets/d/1bRrNKwbHDVktQG10isr5vbWRtt5spIZPpkOSWgbT5ug/edit?usp=sharing"",""ศรีสะเกษ!J153"")"),0)</f>
        <v>0</v>
      </c>
      <c r="AD44" s="93">
        <f t="shared" ca="1" si="36"/>
        <v>0</v>
      </c>
      <c r="AE44" s="92">
        <f ca="1">IFERROR(__xludf.DUMMYFUNCTION("IMPORTRANGE(""https://docs.google.com/spreadsheets/d/1bRrNKwbHDVktQG10isr5vbWRtt5spIZPpkOSWgbT5ug/edit?usp=sharing"",""ศรีสะเกษ!I154"")"),0)</f>
        <v>0</v>
      </c>
      <c r="AF44" s="92">
        <f ca="1">IFERROR(__xludf.DUMMYFUNCTION("IMPORTRANGE(""https://docs.google.com/spreadsheets/d/1bRrNKwbHDVktQG10isr5vbWRtt5spIZPpkOSWgbT5ug/edit?usp=sharing"",""ศรีสะเกษ!J154"")"),0)</f>
        <v>0</v>
      </c>
      <c r="AG44" s="93">
        <f t="shared" ca="1" si="38"/>
        <v>0</v>
      </c>
    </row>
    <row r="45" spans="1:33" ht="21" customHeight="1" x14ac:dyDescent="0.3">
      <c r="A45" s="172">
        <v>14</v>
      </c>
      <c r="B45" s="173" t="s">
        <v>67</v>
      </c>
      <c r="C45" s="174">
        <f t="shared" ca="1" si="23"/>
        <v>48200</v>
      </c>
      <c r="D45" s="175">
        <f t="shared" ca="1" si="44"/>
        <v>48200</v>
      </c>
      <c r="E45" s="176">
        <f ca="1">IFERROR(__xludf.DUMMYFUNCTION("IMPORTRANGE(""https://docs.google.com/spreadsheets/d/1-uDff_7J0KD5mKrp0Vvzr7lt3OU09vwQwhkpOPPYv2Y/edit?usp=sharing"",""งบพรบ!BR45"")"),0)</f>
        <v>0</v>
      </c>
      <c r="F45" s="176">
        <f ca="1">IFERROR(__xludf.DUMMYFUNCTION("IMPORTRANGE(""https://docs.google.com/spreadsheets/d/1-uDff_7J0KD5mKrp0Vvzr7lt3OU09vwQwhkpOPPYv2Y/edit?usp=sharing"",""งบพรบ!BS45"")"),48200)</f>
        <v>48200</v>
      </c>
      <c r="G45" s="176">
        <f ca="1">IFERROR(__xludf.DUMMYFUNCTION("IMPORTRANGE(""https://docs.google.com/spreadsheets/d/1-uDff_7J0KD5mKrp0Vvzr7lt3OU09vwQwhkpOPPYv2Y/edit?usp=sharing"",""งบพรบ!BT45"")"),0)</f>
        <v>0</v>
      </c>
      <c r="H45" s="176">
        <f ca="1">IFERROR(__xludf.DUMMYFUNCTION("IMPORTRANGE(""https://docs.google.com/spreadsheets/d/1-uDff_7J0KD5mKrp0Vvzr7lt3OU09vwQwhkpOPPYv2Y/edit?usp=sharing"",""งบพรบ!BV45"")"),43200)</f>
        <v>43200</v>
      </c>
      <c r="I45" s="176">
        <f ca="1">IFERROR(__xludf.DUMMYFUNCTION("IMPORTRANGE(""https://docs.google.com/spreadsheets/d/1-uDff_7J0KD5mKrp0Vvzr7lt3OU09vwQwhkpOPPYv2Y/edit?usp=sharing"",""งบพรบ!BW45"")"),0)</f>
        <v>0</v>
      </c>
      <c r="J45" s="176">
        <f t="shared" ca="1" si="25"/>
        <v>0</v>
      </c>
      <c r="K45" s="181">
        <f t="shared" ca="1" si="26"/>
        <v>0</v>
      </c>
      <c r="L45" s="176">
        <f ca="1">IFERROR(__xludf.DUMMYFUNCTION("IMPORTRANGE(""https://docs.google.com/spreadsheets/d/1-uDff_7J0KD5mKrp0Vvzr7lt3OU09vwQwhkpOPPYv2Y/edit?usp=sharing"",""งบพรบ!BX45"")"),0)</f>
        <v>0</v>
      </c>
      <c r="M45" s="179">
        <f t="shared" ca="1" si="27"/>
        <v>0</v>
      </c>
      <c r="N45" s="179">
        <f t="shared" ca="1" si="28"/>
        <v>0</v>
      </c>
      <c r="O45" s="180">
        <f ca="1">IFERROR(__xludf.DUMMYFUNCTION("IMPORTRANGE(""https://docs.google.com/spreadsheets/d/1-uDff_7J0KD5mKrp0Vvzr7lt3OU09vwQwhkpOPPYv2Y/edit?usp=sharing"",""งบพรบ!BY45"")"),0)</f>
        <v>0</v>
      </c>
      <c r="P45" s="180">
        <f t="shared" ca="1" si="29"/>
        <v>0</v>
      </c>
      <c r="Q45" s="179">
        <f t="shared" ca="1" si="30"/>
        <v>0</v>
      </c>
      <c r="R45" s="92">
        <f ca="1">IFERROR(__xludf.DUMMYFUNCTION("IMPORTRANGE(""https://docs.google.com/spreadsheets/d/17P34_Ow5kFBfdQD0qspb2UuPX5zpi6WMrQzslghyvrI/edit?usp=sharing"",""สกลนคร!J149"")"),0)</f>
        <v>0</v>
      </c>
      <c r="S45" s="92">
        <f ca="1">IFERROR(__xludf.DUMMYFUNCTION("IMPORTRANGE(""https://docs.google.com/spreadsheets/d/17P34_Ow5kFBfdQD0qspb2UuPX5zpi6WMrQzslghyvrI/edit?usp=sharing"",""สกลนคร!I150"")"),0)</f>
        <v>0</v>
      </c>
      <c r="T45" s="92">
        <f ca="1">IFERROR(__xludf.DUMMYFUNCTION("IMPORTRANGE(""https://docs.google.com/spreadsheets/d/17P34_Ow5kFBfdQD0qspb2UuPX5zpi6WMrQzslghyvrI/edit?usp=sharing"",""สกลนคร!I151"")"),0)</f>
        <v>0</v>
      </c>
      <c r="U45" s="92">
        <f ca="1">IFERROR(__xludf.DUMMYFUNCTION("IMPORTRANGE(""https://docs.google.com/spreadsheets/d/17P34_Ow5kFBfdQD0qspb2UuPX5zpi6WMrQzslghyvrI/edit?usp=sharing"",""สกลนคร!J150"")"),0)</f>
        <v>0</v>
      </c>
      <c r="V45" s="93">
        <f t="shared" ca="1" si="32"/>
        <v>0</v>
      </c>
      <c r="W45" s="92">
        <f ca="1">IFERROR(__xludf.DUMMYFUNCTION("IMPORTRANGE(""https://docs.google.com/spreadsheets/d/17P34_Ow5kFBfdQD0qspb2UuPX5zpi6WMrQzslghyvrI/edit?usp=sharing"",""สกลนคร!J151"")"),0)</f>
        <v>0</v>
      </c>
      <c r="X45" s="93">
        <f t="shared" ca="1" si="33"/>
        <v>0</v>
      </c>
      <c r="Y45" s="92">
        <f ca="1">IFERROR(__xludf.DUMMYFUNCTION("IMPORTRANGE(""https://docs.google.com/spreadsheets/d/17P34_Ow5kFBfdQD0qspb2UuPX5zpi6WMrQzslghyvrI/edit?usp=sharing"",""สกลนคร!I152"")"),40)</f>
        <v>40</v>
      </c>
      <c r="Z45" s="92">
        <f ca="1">IFERROR(__xludf.DUMMYFUNCTION("IMPORTRANGE(""https://docs.google.com/spreadsheets/d/17P34_Ow5kFBfdQD0qspb2UuPX5zpi6WMrQzslghyvrI/edit?usp=sharing"",""สกลนคร!I153"")"),4)</f>
        <v>4</v>
      </c>
      <c r="AA45" s="92">
        <f ca="1">IFERROR(__xludf.DUMMYFUNCTION("IMPORTRANGE(""https://docs.google.com/spreadsheets/d/17P34_Ow5kFBfdQD0qspb2UuPX5zpi6WMrQzslghyvrI/edit?usp=sharing"",""สกลนคร!J152"")"),0)</f>
        <v>0</v>
      </c>
      <c r="AB45" s="93">
        <f t="shared" ca="1" si="35"/>
        <v>0</v>
      </c>
      <c r="AC45" s="92">
        <f ca="1">IFERROR(__xludf.DUMMYFUNCTION("IMPORTRANGE(""https://docs.google.com/spreadsheets/d/17P34_Ow5kFBfdQD0qspb2UuPX5zpi6WMrQzslghyvrI/edit?usp=sharing"",""สกลนคร!J153"")"),0)</f>
        <v>0</v>
      </c>
      <c r="AD45" s="93">
        <f t="shared" ca="1" si="36"/>
        <v>0</v>
      </c>
      <c r="AE45" s="92">
        <f ca="1">IFERROR(__xludf.DUMMYFUNCTION("IMPORTRANGE(""https://docs.google.com/spreadsheets/d/17P34_Ow5kFBfdQD0qspb2UuPX5zpi6WMrQzslghyvrI/edit?usp=sharing"",""สกลนคร!I154"")"),0)</f>
        <v>0</v>
      </c>
      <c r="AF45" s="92">
        <f ca="1">IFERROR(__xludf.DUMMYFUNCTION("IMPORTRANGE(""https://docs.google.com/spreadsheets/d/17P34_Ow5kFBfdQD0qspb2UuPX5zpi6WMrQzslghyvrI/edit?usp=sharing"",""สกลนคร!J154"")"),0)</f>
        <v>0</v>
      </c>
      <c r="AG45" s="93">
        <f t="shared" ca="1" si="38"/>
        <v>0</v>
      </c>
    </row>
    <row r="46" spans="1:33" ht="21" customHeight="1" x14ac:dyDescent="0.3">
      <c r="A46" s="172">
        <v>15</v>
      </c>
      <c r="B46" s="173" t="s">
        <v>68</v>
      </c>
      <c r="C46" s="174">
        <f t="shared" ca="1" si="23"/>
        <v>0</v>
      </c>
      <c r="D46" s="175">
        <f t="shared" ca="1" si="44"/>
        <v>0</v>
      </c>
      <c r="E46" s="176">
        <f ca="1">IFERROR(__xludf.DUMMYFUNCTION("IMPORTRANGE(""https://docs.google.com/spreadsheets/d/1-uDff_7J0KD5mKrp0Vvzr7lt3OU09vwQwhkpOPPYv2Y/edit?usp=sharing"",""งบพรบ!BR46"")"),0)</f>
        <v>0</v>
      </c>
      <c r="F46" s="176">
        <f ca="1">IFERROR(__xludf.DUMMYFUNCTION("IMPORTRANGE(""https://docs.google.com/spreadsheets/d/1-uDff_7J0KD5mKrp0Vvzr7lt3OU09vwQwhkpOPPYv2Y/edit?usp=sharing"",""งบพรบ!BS46"")"),0)</f>
        <v>0</v>
      </c>
      <c r="G46" s="176">
        <f ca="1">IFERROR(__xludf.DUMMYFUNCTION("IMPORTRANGE(""https://docs.google.com/spreadsheets/d/1-uDff_7J0KD5mKrp0Vvzr7lt3OU09vwQwhkpOPPYv2Y/edit?usp=sharing"",""งบพรบ!BT46"")"),0)</f>
        <v>0</v>
      </c>
      <c r="H46" s="176">
        <f ca="1">IFERROR(__xludf.DUMMYFUNCTION("IMPORTRANGE(""https://docs.google.com/spreadsheets/d/1-uDff_7J0KD5mKrp0Vvzr7lt3OU09vwQwhkpOPPYv2Y/edit?usp=sharing"",""งบพรบ!BV46"")"),0)</f>
        <v>0</v>
      </c>
      <c r="I46" s="176">
        <f ca="1">IFERROR(__xludf.DUMMYFUNCTION("IMPORTRANGE(""https://docs.google.com/spreadsheets/d/1-uDff_7J0KD5mKrp0Vvzr7lt3OU09vwQwhkpOPPYv2Y/edit?usp=sharing"",""งบพรบ!BW46"")"),0)</f>
        <v>0</v>
      </c>
      <c r="J46" s="176">
        <f t="shared" ca="1" si="25"/>
        <v>0</v>
      </c>
      <c r="K46" s="181">
        <f t="shared" ca="1" si="26"/>
        <v>0</v>
      </c>
      <c r="L46" s="176">
        <f ca="1">IFERROR(__xludf.DUMMYFUNCTION("IMPORTRANGE(""https://docs.google.com/spreadsheets/d/1-uDff_7J0KD5mKrp0Vvzr7lt3OU09vwQwhkpOPPYv2Y/edit?usp=sharing"",""งบพรบ!BX46"")"),0)</f>
        <v>0</v>
      </c>
      <c r="M46" s="179">
        <f t="shared" ca="1" si="27"/>
        <v>0</v>
      </c>
      <c r="N46" s="179">
        <f t="shared" ca="1" si="28"/>
        <v>0</v>
      </c>
      <c r="O46" s="180">
        <f ca="1">IFERROR(__xludf.DUMMYFUNCTION("IMPORTRANGE(""https://docs.google.com/spreadsheets/d/1-uDff_7J0KD5mKrp0Vvzr7lt3OU09vwQwhkpOPPYv2Y/edit?usp=sharing"",""งบพรบ!BY46"")"),0)</f>
        <v>0</v>
      </c>
      <c r="P46" s="180">
        <f t="shared" ca="1" si="29"/>
        <v>0</v>
      </c>
      <c r="Q46" s="179">
        <f t="shared" ca="1" si="30"/>
        <v>0</v>
      </c>
      <c r="R46" s="92">
        <f ca="1">IFERROR(__xludf.DUMMYFUNCTION("IMPORTRANGE(""https://docs.google.com/spreadsheets/d/1yswqbM3-AEpThF3ZSUa1AcmHnmRTF1vlJ1CZGcJ8YuU/edit?usp=sharing"",""สุรินทร์!J149"")"),0)</f>
        <v>0</v>
      </c>
      <c r="S46" s="92">
        <f ca="1">IFERROR(__xludf.DUMMYFUNCTION("IMPORTRANGE(""https://docs.google.com/spreadsheets/d/1yswqbM3-AEpThF3ZSUa1AcmHnmRTF1vlJ1CZGcJ8YuU/edit?usp=sharing"",""สุรินทร์!I150"")"),0)</f>
        <v>0</v>
      </c>
      <c r="T46" s="92">
        <f ca="1">IFERROR(__xludf.DUMMYFUNCTION("IMPORTRANGE(""https://docs.google.com/spreadsheets/d/1yswqbM3-AEpThF3ZSUa1AcmHnmRTF1vlJ1CZGcJ8YuU/edit?usp=sharing"",""สุรินทร์!I151"")"),0)</f>
        <v>0</v>
      </c>
      <c r="U46" s="92">
        <f ca="1">IFERROR(__xludf.DUMMYFUNCTION("IMPORTRANGE(""https://docs.google.com/spreadsheets/d/1yswqbM3-AEpThF3ZSUa1AcmHnmRTF1vlJ1CZGcJ8YuU/edit?usp=sharing"",""สุรินทร์!J150"")"),0)</f>
        <v>0</v>
      </c>
      <c r="V46" s="93">
        <f t="shared" ca="1" si="32"/>
        <v>0</v>
      </c>
      <c r="W46" s="92">
        <f ca="1">IFERROR(__xludf.DUMMYFUNCTION("IMPORTRANGE(""https://docs.google.com/spreadsheets/d/1yswqbM3-AEpThF3ZSUa1AcmHnmRTF1vlJ1CZGcJ8YuU/edit?usp=sharing"",""สุรินทร์!J151"")"),0)</f>
        <v>0</v>
      </c>
      <c r="X46" s="93">
        <f t="shared" ca="1" si="33"/>
        <v>0</v>
      </c>
      <c r="Y46" s="92">
        <f ca="1">IFERROR(__xludf.DUMMYFUNCTION("IMPORTRANGE(""https://docs.google.com/spreadsheets/d/1yswqbM3-AEpThF3ZSUa1AcmHnmRTF1vlJ1CZGcJ8YuU/edit?usp=sharing"",""สุรินทร์!I152"")"),0)</f>
        <v>0</v>
      </c>
      <c r="Z46" s="92">
        <f ca="1">IFERROR(__xludf.DUMMYFUNCTION("IMPORTRANGE(""https://docs.google.com/spreadsheets/d/1yswqbM3-AEpThF3ZSUa1AcmHnmRTF1vlJ1CZGcJ8YuU/edit?usp=sharing"",""สุรินทร์!I153"")"),0)</f>
        <v>0</v>
      </c>
      <c r="AA46" s="92">
        <f ca="1">IFERROR(__xludf.DUMMYFUNCTION("IMPORTRANGE(""https://docs.google.com/spreadsheets/d/1yswqbM3-AEpThF3ZSUa1AcmHnmRTF1vlJ1CZGcJ8YuU/edit?usp=sharing"",""สุรินทร์!J152"")"),0)</f>
        <v>0</v>
      </c>
      <c r="AB46" s="93">
        <f t="shared" ca="1" si="35"/>
        <v>0</v>
      </c>
      <c r="AC46" s="92">
        <f ca="1">IFERROR(__xludf.DUMMYFUNCTION("IMPORTRANGE(""https://docs.google.com/spreadsheets/d/1yswqbM3-AEpThF3ZSUa1AcmHnmRTF1vlJ1CZGcJ8YuU/edit?usp=sharing"",""สุรินทร์!J153"")"),0)</f>
        <v>0</v>
      </c>
      <c r="AD46" s="93">
        <f t="shared" ca="1" si="36"/>
        <v>0</v>
      </c>
      <c r="AE46" s="92">
        <f ca="1">IFERROR(__xludf.DUMMYFUNCTION("IMPORTRANGE(""https://docs.google.com/spreadsheets/d/1yswqbM3-AEpThF3ZSUa1AcmHnmRTF1vlJ1CZGcJ8YuU/edit?usp=sharing"",""สุรินทร์!I154"")"),0)</f>
        <v>0</v>
      </c>
      <c r="AF46" s="92">
        <f ca="1">IFERROR(__xludf.DUMMYFUNCTION("IMPORTRANGE(""https://docs.google.com/spreadsheets/d/1yswqbM3-AEpThF3ZSUa1AcmHnmRTF1vlJ1CZGcJ8YuU/edit?usp=sharing"",""สุรินทร์!J154"")"),0)</f>
        <v>0</v>
      </c>
      <c r="AG46" s="93">
        <f t="shared" ca="1" si="38"/>
        <v>0</v>
      </c>
    </row>
    <row r="47" spans="1:33" ht="21" customHeight="1" x14ac:dyDescent="0.3">
      <c r="A47" s="172">
        <v>16</v>
      </c>
      <c r="B47" s="173" t="s">
        <v>69</v>
      </c>
      <c r="C47" s="174">
        <f t="shared" ca="1" si="23"/>
        <v>137600</v>
      </c>
      <c r="D47" s="175">
        <f t="shared" ca="1" si="44"/>
        <v>137600</v>
      </c>
      <c r="E47" s="176">
        <f ca="1">IFERROR(__xludf.DUMMYFUNCTION("IMPORTRANGE(""https://docs.google.com/spreadsheets/d/1-uDff_7J0KD5mKrp0Vvzr7lt3OU09vwQwhkpOPPYv2Y/edit?usp=sharing"",""งบพรบ!BR47"")"),81100)</f>
        <v>81100</v>
      </c>
      <c r="F47" s="176">
        <f ca="1">IFERROR(__xludf.DUMMYFUNCTION("IMPORTRANGE(""https://docs.google.com/spreadsheets/d/1-uDff_7J0KD5mKrp0Vvzr7lt3OU09vwQwhkpOPPYv2Y/edit?usp=sharing"",""งบพรบ!BS47"")"),56500)</f>
        <v>56500</v>
      </c>
      <c r="G47" s="176">
        <f ca="1">IFERROR(__xludf.DUMMYFUNCTION("IMPORTRANGE(""https://docs.google.com/spreadsheets/d/1-uDff_7J0KD5mKrp0Vvzr7lt3OU09vwQwhkpOPPYv2Y/edit?usp=sharing"",""งบพรบ!BT47"")"),0)</f>
        <v>0</v>
      </c>
      <c r="H47" s="176">
        <f ca="1">IFERROR(__xludf.DUMMYFUNCTION("IMPORTRANGE(""https://docs.google.com/spreadsheets/d/1-uDff_7J0KD5mKrp0Vvzr7lt3OU09vwQwhkpOPPYv2Y/edit?usp=sharing"",""งบพรบ!BV47"")"),109500)</f>
        <v>109500</v>
      </c>
      <c r="I47" s="176">
        <f ca="1">IFERROR(__xludf.DUMMYFUNCTION("IMPORTRANGE(""https://docs.google.com/spreadsheets/d/1-uDff_7J0KD5mKrp0Vvzr7lt3OU09vwQwhkpOPPYv2Y/edit?usp=sharing"",""งบพรบ!BW47"")"),0)</f>
        <v>0</v>
      </c>
      <c r="J47" s="176">
        <f t="shared" ca="1" si="25"/>
        <v>51286.8</v>
      </c>
      <c r="K47" s="181">
        <f t="shared" ca="1" si="26"/>
        <v>37.272383720930236</v>
      </c>
      <c r="L47" s="176">
        <f ca="1">IFERROR(__xludf.DUMMYFUNCTION("IMPORTRANGE(""https://docs.google.com/spreadsheets/d/1-uDff_7J0KD5mKrp0Vvzr7lt3OU09vwQwhkpOPPYv2Y/edit?usp=sharing"",""งบพรบ!BX47"")"),51286.8)</f>
        <v>51286.8</v>
      </c>
      <c r="M47" s="179">
        <f t="shared" ca="1" si="27"/>
        <v>37.272383720930236</v>
      </c>
      <c r="N47" s="179">
        <f t="shared" ca="1" si="28"/>
        <v>46.837260273972603</v>
      </c>
      <c r="O47" s="180">
        <f ca="1">IFERROR(__xludf.DUMMYFUNCTION("IMPORTRANGE(""https://docs.google.com/spreadsheets/d/1-uDff_7J0KD5mKrp0Vvzr7lt3OU09vwQwhkpOPPYv2Y/edit?usp=sharing"",""งบพรบ!BY47"")"),0)</f>
        <v>0</v>
      </c>
      <c r="P47" s="180">
        <f t="shared" ca="1" si="29"/>
        <v>0</v>
      </c>
      <c r="Q47" s="179">
        <f t="shared" ca="1" si="30"/>
        <v>0</v>
      </c>
      <c r="R47" s="92">
        <f ca="1">IFERROR(__xludf.DUMMYFUNCTION("IMPORTRANGE(""https://docs.google.com/spreadsheets/d/13JHU_EFbsQOUQ0JSQ3dWy1VTRosIWcDq6Nc99z2qzdc/edit?usp=sharing"",""หนองคาย!J149"")"),0)</f>
        <v>0</v>
      </c>
      <c r="S47" s="92">
        <f ca="1">IFERROR(__xludf.DUMMYFUNCTION("IMPORTRANGE(""https://docs.google.com/spreadsheets/d/13JHU_EFbsQOUQ0JSQ3dWy1VTRosIWcDq6Nc99z2qzdc/edit?usp=sharing"",""หนองคาย!I150"")"),0)</f>
        <v>0</v>
      </c>
      <c r="T47" s="92">
        <f ca="1">IFERROR(__xludf.DUMMYFUNCTION("IMPORTRANGE(""https://docs.google.com/spreadsheets/d/13JHU_EFbsQOUQ0JSQ3dWy1VTRosIWcDq6Nc99z2qzdc/edit?usp=sharing"",""หนองคาย!I151"")"),0)</f>
        <v>0</v>
      </c>
      <c r="U47" s="92">
        <f ca="1">IFERROR(__xludf.DUMMYFUNCTION("IMPORTRANGE(""https://docs.google.com/spreadsheets/d/13JHU_EFbsQOUQ0JSQ3dWy1VTRosIWcDq6Nc99z2qzdc/edit?usp=sharing"",""หนองคาย!J150"")"),0)</f>
        <v>0</v>
      </c>
      <c r="V47" s="93">
        <f t="shared" ca="1" si="32"/>
        <v>0</v>
      </c>
      <c r="W47" s="92">
        <f ca="1">IFERROR(__xludf.DUMMYFUNCTION("IMPORTRANGE(""https://docs.google.com/spreadsheets/d/13JHU_EFbsQOUQ0JSQ3dWy1VTRosIWcDq6Nc99z2qzdc/edit?usp=sharing"",""หนองคาย!J151"")"),0)</f>
        <v>0</v>
      </c>
      <c r="X47" s="93">
        <f t="shared" ca="1" si="33"/>
        <v>0</v>
      </c>
      <c r="Y47" s="92">
        <f ca="1">IFERROR(__xludf.DUMMYFUNCTION("IMPORTRANGE(""https://docs.google.com/spreadsheets/d/13JHU_EFbsQOUQ0JSQ3dWy1VTRosIWcDq6Nc99z2qzdc/edit?usp=sharing"",""หนองคาย!I152"")"),50)</f>
        <v>50</v>
      </c>
      <c r="Z47" s="92">
        <f ca="1">IFERROR(__xludf.DUMMYFUNCTION("IMPORTRANGE(""https://docs.google.com/spreadsheets/d/13JHU_EFbsQOUQ0JSQ3dWy1VTRosIWcDq6Nc99z2qzdc/edit?usp=sharing"",""หนองคาย!I153"")"),5)</f>
        <v>5</v>
      </c>
      <c r="AA47" s="92">
        <f ca="1">IFERROR(__xludf.DUMMYFUNCTION("IMPORTRANGE(""https://docs.google.com/spreadsheets/d/13JHU_EFbsQOUQ0JSQ3dWy1VTRosIWcDq6Nc99z2qzdc/edit?usp=sharing"",""หนองคาย!J152"")"),0)</f>
        <v>0</v>
      </c>
      <c r="AB47" s="93">
        <f t="shared" ca="1" si="35"/>
        <v>0</v>
      </c>
      <c r="AC47" s="92">
        <f ca="1">IFERROR(__xludf.DUMMYFUNCTION("IMPORTRANGE(""https://docs.google.com/spreadsheets/d/13JHU_EFbsQOUQ0JSQ3dWy1VTRosIWcDq6Nc99z2qzdc/edit?usp=sharing"",""หนองคาย!J153"")"),0)</f>
        <v>0</v>
      </c>
      <c r="AD47" s="93">
        <f t="shared" ca="1" si="36"/>
        <v>0</v>
      </c>
      <c r="AE47" s="92">
        <f ca="1">IFERROR(__xludf.DUMMYFUNCTION("IMPORTRANGE(""https://docs.google.com/spreadsheets/d/13JHU_EFbsQOUQ0JSQ3dWy1VTRosIWcDq6Nc99z2qzdc/edit?usp=sharing"",""หนองคาย!I154"")"),0)</f>
        <v>0</v>
      </c>
      <c r="AF47" s="92">
        <f ca="1">IFERROR(__xludf.DUMMYFUNCTION("IMPORTRANGE(""https://docs.google.com/spreadsheets/d/13JHU_EFbsQOUQ0JSQ3dWy1VTRosIWcDq6Nc99z2qzdc/edit?usp=sharing"",""หนองคาย!J154"")"),0)</f>
        <v>0</v>
      </c>
      <c r="AG47" s="93">
        <f t="shared" ca="1" si="38"/>
        <v>0</v>
      </c>
    </row>
    <row r="48" spans="1:33" ht="21" customHeight="1" x14ac:dyDescent="0.3">
      <c r="A48" s="172">
        <v>17</v>
      </c>
      <c r="B48" s="173" t="s">
        <v>70</v>
      </c>
      <c r="C48" s="174">
        <f t="shared" ca="1" si="23"/>
        <v>0</v>
      </c>
      <c r="D48" s="175">
        <f t="shared" ca="1" si="44"/>
        <v>0</v>
      </c>
      <c r="E48" s="176">
        <f ca="1">IFERROR(__xludf.DUMMYFUNCTION("IMPORTRANGE(""https://docs.google.com/spreadsheets/d/1-uDff_7J0KD5mKrp0Vvzr7lt3OU09vwQwhkpOPPYv2Y/edit?usp=sharing"",""งบพรบ!BR48"")"),0)</f>
        <v>0</v>
      </c>
      <c r="F48" s="176">
        <f ca="1">IFERROR(__xludf.DUMMYFUNCTION("IMPORTRANGE(""https://docs.google.com/spreadsheets/d/1-uDff_7J0KD5mKrp0Vvzr7lt3OU09vwQwhkpOPPYv2Y/edit?usp=sharing"",""งบพรบ!BS48"")"),0)</f>
        <v>0</v>
      </c>
      <c r="G48" s="176">
        <f ca="1">IFERROR(__xludf.DUMMYFUNCTION("IMPORTRANGE(""https://docs.google.com/spreadsheets/d/1-uDff_7J0KD5mKrp0Vvzr7lt3OU09vwQwhkpOPPYv2Y/edit?usp=sharing"",""งบพรบ!BT48"")"),0)</f>
        <v>0</v>
      </c>
      <c r="H48" s="176">
        <f ca="1">IFERROR(__xludf.DUMMYFUNCTION("IMPORTRANGE(""https://docs.google.com/spreadsheets/d/1-uDff_7J0KD5mKrp0Vvzr7lt3OU09vwQwhkpOPPYv2Y/edit?usp=sharing"",""งบพรบ!BV48"")"),0)</f>
        <v>0</v>
      </c>
      <c r="I48" s="176">
        <f ca="1">IFERROR(__xludf.DUMMYFUNCTION("IMPORTRANGE(""https://docs.google.com/spreadsheets/d/1-uDff_7J0KD5mKrp0Vvzr7lt3OU09vwQwhkpOPPYv2Y/edit?usp=sharing"",""งบพรบ!BW48"")"),0)</f>
        <v>0</v>
      </c>
      <c r="J48" s="176">
        <f t="shared" ca="1" si="25"/>
        <v>0</v>
      </c>
      <c r="K48" s="181">
        <f t="shared" ca="1" si="26"/>
        <v>0</v>
      </c>
      <c r="L48" s="176">
        <f ca="1">IFERROR(__xludf.DUMMYFUNCTION("IMPORTRANGE(""https://docs.google.com/spreadsheets/d/1-uDff_7J0KD5mKrp0Vvzr7lt3OU09vwQwhkpOPPYv2Y/edit?usp=sharing"",""งบพรบ!BX48"")"),0)</f>
        <v>0</v>
      </c>
      <c r="M48" s="179">
        <f t="shared" ca="1" si="27"/>
        <v>0</v>
      </c>
      <c r="N48" s="179">
        <f t="shared" ca="1" si="28"/>
        <v>0</v>
      </c>
      <c r="O48" s="180">
        <f ca="1">IFERROR(__xludf.DUMMYFUNCTION("IMPORTRANGE(""https://docs.google.com/spreadsheets/d/1-uDff_7J0KD5mKrp0Vvzr7lt3OU09vwQwhkpOPPYv2Y/edit?usp=sharing"",""งบพรบ!BY48"")"),0)</f>
        <v>0</v>
      </c>
      <c r="P48" s="180">
        <f t="shared" ca="1" si="29"/>
        <v>0</v>
      </c>
      <c r="Q48" s="179">
        <f t="shared" ca="1" si="30"/>
        <v>0</v>
      </c>
      <c r="R48" s="92">
        <f ca="1">IFERROR(__xludf.DUMMYFUNCTION("IMPORTRANGE(""https://docs.google.com/spreadsheets/d/1Hx73zIEgVdDZZaYSTc46Dqv64atFhpr3GelxLbaIN8A/edit?usp=sharing"",""หนองบัวลำภู!J149"")"),0)</f>
        <v>0</v>
      </c>
      <c r="S48" s="92">
        <f ca="1">IFERROR(__xludf.DUMMYFUNCTION("IMPORTRANGE(""https://docs.google.com/spreadsheets/d/1Hx73zIEgVdDZZaYSTc46Dqv64atFhpr3GelxLbaIN8A/edit?usp=sharing"",""หนองบัวลำภู!I150"")"),0)</f>
        <v>0</v>
      </c>
      <c r="T48" s="92">
        <f ca="1">IFERROR(__xludf.DUMMYFUNCTION("IMPORTRANGE(""https://docs.google.com/spreadsheets/d/1Hx73zIEgVdDZZaYSTc46Dqv64atFhpr3GelxLbaIN8A/edit?usp=sharing"",""หนองบัวลำภู!I151"")"),0)</f>
        <v>0</v>
      </c>
      <c r="U48" s="92">
        <f ca="1">IFERROR(__xludf.DUMMYFUNCTION("IMPORTRANGE(""https://docs.google.com/spreadsheets/d/1Hx73zIEgVdDZZaYSTc46Dqv64atFhpr3GelxLbaIN8A/edit?usp=sharing"",""หนองบัวลำภู!J150"")"),0)</f>
        <v>0</v>
      </c>
      <c r="V48" s="93">
        <f t="shared" ca="1" si="32"/>
        <v>0</v>
      </c>
      <c r="W48" s="92">
        <f ca="1">IFERROR(__xludf.DUMMYFUNCTION("IMPORTRANGE(""https://docs.google.com/spreadsheets/d/1Hx73zIEgVdDZZaYSTc46Dqv64atFhpr3GelxLbaIN8A/edit?usp=sharing"",""หนองบัวลำภู!J151"")"),0)</f>
        <v>0</v>
      </c>
      <c r="X48" s="93">
        <f t="shared" ca="1" si="33"/>
        <v>0</v>
      </c>
      <c r="Y48" s="92">
        <f ca="1">IFERROR(__xludf.DUMMYFUNCTION("IMPORTRANGE(""https://docs.google.com/spreadsheets/d/1Hx73zIEgVdDZZaYSTc46Dqv64atFhpr3GelxLbaIN8A/edit?usp=sharing"",""หนองบัวลำภู!I152"")"),0)</f>
        <v>0</v>
      </c>
      <c r="Z48" s="92">
        <f ca="1">IFERROR(__xludf.DUMMYFUNCTION("IMPORTRANGE(""https://docs.google.com/spreadsheets/d/1Hx73zIEgVdDZZaYSTc46Dqv64atFhpr3GelxLbaIN8A/edit?usp=sharing"",""หนองบัวลำภู!I153"")"),0)</f>
        <v>0</v>
      </c>
      <c r="AA48" s="92">
        <f ca="1">IFERROR(__xludf.DUMMYFUNCTION("IMPORTRANGE(""https://docs.google.com/spreadsheets/d/1Hx73zIEgVdDZZaYSTc46Dqv64atFhpr3GelxLbaIN8A/edit?usp=sharing"",""หนองบัวลำภู!J152"")"),0)</f>
        <v>0</v>
      </c>
      <c r="AB48" s="93">
        <f t="shared" ca="1" si="35"/>
        <v>0</v>
      </c>
      <c r="AC48" s="92">
        <f ca="1">IFERROR(__xludf.DUMMYFUNCTION("IMPORTRANGE(""https://docs.google.com/spreadsheets/d/1Hx73zIEgVdDZZaYSTc46Dqv64atFhpr3GelxLbaIN8A/edit?usp=sharing"",""หนองบัวลำภู!J153"")"),0)</f>
        <v>0</v>
      </c>
      <c r="AD48" s="93">
        <f t="shared" ca="1" si="36"/>
        <v>0</v>
      </c>
      <c r="AE48" s="92">
        <f ca="1">IFERROR(__xludf.DUMMYFUNCTION("IMPORTRANGE(""https://docs.google.com/spreadsheets/d/1Hx73zIEgVdDZZaYSTc46Dqv64atFhpr3GelxLbaIN8A/edit?usp=sharing"",""หนองบัวลำภู!I154"")"),0)</f>
        <v>0</v>
      </c>
      <c r="AF48" s="92">
        <f ca="1">IFERROR(__xludf.DUMMYFUNCTION("IMPORTRANGE(""https://docs.google.com/spreadsheets/d/1Hx73zIEgVdDZZaYSTc46Dqv64atFhpr3GelxLbaIN8A/edit?usp=sharing"",""หนองบัวลำภู!J154"")"),0)</f>
        <v>0</v>
      </c>
      <c r="AG48" s="93">
        <f t="shared" ca="1" si="38"/>
        <v>0</v>
      </c>
    </row>
    <row r="49" spans="1:33" ht="21" customHeight="1" x14ac:dyDescent="0.3">
      <c r="A49" s="172">
        <v>18</v>
      </c>
      <c r="B49" s="173" t="s">
        <v>71</v>
      </c>
      <c r="C49" s="174">
        <f t="shared" ca="1" si="23"/>
        <v>0</v>
      </c>
      <c r="D49" s="175">
        <f t="shared" ca="1" si="44"/>
        <v>0</v>
      </c>
      <c r="E49" s="176">
        <f ca="1">IFERROR(__xludf.DUMMYFUNCTION("IMPORTRANGE(""https://docs.google.com/spreadsheets/d/1-uDff_7J0KD5mKrp0Vvzr7lt3OU09vwQwhkpOPPYv2Y/edit?usp=sharing"",""งบพรบ!BR49"")"),0)</f>
        <v>0</v>
      </c>
      <c r="F49" s="176">
        <f ca="1">IFERROR(__xludf.DUMMYFUNCTION("IMPORTRANGE(""https://docs.google.com/spreadsheets/d/1-uDff_7J0KD5mKrp0Vvzr7lt3OU09vwQwhkpOPPYv2Y/edit?usp=sharing"",""งบพรบ!BS49"")"),0)</f>
        <v>0</v>
      </c>
      <c r="G49" s="176">
        <f ca="1">IFERROR(__xludf.DUMMYFUNCTION("IMPORTRANGE(""https://docs.google.com/spreadsheets/d/1-uDff_7J0KD5mKrp0Vvzr7lt3OU09vwQwhkpOPPYv2Y/edit?usp=sharing"",""งบพรบ!BT49"")"),0)</f>
        <v>0</v>
      </c>
      <c r="H49" s="176">
        <f ca="1">IFERROR(__xludf.DUMMYFUNCTION("IMPORTRANGE(""https://docs.google.com/spreadsheets/d/1-uDff_7J0KD5mKrp0Vvzr7lt3OU09vwQwhkpOPPYv2Y/edit?usp=sharing"",""งบพรบ!BV49"")"),0)</f>
        <v>0</v>
      </c>
      <c r="I49" s="176">
        <f ca="1">IFERROR(__xludf.DUMMYFUNCTION("IMPORTRANGE(""https://docs.google.com/spreadsheets/d/1-uDff_7J0KD5mKrp0Vvzr7lt3OU09vwQwhkpOPPYv2Y/edit?usp=sharing"",""งบพรบ!BW49"")"),0)</f>
        <v>0</v>
      </c>
      <c r="J49" s="176">
        <f t="shared" ca="1" si="25"/>
        <v>0</v>
      </c>
      <c r="K49" s="181">
        <f t="shared" ca="1" si="26"/>
        <v>0</v>
      </c>
      <c r="L49" s="176">
        <f ca="1">IFERROR(__xludf.DUMMYFUNCTION("IMPORTRANGE(""https://docs.google.com/spreadsheets/d/1-uDff_7J0KD5mKrp0Vvzr7lt3OU09vwQwhkpOPPYv2Y/edit?usp=sharing"",""งบพรบ!BX49"")"),0)</f>
        <v>0</v>
      </c>
      <c r="M49" s="179">
        <f t="shared" ca="1" si="27"/>
        <v>0</v>
      </c>
      <c r="N49" s="179">
        <f t="shared" ca="1" si="28"/>
        <v>0</v>
      </c>
      <c r="O49" s="180">
        <f ca="1">IFERROR(__xludf.DUMMYFUNCTION("IMPORTRANGE(""https://docs.google.com/spreadsheets/d/1-uDff_7J0KD5mKrp0Vvzr7lt3OU09vwQwhkpOPPYv2Y/edit?usp=sharing"",""งบพรบ!BY49"")"),0)</f>
        <v>0</v>
      </c>
      <c r="P49" s="180">
        <f t="shared" ca="1" si="29"/>
        <v>0</v>
      </c>
      <c r="Q49" s="179">
        <f t="shared" ca="1" si="30"/>
        <v>0</v>
      </c>
      <c r="R49" s="92">
        <f ca="1">IFERROR(__xludf.DUMMYFUNCTION("IMPORTRANGE(""https://docs.google.com/spreadsheets/d/1lFxr3ctmjFN90yc-xV6jrQ9Ty8BKYVBWnAZ15wcNIJc/edit?usp=sharing"",""อำนาจเจริญ!J149"")"),0)</f>
        <v>0</v>
      </c>
      <c r="S49" s="92">
        <f ca="1">IFERROR(__xludf.DUMMYFUNCTION("IMPORTRANGE(""https://docs.google.com/spreadsheets/d/1lFxr3ctmjFN90yc-xV6jrQ9Ty8BKYVBWnAZ15wcNIJc/edit?usp=sharing"",""อำนาจเจริญ!I150"")"),0)</f>
        <v>0</v>
      </c>
      <c r="T49" s="92">
        <f ca="1">IFERROR(__xludf.DUMMYFUNCTION("IMPORTRANGE(""https://docs.google.com/spreadsheets/d/1lFxr3ctmjFN90yc-xV6jrQ9Ty8BKYVBWnAZ15wcNIJc/edit?usp=sharing"",""อำนาจเจริญ!I151"")"),0)</f>
        <v>0</v>
      </c>
      <c r="U49" s="92">
        <f ca="1">IFERROR(__xludf.DUMMYFUNCTION("IMPORTRANGE(""https://docs.google.com/spreadsheets/d/1lFxr3ctmjFN90yc-xV6jrQ9Ty8BKYVBWnAZ15wcNIJc/edit?usp=sharing"",""อำนาจเจริญ!J150"")"),0)</f>
        <v>0</v>
      </c>
      <c r="V49" s="93">
        <f t="shared" ca="1" si="32"/>
        <v>0</v>
      </c>
      <c r="W49" s="92">
        <f ca="1">IFERROR(__xludf.DUMMYFUNCTION("IMPORTRANGE(""https://docs.google.com/spreadsheets/d/1lFxr3ctmjFN90yc-xV6jrQ9Ty8BKYVBWnAZ15wcNIJc/edit?usp=sharing"",""อำนาจเจริญ!J151"")"),0)</f>
        <v>0</v>
      </c>
      <c r="X49" s="93">
        <f t="shared" ca="1" si="33"/>
        <v>0</v>
      </c>
      <c r="Y49" s="92">
        <f ca="1">IFERROR(__xludf.DUMMYFUNCTION("IMPORTRANGE(""https://docs.google.com/spreadsheets/d/1lFxr3ctmjFN90yc-xV6jrQ9Ty8BKYVBWnAZ15wcNIJc/edit?usp=sharing"",""อำนาจเจริญ!I152"")"),0)</f>
        <v>0</v>
      </c>
      <c r="Z49" s="92">
        <f ca="1">IFERROR(__xludf.DUMMYFUNCTION("IMPORTRANGE(""https://docs.google.com/spreadsheets/d/1lFxr3ctmjFN90yc-xV6jrQ9Ty8BKYVBWnAZ15wcNIJc/edit?usp=sharing"",""อำนาจเจริญ!I153"")"),0)</f>
        <v>0</v>
      </c>
      <c r="AA49" s="92">
        <f ca="1">IFERROR(__xludf.DUMMYFUNCTION("IMPORTRANGE(""https://docs.google.com/spreadsheets/d/1lFxr3ctmjFN90yc-xV6jrQ9Ty8BKYVBWnAZ15wcNIJc/edit?usp=sharing"",""อำนาจเจริญ!J152"")"),0)</f>
        <v>0</v>
      </c>
      <c r="AB49" s="93">
        <f t="shared" ca="1" si="35"/>
        <v>0</v>
      </c>
      <c r="AC49" s="92">
        <f ca="1">IFERROR(__xludf.DUMMYFUNCTION("IMPORTRANGE(""https://docs.google.com/spreadsheets/d/1lFxr3ctmjFN90yc-xV6jrQ9Ty8BKYVBWnAZ15wcNIJc/edit?usp=sharing"",""อำนาจเจริญ!J153"")"),0)</f>
        <v>0</v>
      </c>
      <c r="AD49" s="93">
        <f t="shared" ca="1" si="36"/>
        <v>0</v>
      </c>
      <c r="AE49" s="92">
        <f ca="1">IFERROR(__xludf.DUMMYFUNCTION("IMPORTRANGE(""https://docs.google.com/spreadsheets/d/1lFxr3ctmjFN90yc-xV6jrQ9Ty8BKYVBWnAZ15wcNIJc/edit?usp=sharing"",""อำนาจเจริญ!I154"")"),0)</f>
        <v>0</v>
      </c>
      <c r="AF49" s="92">
        <f ca="1">IFERROR(__xludf.DUMMYFUNCTION("IMPORTRANGE(""https://docs.google.com/spreadsheets/d/1lFxr3ctmjFN90yc-xV6jrQ9Ty8BKYVBWnAZ15wcNIJc/edit?usp=sharing"",""อำนาจเจริญ!J154"")"),0)</f>
        <v>0</v>
      </c>
      <c r="AG49" s="93">
        <f t="shared" ca="1" si="38"/>
        <v>0</v>
      </c>
    </row>
    <row r="50" spans="1:33" ht="21" customHeight="1" x14ac:dyDescent="0.3">
      <c r="A50" s="172">
        <v>19</v>
      </c>
      <c r="B50" s="173" t="s">
        <v>72</v>
      </c>
      <c r="C50" s="174">
        <f t="shared" ca="1" si="23"/>
        <v>0</v>
      </c>
      <c r="D50" s="175">
        <f t="shared" ca="1" si="44"/>
        <v>0</v>
      </c>
      <c r="E50" s="176">
        <f ca="1">IFERROR(__xludf.DUMMYFUNCTION("IMPORTRANGE(""https://docs.google.com/spreadsheets/d/1-uDff_7J0KD5mKrp0Vvzr7lt3OU09vwQwhkpOPPYv2Y/edit?usp=sharing"",""งบพรบ!BR50"")"),0)</f>
        <v>0</v>
      </c>
      <c r="F50" s="176">
        <f ca="1">IFERROR(__xludf.DUMMYFUNCTION("IMPORTRANGE(""https://docs.google.com/spreadsheets/d/1-uDff_7J0KD5mKrp0Vvzr7lt3OU09vwQwhkpOPPYv2Y/edit?usp=sharing"",""งบพรบ!BS50"")"),0)</f>
        <v>0</v>
      </c>
      <c r="G50" s="176">
        <f ca="1">IFERROR(__xludf.DUMMYFUNCTION("IMPORTRANGE(""https://docs.google.com/spreadsheets/d/1-uDff_7J0KD5mKrp0Vvzr7lt3OU09vwQwhkpOPPYv2Y/edit?usp=sharing"",""งบพรบ!BT50"")"),0)</f>
        <v>0</v>
      </c>
      <c r="H50" s="176">
        <f ca="1">IFERROR(__xludf.DUMMYFUNCTION("IMPORTRANGE(""https://docs.google.com/spreadsheets/d/1-uDff_7J0KD5mKrp0Vvzr7lt3OU09vwQwhkpOPPYv2Y/edit?usp=sharing"",""งบพรบ!BV50"")"),0)</f>
        <v>0</v>
      </c>
      <c r="I50" s="176">
        <f ca="1">IFERROR(__xludf.DUMMYFUNCTION("IMPORTRANGE(""https://docs.google.com/spreadsheets/d/1-uDff_7J0KD5mKrp0Vvzr7lt3OU09vwQwhkpOPPYv2Y/edit?usp=sharing"",""งบพรบ!BW50"")"),0)</f>
        <v>0</v>
      </c>
      <c r="J50" s="176">
        <f t="shared" ca="1" si="25"/>
        <v>0</v>
      </c>
      <c r="K50" s="181">
        <f t="shared" ca="1" si="26"/>
        <v>0</v>
      </c>
      <c r="L50" s="176">
        <f ca="1">IFERROR(__xludf.DUMMYFUNCTION("IMPORTRANGE(""https://docs.google.com/spreadsheets/d/1-uDff_7J0KD5mKrp0Vvzr7lt3OU09vwQwhkpOPPYv2Y/edit?usp=sharing"",""งบพรบ!BX50"")"),0)</f>
        <v>0</v>
      </c>
      <c r="M50" s="179">
        <f t="shared" ca="1" si="27"/>
        <v>0</v>
      </c>
      <c r="N50" s="179">
        <f t="shared" ca="1" si="28"/>
        <v>0</v>
      </c>
      <c r="O50" s="180">
        <f ca="1">IFERROR(__xludf.DUMMYFUNCTION("IMPORTRANGE(""https://docs.google.com/spreadsheets/d/1-uDff_7J0KD5mKrp0Vvzr7lt3OU09vwQwhkpOPPYv2Y/edit?usp=sharing"",""งบพรบ!BY50"")"),0)</f>
        <v>0</v>
      </c>
      <c r="P50" s="180">
        <f t="shared" ca="1" si="29"/>
        <v>0</v>
      </c>
      <c r="Q50" s="179">
        <f t="shared" ca="1" si="30"/>
        <v>0</v>
      </c>
      <c r="R50" s="92">
        <f ca="1">IFERROR(__xludf.DUMMYFUNCTION("IMPORTRANGE(""https://docs.google.com/spreadsheets/d/1gF7RJpRnL-1oyjyeWxs5SFWEH7y8ahOZsQlyp2A2e-A/edit?usp=sharing"",""อุดรธานี!J149"")"),0)</f>
        <v>0</v>
      </c>
      <c r="S50" s="92">
        <f ca="1">IFERROR(__xludf.DUMMYFUNCTION("IMPORTRANGE(""https://docs.google.com/spreadsheets/d/1gF7RJpRnL-1oyjyeWxs5SFWEH7y8ahOZsQlyp2A2e-A/edit?usp=sharing"",""อุดรธานี!I150"")"),0)</f>
        <v>0</v>
      </c>
      <c r="T50" s="92">
        <f ca="1">IFERROR(__xludf.DUMMYFUNCTION("IMPORTRANGE(""https://docs.google.com/spreadsheets/d/1gF7RJpRnL-1oyjyeWxs5SFWEH7y8ahOZsQlyp2A2e-A/edit?usp=sharing"",""อุดรธานี!I151"")"),0)</f>
        <v>0</v>
      </c>
      <c r="U50" s="92">
        <f ca="1">IFERROR(__xludf.DUMMYFUNCTION("IMPORTRANGE(""https://docs.google.com/spreadsheets/d/1gF7RJpRnL-1oyjyeWxs5SFWEH7y8ahOZsQlyp2A2e-A/edit?usp=sharing"",""อุดรธานี!J150"")"),0)</f>
        <v>0</v>
      </c>
      <c r="V50" s="93">
        <f t="shared" ca="1" si="32"/>
        <v>0</v>
      </c>
      <c r="W50" s="92">
        <f ca="1">IFERROR(__xludf.DUMMYFUNCTION("IMPORTRANGE(""https://docs.google.com/spreadsheets/d/1gF7RJpRnL-1oyjyeWxs5SFWEH7y8ahOZsQlyp2A2e-A/edit?usp=sharing"",""อุดรธานี!J151"")"),0)</f>
        <v>0</v>
      </c>
      <c r="X50" s="93">
        <f t="shared" ca="1" si="33"/>
        <v>0</v>
      </c>
      <c r="Y50" s="92">
        <f ca="1">IFERROR(__xludf.DUMMYFUNCTION("IMPORTRANGE(""https://docs.google.com/spreadsheets/d/1gF7RJpRnL-1oyjyeWxs5SFWEH7y8ahOZsQlyp2A2e-A/edit?usp=sharing"",""อุดรธานี!I152"")"),0)</f>
        <v>0</v>
      </c>
      <c r="Z50" s="92">
        <f ca="1">IFERROR(__xludf.DUMMYFUNCTION("IMPORTRANGE(""https://docs.google.com/spreadsheets/d/1gF7RJpRnL-1oyjyeWxs5SFWEH7y8ahOZsQlyp2A2e-A/edit?usp=sharing"",""อุดรธานี!I153"")"),0)</f>
        <v>0</v>
      </c>
      <c r="AA50" s="92">
        <f ca="1">IFERROR(__xludf.DUMMYFUNCTION("IMPORTRANGE(""https://docs.google.com/spreadsheets/d/1gF7RJpRnL-1oyjyeWxs5SFWEH7y8ahOZsQlyp2A2e-A/edit?usp=sharing"",""อุดรธานี!J152"")"),0)</f>
        <v>0</v>
      </c>
      <c r="AB50" s="93">
        <f t="shared" ca="1" si="35"/>
        <v>0</v>
      </c>
      <c r="AC50" s="92">
        <f ca="1">IFERROR(__xludf.DUMMYFUNCTION("IMPORTRANGE(""https://docs.google.com/spreadsheets/d/1gF7RJpRnL-1oyjyeWxs5SFWEH7y8ahOZsQlyp2A2e-A/edit?usp=sharing"",""อุดรธานี!J153"")"),0)</f>
        <v>0</v>
      </c>
      <c r="AD50" s="93">
        <f t="shared" ca="1" si="36"/>
        <v>0</v>
      </c>
      <c r="AE50" s="92">
        <f ca="1">IFERROR(__xludf.DUMMYFUNCTION("IMPORTRANGE(""https://docs.google.com/spreadsheets/d/1gF7RJpRnL-1oyjyeWxs5SFWEH7y8ahOZsQlyp2A2e-A/edit?usp=sharing"",""อุดรธานี!I154"")"),0)</f>
        <v>0</v>
      </c>
      <c r="AF50" s="92">
        <f ca="1">IFERROR(__xludf.DUMMYFUNCTION("IMPORTRANGE(""https://docs.google.com/spreadsheets/d/1gF7RJpRnL-1oyjyeWxs5SFWEH7y8ahOZsQlyp2A2e-A/edit?usp=sharing"",""อุดรธานี!J154"")"),0)</f>
        <v>0</v>
      </c>
      <c r="AG50" s="93">
        <f t="shared" ca="1" si="38"/>
        <v>0</v>
      </c>
    </row>
    <row r="51" spans="1:33" ht="21" customHeight="1" x14ac:dyDescent="0.3">
      <c r="A51" s="172">
        <v>20</v>
      </c>
      <c r="B51" s="173" t="s">
        <v>73</v>
      </c>
      <c r="C51" s="174">
        <f t="shared" ca="1" si="23"/>
        <v>113800</v>
      </c>
      <c r="D51" s="175">
        <f t="shared" ca="1" si="44"/>
        <v>113800</v>
      </c>
      <c r="E51" s="176">
        <f ca="1">IFERROR(__xludf.DUMMYFUNCTION("IMPORTRANGE(""https://docs.google.com/spreadsheets/d/1-uDff_7J0KD5mKrp0Vvzr7lt3OU09vwQwhkpOPPYv2Y/edit?usp=sharing"",""งบพรบ!BR51"")"),90500)</f>
        <v>90500</v>
      </c>
      <c r="F51" s="176">
        <f ca="1">IFERROR(__xludf.DUMMYFUNCTION("IMPORTRANGE(""https://docs.google.com/spreadsheets/d/1-uDff_7J0KD5mKrp0Vvzr7lt3OU09vwQwhkpOPPYv2Y/edit?usp=sharing"",""งบพรบ!BS51"")"),23300)</f>
        <v>23300</v>
      </c>
      <c r="G51" s="176">
        <f ca="1">IFERROR(__xludf.DUMMYFUNCTION("IMPORTRANGE(""https://docs.google.com/spreadsheets/d/1-uDff_7J0KD5mKrp0Vvzr7lt3OU09vwQwhkpOPPYv2Y/edit?usp=sharing"",""งบพรบ!BT51"")"),0)</f>
        <v>0</v>
      </c>
      <c r="H51" s="176">
        <f ca="1">IFERROR(__xludf.DUMMYFUNCTION("IMPORTRANGE(""https://docs.google.com/spreadsheets/d/1-uDff_7J0KD5mKrp0Vvzr7lt3OU09vwQwhkpOPPYv2Y/edit?usp=sharing"",""งบพรบ!BV51"")"),83300)</f>
        <v>83300</v>
      </c>
      <c r="I51" s="176">
        <f ca="1">IFERROR(__xludf.DUMMYFUNCTION("IMPORTRANGE(""https://docs.google.com/spreadsheets/d/1-uDff_7J0KD5mKrp0Vvzr7lt3OU09vwQwhkpOPPYv2Y/edit?usp=sharing"",""งบพรบ!BW51"")"),0)</f>
        <v>0</v>
      </c>
      <c r="J51" s="176">
        <f t="shared" ca="1" si="25"/>
        <v>41307.4</v>
      </c>
      <c r="K51" s="181">
        <f t="shared" ca="1" si="26"/>
        <v>36.298242530755715</v>
      </c>
      <c r="L51" s="176">
        <f ca="1">IFERROR(__xludf.DUMMYFUNCTION("IMPORTRANGE(""https://docs.google.com/spreadsheets/d/1-uDff_7J0KD5mKrp0Vvzr7lt3OU09vwQwhkpOPPYv2Y/edit?usp=sharing"",""งบพรบ!BX51"")"),41307.4)</f>
        <v>41307.4</v>
      </c>
      <c r="M51" s="179">
        <f t="shared" ca="1" si="27"/>
        <v>36.298242530755715</v>
      </c>
      <c r="N51" s="179">
        <f t="shared" ca="1" si="28"/>
        <v>49.588715486194481</v>
      </c>
      <c r="O51" s="180">
        <f ca="1">IFERROR(__xludf.DUMMYFUNCTION("IMPORTRANGE(""https://docs.google.com/spreadsheets/d/1-uDff_7J0KD5mKrp0Vvzr7lt3OU09vwQwhkpOPPYv2Y/edit?usp=sharing"",""งบพรบ!BY51"")"),0)</f>
        <v>0</v>
      </c>
      <c r="P51" s="180">
        <f t="shared" ca="1" si="29"/>
        <v>0</v>
      </c>
      <c r="Q51" s="179">
        <f t="shared" ca="1" si="30"/>
        <v>0</v>
      </c>
      <c r="R51" s="103">
        <f ca="1">IFERROR(__xludf.DUMMYFUNCTION("IMPORTRANGE(""https://docs.google.com/spreadsheets/d/1kfLP0j3INXRa8bTDpcEmoWewMBV61jlFlfzczfjWIgc/edit?usp=sharing"",""อุบลราชธานี!J149"")"),0)</f>
        <v>0</v>
      </c>
      <c r="S51" s="103">
        <f ca="1">IFERROR(__xludf.DUMMYFUNCTION("IMPORTRANGE(""https://docs.google.com/spreadsheets/d/1kfLP0j3INXRa8bTDpcEmoWewMBV61jlFlfzczfjWIgc/edit?usp=sharing"",""อุบลราชธานี!I150"")"),0)</f>
        <v>0</v>
      </c>
      <c r="T51" s="103">
        <f ca="1">IFERROR(__xludf.DUMMYFUNCTION("IMPORTRANGE(""https://docs.google.com/spreadsheets/d/1kfLP0j3INXRa8bTDpcEmoWewMBV61jlFlfzczfjWIgc/edit?usp=sharing"",""อุบลราชธานี!I151"")"),0)</f>
        <v>0</v>
      </c>
      <c r="U51" s="103">
        <f ca="1">IFERROR(__xludf.DUMMYFUNCTION("IMPORTRANGE(""https://docs.google.com/spreadsheets/d/1kfLP0j3INXRa8bTDpcEmoWewMBV61jlFlfzczfjWIgc/edit?usp=sharing"",""อุบลราชธานี!J150"")"),0)</f>
        <v>0</v>
      </c>
      <c r="V51" s="104">
        <f t="shared" ca="1" si="32"/>
        <v>0</v>
      </c>
      <c r="W51" s="103">
        <f ca="1">IFERROR(__xludf.DUMMYFUNCTION("IMPORTRANGE(""https://docs.google.com/spreadsheets/d/1kfLP0j3INXRa8bTDpcEmoWewMBV61jlFlfzczfjWIgc/edit?usp=sharing"",""อุบลราชธานี!J151"")"),0)</f>
        <v>0</v>
      </c>
      <c r="X51" s="104">
        <f t="shared" ca="1" si="33"/>
        <v>0</v>
      </c>
      <c r="Y51" s="103">
        <f ca="1">IFERROR(__xludf.DUMMYFUNCTION("IMPORTRANGE(""https://docs.google.com/spreadsheets/d/1kfLP0j3INXRa8bTDpcEmoWewMBV61jlFlfzczfjWIgc/edit?usp=sharing"",""อุบลราชธานี!I152"")"),10)</f>
        <v>10</v>
      </c>
      <c r="Z51" s="103">
        <f ca="1">IFERROR(__xludf.DUMMYFUNCTION("IMPORTRANGE(""https://docs.google.com/spreadsheets/d/1kfLP0j3INXRa8bTDpcEmoWewMBV61jlFlfzczfjWIgc/edit?usp=sharing"",""อุบลราชธานี!I153"")"),1)</f>
        <v>1</v>
      </c>
      <c r="AA51" s="103">
        <f ca="1">IFERROR(__xludf.DUMMYFUNCTION("IMPORTRANGE(""https://docs.google.com/spreadsheets/d/1kfLP0j3INXRa8bTDpcEmoWewMBV61jlFlfzczfjWIgc/edit?usp=sharing"",""อุบลราชธานี!J152"")"),0)</f>
        <v>0</v>
      </c>
      <c r="AB51" s="104">
        <f t="shared" ca="1" si="35"/>
        <v>0</v>
      </c>
      <c r="AC51" s="103">
        <f ca="1">IFERROR(__xludf.DUMMYFUNCTION("IMPORTRANGE(""https://docs.google.com/spreadsheets/d/1kfLP0j3INXRa8bTDpcEmoWewMBV61jlFlfzczfjWIgc/edit?usp=sharing"",""อุบลราชธานี!J153"")"),0)</f>
        <v>0</v>
      </c>
      <c r="AD51" s="104">
        <f t="shared" ca="1" si="36"/>
        <v>0</v>
      </c>
      <c r="AE51" s="103">
        <f ca="1">IFERROR(__xludf.DUMMYFUNCTION("IMPORTRANGE(""https://docs.google.com/spreadsheets/d/1kfLP0j3INXRa8bTDpcEmoWewMBV61jlFlfzczfjWIgc/edit?usp=sharing"",""อุบลราชธานี!I154"")"),0)</f>
        <v>0</v>
      </c>
      <c r="AF51" s="103">
        <f ca="1">IFERROR(__xludf.DUMMYFUNCTION("IMPORTRANGE(""https://docs.google.com/spreadsheets/d/1kfLP0j3INXRa8bTDpcEmoWewMBV61jlFlfzczfjWIgc/edit?usp=sharing"",""อุบลราชธานี!J154"")"),0)</f>
        <v>0</v>
      </c>
      <c r="AG51" s="104">
        <f t="shared" ca="1" si="38"/>
        <v>0</v>
      </c>
    </row>
    <row r="52" spans="1:33" ht="21" customHeight="1" x14ac:dyDescent="0.3">
      <c r="A52" s="423" t="s">
        <v>74</v>
      </c>
      <c r="B52" s="422"/>
      <c r="C52" s="154">
        <f t="shared" ca="1" si="23"/>
        <v>791100</v>
      </c>
      <c r="D52" s="154">
        <f t="shared" ref="D52:I52" ca="1" si="45">SUM(D53:D73)</f>
        <v>791100</v>
      </c>
      <c r="E52" s="154">
        <f t="shared" ca="1" si="45"/>
        <v>465200</v>
      </c>
      <c r="F52" s="154">
        <f t="shared" ca="1" si="45"/>
        <v>325900</v>
      </c>
      <c r="G52" s="154">
        <f t="shared" ca="1" si="45"/>
        <v>0</v>
      </c>
      <c r="H52" s="154">
        <f t="shared" ca="1" si="45"/>
        <v>624900</v>
      </c>
      <c r="I52" s="154">
        <f t="shared" ca="1" si="45"/>
        <v>0</v>
      </c>
      <c r="J52" s="154">
        <f t="shared" ca="1" si="25"/>
        <v>83208</v>
      </c>
      <c r="K52" s="155">
        <f t="shared" ca="1" si="26"/>
        <v>10.518012893439515</v>
      </c>
      <c r="L52" s="154">
        <f ca="1">SUM(L53:L73)</f>
        <v>83208</v>
      </c>
      <c r="M52" s="156">
        <f t="shared" ca="1" si="27"/>
        <v>10.518012893439515</v>
      </c>
      <c r="N52" s="156">
        <f t="shared" ca="1" si="28"/>
        <v>13.315410465674509</v>
      </c>
      <c r="O52" s="157">
        <f ca="1">SUM(O53:O73)</f>
        <v>0</v>
      </c>
      <c r="P52" s="157">
        <f t="shared" ca="1" si="29"/>
        <v>0</v>
      </c>
      <c r="Q52" s="156">
        <f t="shared" ca="1" si="30"/>
        <v>0</v>
      </c>
      <c r="R52" s="68">
        <f t="shared" ref="R52:U52" ca="1" si="46">SUM(R53:R73)</f>
        <v>0</v>
      </c>
      <c r="S52" s="68">
        <f t="shared" ca="1" si="46"/>
        <v>50</v>
      </c>
      <c r="T52" s="68">
        <f t="shared" ca="1" si="46"/>
        <v>5</v>
      </c>
      <c r="U52" s="68">
        <f t="shared" ca="1" si="46"/>
        <v>0</v>
      </c>
      <c r="V52" s="107">
        <f t="shared" ca="1" si="32"/>
        <v>0</v>
      </c>
      <c r="W52" s="68">
        <f ca="1">SUM(W53:W73)</f>
        <v>0</v>
      </c>
      <c r="X52" s="107">
        <f t="shared" ca="1" si="33"/>
        <v>0</v>
      </c>
      <c r="Y52" s="68">
        <f t="shared" ref="Y52:AA52" ca="1" si="47">SUM(Y53:Y73)</f>
        <v>180</v>
      </c>
      <c r="Z52" s="68">
        <f t="shared" ca="1" si="47"/>
        <v>18</v>
      </c>
      <c r="AA52" s="68">
        <f t="shared" ca="1" si="47"/>
        <v>0</v>
      </c>
      <c r="AB52" s="107">
        <f t="shared" ca="1" si="35"/>
        <v>0</v>
      </c>
      <c r="AC52" s="68">
        <f ca="1">SUM(AC53:AC73)</f>
        <v>0</v>
      </c>
      <c r="AD52" s="107">
        <f t="shared" ca="1" si="36"/>
        <v>0</v>
      </c>
      <c r="AE52" s="68">
        <f t="shared" ref="AE52:AF52" ca="1" si="48">SUM(AE53:AE73)</f>
        <v>5</v>
      </c>
      <c r="AF52" s="68">
        <f t="shared" ca="1" si="48"/>
        <v>0</v>
      </c>
      <c r="AG52" s="107">
        <f t="shared" ca="1" si="38"/>
        <v>0</v>
      </c>
    </row>
    <row r="53" spans="1:33" ht="21" customHeight="1" x14ac:dyDescent="0.3">
      <c r="A53" s="172">
        <v>1</v>
      </c>
      <c r="B53" s="173" t="s">
        <v>75</v>
      </c>
      <c r="C53" s="174">
        <f t="shared" ca="1" si="23"/>
        <v>119900</v>
      </c>
      <c r="D53" s="175">
        <f t="shared" ref="D53:D73" ca="1" si="49">+E53+F53</f>
        <v>119900</v>
      </c>
      <c r="E53" s="176">
        <f ca="1">IFERROR(__xludf.DUMMYFUNCTION("IMPORTRANGE(""https://docs.google.com/spreadsheets/d/1-uDff_7J0KD5mKrp0Vvzr7lt3OU09vwQwhkpOPPYv2Y/edit?usp=sharing"",""งบพรบ!BR53"")"),88300)</f>
        <v>88300</v>
      </c>
      <c r="F53" s="176">
        <f ca="1">IFERROR(__xludf.DUMMYFUNCTION("IMPORTRANGE(""https://docs.google.com/spreadsheets/d/1-uDff_7J0KD5mKrp0Vvzr7lt3OU09vwQwhkpOPPYv2Y/edit?usp=sharing"",""งบพรบ!BS53"")"),31600)</f>
        <v>31600</v>
      </c>
      <c r="G53" s="177">
        <f ca="1">IFERROR(__xludf.DUMMYFUNCTION("IMPORTRANGE(""https://docs.google.com/spreadsheets/d/1-uDff_7J0KD5mKrp0Vvzr7lt3OU09vwQwhkpOPPYv2Y/edit?usp=sharing"",""งบพรบ!BT53"")"),0)</f>
        <v>0</v>
      </c>
      <c r="H53" s="177">
        <f ca="1">IFERROR(__xludf.DUMMYFUNCTION("IMPORTRANGE(""https://docs.google.com/spreadsheets/d/1-uDff_7J0KD5mKrp0Vvzr7lt3OU09vwQwhkpOPPYv2Y/edit?usp=sharing"",""งบพรบ!BV53"")"),90100)</f>
        <v>90100</v>
      </c>
      <c r="I53" s="177">
        <f ca="1">IFERROR(__xludf.DUMMYFUNCTION("IMPORTRANGE(""https://docs.google.com/spreadsheets/d/1-uDff_7J0KD5mKrp0Vvzr7lt3OU09vwQwhkpOPPYv2Y/edit?usp=sharing"",""งบพรบ!BW53"")"),0)</f>
        <v>0</v>
      </c>
      <c r="J53" s="177">
        <f t="shared" ca="1" si="25"/>
        <v>33227</v>
      </c>
      <c r="K53" s="178">
        <f t="shared" ca="1" si="26"/>
        <v>27.712260216847373</v>
      </c>
      <c r="L53" s="177">
        <f ca="1">IFERROR(__xludf.DUMMYFUNCTION("IMPORTRANGE(""https://docs.google.com/spreadsheets/d/1-uDff_7J0KD5mKrp0Vvzr7lt3OU09vwQwhkpOPPYv2Y/edit?usp=sharing"",""งบพรบ!BX53"")"),33227)</f>
        <v>33227</v>
      </c>
      <c r="M53" s="179">
        <f t="shared" ca="1" si="27"/>
        <v>27.712260216847373</v>
      </c>
      <c r="N53" s="179">
        <f t="shared" ca="1" si="28"/>
        <v>36.877913429522749</v>
      </c>
      <c r="O53" s="180">
        <f ca="1">IFERROR(__xludf.DUMMYFUNCTION("IMPORTRANGE(""https://docs.google.com/spreadsheets/d/1-uDff_7J0KD5mKrp0Vvzr7lt3OU09vwQwhkpOPPYv2Y/edit?usp=sharing"",""งบพรบ!BY53"")"),0)</f>
        <v>0</v>
      </c>
      <c r="P53" s="180">
        <f t="shared" ca="1" si="29"/>
        <v>0</v>
      </c>
      <c r="Q53" s="179">
        <f t="shared" ca="1" si="30"/>
        <v>0</v>
      </c>
      <c r="R53" s="79">
        <f ca="1">IFERROR(__xludf.DUMMYFUNCTION("IMPORTRANGE(""https://docs.google.com/spreadsheets/d/13wPX838HrBrQMCywv1BsuMkt4PEKTChp52zj44s2izQ/edit?usp=sharing"",""กาญจนบุรี!J149"")"),0)</f>
        <v>0</v>
      </c>
      <c r="S53" s="79">
        <f ca="1">IFERROR(__xludf.DUMMYFUNCTION("IMPORTRANGE(""https://docs.google.com/spreadsheets/d/13wPX838HrBrQMCywv1BsuMkt4PEKTChp52zj44s2izQ/edit?usp=sharing"",""กาญจนบุรี!I150"")"),0)</f>
        <v>0</v>
      </c>
      <c r="T53" s="79">
        <f ca="1">IFERROR(__xludf.DUMMYFUNCTION("IMPORTRANGE(""https://docs.google.com/spreadsheets/d/13wPX838HrBrQMCywv1BsuMkt4PEKTChp52zj44s2izQ/edit?usp=sharing"",""กาญจนบุรี!I151"")"),0)</f>
        <v>0</v>
      </c>
      <c r="U53" s="79">
        <f ca="1">IFERROR(__xludf.DUMMYFUNCTION("IMPORTRANGE(""https://docs.google.com/spreadsheets/d/13wPX838HrBrQMCywv1BsuMkt4PEKTChp52zj44s2izQ/edit?usp=sharing"",""กาญจนบุรี!J150"")"),0)</f>
        <v>0</v>
      </c>
      <c r="V53" s="83">
        <f t="shared" ca="1" si="32"/>
        <v>0</v>
      </c>
      <c r="W53" s="79">
        <f ca="1">IFERROR(__xludf.DUMMYFUNCTION("IMPORTRANGE(""https://docs.google.com/spreadsheets/d/13wPX838HrBrQMCywv1BsuMkt4PEKTChp52zj44s2izQ/edit?usp=sharing"",""กาญจนบุรี!J151"")"),0)</f>
        <v>0</v>
      </c>
      <c r="X53" s="83">
        <f t="shared" ca="1" si="33"/>
        <v>0</v>
      </c>
      <c r="Y53" s="79">
        <f ca="1">IFERROR(__xludf.DUMMYFUNCTION("IMPORTRANGE(""https://docs.google.com/spreadsheets/d/13wPX838HrBrQMCywv1BsuMkt4PEKTChp52zj44s2izQ/edit?usp=sharing"",""กาญจนบุรี!I152"")"),20)</f>
        <v>20</v>
      </c>
      <c r="Z53" s="79">
        <f ca="1">IFERROR(__xludf.DUMMYFUNCTION("IMPORTRANGE(""https://docs.google.com/spreadsheets/d/13wPX838HrBrQMCywv1BsuMkt4PEKTChp52zj44s2izQ/edit?usp=sharing"",""กาญจนบุรี!I153"")"),2)</f>
        <v>2</v>
      </c>
      <c r="AA53" s="79">
        <f ca="1">IFERROR(__xludf.DUMMYFUNCTION("IMPORTRANGE(""https://docs.google.com/spreadsheets/d/13wPX838HrBrQMCywv1BsuMkt4PEKTChp52zj44s2izQ/edit?usp=sharing"",""กาญจนบุรี!J152"")"),0)</f>
        <v>0</v>
      </c>
      <c r="AB53" s="83">
        <f t="shared" ca="1" si="35"/>
        <v>0</v>
      </c>
      <c r="AC53" s="79">
        <f ca="1">IFERROR(__xludf.DUMMYFUNCTION("IMPORTRANGE(""https://docs.google.com/spreadsheets/d/13wPX838HrBrQMCywv1BsuMkt4PEKTChp52zj44s2izQ/edit?usp=sharing"",""กาญจนบุรี!J153"")"),0)</f>
        <v>0</v>
      </c>
      <c r="AD53" s="83">
        <f t="shared" ca="1" si="36"/>
        <v>0</v>
      </c>
      <c r="AE53" s="79">
        <f ca="1">IFERROR(__xludf.DUMMYFUNCTION("IMPORTRANGE(""https://docs.google.com/spreadsheets/d/13wPX838HrBrQMCywv1BsuMkt4PEKTChp52zj44s2izQ/edit?usp=sharing"",""กาญจนบุรี!I154"")"),0)</f>
        <v>0</v>
      </c>
      <c r="AF53" s="79">
        <f ca="1">IFERROR(__xludf.DUMMYFUNCTION("IMPORTRANGE(""https://docs.google.com/spreadsheets/d/13wPX838HrBrQMCywv1BsuMkt4PEKTChp52zj44s2izQ/edit?usp=sharing"",""กาญจนบุรี!J154"")"),0)</f>
        <v>0</v>
      </c>
      <c r="AG53" s="83">
        <f t="shared" ca="1" si="38"/>
        <v>0</v>
      </c>
    </row>
    <row r="54" spans="1:33" ht="21" customHeight="1" x14ac:dyDescent="0.3">
      <c r="A54" s="172">
        <v>2</v>
      </c>
      <c r="B54" s="173" t="s">
        <v>76</v>
      </c>
      <c r="C54" s="174">
        <f t="shared" ca="1" si="23"/>
        <v>0</v>
      </c>
      <c r="D54" s="175">
        <f t="shared" ca="1" si="49"/>
        <v>0</v>
      </c>
      <c r="E54" s="176">
        <f ca="1">IFERROR(__xludf.DUMMYFUNCTION("IMPORTRANGE(""https://docs.google.com/spreadsheets/d/1-uDff_7J0KD5mKrp0Vvzr7lt3OU09vwQwhkpOPPYv2Y/edit?usp=sharing"",""งบพรบ!BR54"")"),0)</f>
        <v>0</v>
      </c>
      <c r="F54" s="176">
        <f ca="1">IFERROR(__xludf.DUMMYFUNCTION("IMPORTRANGE(""https://docs.google.com/spreadsheets/d/1-uDff_7J0KD5mKrp0Vvzr7lt3OU09vwQwhkpOPPYv2Y/edit?usp=sharing"",""งบพรบ!BS54"")"),0)</f>
        <v>0</v>
      </c>
      <c r="G54" s="176">
        <f ca="1">IFERROR(__xludf.DUMMYFUNCTION("IMPORTRANGE(""https://docs.google.com/spreadsheets/d/1-uDff_7J0KD5mKrp0Vvzr7lt3OU09vwQwhkpOPPYv2Y/edit?usp=sharing"",""งบพรบ!BT54"")"),0)</f>
        <v>0</v>
      </c>
      <c r="H54" s="176">
        <f ca="1">IFERROR(__xludf.DUMMYFUNCTION("IMPORTRANGE(""https://docs.google.com/spreadsheets/d/1-uDff_7J0KD5mKrp0Vvzr7lt3OU09vwQwhkpOPPYv2Y/edit?usp=sharing"",""งบพรบ!BV54"")"),0)</f>
        <v>0</v>
      </c>
      <c r="I54" s="176">
        <f ca="1">IFERROR(__xludf.DUMMYFUNCTION("IMPORTRANGE(""https://docs.google.com/spreadsheets/d/1-uDff_7J0KD5mKrp0Vvzr7lt3OU09vwQwhkpOPPYv2Y/edit?usp=sharing"",""งบพรบ!BW54"")"),0)</f>
        <v>0</v>
      </c>
      <c r="J54" s="176">
        <f t="shared" ca="1" si="25"/>
        <v>0</v>
      </c>
      <c r="K54" s="181">
        <f t="shared" ca="1" si="26"/>
        <v>0</v>
      </c>
      <c r="L54" s="176">
        <f ca="1">IFERROR(__xludf.DUMMYFUNCTION("IMPORTRANGE(""https://docs.google.com/spreadsheets/d/1-uDff_7J0KD5mKrp0Vvzr7lt3OU09vwQwhkpOPPYv2Y/edit?usp=sharing"",""งบพรบ!BX54"")"),0)</f>
        <v>0</v>
      </c>
      <c r="M54" s="179">
        <f t="shared" ca="1" si="27"/>
        <v>0</v>
      </c>
      <c r="N54" s="179">
        <f t="shared" ca="1" si="28"/>
        <v>0</v>
      </c>
      <c r="O54" s="180">
        <f ca="1">IFERROR(__xludf.DUMMYFUNCTION("IMPORTRANGE(""https://docs.google.com/spreadsheets/d/1-uDff_7J0KD5mKrp0Vvzr7lt3OU09vwQwhkpOPPYv2Y/edit?usp=sharing"",""งบพรบ!BY54"")"),0)</f>
        <v>0</v>
      </c>
      <c r="P54" s="180">
        <f t="shared" ca="1" si="29"/>
        <v>0</v>
      </c>
      <c r="Q54" s="179">
        <f t="shared" ca="1" si="30"/>
        <v>0</v>
      </c>
      <c r="R54" s="92">
        <f ca="1">IFERROR(__xludf.DUMMYFUNCTION("IMPORTRANGE(""https://docs.google.com/spreadsheets/d/1ddFKvqj1W1NEiWytbGlB1zMx_ykJDVtmfEQ-6-lIUBA/edit?usp=sharing"",""จันทบุรี!J149"")"),0)</f>
        <v>0</v>
      </c>
      <c r="S54" s="92">
        <f ca="1">IFERROR(__xludf.DUMMYFUNCTION("IMPORTRANGE(""https://docs.google.com/spreadsheets/d/1ddFKvqj1W1NEiWytbGlB1zMx_ykJDVtmfEQ-6-lIUBA/edit?usp=sharing"",""จันทบุรี!I150"")"),0)</f>
        <v>0</v>
      </c>
      <c r="T54" s="92">
        <f ca="1">IFERROR(__xludf.DUMMYFUNCTION("IMPORTRANGE(""https://docs.google.com/spreadsheets/d/1ddFKvqj1W1NEiWytbGlB1zMx_ykJDVtmfEQ-6-lIUBA/edit?usp=sharing"",""จันทบุรี!I151"")"),0)</f>
        <v>0</v>
      </c>
      <c r="U54" s="92">
        <f ca="1">IFERROR(__xludf.DUMMYFUNCTION("IMPORTRANGE(""https://docs.google.com/spreadsheets/d/1ddFKvqj1W1NEiWytbGlB1zMx_ykJDVtmfEQ-6-lIUBA/edit?usp=sharing"",""จันทบุรี!J150"")"),0)</f>
        <v>0</v>
      </c>
      <c r="V54" s="93">
        <f t="shared" ca="1" si="32"/>
        <v>0</v>
      </c>
      <c r="W54" s="92">
        <f ca="1">IFERROR(__xludf.DUMMYFUNCTION("IMPORTRANGE(""https://docs.google.com/spreadsheets/d/1ddFKvqj1W1NEiWytbGlB1zMx_ykJDVtmfEQ-6-lIUBA/edit?usp=sharing"",""จันทบุรี!J151"")"),0)</f>
        <v>0</v>
      </c>
      <c r="X54" s="93">
        <f t="shared" ca="1" si="33"/>
        <v>0</v>
      </c>
      <c r="Y54" s="92">
        <f ca="1">IFERROR(__xludf.DUMMYFUNCTION("IMPORTRANGE(""https://docs.google.com/spreadsheets/d/1ddFKvqj1W1NEiWytbGlB1zMx_ykJDVtmfEQ-6-lIUBA/edit?usp=sharing"",""จันทบุรี!I152"")"),0)</f>
        <v>0</v>
      </c>
      <c r="Z54" s="92">
        <f ca="1">IFERROR(__xludf.DUMMYFUNCTION("IMPORTRANGE(""https://docs.google.com/spreadsheets/d/1ddFKvqj1W1NEiWytbGlB1zMx_ykJDVtmfEQ-6-lIUBA/edit?usp=sharing"",""จันทบุรี!I153"")"),0)</f>
        <v>0</v>
      </c>
      <c r="AA54" s="92">
        <f ca="1">IFERROR(__xludf.DUMMYFUNCTION("IMPORTRANGE(""https://docs.google.com/spreadsheets/d/1ddFKvqj1W1NEiWytbGlB1zMx_ykJDVtmfEQ-6-lIUBA/edit?usp=sharing"",""จันทบุรี!J152"")"),0)</f>
        <v>0</v>
      </c>
      <c r="AB54" s="93">
        <f t="shared" ca="1" si="35"/>
        <v>0</v>
      </c>
      <c r="AC54" s="92">
        <f ca="1">IFERROR(__xludf.DUMMYFUNCTION("IMPORTRANGE(""https://docs.google.com/spreadsheets/d/1ddFKvqj1W1NEiWytbGlB1zMx_ykJDVtmfEQ-6-lIUBA/edit?usp=sharing"",""จันทบุรี!J153"")"),0)</f>
        <v>0</v>
      </c>
      <c r="AD54" s="93">
        <f t="shared" ca="1" si="36"/>
        <v>0</v>
      </c>
      <c r="AE54" s="92">
        <f ca="1">IFERROR(__xludf.DUMMYFUNCTION("IMPORTRANGE(""https://docs.google.com/spreadsheets/d/1ddFKvqj1W1NEiWytbGlB1zMx_ykJDVtmfEQ-6-lIUBA/edit?usp=sharing"",""จันทบุรี!I154"")"),0)</f>
        <v>0</v>
      </c>
      <c r="AF54" s="92">
        <f ca="1">IFERROR(__xludf.DUMMYFUNCTION("IMPORTRANGE(""https://docs.google.com/spreadsheets/d/1ddFKvqj1W1NEiWytbGlB1zMx_ykJDVtmfEQ-6-lIUBA/edit?usp=sharing"",""จันทบุรี!J154"")"),0)</f>
        <v>0</v>
      </c>
      <c r="AG54" s="93">
        <f t="shared" ca="1" si="38"/>
        <v>0</v>
      </c>
    </row>
    <row r="55" spans="1:33" ht="21" customHeight="1" x14ac:dyDescent="0.3">
      <c r="A55" s="172">
        <v>3</v>
      </c>
      <c r="B55" s="173" t="s">
        <v>77</v>
      </c>
      <c r="C55" s="174">
        <f t="shared" ca="1" si="23"/>
        <v>170500</v>
      </c>
      <c r="D55" s="175">
        <f t="shared" ca="1" si="49"/>
        <v>170500</v>
      </c>
      <c r="E55" s="176">
        <f ca="1">IFERROR(__xludf.DUMMYFUNCTION("IMPORTRANGE(""https://docs.google.com/spreadsheets/d/1-uDff_7J0KD5mKrp0Vvzr7lt3OU09vwQwhkpOPPYv2Y/edit?usp=sharing"",""งบพรบ!BR55"")"),79100)</f>
        <v>79100</v>
      </c>
      <c r="F55" s="176">
        <f ca="1">IFERROR(__xludf.DUMMYFUNCTION("IMPORTRANGE(""https://docs.google.com/spreadsheets/d/1-uDff_7J0KD5mKrp0Vvzr7lt3OU09vwQwhkpOPPYv2Y/edit?usp=sharing"",""งบพรบ!BS55"")"),91400)</f>
        <v>91400</v>
      </c>
      <c r="G55" s="176">
        <f ca="1">IFERROR(__xludf.DUMMYFUNCTION("IMPORTRANGE(""https://docs.google.com/spreadsheets/d/1-uDff_7J0KD5mKrp0Vvzr7lt3OU09vwQwhkpOPPYv2Y/edit?usp=sharing"",""งบพรบ!BT55"")"),0)</f>
        <v>0</v>
      </c>
      <c r="H55" s="176">
        <f ca="1">IFERROR(__xludf.DUMMYFUNCTION("IMPORTRANGE(""https://docs.google.com/spreadsheets/d/1-uDff_7J0KD5mKrp0Vvzr7lt3OU09vwQwhkpOPPYv2Y/edit?usp=sharing"",""งบพรบ!BV55"")"),142900)</f>
        <v>142900</v>
      </c>
      <c r="I55" s="176">
        <f ca="1">IFERROR(__xludf.DUMMYFUNCTION("IMPORTRANGE(""https://docs.google.com/spreadsheets/d/1-uDff_7J0KD5mKrp0Vvzr7lt3OU09vwQwhkpOPPYv2Y/edit?usp=sharing"",""งบพรบ!BW55"")"),0)</f>
        <v>0</v>
      </c>
      <c r="J55" s="176">
        <f t="shared" ca="1" si="25"/>
        <v>14876</v>
      </c>
      <c r="K55" s="181">
        <f t="shared" ca="1" si="26"/>
        <v>8.7249266862170085</v>
      </c>
      <c r="L55" s="176">
        <f ca="1">IFERROR(__xludf.DUMMYFUNCTION("IMPORTRANGE(""https://docs.google.com/spreadsheets/d/1-uDff_7J0KD5mKrp0Vvzr7lt3OU09vwQwhkpOPPYv2Y/edit?usp=sharing"",""งบพรบ!BX55"")"),14876)</f>
        <v>14876</v>
      </c>
      <c r="M55" s="179">
        <f t="shared" ca="1" si="27"/>
        <v>8.7249266862170085</v>
      </c>
      <c r="N55" s="179">
        <f t="shared" ca="1" si="28"/>
        <v>10.410076976906929</v>
      </c>
      <c r="O55" s="180">
        <f ca="1">IFERROR(__xludf.DUMMYFUNCTION("IMPORTRANGE(""https://docs.google.com/spreadsheets/d/1-uDff_7J0KD5mKrp0Vvzr7lt3OU09vwQwhkpOPPYv2Y/edit?usp=sharing"",""งบพรบ!BY55"")"),0)</f>
        <v>0</v>
      </c>
      <c r="P55" s="180">
        <f t="shared" ca="1" si="29"/>
        <v>0</v>
      </c>
      <c r="Q55" s="179">
        <f t="shared" ca="1" si="30"/>
        <v>0</v>
      </c>
      <c r="R55" s="92">
        <f ca="1">IFERROR(__xludf.DUMMYFUNCTION("IMPORTRANGE(""https://docs.google.com/spreadsheets/d/1T1PQvRODqOBZk8BRht_U031fIS1beLA0Ub2CEytj2q0/edit?usp=sharing"",""ฉะเชิงเทรา!J149"")"),0)</f>
        <v>0</v>
      </c>
      <c r="S55" s="92">
        <f ca="1">IFERROR(__xludf.DUMMYFUNCTION("IMPORTRANGE(""https://docs.google.com/spreadsheets/d/1T1PQvRODqOBZk8BRht_U031fIS1beLA0Ub2CEytj2q0/edit?usp=sharing"",""ฉะเชิงเทรา!I150"")"),30)</f>
        <v>30</v>
      </c>
      <c r="T55" s="92">
        <f ca="1">IFERROR(__xludf.DUMMYFUNCTION("IMPORTRANGE(""https://docs.google.com/spreadsheets/d/1T1PQvRODqOBZk8BRht_U031fIS1beLA0Ub2CEytj2q0/edit?usp=sharing"",""ฉะเชิงเทรา!I151"")"),3)</f>
        <v>3</v>
      </c>
      <c r="U55" s="92">
        <f ca="1">IFERROR(__xludf.DUMMYFUNCTION("IMPORTRANGE(""https://docs.google.com/spreadsheets/d/1T1PQvRODqOBZk8BRht_U031fIS1beLA0Ub2CEytj2q0/edit?usp=sharing"",""ฉะเชิงเทรา!J150"")"),0)</f>
        <v>0</v>
      </c>
      <c r="V55" s="93">
        <f t="shared" ca="1" si="32"/>
        <v>0</v>
      </c>
      <c r="W55" s="92">
        <f ca="1">IFERROR(__xludf.DUMMYFUNCTION("IMPORTRANGE(""https://docs.google.com/spreadsheets/d/1T1PQvRODqOBZk8BRht_U031fIS1beLA0Ub2CEytj2q0/edit?usp=sharing"",""ฉะเชิงเทรา!J151"")"),0)</f>
        <v>0</v>
      </c>
      <c r="X55" s="93">
        <f t="shared" ca="1" si="33"/>
        <v>0</v>
      </c>
      <c r="Y55" s="92">
        <f ca="1">IFERROR(__xludf.DUMMYFUNCTION("IMPORTRANGE(""https://docs.google.com/spreadsheets/d/1T1PQvRODqOBZk8BRht_U031fIS1beLA0Ub2CEytj2q0/edit?usp=sharing"",""ฉะเชิงเทรา!I152"")"),50)</f>
        <v>50</v>
      </c>
      <c r="Z55" s="92">
        <f ca="1">IFERROR(__xludf.DUMMYFUNCTION("IMPORTRANGE(""https://docs.google.com/spreadsheets/d/1T1PQvRODqOBZk8BRht_U031fIS1beLA0Ub2CEytj2q0/edit?usp=sharing"",""ฉะเชิงเทรา!I153"")"),5)</f>
        <v>5</v>
      </c>
      <c r="AA55" s="92">
        <f ca="1">IFERROR(__xludf.DUMMYFUNCTION("IMPORTRANGE(""https://docs.google.com/spreadsheets/d/1T1PQvRODqOBZk8BRht_U031fIS1beLA0Ub2CEytj2q0/edit?usp=sharing"",""ฉะเชิงเทรา!J152"")"),0)</f>
        <v>0</v>
      </c>
      <c r="AB55" s="93">
        <f t="shared" ca="1" si="35"/>
        <v>0</v>
      </c>
      <c r="AC55" s="92">
        <f ca="1">IFERROR(__xludf.DUMMYFUNCTION("IMPORTRANGE(""https://docs.google.com/spreadsheets/d/1T1PQvRODqOBZk8BRht_U031fIS1beLA0Ub2CEytj2q0/edit?usp=sharing"",""ฉะเชิงเทรา!J153"")"),0)</f>
        <v>0</v>
      </c>
      <c r="AD55" s="93">
        <f t="shared" ca="1" si="36"/>
        <v>0</v>
      </c>
      <c r="AE55" s="92">
        <f ca="1">IFERROR(__xludf.DUMMYFUNCTION("IMPORTRANGE(""https://docs.google.com/spreadsheets/d/1T1PQvRODqOBZk8BRht_U031fIS1beLA0Ub2CEytj2q0/edit?usp=sharing"",""ฉะเชิงเทรา!I154"")"),3)</f>
        <v>3</v>
      </c>
      <c r="AF55" s="92">
        <f ca="1">IFERROR(__xludf.DUMMYFUNCTION("IMPORTRANGE(""https://docs.google.com/spreadsheets/d/1T1PQvRODqOBZk8BRht_U031fIS1beLA0Ub2CEytj2q0/edit?usp=sharing"",""ฉะเชิงเทรา!J154"")"),0)</f>
        <v>0</v>
      </c>
      <c r="AG55" s="93">
        <f t="shared" ca="1" si="38"/>
        <v>0</v>
      </c>
    </row>
    <row r="56" spans="1:33" ht="21" customHeight="1" x14ac:dyDescent="0.3">
      <c r="A56" s="172">
        <v>4</v>
      </c>
      <c r="B56" s="173" t="s">
        <v>78</v>
      </c>
      <c r="C56" s="174">
        <f t="shared" ca="1" si="23"/>
        <v>95500</v>
      </c>
      <c r="D56" s="175">
        <f t="shared" ca="1" si="49"/>
        <v>95500</v>
      </c>
      <c r="E56" s="176">
        <f ca="1">IFERROR(__xludf.DUMMYFUNCTION("IMPORTRANGE(""https://docs.google.com/spreadsheets/d/1-uDff_7J0KD5mKrp0Vvzr7lt3OU09vwQwhkpOPPYv2Y/edit?usp=sharing"",""งบพรบ!BR56"")"),72200)</f>
        <v>72200</v>
      </c>
      <c r="F56" s="176">
        <f ca="1">IFERROR(__xludf.DUMMYFUNCTION("IMPORTRANGE(""https://docs.google.com/spreadsheets/d/1-uDff_7J0KD5mKrp0Vvzr7lt3OU09vwQwhkpOPPYv2Y/edit?usp=sharing"",""งบพรบ!BS56"")"),23300)</f>
        <v>23300</v>
      </c>
      <c r="G56" s="176">
        <f ca="1">IFERROR(__xludf.DUMMYFUNCTION("IMPORTRANGE(""https://docs.google.com/spreadsheets/d/1-uDff_7J0KD5mKrp0Vvzr7lt3OU09vwQwhkpOPPYv2Y/edit?usp=sharing"",""งบพรบ!BT56"")"),0)</f>
        <v>0</v>
      </c>
      <c r="H56" s="176">
        <f ca="1">IFERROR(__xludf.DUMMYFUNCTION("IMPORTRANGE(""https://docs.google.com/spreadsheets/d/1-uDff_7J0KD5mKrp0Vvzr7lt3OU09vwQwhkpOPPYv2Y/edit?usp=sharing"",""งบพรบ!BV56"")"),70300)</f>
        <v>70300</v>
      </c>
      <c r="I56" s="176">
        <f ca="1">IFERROR(__xludf.DUMMYFUNCTION("IMPORTRANGE(""https://docs.google.com/spreadsheets/d/1-uDff_7J0KD5mKrp0Vvzr7lt3OU09vwQwhkpOPPYv2Y/edit?usp=sharing"",""งบพรบ!BW56"")"),0)</f>
        <v>0</v>
      </c>
      <c r="J56" s="176">
        <f t="shared" ca="1" si="25"/>
        <v>22000</v>
      </c>
      <c r="K56" s="181">
        <f t="shared" ca="1" si="26"/>
        <v>23.036649214659686</v>
      </c>
      <c r="L56" s="176">
        <f ca="1">IFERROR(__xludf.DUMMYFUNCTION("IMPORTRANGE(""https://docs.google.com/spreadsheets/d/1-uDff_7J0KD5mKrp0Vvzr7lt3OU09vwQwhkpOPPYv2Y/edit?usp=sharing"",""งบพรบ!BX56"")"),22000)</f>
        <v>22000</v>
      </c>
      <c r="M56" s="179">
        <f t="shared" ca="1" si="27"/>
        <v>23.036649214659686</v>
      </c>
      <c r="N56" s="179">
        <f t="shared" ca="1" si="28"/>
        <v>31.294452347083926</v>
      </c>
      <c r="O56" s="180">
        <f ca="1">IFERROR(__xludf.DUMMYFUNCTION("IMPORTRANGE(""https://docs.google.com/spreadsheets/d/1-uDff_7J0KD5mKrp0Vvzr7lt3OU09vwQwhkpOPPYv2Y/edit?usp=sharing"",""งบพรบ!BY56"")"),0)</f>
        <v>0</v>
      </c>
      <c r="P56" s="180">
        <f t="shared" ca="1" si="29"/>
        <v>0</v>
      </c>
      <c r="Q56" s="179">
        <f t="shared" ca="1" si="30"/>
        <v>0</v>
      </c>
      <c r="R56" s="92">
        <f ca="1">IFERROR(__xludf.DUMMYFUNCTION("IMPORTRANGE(""https://docs.google.com/spreadsheets/d/11tr1B-Bhyr79v2bkwVh5h_fR-PStkgjlZtkrZpYurG0/edit?usp=sharing"",""ชลบุรี!J149"")"),0)</f>
        <v>0</v>
      </c>
      <c r="S56" s="92">
        <f ca="1">IFERROR(__xludf.DUMMYFUNCTION("IMPORTRANGE(""https://docs.google.com/spreadsheets/d/11tr1B-Bhyr79v2bkwVh5h_fR-PStkgjlZtkrZpYurG0/edit?usp=sharing"",""ชลบุรี!I150"")"),0)</f>
        <v>0</v>
      </c>
      <c r="T56" s="92">
        <f ca="1">IFERROR(__xludf.DUMMYFUNCTION("IMPORTRANGE(""https://docs.google.com/spreadsheets/d/11tr1B-Bhyr79v2bkwVh5h_fR-PStkgjlZtkrZpYurG0/edit?usp=sharing"",""ชลบุรี!I151"")"),0)</f>
        <v>0</v>
      </c>
      <c r="U56" s="92">
        <f ca="1">IFERROR(__xludf.DUMMYFUNCTION("IMPORTRANGE(""https://docs.google.com/spreadsheets/d/11tr1B-Bhyr79v2bkwVh5h_fR-PStkgjlZtkrZpYurG0/edit?usp=sharing"",""ชลบุรี!J150"")"),0)</f>
        <v>0</v>
      </c>
      <c r="V56" s="93">
        <f t="shared" ca="1" si="32"/>
        <v>0</v>
      </c>
      <c r="W56" s="92">
        <f ca="1">IFERROR(__xludf.DUMMYFUNCTION("IMPORTRANGE(""https://docs.google.com/spreadsheets/d/11tr1B-Bhyr79v2bkwVh5h_fR-PStkgjlZtkrZpYurG0/edit?usp=sharing"",""ชลบุรี!J151"")"),0)</f>
        <v>0</v>
      </c>
      <c r="X56" s="93">
        <f t="shared" ca="1" si="33"/>
        <v>0</v>
      </c>
      <c r="Y56" s="92">
        <f ca="1">IFERROR(__xludf.DUMMYFUNCTION("IMPORTRANGE(""https://docs.google.com/spreadsheets/d/11tr1B-Bhyr79v2bkwVh5h_fR-PStkgjlZtkrZpYurG0/edit?usp=sharing"",""ชลบุรี!I152"")"),10)</f>
        <v>10</v>
      </c>
      <c r="Z56" s="92">
        <f ca="1">IFERROR(__xludf.DUMMYFUNCTION("IMPORTRANGE(""https://docs.google.com/spreadsheets/d/11tr1B-Bhyr79v2bkwVh5h_fR-PStkgjlZtkrZpYurG0/edit?usp=sharing"",""ชลบุรี!I153"")"),1)</f>
        <v>1</v>
      </c>
      <c r="AA56" s="92">
        <f ca="1">IFERROR(__xludf.DUMMYFUNCTION("IMPORTRANGE(""https://docs.google.com/spreadsheets/d/11tr1B-Bhyr79v2bkwVh5h_fR-PStkgjlZtkrZpYurG0/edit?usp=sharing"",""ชลบุรี!J152"")"),0)</f>
        <v>0</v>
      </c>
      <c r="AB56" s="93">
        <f t="shared" ca="1" si="35"/>
        <v>0</v>
      </c>
      <c r="AC56" s="92">
        <f ca="1">IFERROR(__xludf.DUMMYFUNCTION("IMPORTRANGE(""https://docs.google.com/spreadsheets/d/11tr1B-Bhyr79v2bkwVh5h_fR-PStkgjlZtkrZpYurG0/edit?usp=sharing"",""ชลบุรี!J153"")"),0)</f>
        <v>0</v>
      </c>
      <c r="AD56" s="93">
        <f t="shared" ca="1" si="36"/>
        <v>0</v>
      </c>
      <c r="AE56" s="92">
        <f ca="1">IFERROR(__xludf.DUMMYFUNCTION("IMPORTRANGE(""https://docs.google.com/spreadsheets/d/11tr1B-Bhyr79v2bkwVh5h_fR-PStkgjlZtkrZpYurG0/edit?usp=sharing"",""ชลบุรี!I154"")"),0)</f>
        <v>0</v>
      </c>
      <c r="AF56" s="92">
        <f ca="1">IFERROR(__xludf.DUMMYFUNCTION("IMPORTRANGE(""https://docs.google.com/spreadsheets/d/11tr1B-Bhyr79v2bkwVh5h_fR-PStkgjlZtkrZpYurG0/edit?usp=sharing"",""ชลบุรี!J154"")"),0)</f>
        <v>0</v>
      </c>
      <c r="AG56" s="93">
        <f t="shared" ca="1" si="38"/>
        <v>0</v>
      </c>
    </row>
    <row r="57" spans="1:33" ht="21" customHeight="1" x14ac:dyDescent="0.3">
      <c r="A57" s="172">
        <v>5</v>
      </c>
      <c r="B57" s="173" t="s">
        <v>79</v>
      </c>
      <c r="C57" s="174">
        <f t="shared" ca="1" si="23"/>
        <v>0</v>
      </c>
      <c r="D57" s="175">
        <f t="shared" ca="1" si="49"/>
        <v>0</v>
      </c>
      <c r="E57" s="176">
        <f ca="1">IFERROR(__xludf.DUMMYFUNCTION("IMPORTRANGE(""https://docs.google.com/spreadsheets/d/1-uDff_7J0KD5mKrp0Vvzr7lt3OU09vwQwhkpOPPYv2Y/edit?usp=sharing"",""งบพรบ!BR57"")"),0)</f>
        <v>0</v>
      </c>
      <c r="F57" s="176">
        <f ca="1">IFERROR(__xludf.DUMMYFUNCTION("IMPORTRANGE(""https://docs.google.com/spreadsheets/d/1-uDff_7J0KD5mKrp0Vvzr7lt3OU09vwQwhkpOPPYv2Y/edit?usp=sharing"",""งบพรบ!BS57"")"),0)</f>
        <v>0</v>
      </c>
      <c r="G57" s="176">
        <f ca="1">IFERROR(__xludf.DUMMYFUNCTION("IMPORTRANGE(""https://docs.google.com/spreadsheets/d/1-uDff_7J0KD5mKrp0Vvzr7lt3OU09vwQwhkpOPPYv2Y/edit?usp=sharing"",""งบพรบ!BT57"")"),0)</f>
        <v>0</v>
      </c>
      <c r="H57" s="176">
        <f ca="1">IFERROR(__xludf.DUMMYFUNCTION("IMPORTRANGE(""https://docs.google.com/spreadsheets/d/1-uDff_7J0KD5mKrp0Vvzr7lt3OU09vwQwhkpOPPYv2Y/edit?usp=sharing"",""งบพรบ!BV57"")"),0)</f>
        <v>0</v>
      </c>
      <c r="I57" s="176">
        <f ca="1">IFERROR(__xludf.DUMMYFUNCTION("IMPORTRANGE(""https://docs.google.com/spreadsheets/d/1-uDff_7J0KD5mKrp0Vvzr7lt3OU09vwQwhkpOPPYv2Y/edit?usp=sharing"",""งบพรบ!BW57"")"),0)</f>
        <v>0</v>
      </c>
      <c r="J57" s="176">
        <f t="shared" ca="1" si="25"/>
        <v>0</v>
      </c>
      <c r="K57" s="181">
        <f t="shared" ca="1" si="26"/>
        <v>0</v>
      </c>
      <c r="L57" s="176">
        <f ca="1">IFERROR(__xludf.DUMMYFUNCTION("IMPORTRANGE(""https://docs.google.com/spreadsheets/d/1-uDff_7J0KD5mKrp0Vvzr7lt3OU09vwQwhkpOPPYv2Y/edit?usp=sharing"",""งบพรบ!BX57"")"),0)</f>
        <v>0</v>
      </c>
      <c r="M57" s="179">
        <f t="shared" ca="1" si="27"/>
        <v>0</v>
      </c>
      <c r="N57" s="179">
        <f t="shared" ca="1" si="28"/>
        <v>0</v>
      </c>
      <c r="O57" s="180">
        <f ca="1">IFERROR(__xludf.DUMMYFUNCTION("IMPORTRANGE(""https://docs.google.com/spreadsheets/d/1-uDff_7J0KD5mKrp0Vvzr7lt3OU09vwQwhkpOPPYv2Y/edit?usp=sharing"",""งบพรบ!BY57"")"),0)</f>
        <v>0</v>
      </c>
      <c r="P57" s="180">
        <f t="shared" ca="1" si="29"/>
        <v>0</v>
      </c>
      <c r="Q57" s="179">
        <f t="shared" ca="1" si="30"/>
        <v>0</v>
      </c>
      <c r="R57" s="92">
        <f ca="1">IFERROR(__xludf.DUMMYFUNCTION("IMPORTRANGE(""https://docs.google.com/spreadsheets/d/1hh-FVnSX0vozXhGluamEcS54Dw9_zqW0N7qJUWgJ0Sw/edit?usp=sharing"",""ชัยนาท!J149"")"),0)</f>
        <v>0</v>
      </c>
      <c r="S57" s="92">
        <f ca="1">IFERROR(__xludf.DUMMYFUNCTION("IMPORTRANGE(""https://docs.google.com/spreadsheets/d/1hh-FVnSX0vozXhGluamEcS54Dw9_zqW0N7qJUWgJ0Sw/edit?usp=sharing"",""ชัยนาท!I150"")"),0)</f>
        <v>0</v>
      </c>
      <c r="T57" s="92">
        <f ca="1">IFERROR(__xludf.DUMMYFUNCTION("IMPORTRANGE(""https://docs.google.com/spreadsheets/d/1hh-FVnSX0vozXhGluamEcS54Dw9_zqW0N7qJUWgJ0Sw/edit?usp=sharing"",""ชัยนาท!I151"")"),0)</f>
        <v>0</v>
      </c>
      <c r="U57" s="92">
        <f ca="1">IFERROR(__xludf.DUMMYFUNCTION("IMPORTRANGE(""https://docs.google.com/spreadsheets/d/1hh-FVnSX0vozXhGluamEcS54Dw9_zqW0N7qJUWgJ0Sw/edit?usp=sharing"",""ชัยนาท!J150"")"),0)</f>
        <v>0</v>
      </c>
      <c r="V57" s="93">
        <f t="shared" ca="1" si="32"/>
        <v>0</v>
      </c>
      <c r="W57" s="92">
        <f ca="1">IFERROR(__xludf.DUMMYFUNCTION("IMPORTRANGE(""https://docs.google.com/spreadsheets/d/1hh-FVnSX0vozXhGluamEcS54Dw9_zqW0N7qJUWgJ0Sw/edit?usp=sharing"",""ชัยนาท!J151"")"),0)</f>
        <v>0</v>
      </c>
      <c r="X57" s="93">
        <f t="shared" ca="1" si="33"/>
        <v>0</v>
      </c>
      <c r="Y57" s="92">
        <f ca="1">IFERROR(__xludf.DUMMYFUNCTION("IMPORTRANGE(""https://docs.google.com/spreadsheets/d/1hh-FVnSX0vozXhGluamEcS54Dw9_zqW0N7qJUWgJ0Sw/edit?usp=sharing"",""ชัยนาท!I152"")"),0)</f>
        <v>0</v>
      </c>
      <c r="Z57" s="92">
        <f ca="1">IFERROR(__xludf.DUMMYFUNCTION("IMPORTRANGE(""https://docs.google.com/spreadsheets/d/1hh-FVnSX0vozXhGluamEcS54Dw9_zqW0N7qJUWgJ0Sw/edit?usp=sharing"",""ชัยนาท!I153"")"),0)</f>
        <v>0</v>
      </c>
      <c r="AA57" s="92">
        <f ca="1">IFERROR(__xludf.DUMMYFUNCTION("IMPORTRANGE(""https://docs.google.com/spreadsheets/d/1hh-FVnSX0vozXhGluamEcS54Dw9_zqW0N7qJUWgJ0Sw/edit?usp=sharing"",""ชัยนาท!J152"")"),0)</f>
        <v>0</v>
      </c>
      <c r="AB57" s="93">
        <f t="shared" ca="1" si="35"/>
        <v>0</v>
      </c>
      <c r="AC57" s="92">
        <f ca="1">IFERROR(__xludf.DUMMYFUNCTION("IMPORTRANGE(""https://docs.google.com/spreadsheets/d/1hh-FVnSX0vozXhGluamEcS54Dw9_zqW0N7qJUWgJ0Sw/edit?usp=sharing"",""ชัยนาท!J153"")"),0)</f>
        <v>0</v>
      </c>
      <c r="AD57" s="93">
        <f t="shared" ca="1" si="36"/>
        <v>0</v>
      </c>
      <c r="AE57" s="92">
        <f ca="1">IFERROR(__xludf.DUMMYFUNCTION("IMPORTRANGE(""https://docs.google.com/spreadsheets/d/1hh-FVnSX0vozXhGluamEcS54Dw9_zqW0N7qJUWgJ0Sw/edit?usp=sharing"",""ชัยนาท!I154"")"),0)</f>
        <v>0</v>
      </c>
      <c r="AF57" s="92">
        <f ca="1">IFERROR(__xludf.DUMMYFUNCTION("IMPORTRANGE(""https://docs.google.com/spreadsheets/d/1hh-FVnSX0vozXhGluamEcS54Dw9_zqW0N7qJUWgJ0Sw/edit?usp=sharing"",""ชัยนาท!J154"")"),0)</f>
        <v>0</v>
      </c>
      <c r="AG57" s="93">
        <f t="shared" ca="1" si="38"/>
        <v>0</v>
      </c>
    </row>
    <row r="58" spans="1:33" ht="21" customHeight="1" x14ac:dyDescent="0.3">
      <c r="A58" s="172">
        <v>6</v>
      </c>
      <c r="B58" s="173" t="s">
        <v>80</v>
      </c>
      <c r="C58" s="174">
        <f t="shared" ca="1" si="23"/>
        <v>0</v>
      </c>
      <c r="D58" s="175">
        <f t="shared" ca="1" si="49"/>
        <v>0</v>
      </c>
      <c r="E58" s="176">
        <f ca="1">IFERROR(__xludf.DUMMYFUNCTION("IMPORTRANGE(""https://docs.google.com/spreadsheets/d/1-uDff_7J0KD5mKrp0Vvzr7lt3OU09vwQwhkpOPPYv2Y/edit?usp=sharing"",""งบพรบ!BR58"")"),0)</f>
        <v>0</v>
      </c>
      <c r="F58" s="176">
        <f ca="1">IFERROR(__xludf.DUMMYFUNCTION("IMPORTRANGE(""https://docs.google.com/spreadsheets/d/1-uDff_7J0KD5mKrp0Vvzr7lt3OU09vwQwhkpOPPYv2Y/edit?usp=sharing"",""งบพรบ!BS58"")"),0)</f>
        <v>0</v>
      </c>
      <c r="G58" s="176">
        <f ca="1">IFERROR(__xludf.DUMMYFUNCTION("IMPORTRANGE(""https://docs.google.com/spreadsheets/d/1-uDff_7J0KD5mKrp0Vvzr7lt3OU09vwQwhkpOPPYv2Y/edit?usp=sharing"",""งบพรบ!BT58"")"),0)</f>
        <v>0</v>
      </c>
      <c r="H58" s="176">
        <f ca="1">IFERROR(__xludf.DUMMYFUNCTION("IMPORTRANGE(""https://docs.google.com/spreadsheets/d/1-uDff_7J0KD5mKrp0Vvzr7lt3OU09vwQwhkpOPPYv2Y/edit?usp=sharing"",""งบพรบ!BV58"")"),0)</f>
        <v>0</v>
      </c>
      <c r="I58" s="176">
        <f ca="1">IFERROR(__xludf.DUMMYFUNCTION("IMPORTRANGE(""https://docs.google.com/spreadsheets/d/1-uDff_7J0KD5mKrp0Vvzr7lt3OU09vwQwhkpOPPYv2Y/edit?usp=sharing"",""งบพรบ!BW58"")"),0)</f>
        <v>0</v>
      </c>
      <c r="J58" s="176">
        <f t="shared" ca="1" si="25"/>
        <v>0</v>
      </c>
      <c r="K58" s="181">
        <f t="shared" ca="1" si="26"/>
        <v>0</v>
      </c>
      <c r="L58" s="176">
        <f ca="1">IFERROR(__xludf.DUMMYFUNCTION("IMPORTRANGE(""https://docs.google.com/spreadsheets/d/1-uDff_7J0KD5mKrp0Vvzr7lt3OU09vwQwhkpOPPYv2Y/edit?usp=sharing"",""งบพรบ!BX58"")"),0)</f>
        <v>0</v>
      </c>
      <c r="M58" s="179">
        <f t="shared" ca="1" si="27"/>
        <v>0</v>
      </c>
      <c r="N58" s="179">
        <f t="shared" ca="1" si="28"/>
        <v>0</v>
      </c>
      <c r="O58" s="180">
        <f ca="1">IFERROR(__xludf.DUMMYFUNCTION("IMPORTRANGE(""https://docs.google.com/spreadsheets/d/1-uDff_7J0KD5mKrp0Vvzr7lt3OU09vwQwhkpOPPYv2Y/edit?usp=sharing"",""งบพรบ!BY58"")"),0)</f>
        <v>0</v>
      </c>
      <c r="P58" s="180">
        <f t="shared" ca="1" si="29"/>
        <v>0</v>
      </c>
      <c r="Q58" s="179">
        <f t="shared" ca="1" si="30"/>
        <v>0</v>
      </c>
      <c r="R58" s="92">
        <f ca="1">IFERROR(__xludf.DUMMYFUNCTION("IMPORTRANGE(""https://docs.google.com/spreadsheets/d/1jkqa6GXxSacMcY1eN8AHjMNJ_7dDXMJVRLDlaFSOdPM/edit?usp=sharing"",""ตราด!J149"")"),0)</f>
        <v>0</v>
      </c>
      <c r="S58" s="92">
        <f ca="1">IFERROR(__xludf.DUMMYFUNCTION("IMPORTRANGE(""https://docs.google.com/spreadsheets/d/1jkqa6GXxSacMcY1eN8AHjMNJ_7dDXMJVRLDlaFSOdPM/edit?usp=sharing"",""ตราด!I150"")"),0)</f>
        <v>0</v>
      </c>
      <c r="T58" s="92">
        <f ca="1">IFERROR(__xludf.DUMMYFUNCTION("IMPORTRANGE(""https://docs.google.com/spreadsheets/d/1jkqa6GXxSacMcY1eN8AHjMNJ_7dDXMJVRLDlaFSOdPM/edit?usp=sharing"",""ตราด!I151"")"),0)</f>
        <v>0</v>
      </c>
      <c r="U58" s="92">
        <f ca="1">IFERROR(__xludf.DUMMYFUNCTION("IMPORTRANGE(""https://docs.google.com/spreadsheets/d/1jkqa6GXxSacMcY1eN8AHjMNJ_7dDXMJVRLDlaFSOdPM/edit?usp=sharing"",""ตราด!J150"")"),0)</f>
        <v>0</v>
      </c>
      <c r="V58" s="93">
        <f t="shared" ca="1" si="32"/>
        <v>0</v>
      </c>
      <c r="W58" s="92">
        <f ca="1">IFERROR(__xludf.DUMMYFUNCTION("IMPORTRANGE(""https://docs.google.com/spreadsheets/d/1jkqa6GXxSacMcY1eN8AHjMNJ_7dDXMJVRLDlaFSOdPM/edit?usp=sharing"",""ตราด!J151"")"),0)</f>
        <v>0</v>
      </c>
      <c r="X58" s="93">
        <f t="shared" ca="1" si="33"/>
        <v>0</v>
      </c>
      <c r="Y58" s="92">
        <f ca="1">IFERROR(__xludf.DUMMYFUNCTION("IMPORTRANGE(""https://docs.google.com/spreadsheets/d/1jkqa6GXxSacMcY1eN8AHjMNJ_7dDXMJVRLDlaFSOdPM/edit?usp=sharing"",""ตราด!I152"")"),0)</f>
        <v>0</v>
      </c>
      <c r="Z58" s="92">
        <f ca="1">IFERROR(__xludf.DUMMYFUNCTION("IMPORTRANGE(""https://docs.google.com/spreadsheets/d/1jkqa6GXxSacMcY1eN8AHjMNJ_7dDXMJVRLDlaFSOdPM/edit?usp=sharing"",""ตราด!I153"")"),0)</f>
        <v>0</v>
      </c>
      <c r="AA58" s="92">
        <f ca="1">IFERROR(__xludf.DUMMYFUNCTION("IMPORTRANGE(""https://docs.google.com/spreadsheets/d/1jkqa6GXxSacMcY1eN8AHjMNJ_7dDXMJVRLDlaFSOdPM/edit?usp=sharing"",""ตราด!J152"")"),0)</f>
        <v>0</v>
      </c>
      <c r="AB58" s="93">
        <f t="shared" ca="1" si="35"/>
        <v>0</v>
      </c>
      <c r="AC58" s="92">
        <f ca="1">IFERROR(__xludf.DUMMYFUNCTION("IMPORTRANGE(""https://docs.google.com/spreadsheets/d/1jkqa6GXxSacMcY1eN8AHjMNJ_7dDXMJVRLDlaFSOdPM/edit?usp=sharing"",""ตราด!J153"")"),0)</f>
        <v>0</v>
      </c>
      <c r="AD58" s="93">
        <f t="shared" ca="1" si="36"/>
        <v>0</v>
      </c>
      <c r="AE58" s="92">
        <f ca="1">IFERROR(__xludf.DUMMYFUNCTION("IMPORTRANGE(""https://docs.google.com/spreadsheets/d/1jkqa6GXxSacMcY1eN8AHjMNJ_7dDXMJVRLDlaFSOdPM/edit?usp=sharing"",""ตราด!I154"")"),0)</f>
        <v>0</v>
      </c>
      <c r="AF58" s="92">
        <f ca="1">IFERROR(__xludf.DUMMYFUNCTION("IMPORTRANGE(""https://docs.google.com/spreadsheets/d/1jkqa6GXxSacMcY1eN8AHjMNJ_7dDXMJVRLDlaFSOdPM/edit?usp=sharing"",""ตราด!J154"")"),0)</f>
        <v>0</v>
      </c>
      <c r="AG58" s="93">
        <f t="shared" ca="1" si="38"/>
        <v>0</v>
      </c>
    </row>
    <row r="59" spans="1:33" ht="21" customHeight="1" x14ac:dyDescent="0.3">
      <c r="A59" s="172">
        <v>7</v>
      </c>
      <c r="B59" s="173" t="s">
        <v>81</v>
      </c>
      <c r="C59" s="174">
        <f t="shared" ca="1" si="23"/>
        <v>0</v>
      </c>
      <c r="D59" s="175">
        <f t="shared" ca="1" si="49"/>
        <v>0</v>
      </c>
      <c r="E59" s="176">
        <f ca="1">IFERROR(__xludf.DUMMYFUNCTION("IMPORTRANGE(""https://docs.google.com/spreadsheets/d/1-uDff_7J0KD5mKrp0Vvzr7lt3OU09vwQwhkpOPPYv2Y/edit?usp=sharing"",""งบพรบ!BR59"")"),0)</f>
        <v>0</v>
      </c>
      <c r="F59" s="176">
        <f ca="1">IFERROR(__xludf.DUMMYFUNCTION("IMPORTRANGE(""https://docs.google.com/spreadsheets/d/1-uDff_7J0KD5mKrp0Vvzr7lt3OU09vwQwhkpOPPYv2Y/edit?usp=sharing"",""งบพรบ!BS59"")"),0)</f>
        <v>0</v>
      </c>
      <c r="G59" s="176">
        <f ca="1">IFERROR(__xludf.DUMMYFUNCTION("IMPORTRANGE(""https://docs.google.com/spreadsheets/d/1-uDff_7J0KD5mKrp0Vvzr7lt3OU09vwQwhkpOPPYv2Y/edit?usp=sharing"",""งบพรบ!BT59"")"),0)</f>
        <v>0</v>
      </c>
      <c r="H59" s="176">
        <f ca="1">IFERROR(__xludf.DUMMYFUNCTION("IMPORTRANGE(""https://docs.google.com/spreadsheets/d/1-uDff_7J0KD5mKrp0Vvzr7lt3OU09vwQwhkpOPPYv2Y/edit?usp=sharing"",""งบพรบ!BV59"")"),0)</f>
        <v>0</v>
      </c>
      <c r="I59" s="176">
        <f ca="1">IFERROR(__xludf.DUMMYFUNCTION("IMPORTRANGE(""https://docs.google.com/spreadsheets/d/1-uDff_7J0KD5mKrp0Vvzr7lt3OU09vwQwhkpOPPYv2Y/edit?usp=sharing"",""งบพรบ!BW59"")"),0)</f>
        <v>0</v>
      </c>
      <c r="J59" s="176">
        <f t="shared" ca="1" si="25"/>
        <v>0</v>
      </c>
      <c r="K59" s="181">
        <f t="shared" ca="1" si="26"/>
        <v>0</v>
      </c>
      <c r="L59" s="176">
        <f ca="1">IFERROR(__xludf.DUMMYFUNCTION("IMPORTRANGE(""https://docs.google.com/spreadsheets/d/1-uDff_7J0KD5mKrp0Vvzr7lt3OU09vwQwhkpOPPYv2Y/edit?usp=sharing"",""งบพรบ!BX59"")"),0)</f>
        <v>0</v>
      </c>
      <c r="M59" s="179">
        <f t="shared" ca="1" si="27"/>
        <v>0</v>
      </c>
      <c r="N59" s="179">
        <f t="shared" ca="1" si="28"/>
        <v>0</v>
      </c>
      <c r="O59" s="180">
        <f ca="1">IFERROR(__xludf.DUMMYFUNCTION("IMPORTRANGE(""https://docs.google.com/spreadsheets/d/1-uDff_7J0KD5mKrp0Vvzr7lt3OU09vwQwhkpOPPYv2Y/edit?usp=sharing"",""งบพรบ!BY59"")"),0)</f>
        <v>0</v>
      </c>
      <c r="P59" s="180">
        <f t="shared" ca="1" si="29"/>
        <v>0</v>
      </c>
      <c r="Q59" s="179">
        <f t="shared" ca="1" si="30"/>
        <v>0</v>
      </c>
      <c r="R59" s="92">
        <f ca="1">IFERROR(__xludf.DUMMYFUNCTION("IMPORTRANGE(""https://docs.google.com/spreadsheets/d/18hSgUJ3VwClqi_qtULmmW3cLr0oe3OKaSYoKzdpTsYQ/edit?usp=sharing"",""นครนายก!J149"")"),0)</f>
        <v>0</v>
      </c>
      <c r="S59" s="92">
        <f ca="1">IFERROR(__xludf.DUMMYFUNCTION("IMPORTRANGE(""https://docs.google.com/spreadsheets/d/18hSgUJ3VwClqi_qtULmmW3cLr0oe3OKaSYoKzdpTsYQ/edit?usp=sharing"",""นครนายก!I150"")"),0)</f>
        <v>0</v>
      </c>
      <c r="T59" s="92">
        <f ca="1">IFERROR(__xludf.DUMMYFUNCTION("IMPORTRANGE(""https://docs.google.com/spreadsheets/d/18hSgUJ3VwClqi_qtULmmW3cLr0oe3OKaSYoKzdpTsYQ/edit?usp=sharing"",""นครนายก!I151"")"),0)</f>
        <v>0</v>
      </c>
      <c r="U59" s="92">
        <f ca="1">IFERROR(__xludf.DUMMYFUNCTION("IMPORTRANGE(""https://docs.google.com/spreadsheets/d/18hSgUJ3VwClqi_qtULmmW3cLr0oe3OKaSYoKzdpTsYQ/edit?usp=sharing"",""นครนายก!J150"")"),0)</f>
        <v>0</v>
      </c>
      <c r="V59" s="93">
        <f t="shared" ca="1" si="32"/>
        <v>0</v>
      </c>
      <c r="W59" s="92">
        <f ca="1">IFERROR(__xludf.DUMMYFUNCTION("IMPORTRANGE(""https://docs.google.com/spreadsheets/d/18hSgUJ3VwClqi_qtULmmW3cLr0oe3OKaSYoKzdpTsYQ/edit?usp=sharing"",""นครนายก!J151"")"),0)</f>
        <v>0</v>
      </c>
      <c r="X59" s="93">
        <f t="shared" ca="1" si="33"/>
        <v>0</v>
      </c>
      <c r="Y59" s="92">
        <f ca="1">IFERROR(__xludf.DUMMYFUNCTION("IMPORTRANGE(""https://docs.google.com/spreadsheets/d/18hSgUJ3VwClqi_qtULmmW3cLr0oe3OKaSYoKzdpTsYQ/edit?usp=sharing"",""นครนายก!I152"")"),0)</f>
        <v>0</v>
      </c>
      <c r="Z59" s="92">
        <f ca="1">IFERROR(__xludf.DUMMYFUNCTION("IMPORTRANGE(""https://docs.google.com/spreadsheets/d/18hSgUJ3VwClqi_qtULmmW3cLr0oe3OKaSYoKzdpTsYQ/edit?usp=sharing"",""นครนายก!I153"")"),0)</f>
        <v>0</v>
      </c>
      <c r="AA59" s="92">
        <f ca="1">IFERROR(__xludf.DUMMYFUNCTION("IMPORTRANGE(""https://docs.google.com/spreadsheets/d/18hSgUJ3VwClqi_qtULmmW3cLr0oe3OKaSYoKzdpTsYQ/edit?usp=sharing"",""นครนายก!J152"")"),0)</f>
        <v>0</v>
      </c>
      <c r="AB59" s="93">
        <f t="shared" ca="1" si="35"/>
        <v>0</v>
      </c>
      <c r="AC59" s="92">
        <f ca="1">IFERROR(__xludf.DUMMYFUNCTION("IMPORTRANGE(""https://docs.google.com/spreadsheets/d/18hSgUJ3VwClqi_qtULmmW3cLr0oe3OKaSYoKzdpTsYQ/edit?usp=sharing"",""นครนายก!J153"")"),0)</f>
        <v>0</v>
      </c>
      <c r="AD59" s="93">
        <f t="shared" ca="1" si="36"/>
        <v>0</v>
      </c>
      <c r="AE59" s="92">
        <f ca="1">IFERROR(__xludf.DUMMYFUNCTION("IMPORTRANGE(""https://docs.google.com/spreadsheets/d/18hSgUJ3VwClqi_qtULmmW3cLr0oe3OKaSYoKzdpTsYQ/edit?usp=sharing"",""นครนายก!I154"")"),0)</f>
        <v>0</v>
      </c>
      <c r="AF59" s="92">
        <f ca="1">IFERROR(__xludf.DUMMYFUNCTION("IMPORTRANGE(""https://docs.google.com/spreadsheets/d/18hSgUJ3VwClqi_qtULmmW3cLr0oe3OKaSYoKzdpTsYQ/edit?usp=sharing"",""นครนายก!J154"")"),0)</f>
        <v>0</v>
      </c>
      <c r="AG59" s="93">
        <f t="shared" ca="1" si="38"/>
        <v>0</v>
      </c>
    </row>
    <row r="60" spans="1:33" ht="21" customHeight="1" x14ac:dyDescent="0.3">
      <c r="A60" s="172">
        <v>8</v>
      </c>
      <c r="B60" s="173" t="s">
        <v>82</v>
      </c>
      <c r="C60" s="174">
        <f t="shared" ca="1" si="23"/>
        <v>0</v>
      </c>
      <c r="D60" s="175">
        <f t="shared" ca="1" si="49"/>
        <v>0</v>
      </c>
      <c r="E60" s="176">
        <f ca="1">IFERROR(__xludf.DUMMYFUNCTION("IMPORTRANGE(""https://docs.google.com/spreadsheets/d/1-uDff_7J0KD5mKrp0Vvzr7lt3OU09vwQwhkpOPPYv2Y/edit?usp=sharing"",""งบพรบ!BR60"")"),0)</f>
        <v>0</v>
      </c>
      <c r="F60" s="176">
        <f ca="1">IFERROR(__xludf.DUMMYFUNCTION("IMPORTRANGE(""https://docs.google.com/spreadsheets/d/1-uDff_7J0KD5mKrp0Vvzr7lt3OU09vwQwhkpOPPYv2Y/edit?usp=sharing"",""งบพรบ!BS60"")"),0)</f>
        <v>0</v>
      </c>
      <c r="G60" s="176">
        <f ca="1">IFERROR(__xludf.DUMMYFUNCTION("IMPORTRANGE(""https://docs.google.com/spreadsheets/d/1-uDff_7J0KD5mKrp0Vvzr7lt3OU09vwQwhkpOPPYv2Y/edit?usp=sharing"",""งบพรบ!BT60"")"),0)</f>
        <v>0</v>
      </c>
      <c r="H60" s="176">
        <f ca="1">IFERROR(__xludf.DUMMYFUNCTION("IMPORTRANGE(""https://docs.google.com/spreadsheets/d/1-uDff_7J0KD5mKrp0Vvzr7lt3OU09vwQwhkpOPPYv2Y/edit?usp=sharing"",""งบพรบ!BV60"")"),0)</f>
        <v>0</v>
      </c>
      <c r="I60" s="176">
        <f ca="1">IFERROR(__xludf.DUMMYFUNCTION("IMPORTRANGE(""https://docs.google.com/spreadsheets/d/1-uDff_7J0KD5mKrp0Vvzr7lt3OU09vwQwhkpOPPYv2Y/edit?usp=sharing"",""งบพรบ!BW60"")"),0)</f>
        <v>0</v>
      </c>
      <c r="J60" s="176">
        <f t="shared" ca="1" si="25"/>
        <v>0</v>
      </c>
      <c r="K60" s="181">
        <f t="shared" ca="1" si="26"/>
        <v>0</v>
      </c>
      <c r="L60" s="176">
        <f ca="1">IFERROR(__xludf.DUMMYFUNCTION("IMPORTRANGE(""https://docs.google.com/spreadsheets/d/1-uDff_7J0KD5mKrp0Vvzr7lt3OU09vwQwhkpOPPYv2Y/edit?usp=sharing"",""งบพรบ!BX60"")"),0)</f>
        <v>0</v>
      </c>
      <c r="M60" s="179">
        <f t="shared" ca="1" si="27"/>
        <v>0</v>
      </c>
      <c r="N60" s="179">
        <f t="shared" ca="1" si="28"/>
        <v>0</v>
      </c>
      <c r="O60" s="180">
        <f ca="1">IFERROR(__xludf.DUMMYFUNCTION("IMPORTRANGE(""https://docs.google.com/spreadsheets/d/1-uDff_7J0KD5mKrp0Vvzr7lt3OU09vwQwhkpOPPYv2Y/edit?usp=sharing"",""งบพรบ!BY60"")"),0)</f>
        <v>0</v>
      </c>
      <c r="P60" s="180">
        <f t="shared" ca="1" si="29"/>
        <v>0</v>
      </c>
      <c r="Q60" s="179">
        <f t="shared" ca="1" si="30"/>
        <v>0</v>
      </c>
      <c r="R60" s="92">
        <f ca="1">IFERROR(__xludf.DUMMYFUNCTION("IMPORTRANGE(""https://docs.google.com/spreadsheets/d/1YTZo6WM2dQ6Ix6FSdnL5P7uVnVKu40sxZu975tgG10E/edit?usp=sharing"",""นครปฐม!J149"")"),0)</f>
        <v>0</v>
      </c>
      <c r="S60" s="92">
        <f ca="1">IFERROR(__xludf.DUMMYFUNCTION("IMPORTRANGE(""https://docs.google.com/spreadsheets/d/1YTZo6WM2dQ6Ix6FSdnL5P7uVnVKu40sxZu975tgG10E/edit?usp=sharing"",""นครปฐม!I150"")"),0)</f>
        <v>0</v>
      </c>
      <c r="T60" s="92">
        <f ca="1">IFERROR(__xludf.DUMMYFUNCTION("IMPORTRANGE(""https://docs.google.com/spreadsheets/d/1YTZo6WM2dQ6Ix6FSdnL5P7uVnVKu40sxZu975tgG10E/edit?usp=sharing"",""นครปฐม!I151"")"),0)</f>
        <v>0</v>
      </c>
      <c r="U60" s="92">
        <f ca="1">IFERROR(__xludf.DUMMYFUNCTION("IMPORTRANGE(""https://docs.google.com/spreadsheets/d/1YTZo6WM2dQ6Ix6FSdnL5P7uVnVKu40sxZu975tgG10E/edit?usp=sharing"",""นครปฐม!J150"")"),0)</f>
        <v>0</v>
      </c>
      <c r="V60" s="93">
        <f t="shared" ca="1" si="32"/>
        <v>0</v>
      </c>
      <c r="W60" s="92">
        <f ca="1">IFERROR(__xludf.DUMMYFUNCTION("IMPORTRANGE(""https://docs.google.com/spreadsheets/d/1YTZo6WM2dQ6Ix6FSdnL5P7uVnVKu40sxZu975tgG10E/edit?usp=sharing"",""นครปฐม!J151"")"),0)</f>
        <v>0</v>
      </c>
      <c r="X60" s="93">
        <f t="shared" ca="1" si="33"/>
        <v>0</v>
      </c>
      <c r="Y60" s="92">
        <f ca="1">IFERROR(__xludf.DUMMYFUNCTION("IMPORTRANGE(""https://docs.google.com/spreadsheets/d/1YTZo6WM2dQ6Ix6FSdnL5P7uVnVKu40sxZu975tgG10E/edit?usp=sharing"",""นครปฐม!I152"")"),0)</f>
        <v>0</v>
      </c>
      <c r="Z60" s="92">
        <f ca="1">IFERROR(__xludf.DUMMYFUNCTION("IMPORTRANGE(""https://docs.google.com/spreadsheets/d/1YTZo6WM2dQ6Ix6FSdnL5P7uVnVKu40sxZu975tgG10E/edit?usp=sharing"",""นครปฐม!I153"")"),0)</f>
        <v>0</v>
      </c>
      <c r="AA60" s="92">
        <f ca="1">IFERROR(__xludf.DUMMYFUNCTION("IMPORTRANGE(""https://docs.google.com/spreadsheets/d/1YTZo6WM2dQ6Ix6FSdnL5P7uVnVKu40sxZu975tgG10E/edit?usp=sharing"",""นครปฐม!J152"")"),0)</f>
        <v>0</v>
      </c>
      <c r="AB60" s="93">
        <f t="shared" ca="1" si="35"/>
        <v>0</v>
      </c>
      <c r="AC60" s="92">
        <f ca="1">IFERROR(__xludf.DUMMYFUNCTION("IMPORTRANGE(""https://docs.google.com/spreadsheets/d/1YTZo6WM2dQ6Ix6FSdnL5P7uVnVKu40sxZu975tgG10E/edit?usp=sharing"",""นครปฐม!J153"")"),0)</f>
        <v>0</v>
      </c>
      <c r="AD60" s="93">
        <f t="shared" ca="1" si="36"/>
        <v>0</v>
      </c>
      <c r="AE60" s="92">
        <f ca="1">IFERROR(__xludf.DUMMYFUNCTION("IMPORTRANGE(""https://docs.google.com/spreadsheets/d/1YTZo6WM2dQ6Ix6FSdnL5P7uVnVKu40sxZu975tgG10E/edit?usp=sharing"",""นครปฐม!I154"")"),0)</f>
        <v>0</v>
      </c>
      <c r="AF60" s="92">
        <f ca="1">IFERROR(__xludf.DUMMYFUNCTION("IMPORTRANGE(""https://docs.google.com/spreadsheets/d/1YTZo6WM2dQ6Ix6FSdnL5P7uVnVKu40sxZu975tgG10E/edit?usp=sharing"",""นครปฐม!J154"")"),0)</f>
        <v>0</v>
      </c>
      <c r="AG60" s="93">
        <f t="shared" ca="1" si="38"/>
        <v>0</v>
      </c>
    </row>
    <row r="61" spans="1:33" ht="21" customHeight="1" x14ac:dyDescent="0.3">
      <c r="A61" s="172">
        <v>9</v>
      </c>
      <c r="B61" s="173" t="s">
        <v>83</v>
      </c>
      <c r="C61" s="174">
        <f t="shared" ca="1" si="23"/>
        <v>0</v>
      </c>
      <c r="D61" s="175">
        <f t="shared" ca="1" si="49"/>
        <v>0</v>
      </c>
      <c r="E61" s="176">
        <f ca="1">IFERROR(__xludf.DUMMYFUNCTION("IMPORTRANGE(""https://docs.google.com/spreadsheets/d/1-uDff_7J0KD5mKrp0Vvzr7lt3OU09vwQwhkpOPPYv2Y/edit?usp=sharing"",""งบพรบ!BR61"")"),0)</f>
        <v>0</v>
      </c>
      <c r="F61" s="176">
        <f ca="1">IFERROR(__xludf.DUMMYFUNCTION("IMPORTRANGE(""https://docs.google.com/spreadsheets/d/1-uDff_7J0KD5mKrp0Vvzr7lt3OU09vwQwhkpOPPYv2Y/edit?usp=sharing"",""งบพรบ!BS61"")"),0)</f>
        <v>0</v>
      </c>
      <c r="G61" s="176">
        <f ca="1">IFERROR(__xludf.DUMMYFUNCTION("IMPORTRANGE(""https://docs.google.com/spreadsheets/d/1-uDff_7J0KD5mKrp0Vvzr7lt3OU09vwQwhkpOPPYv2Y/edit?usp=sharing"",""งบพรบ!BT61"")"),0)</f>
        <v>0</v>
      </c>
      <c r="H61" s="176">
        <f ca="1">IFERROR(__xludf.DUMMYFUNCTION("IMPORTRANGE(""https://docs.google.com/spreadsheets/d/1-uDff_7J0KD5mKrp0Vvzr7lt3OU09vwQwhkpOPPYv2Y/edit?usp=sharing"",""งบพรบ!BV61"")"),0)</f>
        <v>0</v>
      </c>
      <c r="I61" s="176">
        <f ca="1">IFERROR(__xludf.DUMMYFUNCTION("IMPORTRANGE(""https://docs.google.com/spreadsheets/d/1-uDff_7J0KD5mKrp0Vvzr7lt3OU09vwQwhkpOPPYv2Y/edit?usp=sharing"",""งบพรบ!BW61"")"),0)</f>
        <v>0</v>
      </c>
      <c r="J61" s="176">
        <f t="shared" ca="1" si="25"/>
        <v>0</v>
      </c>
      <c r="K61" s="181">
        <f t="shared" ca="1" si="26"/>
        <v>0</v>
      </c>
      <c r="L61" s="176">
        <f ca="1">IFERROR(__xludf.DUMMYFUNCTION("IMPORTRANGE(""https://docs.google.com/spreadsheets/d/1-uDff_7J0KD5mKrp0Vvzr7lt3OU09vwQwhkpOPPYv2Y/edit?usp=sharing"",""งบพรบ!BX61"")"),0)</f>
        <v>0</v>
      </c>
      <c r="M61" s="179">
        <f t="shared" ca="1" si="27"/>
        <v>0</v>
      </c>
      <c r="N61" s="179">
        <f t="shared" ca="1" si="28"/>
        <v>0</v>
      </c>
      <c r="O61" s="180">
        <f ca="1">IFERROR(__xludf.DUMMYFUNCTION("IMPORTRANGE(""https://docs.google.com/spreadsheets/d/1-uDff_7J0KD5mKrp0Vvzr7lt3OU09vwQwhkpOPPYv2Y/edit?usp=sharing"",""งบพรบ!BY61"")"),0)</f>
        <v>0</v>
      </c>
      <c r="P61" s="180">
        <f t="shared" ca="1" si="29"/>
        <v>0</v>
      </c>
      <c r="Q61" s="179">
        <f t="shared" ca="1" si="30"/>
        <v>0</v>
      </c>
      <c r="R61" s="92">
        <f ca="1">IFERROR(__xludf.DUMMYFUNCTION("IMPORTRANGE(""https://docs.google.com/spreadsheets/d/1OYoGg4WDg5RIzwGeB10padOxJF9E_Vljuvvct_M7RDo/edit?usp=sharing"",""ปทุมธานี!J149"")"),0)</f>
        <v>0</v>
      </c>
      <c r="S61" s="92">
        <f ca="1">IFERROR(__xludf.DUMMYFUNCTION("IMPORTRANGE(""https://docs.google.com/spreadsheets/d/1OYoGg4WDg5RIzwGeB10padOxJF9E_Vljuvvct_M7RDo/edit?usp=sharing"",""ปทุมธานี!I150"")"),0)</f>
        <v>0</v>
      </c>
      <c r="T61" s="92">
        <f ca="1">IFERROR(__xludf.DUMMYFUNCTION("IMPORTRANGE(""https://docs.google.com/spreadsheets/d/1OYoGg4WDg5RIzwGeB10padOxJF9E_Vljuvvct_M7RDo/edit?usp=sharing"",""ปทุมธานี!I151"")"),0)</f>
        <v>0</v>
      </c>
      <c r="U61" s="92">
        <f ca="1">IFERROR(__xludf.DUMMYFUNCTION("IMPORTRANGE(""https://docs.google.com/spreadsheets/d/1OYoGg4WDg5RIzwGeB10padOxJF9E_Vljuvvct_M7RDo/edit?usp=sharing"",""ปทุมธานี!J150"")"),0)</f>
        <v>0</v>
      </c>
      <c r="V61" s="93">
        <f t="shared" ca="1" si="32"/>
        <v>0</v>
      </c>
      <c r="W61" s="92">
        <f ca="1">IFERROR(__xludf.DUMMYFUNCTION("IMPORTRANGE(""https://docs.google.com/spreadsheets/d/1OYoGg4WDg5RIzwGeB10padOxJF9E_Vljuvvct_M7RDo/edit?usp=sharing"",""ปทุมธานี!J151"")"),0)</f>
        <v>0</v>
      </c>
      <c r="X61" s="93">
        <f t="shared" ca="1" si="33"/>
        <v>0</v>
      </c>
      <c r="Y61" s="92">
        <f ca="1">IFERROR(__xludf.DUMMYFUNCTION("IMPORTRANGE(""https://docs.google.com/spreadsheets/d/1OYoGg4WDg5RIzwGeB10padOxJF9E_Vljuvvct_M7RDo/edit?usp=sharing"",""ปทุมธานี!I152"")"),0)</f>
        <v>0</v>
      </c>
      <c r="Z61" s="92">
        <f ca="1">IFERROR(__xludf.DUMMYFUNCTION("IMPORTRANGE(""https://docs.google.com/spreadsheets/d/1OYoGg4WDg5RIzwGeB10padOxJF9E_Vljuvvct_M7RDo/edit?usp=sharing"",""ปทุมธานี!I153"")"),0)</f>
        <v>0</v>
      </c>
      <c r="AA61" s="92">
        <f ca="1">IFERROR(__xludf.DUMMYFUNCTION("IMPORTRANGE(""https://docs.google.com/spreadsheets/d/1OYoGg4WDg5RIzwGeB10padOxJF9E_Vljuvvct_M7RDo/edit?usp=sharing"",""ปทุมธานี!J152"")"),0)</f>
        <v>0</v>
      </c>
      <c r="AB61" s="93">
        <f t="shared" ca="1" si="35"/>
        <v>0</v>
      </c>
      <c r="AC61" s="92">
        <f ca="1">IFERROR(__xludf.DUMMYFUNCTION("IMPORTRANGE(""https://docs.google.com/spreadsheets/d/1OYoGg4WDg5RIzwGeB10padOxJF9E_Vljuvvct_M7RDo/edit?usp=sharing"",""ปทุมธานี!J153"")"),0)</f>
        <v>0</v>
      </c>
      <c r="AD61" s="93">
        <f t="shared" ca="1" si="36"/>
        <v>0</v>
      </c>
      <c r="AE61" s="92">
        <f ca="1">IFERROR(__xludf.DUMMYFUNCTION("IMPORTRANGE(""https://docs.google.com/spreadsheets/d/1OYoGg4WDg5RIzwGeB10padOxJF9E_Vljuvvct_M7RDo/edit?usp=sharing"",""ปทุมธานี!I154"")"),0)</f>
        <v>0</v>
      </c>
      <c r="AF61" s="92">
        <f ca="1">IFERROR(__xludf.DUMMYFUNCTION("IMPORTRANGE(""https://docs.google.com/spreadsheets/d/1OYoGg4WDg5RIzwGeB10padOxJF9E_Vljuvvct_M7RDo/edit?usp=sharing"",""ปทุมธานี!J154"")"),0)</f>
        <v>0</v>
      </c>
      <c r="AG61" s="93">
        <f t="shared" ca="1" si="38"/>
        <v>0</v>
      </c>
    </row>
    <row r="62" spans="1:33" ht="21" customHeight="1" x14ac:dyDescent="0.3">
      <c r="A62" s="172">
        <v>10</v>
      </c>
      <c r="B62" s="173" t="s">
        <v>84</v>
      </c>
      <c r="C62" s="174">
        <f t="shared" ca="1" si="23"/>
        <v>0</v>
      </c>
      <c r="D62" s="175">
        <f t="shared" ca="1" si="49"/>
        <v>0</v>
      </c>
      <c r="E62" s="176">
        <f ca="1">IFERROR(__xludf.DUMMYFUNCTION("IMPORTRANGE(""https://docs.google.com/spreadsheets/d/1-uDff_7J0KD5mKrp0Vvzr7lt3OU09vwQwhkpOPPYv2Y/edit?usp=sharing"",""งบพรบ!BR62"")"),0)</f>
        <v>0</v>
      </c>
      <c r="F62" s="176">
        <f ca="1">IFERROR(__xludf.DUMMYFUNCTION("IMPORTRANGE(""https://docs.google.com/spreadsheets/d/1-uDff_7J0KD5mKrp0Vvzr7lt3OU09vwQwhkpOPPYv2Y/edit?usp=sharing"",""งบพรบ!BS62"")"),0)</f>
        <v>0</v>
      </c>
      <c r="G62" s="176">
        <f ca="1">IFERROR(__xludf.DUMMYFUNCTION("IMPORTRANGE(""https://docs.google.com/spreadsheets/d/1-uDff_7J0KD5mKrp0Vvzr7lt3OU09vwQwhkpOPPYv2Y/edit?usp=sharing"",""งบพรบ!BT62"")"),0)</f>
        <v>0</v>
      </c>
      <c r="H62" s="176">
        <f ca="1">IFERROR(__xludf.DUMMYFUNCTION("IMPORTRANGE(""https://docs.google.com/spreadsheets/d/1-uDff_7J0KD5mKrp0Vvzr7lt3OU09vwQwhkpOPPYv2Y/edit?usp=sharing"",""งบพรบ!BV62"")"),0)</f>
        <v>0</v>
      </c>
      <c r="I62" s="176">
        <f ca="1">IFERROR(__xludf.DUMMYFUNCTION("IMPORTRANGE(""https://docs.google.com/spreadsheets/d/1-uDff_7J0KD5mKrp0Vvzr7lt3OU09vwQwhkpOPPYv2Y/edit?usp=sharing"",""งบพรบ!BW62"")"),0)</f>
        <v>0</v>
      </c>
      <c r="J62" s="176">
        <f t="shared" ca="1" si="25"/>
        <v>0</v>
      </c>
      <c r="K62" s="181">
        <f t="shared" ca="1" si="26"/>
        <v>0</v>
      </c>
      <c r="L62" s="176">
        <f ca="1">IFERROR(__xludf.DUMMYFUNCTION("IMPORTRANGE(""https://docs.google.com/spreadsheets/d/1-uDff_7J0KD5mKrp0Vvzr7lt3OU09vwQwhkpOPPYv2Y/edit?usp=sharing"",""งบพรบ!BX62"")"),0)</f>
        <v>0</v>
      </c>
      <c r="M62" s="179">
        <f t="shared" ca="1" si="27"/>
        <v>0</v>
      </c>
      <c r="N62" s="179">
        <f t="shared" ca="1" si="28"/>
        <v>0</v>
      </c>
      <c r="O62" s="180">
        <f ca="1">IFERROR(__xludf.DUMMYFUNCTION("IMPORTRANGE(""https://docs.google.com/spreadsheets/d/1-uDff_7J0KD5mKrp0Vvzr7lt3OU09vwQwhkpOPPYv2Y/edit?usp=sharing"",""งบพรบ!BY62"")"),0)</f>
        <v>0</v>
      </c>
      <c r="P62" s="180">
        <f t="shared" ca="1" si="29"/>
        <v>0</v>
      </c>
      <c r="Q62" s="179">
        <f t="shared" ca="1" si="30"/>
        <v>0</v>
      </c>
      <c r="R62" s="92">
        <f ca="1">IFERROR(__xludf.DUMMYFUNCTION("IMPORTRANGE(""https://docs.google.com/spreadsheets/d/1GbCIE4D4wk9FUozzqk7SxfDMxDVBwVmI5zcaVUSzKAc/edit?usp=sharing"",""ประจวบคีรีขันธ์!J149"")"),0)</f>
        <v>0</v>
      </c>
      <c r="S62" s="92">
        <f ca="1">IFERROR(__xludf.DUMMYFUNCTION("IMPORTRANGE(""https://docs.google.com/spreadsheets/d/1GbCIE4D4wk9FUozzqk7SxfDMxDVBwVmI5zcaVUSzKAc/edit?usp=sharing"",""ประจวบคีรีขันธ์!I150"")"),0)</f>
        <v>0</v>
      </c>
      <c r="T62" s="92">
        <f ca="1">IFERROR(__xludf.DUMMYFUNCTION("IMPORTRANGE(""https://docs.google.com/spreadsheets/d/1GbCIE4D4wk9FUozzqk7SxfDMxDVBwVmI5zcaVUSzKAc/edit?usp=sharing"",""ประจวบคีรีขันธ์!I151"")"),0)</f>
        <v>0</v>
      </c>
      <c r="U62" s="92">
        <f ca="1">IFERROR(__xludf.DUMMYFUNCTION("IMPORTRANGE(""https://docs.google.com/spreadsheets/d/1GbCIE4D4wk9FUozzqk7SxfDMxDVBwVmI5zcaVUSzKAc/edit?usp=sharing"",""ประจวบคีรีขันธ์!J150"")"),0)</f>
        <v>0</v>
      </c>
      <c r="V62" s="93">
        <f t="shared" ca="1" si="32"/>
        <v>0</v>
      </c>
      <c r="W62" s="92">
        <f ca="1">IFERROR(__xludf.DUMMYFUNCTION("IMPORTRANGE(""https://docs.google.com/spreadsheets/d/1GbCIE4D4wk9FUozzqk7SxfDMxDVBwVmI5zcaVUSzKAc/edit?usp=sharing"",""ประจวบคีรีขันธ์!J151"")"),0)</f>
        <v>0</v>
      </c>
      <c r="X62" s="93">
        <f t="shared" ca="1" si="33"/>
        <v>0</v>
      </c>
      <c r="Y62" s="92">
        <f ca="1">IFERROR(__xludf.DUMMYFUNCTION("IMPORTRANGE(""https://docs.google.com/spreadsheets/d/1GbCIE4D4wk9FUozzqk7SxfDMxDVBwVmI5zcaVUSzKAc/edit?usp=sharing"",""ประจวบคีรีขันธ์!I152"")"),0)</f>
        <v>0</v>
      </c>
      <c r="Z62" s="92">
        <f ca="1">IFERROR(__xludf.DUMMYFUNCTION("IMPORTRANGE(""https://docs.google.com/spreadsheets/d/1GbCIE4D4wk9FUozzqk7SxfDMxDVBwVmI5zcaVUSzKAc/edit?usp=sharing"",""ประจวบคีรีขันธ์!I153"")"),0)</f>
        <v>0</v>
      </c>
      <c r="AA62" s="92">
        <f ca="1">IFERROR(__xludf.DUMMYFUNCTION("IMPORTRANGE(""https://docs.google.com/spreadsheets/d/1GbCIE4D4wk9FUozzqk7SxfDMxDVBwVmI5zcaVUSzKAc/edit?usp=sharing"",""ประจวบคีรีขันธ์!J152"")"),0)</f>
        <v>0</v>
      </c>
      <c r="AB62" s="93">
        <f t="shared" ca="1" si="35"/>
        <v>0</v>
      </c>
      <c r="AC62" s="92">
        <f ca="1">IFERROR(__xludf.DUMMYFUNCTION("IMPORTRANGE(""https://docs.google.com/spreadsheets/d/1GbCIE4D4wk9FUozzqk7SxfDMxDVBwVmI5zcaVUSzKAc/edit?usp=sharing"",""ประจวบคีรีขันธ์!J153"")"),0)</f>
        <v>0</v>
      </c>
      <c r="AD62" s="93">
        <f t="shared" ca="1" si="36"/>
        <v>0</v>
      </c>
      <c r="AE62" s="92">
        <f ca="1">IFERROR(__xludf.DUMMYFUNCTION("IMPORTRANGE(""https://docs.google.com/spreadsheets/d/1GbCIE4D4wk9FUozzqk7SxfDMxDVBwVmI5zcaVUSzKAc/edit?usp=sharing"",""ประจวบคีรีขันธ์!I154"")"),0)</f>
        <v>0</v>
      </c>
      <c r="AF62" s="92">
        <f ca="1">IFERROR(__xludf.DUMMYFUNCTION("IMPORTRANGE(""https://docs.google.com/spreadsheets/d/1GbCIE4D4wk9FUozzqk7SxfDMxDVBwVmI5zcaVUSzKAc/edit?usp=sharing"",""ประจวบคีรีขันธ์!J154"")"),0)</f>
        <v>0</v>
      </c>
      <c r="AG62" s="93">
        <f t="shared" ca="1" si="38"/>
        <v>0</v>
      </c>
    </row>
    <row r="63" spans="1:33" ht="21" customHeight="1" x14ac:dyDescent="0.3">
      <c r="A63" s="172">
        <v>11</v>
      </c>
      <c r="B63" s="173" t="s">
        <v>85</v>
      </c>
      <c r="C63" s="174">
        <f t="shared" ca="1" si="23"/>
        <v>56500</v>
      </c>
      <c r="D63" s="175">
        <f t="shared" ca="1" si="49"/>
        <v>56500</v>
      </c>
      <c r="E63" s="176">
        <f ca="1">IFERROR(__xludf.DUMMYFUNCTION("IMPORTRANGE(""https://docs.google.com/spreadsheets/d/1-uDff_7J0KD5mKrp0Vvzr7lt3OU09vwQwhkpOPPYv2Y/edit?usp=sharing"",""งบพรบ!BR63"")"),0)</f>
        <v>0</v>
      </c>
      <c r="F63" s="176">
        <f ca="1">IFERROR(__xludf.DUMMYFUNCTION("IMPORTRANGE(""https://docs.google.com/spreadsheets/d/1-uDff_7J0KD5mKrp0Vvzr7lt3OU09vwQwhkpOPPYv2Y/edit?usp=sharing"",""งบพรบ!BS63"")"),56500)</f>
        <v>56500</v>
      </c>
      <c r="G63" s="176">
        <f ca="1">IFERROR(__xludf.DUMMYFUNCTION("IMPORTRANGE(""https://docs.google.com/spreadsheets/d/1-uDff_7J0KD5mKrp0Vvzr7lt3OU09vwQwhkpOPPYv2Y/edit?usp=sharing"",""งบพรบ!BT63"")"),0)</f>
        <v>0</v>
      </c>
      <c r="H63" s="176">
        <f ca="1">IFERROR(__xludf.DUMMYFUNCTION("IMPORTRANGE(""https://docs.google.com/spreadsheets/d/1-uDff_7J0KD5mKrp0Vvzr7lt3OU09vwQwhkpOPPYv2Y/edit?usp=sharing"",""งบพรบ!BV63"")"),51500)</f>
        <v>51500</v>
      </c>
      <c r="I63" s="176">
        <f ca="1">IFERROR(__xludf.DUMMYFUNCTION("IMPORTRANGE(""https://docs.google.com/spreadsheets/d/1-uDff_7J0KD5mKrp0Vvzr7lt3OU09vwQwhkpOPPYv2Y/edit?usp=sharing"",""งบพรบ!BW63"")"),0)</f>
        <v>0</v>
      </c>
      <c r="J63" s="176">
        <f t="shared" ca="1" si="25"/>
        <v>0</v>
      </c>
      <c r="K63" s="181">
        <f t="shared" ca="1" si="26"/>
        <v>0</v>
      </c>
      <c r="L63" s="176">
        <f ca="1">IFERROR(__xludf.DUMMYFUNCTION("IMPORTRANGE(""https://docs.google.com/spreadsheets/d/1-uDff_7J0KD5mKrp0Vvzr7lt3OU09vwQwhkpOPPYv2Y/edit?usp=sharing"",""งบพรบ!BX63"")"),0)</f>
        <v>0</v>
      </c>
      <c r="M63" s="179">
        <f t="shared" ca="1" si="27"/>
        <v>0</v>
      </c>
      <c r="N63" s="179">
        <f t="shared" ca="1" si="28"/>
        <v>0</v>
      </c>
      <c r="O63" s="180">
        <f ca="1">IFERROR(__xludf.DUMMYFUNCTION("IMPORTRANGE(""https://docs.google.com/spreadsheets/d/1-uDff_7J0KD5mKrp0Vvzr7lt3OU09vwQwhkpOPPYv2Y/edit?usp=sharing"",""งบพรบ!BY63"")"),0)</f>
        <v>0</v>
      </c>
      <c r="P63" s="180">
        <f t="shared" ca="1" si="29"/>
        <v>0</v>
      </c>
      <c r="Q63" s="179">
        <f t="shared" ca="1" si="30"/>
        <v>0</v>
      </c>
      <c r="R63" s="92">
        <f ca="1">IFERROR(__xludf.DUMMYFUNCTION("IMPORTRANGE(""https://docs.google.com/spreadsheets/d/1vVf6wykvW_lAyu7Yo9L4hUTqHqIeP_qcVuxCtosJEbg/edit?usp=sharing"",""ปราจีนบุรี!J149"")"),0)</f>
        <v>0</v>
      </c>
      <c r="S63" s="92">
        <f ca="1">IFERROR(__xludf.DUMMYFUNCTION("IMPORTRANGE(""https://docs.google.com/spreadsheets/d/1vVf6wykvW_lAyu7Yo9L4hUTqHqIeP_qcVuxCtosJEbg/edit?usp=sharing"",""ปราจีนบุรี!I150"")"),0)</f>
        <v>0</v>
      </c>
      <c r="T63" s="92">
        <f ca="1">IFERROR(__xludf.DUMMYFUNCTION("IMPORTRANGE(""https://docs.google.com/spreadsheets/d/1vVf6wykvW_lAyu7Yo9L4hUTqHqIeP_qcVuxCtosJEbg/edit?usp=sharing"",""ปราจีนบุรี!I151"")"),0)</f>
        <v>0</v>
      </c>
      <c r="U63" s="92">
        <f ca="1">IFERROR(__xludf.DUMMYFUNCTION("IMPORTRANGE(""https://docs.google.com/spreadsheets/d/1vVf6wykvW_lAyu7Yo9L4hUTqHqIeP_qcVuxCtosJEbg/edit?usp=sharing"",""ปราจีนบุรี!J150"")"),0)</f>
        <v>0</v>
      </c>
      <c r="V63" s="93">
        <f t="shared" ca="1" si="32"/>
        <v>0</v>
      </c>
      <c r="W63" s="92">
        <f ca="1">IFERROR(__xludf.DUMMYFUNCTION("IMPORTRANGE(""https://docs.google.com/spreadsheets/d/1vVf6wykvW_lAyu7Yo9L4hUTqHqIeP_qcVuxCtosJEbg/edit?usp=sharing"",""ปราจีนบุรี!J151"")"),0)</f>
        <v>0</v>
      </c>
      <c r="X63" s="93">
        <f t="shared" ca="1" si="33"/>
        <v>0</v>
      </c>
      <c r="Y63" s="92">
        <f ca="1">IFERROR(__xludf.DUMMYFUNCTION("IMPORTRANGE(""https://docs.google.com/spreadsheets/d/1vVf6wykvW_lAyu7Yo9L4hUTqHqIeP_qcVuxCtosJEbg/edit?usp=sharing"",""ปราจีนบุรี!I152"")"),50)</f>
        <v>50</v>
      </c>
      <c r="Z63" s="92">
        <f ca="1">IFERROR(__xludf.DUMMYFUNCTION("IMPORTRANGE(""https://docs.google.com/spreadsheets/d/1vVf6wykvW_lAyu7Yo9L4hUTqHqIeP_qcVuxCtosJEbg/edit?usp=sharing"",""ปราจีนบุรี!I153"")"),5)</f>
        <v>5</v>
      </c>
      <c r="AA63" s="92">
        <f ca="1">IFERROR(__xludf.DUMMYFUNCTION("IMPORTRANGE(""https://docs.google.com/spreadsheets/d/1vVf6wykvW_lAyu7Yo9L4hUTqHqIeP_qcVuxCtosJEbg/edit?usp=sharing"",""ปราจีนบุรี!J152"")"),0)</f>
        <v>0</v>
      </c>
      <c r="AB63" s="93">
        <f t="shared" ca="1" si="35"/>
        <v>0</v>
      </c>
      <c r="AC63" s="92">
        <f ca="1">IFERROR(__xludf.DUMMYFUNCTION("IMPORTRANGE(""https://docs.google.com/spreadsheets/d/1vVf6wykvW_lAyu7Yo9L4hUTqHqIeP_qcVuxCtosJEbg/edit?usp=sharing"",""ปราจีนบุรี!J153"")"),0)</f>
        <v>0</v>
      </c>
      <c r="AD63" s="93">
        <f t="shared" ca="1" si="36"/>
        <v>0</v>
      </c>
      <c r="AE63" s="92">
        <f ca="1">IFERROR(__xludf.DUMMYFUNCTION("IMPORTRANGE(""https://docs.google.com/spreadsheets/d/1vVf6wykvW_lAyu7Yo9L4hUTqHqIeP_qcVuxCtosJEbg/edit?usp=sharing"",""ปราจีนบุรี!I154"")"),0)</f>
        <v>0</v>
      </c>
      <c r="AF63" s="92">
        <f ca="1">IFERROR(__xludf.DUMMYFUNCTION("IMPORTRANGE(""https://docs.google.com/spreadsheets/d/1vVf6wykvW_lAyu7Yo9L4hUTqHqIeP_qcVuxCtosJEbg/edit?usp=sharing"",""ปราจีนบุรี!J154"")"),0)</f>
        <v>0</v>
      </c>
      <c r="AG63" s="93">
        <f t="shared" ca="1" si="38"/>
        <v>0</v>
      </c>
    </row>
    <row r="64" spans="1:33" ht="21" customHeight="1" x14ac:dyDescent="0.3">
      <c r="A64" s="172">
        <v>12</v>
      </c>
      <c r="B64" s="173" t="s">
        <v>86</v>
      </c>
      <c r="C64" s="174">
        <f t="shared" ca="1" si="23"/>
        <v>0</v>
      </c>
      <c r="D64" s="175">
        <f t="shared" ca="1" si="49"/>
        <v>0</v>
      </c>
      <c r="E64" s="176">
        <f ca="1">IFERROR(__xludf.DUMMYFUNCTION("IMPORTRANGE(""https://docs.google.com/spreadsheets/d/1-uDff_7J0KD5mKrp0Vvzr7lt3OU09vwQwhkpOPPYv2Y/edit?usp=sharing"",""งบพรบ!BR64"")"),0)</f>
        <v>0</v>
      </c>
      <c r="F64" s="176">
        <f ca="1">IFERROR(__xludf.DUMMYFUNCTION("IMPORTRANGE(""https://docs.google.com/spreadsheets/d/1-uDff_7J0KD5mKrp0Vvzr7lt3OU09vwQwhkpOPPYv2Y/edit?usp=sharing"",""งบพรบ!BS64"")"),0)</f>
        <v>0</v>
      </c>
      <c r="G64" s="176">
        <f ca="1">IFERROR(__xludf.DUMMYFUNCTION("IMPORTRANGE(""https://docs.google.com/spreadsheets/d/1-uDff_7J0KD5mKrp0Vvzr7lt3OU09vwQwhkpOPPYv2Y/edit?usp=sharing"",""งบพรบ!BT64"")"),0)</f>
        <v>0</v>
      </c>
      <c r="H64" s="176">
        <f ca="1">IFERROR(__xludf.DUMMYFUNCTION("IMPORTRANGE(""https://docs.google.com/spreadsheets/d/1-uDff_7J0KD5mKrp0Vvzr7lt3OU09vwQwhkpOPPYv2Y/edit?usp=sharing"",""งบพรบ!BV64"")"),0)</f>
        <v>0</v>
      </c>
      <c r="I64" s="176">
        <f ca="1">IFERROR(__xludf.DUMMYFUNCTION("IMPORTRANGE(""https://docs.google.com/spreadsheets/d/1-uDff_7J0KD5mKrp0Vvzr7lt3OU09vwQwhkpOPPYv2Y/edit?usp=sharing"",""งบพรบ!BW64"")"),0)</f>
        <v>0</v>
      </c>
      <c r="J64" s="176">
        <f t="shared" ca="1" si="25"/>
        <v>0</v>
      </c>
      <c r="K64" s="181">
        <f t="shared" ca="1" si="26"/>
        <v>0</v>
      </c>
      <c r="L64" s="176">
        <f ca="1">IFERROR(__xludf.DUMMYFUNCTION("IMPORTRANGE(""https://docs.google.com/spreadsheets/d/1-uDff_7J0KD5mKrp0Vvzr7lt3OU09vwQwhkpOPPYv2Y/edit?usp=sharing"",""งบพรบ!BX64"")"),0)</f>
        <v>0</v>
      </c>
      <c r="M64" s="179">
        <f t="shared" ca="1" si="27"/>
        <v>0</v>
      </c>
      <c r="N64" s="179">
        <f t="shared" ca="1" si="28"/>
        <v>0</v>
      </c>
      <c r="O64" s="180">
        <f ca="1">IFERROR(__xludf.DUMMYFUNCTION("IMPORTRANGE(""https://docs.google.com/spreadsheets/d/1-uDff_7J0KD5mKrp0Vvzr7lt3OU09vwQwhkpOPPYv2Y/edit?usp=sharing"",""งบพรบ!BY64"")"),0)</f>
        <v>0</v>
      </c>
      <c r="P64" s="180">
        <f t="shared" ca="1" si="29"/>
        <v>0</v>
      </c>
      <c r="Q64" s="179">
        <f t="shared" ca="1" si="30"/>
        <v>0</v>
      </c>
      <c r="R64" s="92">
        <f ca="1">IFERROR(__xludf.DUMMYFUNCTION("IMPORTRANGE(""https://docs.google.com/spreadsheets/d/1BIDqLLg5jk3v59G8NlR8rk5xfQDKne0sAvZHSj7TI6I/edit?usp=sharing"",""พระนครศรีอยุธยา!J149"")"),0)</f>
        <v>0</v>
      </c>
      <c r="S64" s="92">
        <f ca="1">IFERROR(__xludf.DUMMYFUNCTION("IMPORTRANGE(""https://docs.google.com/spreadsheets/d/1BIDqLLg5jk3v59G8NlR8rk5xfQDKne0sAvZHSj7TI6I/edit?usp=sharing"",""พระนครศรีอยุธยา!I150"")"),0)</f>
        <v>0</v>
      </c>
      <c r="T64" s="92">
        <f ca="1">IFERROR(__xludf.DUMMYFUNCTION("IMPORTRANGE(""https://docs.google.com/spreadsheets/d/1BIDqLLg5jk3v59G8NlR8rk5xfQDKne0sAvZHSj7TI6I/edit?usp=sharing"",""พระนครศรีอยุธยา!I151"")"),0)</f>
        <v>0</v>
      </c>
      <c r="U64" s="92">
        <f ca="1">IFERROR(__xludf.DUMMYFUNCTION("IMPORTRANGE(""https://docs.google.com/spreadsheets/d/1BIDqLLg5jk3v59G8NlR8rk5xfQDKne0sAvZHSj7TI6I/edit?usp=sharing"",""พระนครศรีอยุธยา!J150"")"),0)</f>
        <v>0</v>
      </c>
      <c r="V64" s="93">
        <f t="shared" ca="1" si="32"/>
        <v>0</v>
      </c>
      <c r="W64" s="92">
        <f ca="1">IFERROR(__xludf.DUMMYFUNCTION("IMPORTRANGE(""https://docs.google.com/spreadsheets/d/1BIDqLLg5jk3v59G8NlR8rk5xfQDKne0sAvZHSj7TI6I/edit?usp=sharing"",""พระนครศรีอยุธยา!J151"")"),0)</f>
        <v>0</v>
      </c>
      <c r="X64" s="93">
        <f t="shared" ca="1" si="33"/>
        <v>0</v>
      </c>
      <c r="Y64" s="92">
        <f ca="1">IFERROR(__xludf.DUMMYFUNCTION("IMPORTRANGE(""https://docs.google.com/spreadsheets/d/1BIDqLLg5jk3v59G8NlR8rk5xfQDKne0sAvZHSj7TI6I/edit?usp=sharing"",""พระนครศรีอยุธยา!I152"")"),0)</f>
        <v>0</v>
      </c>
      <c r="Z64" s="92">
        <f ca="1">IFERROR(__xludf.DUMMYFUNCTION("IMPORTRANGE(""https://docs.google.com/spreadsheets/d/1BIDqLLg5jk3v59G8NlR8rk5xfQDKne0sAvZHSj7TI6I/edit?usp=sharing"",""พระนครศรีอยุธยา!I153"")"),0)</f>
        <v>0</v>
      </c>
      <c r="AA64" s="92">
        <f ca="1">IFERROR(__xludf.DUMMYFUNCTION("IMPORTRANGE(""https://docs.google.com/spreadsheets/d/1BIDqLLg5jk3v59G8NlR8rk5xfQDKne0sAvZHSj7TI6I/edit?usp=sharing"",""พระนครศรีอยุธยา!J152"")"),0)</f>
        <v>0</v>
      </c>
      <c r="AB64" s="93">
        <f t="shared" ca="1" si="35"/>
        <v>0</v>
      </c>
      <c r="AC64" s="92">
        <f ca="1">IFERROR(__xludf.DUMMYFUNCTION("IMPORTRANGE(""https://docs.google.com/spreadsheets/d/1BIDqLLg5jk3v59G8NlR8rk5xfQDKne0sAvZHSj7TI6I/edit?usp=sharing"",""พระนครศรีอยุธยา!J153"")"),0)</f>
        <v>0</v>
      </c>
      <c r="AD64" s="93">
        <f t="shared" ca="1" si="36"/>
        <v>0</v>
      </c>
      <c r="AE64" s="92">
        <f ca="1">IFERROR(__xludf.DUMMYFUNCTION("IMPORTRANGE(""https://docs.google.com/spreadsheets/d/1BIDqLLg5jk3v59G8NlR8rk5xfQDKne0sAvZHSj7TI6I/edit?usp=sharing"",""พระนครศรีอยุธยา!I154"")"),0)</f>
        <v>0</v>
      </c>
      <c r="AF64" s="92">
        <f ca="1">IFERROR(__xludf.DUMMYFUNCTION("IMPORTRANGE(""https://docs.google.com/spreadsheets/d/1BIDqLLg5jk3v59G8NlR8rk5xfQDKne0sAvZHSj7TI6I/edit?usp=sharing"",""พระนครศรีอยุธยา!J154"")"),0)</f>
        <v>0</v>
      </c>
      <c r="AG64" s="93">
        <f t="shared" ca="1" si="38"/>
        <v>0</v>
      </c>
    </row>
    <row r="65" spans="1:33" ht="21" customHeight="1" x14ac:dyDescent="0.3">
      <c r="A65" s="172">
        <v>13</v>
      </c>
      <c r="B65" s="173" t="s">
        <v>87</v>
      </c>
      <c r="C65" s="174">
        <f t="shared" ca="1" si="23"/>
        <v>115300</v>
      </c>
      <c r="D65" s="175">
        <f t="shared" ca="1" si="49"/>
        <v>115300</v>
      </c>
      <c r="E65" s="176">
        <f ca="1">IFERROR(__xludf.DUMMYFUNCTION("IMPORTRANGE(""https://docs.google.com/spreadsheets/d/1-uDff_7J0KD5mKrp0Vvzr7lt3OU09vwQwhkpOPPYv2Y/edit?usp=sharing"",""งบพรบ!BR65"")"),73700)</f>
        <v>73700</v>
      </c>
      <c r="F65" s="176">
        <f ca="1">IFERROR(__xludf.DUMMYFUNCTION("IMPORTRANGE(""https://docs.google.com/spreadsheets/d/1-uDff_7J0KD5mKrp0Vvzr7lt3OU09vwQwhkpOPPYv2Y/edit?usp=sharing"",""งบพรบ!BS65"")"),41600)</f>
        <v>41600</v>
      </c>
      <c r="G65" s="176">
        <f ca="1">IFERROR(__xludf.DUMMYFUNCTION("IMPORTRANGE(""https://docs.google.com/spreadsheets/d/1-uDff_7J0KD5mKrp0Vvzr7lt3OU09vwQwhkpOPPYv2Y/edit?usp=sharing"",""งบพรบ!BT65"")"),0)</f>
        <v>0</v>
      </c>
      <c r="H65" s="176">
        <f ca="1">IFERROR(__xludf.DUMMYFUNCTION("IMPORTRANGE(""https://docs.google.com/spreadsheets/d/1-uDff_7J0KD5mKrp0Vvzr7lt3OU09vwQwhkpOPPYv2Y/edit?usp=sharing"",""งบพรบ!BV65"")"),89600)</f>
        <v>89600</v>
      </c>
      <c r="I65" s="176">
        <f ca="1">IFERROR(__xludf.DUMMYFUNCTION("IMPORTRANGE(""https://docs.google.com/spreadsheets/d/1-uDff_7J0KD5mKrp0Vvzr7lt3OU09vwQwhkpOPPYv2Y/edit?usp=sharing"",""งบพรบ!BW65"")"),0)</f>
        <v>0</v>
      </c>
      <c r="J65" s="176">
        <f t="shared" ca="1" si="25"/>
        <v>0</v>
      </c>
      <c r="K65" s="181">
        <f t="shared" ca="1" si="26"/>
        <v>0</v>
      </c>
      <c r="L65" s="176">
        <f ca="1">IFERROR(__xludf.DUMMYFUNCTION("IMPORTRANGE(""https://docs.google.com/spreadsheets/d/1-uDff_7J0KD5mKrp0Vvzr7lt3OU09vwQwhkpOPPYv2Y/edit?usp=sharing"",""งบพรบ!BX65"")"),0)</f>
        <v>0</v>
      </c>
      <c r="M65" s="179">
        <f t="shared" ca="1" si="27"/>
        <v>0</v>
      </c>
      <c r="N65" s="179">
        <f t="shared" ca="1" si="28"/>
        <v>0</v>
      </c>
      <c r="O65" s="180">
        <f ca="1">IFERROR(__xludf.DUMMYFUNCTION("IMPORTRANGE(""https://docs.google.com/spreadsheets/d/1-uDff_7J0KD5mKrp0Vvzr7lt3OU09vwQwhkpOPPYv2Y/edit?usp=sharing"",""งบพรบ!BY65"")"),0)</f>
        <v>0</v>
      </c>
      <c r="P65" s="180">
        <f t="shared" ca="1" si="29"/>
        <v>0</v>
      </c>
      <c r="Q65" s="179">
        <f t="shared" ca="1" si="30"/>
        <v>0</v>
      </c>
      <c r="R65" s="92">
        <f ca="1">IFERROR(__xludf.DUMMYFUNCTION("IMPORTRANGE(""https://docs.google.com/spreadsheets/d/1YXvxf8Yu6_rV4hTBrwMqAcAnv6DfhUxh5emyM3CJp_w/edit?usp=sharing"",""เพชรบุรี!J149"")"),0)</f>
        <v>0</v>
      </c>
      <c r="S65" s="92">
        <f ca="1">IFERROR(__xludf.DUMMYFUNCTION("IMPORTRANGE(""https://docs.google.com/spreadsheets/d/1YXvxf8Yu6_rV4hTBrwMqAcAnv6DfhUxh5emyM3CJp_w/edit?usp=sharing"",""เพชรบุรี!I150"")"),10)</f>
        <v>10</v>
      </c>
      <c r="T65" s="92">
        <f ca="1">IFERROR(__xludf.DUMMYFUNCTION("IMPORTRANGE(""https://docs.google.com/spreadsheets/d/1YXvxf8Yu6_rV4hTBrwMqAcAnv6DfhUxh5emyM3CJp_w/edit?usp=sharing"",""เพชรบุรี!I151"")"),1)</f>
        <v>1</v>
      </c>
      <c r="U65" s="92">
        <f ca="1">IFERROR(__xludf.DUMMYFUNCTION("IMPORTRANGE(""https://docs.google.com/spreadsheets/d/1YXvxf8Yu6_rV4hTBrwMqAcAnv6DfhUxh5emyM3CJp_w/edit?usp=sharing"",""เพชรบุรี!J150"")"),0)</f>
        <v>0</v>
      </c>
      <c r="V65" s="93">
        <f t="shared" ca="1" si="32"/>
        <v>0</v>
      </c>
      <c r="W65" s="92">
        <f ca="1">IFERROR(__xludf.DUMMYFUNCTION("IMPORTRANGE(""https://docs.google.com/spreadsheets/d/1YXvxf8Yu6_rV4hTBrwMqAcAnv6DfhUxh5emyM3CJp_w/edit?usp=sharing"",""เพชรบุรี!J151"")"),0)</f>
        <v>0</v>
      </c>
      <c r="X65" s="93">
        <f t="shared" ca="1" si="33"/>
        <v>0</v>
      </c>
      <c r="Y65" s="92">
        <f ca="1">IFERROR(__xludf.DUMMYFUNCTION("IMPORTRANGE(""https://docs.google.com/spreadsheets/d/1YXvxf8Yu6_rV4hTBrwMqAcAnv6DfhUxh5emyM3CJp_w/edit?usp=sharing"",""เพชรบุรี!I152"")"),10)</f>
        <v>10</v>
      </c>
      <c r="Z65" s="92">
        <f ca="1">IFERROR(__xludf.DUMMYFUNCTION("IMPORTRANGE(""https://docs.google.com/spreadsheets/d/1YXvxf8Yu6_rV4hTBrwMqAcAnv6DfhUxh5emyM3CJp_w/edit?usp=sharing"",""เพชรบุรี!I153"")"),1)</f>
        <v>1</v>
      </c>
      <c r="AA65" s="92">
        <f ca="1">IFERROR(__xludf.DUMMYFUNCTION("IMPORTRANGE(""https://docs.google.com/spreadsheets/d/1YXvxf8Yu6_rV4hTBrwMqAcAnv6DfhUxh5emyM3CJp_w/edit?usp=sharing"",""เพชรบุรี!J152"")"),0)</f>
        <v>0</v>
      </c>
      <c r="AB65" s="93">
        <f t="shared" ca="1" si="35"/>
        <v>0</v>
      </c>
      <c r="AC65" s="92">
        <f ca="1">IFERROR(__xludf.DUMMYFUNCTION("IMPORTRANGE(""https://docs.google.com/spreadsheets/d/1YXvxf8Yu6_rV4hTBrwMqAcAnv6DfhUxh5emyM3CJp_w/edit?usp=sharing"",""เพชรบุรี!J153"")"),0)</f>
        <v>0</v>
      </c>
      <c r="AD65" s="93">
        <f t="shared" ca="1" si="36"/>
        <v>0</v>
      </c>
      <c r="AE65" s="92">
        <f ca="1">IFERROR(__xludf.DUMMYFUNCTION("IMPORTRANGE(""https://docs.google.com/spreadsheets/d/1YXvxf8Yu6_rV4hTBrwMqAcAnv6DfhUxh5emyM3CJp_w/edit?usp=sharing"",""เพชรบุรี!I154"")"),1)</f>
        <v>1</v>
      </c>
      <c r="AF65" s="92">
        <f ca="1">IFERROR(__xludf.DUMMYFUNCTION("IMPORTRANGE(""https://docs.google.com/spreadsheets/d/1YXvxf8Yu6_rV4hTBrwMqAcAnv6DfhUxh5emyM3CJp_w/edit?usp=sharing"",""เพชรบุรี!J154"")"),0)</f>
        <v>0</v>
      </c>
      <c r="AG65" s="93">
        <f t="shared" ca="1" si="38"/>
        <v>0</v>
      </c>
    </row>
    <row r="66" spans="1:33" ht="21" customHeight="1" x14ac:dyDescent="0.3">
      <c r="A66" s="172">
        <v>14</v>
      </c>
      <c r="B66" s="173" t="s">
        <v>88</v>
      </c>
      <c r="C66" s="174">
        <f t="shared" ca="1" si="23"/>
        <v>0</v>
      </c>
      <c r="D66" s="175">
        <f t="shared" ca="1" si="49"/>
        <v>0</v>
      </c>
      <c r="E66" s="176">
        <f ca="1">IFERROR(__xludf.DUMMYFUNCTION("IMPORTRANGE(""https://docs.google.com/spreadsheets/d/1-uDff_7J0KD5mKrp0Vvzr7lt3OU09vwQwhkpOPPYv2Y/edit?usp=sharing"",""งบพรบ!BR66"")"),0)</f>
        <v>0</v>
      </c>
      <c r="F66" s="176">
        <f ca="1">IFERROR(__xludf.DUMMYFUNCTION("IMPORTRANGE(""https://docs.google.com/spreadsheets/d/1-uDff_7J0KD5mKrp0Vvzr7lt3OU09vwQwhkpOPPYv2Y/edit?usp=sharing"",""งบพรบ!BS66"")"),0)</f>
        <v>0</v>
      </c>
      <c r="G66" s="176">
        <f ca="1">IFERROR(__xludf.DUMMYFUNCTION("IMPORTRANGE(""https://docs.google.com/spreadsheets/d/1-uDff_7J0KD5mKrp0Vvzr7lt3OU09vwQwhkpOPPYv2Y/edit?usp=sharing"",""งบพรบ!BT66"")"),0)</f>
        <v>0</v>
      </c>
      <c r="H66" s="176">
        <f ca="1">IFERROR(__xludf.DUMMYFUNCTION("IMPORTRANGE(""https://docs.google.com/spreadsheets/d/1-uDff_7J0KD5mKrp0Vvzr7lt3OU09vwQwhkpOPPYv2Y/edit?usp=sharing"",""งบพรบ!BV66"")"),0)</f>
        <v>0</v>
      </c>
      <c r="I66" s="176">
        <f ca="1">IFERROR(__xludf.DUMMYFUNCTION("IMPORTRANGE(""https://docs.google.com/spreadsheets/d/1-uDff_7J0KD5mKrp0Vvzr7lt3OU09vwQwhkpOPPYv2Y/edit?usp=sharing"",""งบพรบ!BW66"")"),0)</f>
        <v>0</v>
      </c>
      <c r="J66" s="176">
        <f t="shared" ca="1" si="25"/>
        <v>0</v>
      </c>
      <c r="K66" s="181">
        <f t="shared" ca="1" si="26"/>
        <v>0</v>
      </c>
      <c r="L66" s="176">
        <f ca="1">IFERROR(__xludf.DUMMYFUNCTION("IMPORTRANGE(""https://docs.google.com/spreadsheets/d/1-uDff_7J0KD5mKrp0Vvzr7lt3OU09vwQwhkpOPPYv2Y/edit?usp=sharing"",""งบพรบ!BX66"")"),0)</f>
        <v>0</v>
      </c>
      <c r="M66" s="179">
        <f t="shared" ca="1" si="27"/>
        <v>0</v>
      </c>
      <c r="N66" s="179">
        <f t="shared" ca="1" si="28"/>
        <v>0</v>
      </c>
      <c r="O66" s="180">
        <f ca="1">IFERROR(__xludf.DUMMYFUNCTION("IMPORTRANGE(""https://docs.google.com/spreadsheets/d/1-uDff_7J0KD5mKrp0Vvzr7lt3OU09vwQwhkpOPPYv2Y/edit?usp=sharing"",""งบพรบ!BY66"")"),0)</f>
        <v>0</v>
      </c>
      <c r="P66" s="180">
        <f t="shared" ca="1" si="29"/>
        <v>0</v>
      </c>
      <c r="Q66" s="179">
        <f t="shared" ca="1" si="30"/>
        <v>0</v>
      </c>
      <c r="R66" s="92">
        <f ca="1">IFERROR(__xludf.DUMMYFUNCTION("IMPORTRANGE(""https://docs.google.com/spreadsheets/d/19KBlQQs7uwvsao6t2n-KvW3Ax8J8uRRfZPq1zPbXgKc/edit?usp=sharing"",""ระยอง!J149"")"),0)</f>
        <v>0</v>
      </c>
      <c r="S66" s="92">
        <f ca="1">IFERROR(__xludf.DUMMYFUNCTION("IMPORTRANGE(""https://docs.google.com/spreadsheets/d/19KBlQQs7uwvsao6t2n-KvW3Ax8J8uRRfZPq1zPbXgKc/edit?usp=sharing"",""ระยอง!I150"")"),0)</f>
        <v>0</v>
      </c>
      <c r="T66" s="92">
        <f ca="1">IFERROR(__xludf.DUMMYFUNCTION("IMPORTRANGE(""https://docs.google.com/spreadsheets/d/19KBlQQs7uwvsao6t2n-KvW3Ax8J8uRRfZPq1zPbXgKc/edit?usp=sharing"",""ระยอง!I151"")"),0)</f>
        <v>0</v>
      </c>
      <c r="U66" s="92">
        <f ca="1">IFERROR(__xludf.DUMMYFUNCTION("IMPORTRANGE(""https://docs.google.com/spreadsheets/d/19KBlQQs7uwvsao6t2n-KvW3Ax8J8uRRfZPq1zPbXgKc/edit?usp=sharing"",""ระยอง!J150"")"),0)</f>
        <v>0</v>
      </c>
      <c r="V66" s="93">
        <f t="shared" ca="1" si="32"/>
        <v>0</v>
      </c>
      <c r="W66" s="92">
        <f ca="1">IFERROR(__xludf.DUMMYFUNCTION("IMPORTRANGE(""https://docs.google.com/spreadsheets/d/19KBlQQs7uwvsao6t2n-KvW3Ax8J8uRRfZPq1zPbXgKc/edit?usp=sharing"",""ระยอง!J151"")"),0)</f>
        <v>0</v>
      </c>
      <c r="X66" s="93">
        <f t="shared" ca="1" si="33"/>
        <v>0</v>
      </c>
      <c r="Y66" s="92">
        <f ca="1">IFERROR(__xludf.DUMMYFUNCTION("IMPORTRANGE(""https://docs.google.com/spreadsheets/d/19KBlQQs7uwvsao6t2n-KvW3Ax8J8uRRfZPq1zPbXgKc/edit?usp=sharing"",""ระยอง!I152"")"),0)</f>
        <v>0</v>
      </c>
      <c r="Z66" s="92">
        <f ca="1">IFERROR(__xludf.DUMMYFUNCTION("IMPORTRANGE(""https://docs.google.com/spreadsheets/d/19KBlQQs7uwvsao6t2n-KvW3Ax8J8uRRfZPq1zPbXgKc/edit?usp=sharing"",""ระยอง!I153"")"),0)</f>
        <v>0</v>
      </c>
      <c r="AA66" s="92">
        <f ca="1">IFERROR(__xludf.DUMMYFUNCTION("IMPORTRANGE(""https://docs.google.com/spreadsheets/d/19KBlQQs7uwvsao6t2n-KvW3Ax8J8uRRfZPq1zPbXgKc/edit?usp=sharing"",""ระยอง!J152"")"),0)</f>
        <v>0</v>
      </c>
      <c r="AB66" s="93">
        <f t="shared" ca="1" si="35"/>
        <v>0</v>
      </c>
      <c r="AC66" s="92">
        <f ca="1">IFERROR(__xludf.DUMMYFUNCTION("IMPORTRANGE(""https://docs.google.com/spreadsheets/d/19KBlQQs7uwvsao6t2n-KvW3Ax8J8uRRfZPq1zPbXgKc/edit?usp=sharing"",""ระยอง!J153"")"),0)</f>
        <v>0</v>
      </c>
      <c r="AD66" s="93">
        <f t="shared" ca="1" si="36"/>
        <v>0</v>
      </c>
      <c r="AE66" s="92">
        <f ca="1">IFERROR(__xludf.DUMMYFUNCTION("IMPORTRANGE(""https://docs.google.com/spreadsheets/d/19KBlQQs7uwvsao6t2n-KvW3Ax8J8uRRfZPq1zPbXgKc/edit?usp=sharing"",""ระยอง!I154"")"),0)</f>
        <v>0</v>
      </c>
      <c r="AF66" s="92">
        <f ca="1">IFERROR(__xludf.DUMMYFUNCTION("IMPORTRANGE(""https://docs.google.com/spreadsheets/d/19KBlQQs7uwvsao6t2n-KvW3Ax8J8uRRfZPq1zPbXgKc/edit?usp=sharing"",""ระยอง!J154"")"),0)</f>
        <v>0</v>
      </c>
      <c r="AG66" s="93">
        <f t="shared" ca="1" si="38"/>
        <v>0</v>
      </c>
    </row>
    <row r="67" spans="1:33" ht="21" customHeight="1" x14ac:dyDescent="0.3">
      <c r="A67" s="172">
        <v>15</v>
      </c>
      <c r="B67" s="173" t="s">
        <v>89</v>
      </c>
      <c r="C67" s="174">
        <f t="shared" ca="1" si="23"/>
        <v>135400</v>
      </c>
      <c r="D67" s="175">
        <f t="shared" ca="1" si="49"/>
        <v>135400</v>
      </c>
      <c r="E67" s="176">
        <f ca="1">IFERROR(__xludf.DUMMYFUNCTION("IMPORTRANGE(""https://docs.google.com/spreadsheets/d/1-uDff_7J0KD5mKrp0Vvzr7lt3OU09vwQwhkpOPPYv2Y/edit?usp=sharing"",""งบพรบ!BR67"")"),77200)</f>
        <v>77200</v>
      </c>
      <c r="F67" s="176">
        <f ca="1">IFERROR(__xludf.DUMMYFUNCTION("IMPORTRANGE(""https://docs.google.com/spreadsheets/d/1-uDff_7J0KD5mKrp0Vvzr7lt3OU09vwQwhkpOPPYv2Y/edit?usp=sharing"",""งบพรบ!BS67"")"),58200)</f>
        <v>58200</v>
      </c>
      <c r="G67" s="176">
        <f ca="1">IFERROR(__xludf.DUMMYFUNCTION("IMPORTRANGE(""https://docs.google.com/spreadsheets/d/1-uDff_7J0KD5mKrp0Vvzr7lt3OU09vwQwhkpOPPYv2Y/edit?usp=sharing"",""งบพรบ!BT67"")"),0)</f>
        <v>0</v>
      </c>
      <c r="H67" s="176">
        <f ca="1">IFERROR(__xludf.DUMMYFUNCTION("IMPORTRANGE(""https://docs.google.com/spreadsheets/d/1-uDff_7J0KD5mKrp0Vvzr7lt3OU09vwQwhkpOPPYv2Y/edit?usp=sharing"",""งบพรบ!BV67"")"),108700)</f>
        <v>108700</v>
      </c>
      <c r="I67" s="176">
        <f ca="1">IFERROR(__xludf.DUMMYFUNCTION("IMPORTRANGE(""https://docs.google.com/spreadsheets/d/1-uDff_7J0KD5mKrp0Vvzr7lt3OU09vwQwhkpOPPYv2Y/edit?usp=sharing"",""งบพรบ!BW67"")"),0)</f>
        <v>0</v>
      </c>
      <c r="J67" s="176">
        <f t="shared" ca="1" si="25"/>
        <v>13105</v>
      </c>
      <c r="K67" s="181">
        <f t="shared" ca="1" si="26"/>
        <v>9.6787296898079767</v>
      </c>
      <c r="L67" s="176">
        <f ca="1">IFERROR(__xludf.DUMMYFUNCTION("IMPORTRANGE(""https://docs.google.com/spreadsheets/d/1-uDff_7J0KD5mKrp0Vvzr7lt3OU09vwQwhkpOPPYv2Y/edit?usp=sharing"",""งบพรบ!BX67"")"),13105)</f>
        <v>13105</v>
      </c>
      <c r="M67" s="179">
        <f t="shared" ca="1" si="27"/>
        <v>9.6787296898079767</v>
      </c>
      <c r="N67" s="179">
        <f t="shared" ca="1" si="28"/>
        <v>12.056117755289788</v>
      </c>
      <c r="O67" s="180">
        <f ca="1">IFERROR(__xludf.DUMMYFUNCTION("IMPORTRANGE(""https://docs.google.com/spreadsheets/d/1-uDff_7J0KD5mKrp0Vvzr7lt3OU09vwQwhkpOPPYv2Y/edit?usp=sharing"",""งบพรบ!BY67"")"),0)</f>
        <v>0</v>
      </c>
      <c r="P67" s="180">
        <f t="shared" ca="1" si="29"/>
        <v>0</v>
      </c>
      <c r="Q67" s="179">
        <f t="shared" ca="1" si="30"/>
        <v>0</v>
      </c>
      <c r="R67" s="92">
        <f ca="1">IFERROR(__xludf.DUMMYFUNCTION("IMPORTRANGE(""https://docs.google.com/spreadsheets/d/1jQ6P4QcrGM89YfqcC_PxOHGCMq5ezhucwJd8ci-NHng/edit?usp=sharing"",""ราชบุรี!J149"")"),0)</f>
        <v>0</v>
      </c>
      <c r="S67" s="92">
        <f ca="1">IFERROR(__xludf.DUMMYFUNCTION("IMPORTRANGE(""https://docs.google.com/spreadsheets/d/1jQ6P4QcrGM89YfqcC_PxOHGCMq5ezhucwJd8ci-NHng/edit?usp=sharing"",""ราชบุรี!I150"")"),10)</f>
        <v>10</v>
      </c>
      <c r="T67" s="92">
        <f ca="1">IFERROR(__xludf.DUMMYFUNCTION("IMPORTRANGE(""https://docs.google.com/spreadsheets/d/1jQ6P4QcrGM89YfqcC_PxOHGCMq5ezhucwJd8ci-NHng/edit?usp=sharing"",""ราชบุรี!I151"")"),1)</f>
        <v>1</v>
      </c>
      <c r="U67" s="92">
        <f ca="1">IFERROR(__xludf.DUMMYFUNCTION("IMPORTRANGE(""https://docs.google.com/spreadsheets/d/1jQ6P4QcrGM89YfqcC_PxOHGCMq5ezhucwJd8ci-NHng/edit?usp=sharing"",""ราชบุรี!J150"")"),0)</f>
        <v>0</v>
      </c>
      <c r="V67" s="93">
        <f t="shared" ca="1" si="32"/>
        <v>0</v>
      </c>
      <c r="W67" s="92">
        <f ca="1">IFERROR(__xludf.DUMMYFUNCTION("IMPORTRANGE(""https://docs.google.com/spreadsheets/d/1jQ6P4QcrGM89YfqcC_PxOHGCMq5ezhucwJd8ci-NHng/edit?usp=sharing"",""ราชบุรี!J151"")"),0)</f>
        <v>0</v>
      </c>
      <c r="X67" s="93">
        <f t="shared" ca="1" si="33"/>
        <v>0</v>
      </c>
      <c r="Y67" s="92">
        <f ca="1">IFERROR(__xludf.DUMMYFUNCTION("IMPORTRANGE(""https://docs.google.com/spreadsheets/d/1jQ6P4QcrGM89YfqcC_PxOHGCMq5ezhucwJd8ci-NHng/edit?usp=sharing"",""ราชบุรี!I152"")"),30)</f>
        <v>30</v>
      </c>
      <c r="Z67" s="92">
        <f ca="1">IFERROR(__xludf.DUMMYFUNCTION("IMPORTRANGE(""https://docs.google.com/spreadsheets/d/1jQ6P4QcrGM89YfqcC_PxOHGCMq5ezhucwJd8ci-NHng/edit?usp=sharing"",""ราชบุรี!I153"")"),3)</f>
        <v>3</v>
      </c>
      <c r="AA67" s="92">
        <f ca="1">IFERROR(__xludf.DUMMYFUNCTION("IMPORTRANGE(""https://docs.google.com/spreadsheets/d/1jQ6P4QcrGM89YfqcC_PxOHGCMq5ezhucwJd8ci-NHng/edit?usp=sharing"",""ราชบุรี!J152"")"),0)</f>
        <v>0</v>
      </c>
      <c r="AB67" s="93">
        <f t="shared" ca="1" si="35"/>
        <v>0</v>
      </c>
      <c r="AC67" s="92">
        <f ca="1">IFERROR(__xludf.DUMMYFUNCTION("IMPORTRANGE(""https://docs.google.com/spreadsheets/d/1jQ6P4QcrGM89YfqcC_PxOHGCMq5ezhucwJd8ci-NHng/edit?usp=sharing"",""ราชบุรี!J153"")"),0)</f>
        <v>0</v>
      </c>
      <c r="AD67" s="93">
        <f t="shared" ca="1" si="36"/>
        <v>0</v>
      </c>
      <c r="AE67" s="92">
        <f ca="1">IFERROR(__xludf.DUMMYFUNCTION("IMPORTRANGE(""https://docs.google.com/spreadsheets/d/1jQ6P4QcrGM89YfqcC_PxOHGCMq5ezhucwJd8ci-NHng/edit?usp=sharing"",""ราชบุรี!I154"")"),1)</f>
        <v>1</v>
      </c>
      <c r="AF67" s="92">
        <f ca="1">IFERROR(__xludf.DUMMYFUNCTION("IMPORTRANGE(""https://docs.google.com/spreadsheets/d/1jQ6P4QcrGM89YfqcC_PxOHGCMq5ezhucwJd8ci-NHng/edit?usp=sharing"",""ราชบุรี!J154"")"),0)</f>
        <v>0</v>
      </c>
      <c r="AG67" s="93">
        <f t="shared" ca="1" si="38"/>
        <v>0</v>
      </c>
    </row>
    <row r="68" spans="1:33" ht="24" customHeight="1" x14ac:dyDescent="0.3">
      <c r="A68" s="172">
        <v>16</v>
      </c>
      <c r="B68" s="173" t="s">
        <v>90</v>
      </c>
      <c r="C68" s="174">
        <f t="shared" ca="1" si="23"/>
        <v>0</v>
      </c>
      <c r="D68" s="175">
        <f t="shared" ca="1" si="49"/>
        <v>0</v>
      </c>
      <c r="E68" s="176">
        <f ca="1">IFERROR(__xludf.DUMMYFUNCTION("IMPORTRANGE(""https://docs.google.com/spreadsheets/d/1-uDff_7J0KD5mKrp0Vvzr7lt3OU09vwQwhkpOPPYv2Y/edit?usp=sharing"",""งบพรบ!BR68"")"),0)</f>
        <v>0</v>
      </c>
      <c r="F68" s="176">
        <f ca="1">IFERROR(__xludf.DUMMYFUNCTION("IMPORTRANGE(""https://docs.google.com/spreadsheets/d/1-uDff_7J0KD5mKrp0Vvzr7lt3OU09vwQwhkpOPPYv2Y/edit?usp=sharing"",""งบพรบ!BS68"")"),0)</f>
        <v>0</v>
      </c>
      <c r="G68" s="176">
        <f ca="1">IFERROR(__xludf.DUMMYFUNCTION("IMPORTRANGE(""https://docs.google.com/spreadsheets/d/1-uDff_7J0KD5mKrp0Vvzr7lt3OU09vwQwhkpOPPYv2Y/edit?usp=sharing"",""งบพรบ!BT68"")"),0)</f>
        <v>0</v>
      </c>
      <c r="H68" s="176">
        <f ca="1">IFERROR(__xludf.DUMMYFUNCTION("IMPORTRANGE(""https://docs.google.com/spreadsheets/d/1-uDff_7J0KD5mKrp0Vvzr7lt3OU09vwQwhkpOPPYv2Y/edit?usp=sharing"",""งบพรบ!BV68"")"),0)</f>
        <v>0</v>
      </c>
      <c r="I68" s="176">
        <f ca="1">IFERROR(__xludf.DUMMYFUNCTION("IMPORTRANGE(""https://docs.google.com/spreadsheets/d/1-uDff_7J0KD5mKrp0Vvzr7lt3OU09vwQwhkpOPPYv2Y/edit?usp=sharing"",""งบพรบ!BW68"")"),0)</f>
        <v>0</v>
      </c>
      <c r="J68" s="176">
        <f t="shared" ca="1" si="25"/>
        <v>0</v>
      </c>
      <c r="K68" s="181">
        <f t="shared" ca="1" si="26"/>
        <v>0</v>
      </c>
      <c r="L68" s="176">
        <f ca="1">IFERROR(__xludf.DUMMYFUNCTION("IMPORTRANGE(""https://docs.google.com/spreadsheets/d/1-uDff_7J0KD5mKrp0Vvzr7lt3OU09vwQwhkpOPPYv2Y/edit?usp=sharing"",""งบพรบ!BX68"")"),0)</f>
        <v>0</v>
      </c>
      <c r="M68" s="179">
        <f t="shared" ca="1" si="27"/>
        <v>0</v>
      </c>
      <c r="N68" s="179">
        <f t="shared" ca="1" si="28"/>
        <v>0</v>
      </c>
      <c r="O68" s="180">
        <f ca="1">IFERROR(__xludf.DUMMYFUNCTION("IMPORTRANGE(""https://docs.google.com/spreadsheets/d/1-uDff_7J0KD5mKrp0Vvzr7lt3OU09vwQwhkpOPPYv2Y/edit?usp=sharing"",""งบพรบ!BY68"")"),0)</f>
        <v>0</v>
      </c>
      <c r="P68" s="180">
        <f t="shared" ca="1" si="29"/>
        <v>0</v>
      </c>
      <c r="Q68" s="179">
        <f t="shared" ca="1" si="30"/>
        <v>0</v>
      </c>
      <c r="R68" s="92">
        <f ca="1">IFERROR(__xludf.DUMMYFUNCTION("IMPORTRANGE(""https://docs.google.com/spreadsheets/d/1lufeA2cfFqM-elVq2hznhDzC6Pr7wkJ9ZG_sYNGCMCU/edit?usp=sharing"",""ลพบุรี!J149"")"),0)</f>
        <v>0</v>
      </c>
      <c r="S68" s="92">
        <f ca="1">IFERROR(__xludf.DUMMYFUNCTION("IMPORTRANGE(""https://docs.google.com/spreadsheets/d/1lufeA2cfFqM-elVq2hznhDzC6Pr7wkJ9ZG_sYNGCMCU/edit?usp=sharing"",""ลพบุรี!I150"")"),0)</f>
        <v>0</v>
      </c>
      <c r="T68" s="92">
        <f ca="1">IFERROR(__xludf.DUMMYFUNCTION("IMPORTRANGE(""https://docs.google.com/spreadsheets/d/1lufeA2cfFqM-elVq2hznhDzC6Pr7wkJ9ZG_sYNGCMCU/edit?usp=sharing"",""ลพบุรี!I151"")"),0)</f>
        <v>0</v>
      </c>
      <c r="U68" s="92">
        <f ca="1">IFERROR(__xludf.DUMMYFUNCTION("IMPORTRANGE(""https://docs.google.com/spreadsheets/d/1lufeA2cfFqM-elVq2hznhDzC6Pr7wkJ9ZG_sYNGCMCU/edit?usp=sharing"",""ลพบุรี!J150"")"),0)</f>
        <v>0</v>
      </c>
      <c r="V68" s="93">
        <f t="shared" ca="1" si="32"/>
        <v>0</v>
      </c>
      <c r="W68" s="92">
        <f ca="1">IFERROR(__xludf.DUMMYFUNCTION("IMPORTRANGE(""https://docs.google.com/spreadsheets/d/1lufeA2cfFqM-elVq2hznhDzC6Pr7wkJ9ZG_sYNGCMCU/edit?usp=sharing"",""ลพบุรี!J151"")"),0)</f>
        <v>0</v>
      </c>
      <c r="X68" s="93">
        <f t="shared" ca="1" si="33"/>
        <v>0</v>
      </c>
      <c r="Y68" s="92">
        <f ca="1">IFERROR(__xludf.DUMMYFUNCTION("IMPORTRANGE(""https://docs.google.com/spreadsheets/d/1lufeA2cfFqM-elVq2hznhDzC6Pr7wkJ9ZG_sYNGCMCU/edit?usp=sharing"",""ลพบุรี!I152"")"),0)</f>
        <v>0</v>
      </c>
      <c r="Z68" s="92">
        <f ca="1">IFERROR(__xludf.DUMMYFUNCTION("IMPORTRANGE(""https://docs.google.com/spreadsheets/d/1lufeA2cfFqM-elVq2hznhDzC6Pr7wkJ9ZG_sYNGCMCU/edit?usp=sharing"",""ลพบุรี!I153"")"),0)</f>
        <v>0</v>
      </c>
      <c r="AA68" s="92">
        <f ca="1">IFERROR(__xludf.DUMMYFUNCTION("IMPORTRANGE(""https://docs.google.com/spreadsheets/d/1lufeA2cfFqM-elVq2hznhDzC6Pr7wkJ9ZG_sYNGCMCU/edit?usp=sharing"",""ลพบุรี!J152"")"),0)</f>
        <v>0</v>
      </c>
      <c r="AB68" s="93">
        <f t="shared" ca="1" si="35"/>
        <v>0</v>
      </c>
      <c r="AC68" s="92">
        <f ca="1">IFERROR(__xludf.DUMMYFUNCTION("IMPORTRANGE(""https://docs.google.com/spreadsheets/d/1lufeA2cfFqM-elVq2hznhDzC6Pr7wkJ9ZG_sYNGCMCU/edit?usp=sharing"",""ลพบุรี!J153"")"),0)</f>
        <v>0</v>
      </c>
      <c r="AD68" s="93">
        <f t="shared" ca="1" si="36"/>
        <v>0</v>
      </c>
      <c r="AE68" s="92">
        <f ca="1">IFERROR(__xludf.DUMMYFUNCTION("IMPORTRANGE(""https://docs.google.com/spreadsheets/d/1lufeA2cfFqM-elVq2hznhDzC6Pr7wkJ9ZG_sYNGCMCU/edit?usp=sharing"",""ลพบุรี!I154"")"),0)</f>
        <v>0</v>
      </c>
      <c r="AF68" s="92">
        <f ca="1">IFERROR(__xludf.DUMMYFUNCTION("IMPORTRANGE(""https://docs.google.com/spreadsheets/d/1lufeA2cfFqM-elVq2hznhDzC6Pr7wkJ9ZG_sYNGCMCU/edit?usp=sharing"",""ลพบุรี!J154"")"),0)</f>
        <v>0</v>
      </c>
      <c r="AG68" s="93">
        <f t="shared" ca="1" si="38"/>
        <v>0</v>
      </c>
    </row>
    <row r="69" spans="1:33" ht="21" customHeight="1" x14ac:dyDescent="0.3">
      <c r="A69" s="172">
        <v>17</v>
      </c>
      <c r="B69" s="173" t="s">
        <v>91</v>
      </c>
      <c r="C69" s="174">
        <f t="shared" ca="1" si="23"/>
        <v>0</v>
      </c>
      <c r="D69" s="175">
        <f t="shared" ca="1" si="49"/>
        <v>0</v>
      </c>
      <c r="E69" s="176">
        <f ca="1">IFERROR(__xludf.DUMMYFUNCTION("IMPORTRANGE(""https://docs.google.com/spreadsheets/d/1-uDff_7J0KD5mKrp0Vvzr7lt3OU09vwQwhkpOPPYv2Y/edit?usp=sharing"",""งบพรบ!BR69"")"),0)</f>
        <v>0</v>
      </c>
      <c r="F69" s="176">
        <f ca="1">IFERROR(__xludf.DUMMYFUNCTION("IMPORTRANGE(""https://docs.google.com/spreadsheets/d/1-uDff_7J0KD5mKrp0Vvzr7lt3OU09vwQwhkpOPPYv2Y/edit?usp=sharing"",""งบพรบ!BS69"")"),0)</f>
        <v>0</v>
      </c>
      <c r="G69" s="176">
        <f ca="1">IFERROR(__xludf.DUMMYFUNCTION("IMPORTRANGE(""https://docs.google.com/spreadsheets/d/1-uDff_7J0KD5mKrp0Vvzr7lt3OU09vwQwhkpOPPYv2Y/edit?usp=sharing"",""งบพรบ!BT69"")"),0)</f>
        <v>0</v>
      </c>
      <c r="H69" s="176">
        <f ca="1">IFERROR(__xludf.DUMMYFUNCTION("IMPORTRANGE(""https://docs.google.com/spreadsheets/d/1-uDff_7J0KD5mKrp0Vvzr7lt3OU09vwQwhkpOPPYv2Y/edit?usp=sharing"",""งบพรบ!BV69"")"),0)</f>
        <v>0</v>
      </c>
      <c r="I69" s="176">
        <f ca="1">IFERROR(__xludf.DUMMYFUNCTION("IMPORTRANGE(""https://docs.google.com/spreadsheets/d/1-uDff_7J0KD5mKrp0Vvzr7lt3OU09vwQwhkpOPPYv2Y/edit?usp=sharing"",""งบพรบ!BW69"")"),0)</f>
        <v>0</v>
      </c>
      <c r="J69" s="176">
        <f t="shared" ca="1" si="25"/>
        <v>0</v>
      </c>
      <c r="K69" s="181">
        <f t="shared" ca="1" si="26"/>
        <v>0</v>
      </c>
      <c r="L69" s="176">
        <f ca="1">IFERROR(__xludf.DUMMYFUNCTION("IMPORTRANGE(""https://docs.google.com/spreadsheets/d/1-uDff_7J0KD5mKrp0Vvzr7lt3OU09vwQwhkpOPPYv2Y/edit?usp=sharing"",""งบพรบ!BX69"")"),0)</f>
        <v>0</v>
      </c>
      <c r="M69" s="179">
        <f t="shared" ca="1" si="27"/>
        <v>0</v>
      </c>
      <c r="N69" s="179">
        <f t="shared" ca="1" si="28"/>
        <v>0</v>
      </c>
      <c r="O69" s="180">
        <f ca="1">IFERROR(__xludf.DUMMYFUNCTION("IMPORTRANGE(""https://docs.google.com/spreadsheets/d/1-uDff_7J0KD5mKrp0Vvzr7lt3OU09vwQwhkpOPPYv2Y/edit?usp=sharing"",""งบพรบ!BY69"")"),0)</f>
        <v>0</v>
      </c>
      <c r="P69" s="180">
        <f t="shared" ca="1" si="29"/>
        <v>0</v>
      </c>
      <c r="Q69" s="179">
        <f t="shared" ca="1" si="30"/>
        <v>0</v>
      </c>
      <c r="R69" s="92">
        <f ca="1">IFERROR(__xludf.DUMMYFUNCTION("IMPORTRANGE(""https://docs.google.com/spreadsheets/d/10oOiF7loTyfsTkbd4MpaIm0HQ9SwB7IYHdIUvt-U1Uc/edit?usp=sharing"",""สระแก้ว!J149"")"),0)</f>
        <v>0</v>
      </c>
      <c r="S69" s="92">
        <f ca="1">IFERROR(__xludf.DUMMYFUNCTION("IMPORTRANGE(""https://docs.google.com/spreadsheets/d/10oOiF7loTyfsTkbd4MpaIm0HQ9SwB7IYHdIUvt-U1Uc/edit?usp=sharing"",""สระแก้ว!I150"")"),0)</f>
        <v>0</v>
      </c>
      <c r="T69" s="92">
        <f ca="1">IFERROR(__xludf.DUMMYFUNCTION("IMPORTRANGE(""https://docs.google.com/spreadsheets/d/10oOiF7loTyfsTkbd4MpaIm0HQ9SwB7IYHdIUvt-U1Uc/edit?usp=sharing"",""สระแก้ว!I151"")"),0)</f>
        <v>0</v>
      </c>
      <c r="U69" s="92">
        <f ca="1">IFERROR(__xludf.DUMMYFUNCTION("IMPORTRANGE(""https://docs.google.com/spreadsheets/d/10oOiF7loTyfsTkbd4MpaIm0HQ9SwB7IYHdIUvt-U1Uc/edit?usp=sharing"",""สระแก้ว!J150"")"),0)</f>
        <v>0</v>
      </c>
      <c r="V69" s="93">
        <f t="shared" ca="1" si="32"/>
        <v>0</v>
      </c>
      <c r="W69" s="92">
        <f ca="1">IFERROR(__xludf.DUMMYFUNCTION("IMPORTRANGE(""https://docs.google.com/spreadsheets/d/10oOiF7loTyfsTkbd4MpaIm0HQ9SwB7IYHdIUvt-U1Uc/edit?usp=sharing"",""สระแก้ว!J151"")"),0)</f>
        <v>0</v>
      </c>
      <c r="X69" s="93">
        <f t="shared" ca="1" si="33"/>
        <v>0</v>
      </c>
      <c r="Y69" s="92">
        <f ca="1">IFERROR(__xludf.DUMMYFUNCTION("IMPORTRANGE(""https://docs.google.com/spreadsheets/d/10oOiF7loTyfsTkbd4MpaIm0HQ9SwB7IYHdIUvt-U1Uc/edit?usp=sharing"",""สระแก้ว!I152"")"),0)</f>
        <v>0</v>
      </c>
      <c r="Z69" s="92">
        <f ca="1">IFERROR(__xludf.DUMMYFUNCTION("IMPORTRANGE(""https://docs.google.com/spreadsheets/d/10oOiF7loTyfsTkbd4MpaIm0HQ9SwB7IYHdIUvt-U1Uc/edit?usp=sharing"",""สระแก้ว!I153"")"),0)</f>
        <v>0</v>
      </c>
      <c r="AA69" s="92">
        <f ca="1">IFERROR(__xludf.DUMMYFUNCTION("IMPORTRANGE(""https://docs.google.com/spreadsheets/d/10oOiF7loTyfsTkbd4MpaIm0HQ9SwB7IYHdIUvt-U1Uc/edit?usp=sharing"",""สระแก้ว!J152"")"),0)</f>
        <v>0</v>
      </c>
      <c r="AB69" s="93">
        <f t="shared" ca="1" si="35"/>
        <v>0</v>
      </c>
      <c r="AC69" s="92">
        <f ca="1">IFERROR(__xludf.DUMMYFUNCTION("IMPORTRANGE(""https://docs.google.com/spreadsheets/d/10oOiF7loTyfsTkbd4MpaIm0HQ9SwB7IYHdIUvt-U1Uc/edit?usp=sharing"",""สระแก้ว!J153"")"),0)</f>
        <v>0</v>
      </c>
      <c r="AD69" s="93">
        <f t="shared" ca="1" si="36"/>
        <v>0</v>
      </c>
      <c r="AE69" s="92">
        <f ca="1">IFERROR(__xludf.DUMMYFUNCTION("IMPORTRANGE(""https://docs.google.com/spreadsheets/d/10oOiF7loTyfsTkbd4MpaIm0HQ9SwB7IYHdIUvt-U1Uc/edit?usp=sharing"",""สระแก้ว!I154"")"),0)</f>
        <v>0</v>
      </c>
      <c r="AF69" s="92">
        <f ca="1">IFERROR(__xludf.DUMMYFUNCTION("IMPORTRANGE(""https://docs.google.com/spreadsheets/d/10oOiF7loTyfsTkbd4MpaIm0HQ9SwB7IYHdIUvt-U1Uc/edit?usp=sharing"",""สระแก้ว!J154"")"),0)</f>
        <v>0</v>
      </c>
      <c r="AG69" s="93">
        <f t="shared" ca="1" si="38"/>
        <v>0</v>
      </c>
    </row>
    <row r="70" spans="1:33" ht="21" customHeight="1" x14ac:dyDescent="0.3">
      <c r="A70" s="172">
        <v>18</v>
      </c>
      <c r="B70" s="173" t="s">
        <v>92</v>
      </c>
      <c r="C70" s="174">
        <f t="shared" ca="1" si="23"/>
        <v>98000</v>
      </c>
      <c r="D70" s="175">
        <f t="shared" ca="1" si="49"/>
        <v>98000</v>
      </c>
      <c r="E70" s="176">
        <f ca="1">IFERROR(__xludf.DUMMYFUNCTION("IMPORTRANGE(""https://docs.google.com/spreadsheets/d/1-uDff_7J0KD5mKrp0Vvzr7lt3OU09vwQwhkpOPPYv2Y/edit?usp=sharing"",""งบพรบ!BR70"")"),74700)</f>
        <v>74700</v>
      </c>
      <c r="F70" s="176">
        <f ca="1">IFERROR(__xludf.DUMMYFUNCTION("IMPORTRANGE(""https://docs.google.com/spreadsheets/d/1-uDff_7J0KD5mKrp0Vvzr7lt3OU09vwQwhkpOPPYv2Y/edit?usp=sharing"",""งบพรบ!BS70"")"),23300)</f>
        <v>23300</v>
      </c>
      <c r="G70" s="176">
        <f ca="1">IFERROR(__xludf.DUMMYFUNCTION("IMPORTRANGE(""https://docs.google.com/spreadsheets/d/1-uDff_7J0KD5mKrp0Vvzr7lt3OU09vwQwhkpOPPYv2Y/edit?usp=sharing"",""งบพรบ!BT70"")"),0)</f>
        <v>0</v>
      </c>
      <c r="H70" s="176">
        <f ca="1">IFERROR(__xludf.DUMMYFUNCTION("IMPORTRANGE(""https://docs.google.com/spreadsheets/d/1-uDff_7J0KD5mKrp0Vvzr7lt3OU09vwQwhkpOPPYv2Y/edit?usp=sharing"",""งบพรบ!BV70"")"),71800)</f>
        <v>71800</v>
      </c>
      <c r="I70" s="176">
        <f ca="1">IFERROR(__xludf.DUMMYFUNCTION("IMPORTRANGE(""https://docs.google.com/spreadsheets/d/1-uDff_7J0KD5mKrp0Vvzr7lt3OU09vwQwhkpOPPYv2Y/edit?usp=sharing"",""งบพรบ!BW70"")"),0)</f>
        <v>0</v>
      </c>
      <c r="J70" s="176">
        <f t="shared" ca="1" si="25"/>
        <v>0</v>
      </c>
      <c r="K70" s="181">
        <f t="shared" ca="1" si="26"/>
        <v>0</v>
      </c>
      <c r="L70" s="176">
        <f ca="1">IFERROR(__xludf.DUMMYFUNCTION("IMPORTRANGE(""https://docs.google.com/spreadsheets/d/1-uDff_7J0KD5mKrp0Vvzr7lt3OU09vwQwhkpOPPYv2Y/edit?usp=sharing"",""งบพรบ!BX70"")"),0)</f>
        <v>0</v>
      </c>
      <c r="M70" s="179">
        <f t="shared" ca="1" si="27"/>
        <v>0</v>
      </c>
      <c r="N70" s="179">
        <f t="shared" ca="1" si="28"/>
        <v>0</v>
      </c>
      <c r="O70" s="180">
        <f ca="1">IFERROR(__xludf.DUMMYFUNCTION("IMPORTRANGE(""https://docs.google.com/spreadsheets/d/1-uDff_7J0KD5mKrp0Vvzr7lt3OU09vwQwhkpOPPYv2Y/edit?usp=sharing"",""งบพรบ!BY70"")"),0)</f>
        <v>0</v>
      </c>
      <c r="P70" s="180">
        <f t="shared" ca="1" si="29"/>
        <v>0</v>
      </c>
      <c r="Q70" s="179">
        <f t="shared" ca="1" si="30"/>
        <v>0</v>
      </c>
      <c r="R70" s="92">
        <f ca="1">IFERROR(__xludf.DUMMYFUNCTION("IMPORTRANGE(""https://docs.google.com/spreadsheets/d/1xmPlrr1QbdSIKvl1dWUl9K4PjAfSL9oeMr_37QVzcxc/edit?usp=sharing"",""สระบุรี!J149"")"),0)</f>
        <v>0</v>
      </c>
      <c r="S70" s="92">
        <f ca="1">IFERROR(__xludf.DUMMYFUNCTION("IMPORTRANGE(""https://docs.google.com/spreadsheets/d/1xmPlrr1QbdSIKvl1dWUl9K4PjAfSL9oeMr_37QVzcxc/edit?usp=sharing"",""สระบุรี!I150"")"),0)</f>
        <v>0</v>
      </c>
      <c r="T70" s="92">
        <f ca="1">IFERROR(__xludf.DUMMYFUNCTION("IMPORTRANGE(""https://docs.google.com/spreadsheets/d/1xmPlrr1QbdSIKvl1dWUl9K4PjAfSL9oeMr_37QVzcxc/edit?usp=sharing"",""สระบุรี!I151"")"),0)</f>
        <v>0</v>
      </c>
      <c r="U70" s="92">
        <f ca="1">IFERROR(__xludf.DUMMYFUNCTION("IMPORTRANGE(""https://docs.google.com/spreadsheets/d/1xmPlrr1QbdSIKvl1dWUl9K4PjAfSL9oeMr_37QVzcxc/edit?usp=sharing"",""สระบุรี!J150"")"),0)</f>
        <v>0</v>
      </c>
      <c r="V70" s="93">
        <f t="shared" ca="1" si="32"/>
        <v>0</v>
      </c>
      <c r="W70" s="92">
        <f ca="1">IFERROR(__xludf.DUMMYFUNCTION("IMPORTRANGE(""https://docs.google.com/spreadsheets/d/1xmPlrr1QbdSIKvl1dWUl9K4PjAfSL9oeMr_37QVzcxc/edit?usp=sharing"",""สระบุรี!J151"")"),0)</f>
        <v>0</v>
      </c>
      <c r="X70" s="93">
        <f t="shared" ca="1" si="33"/>
        <v>0</v>
      </c>
      <c r="Y70" s="92">
        <f ca="1">IFERROR(__xludf.DUMMYFUNCTION("IMPORTRANGE(""https://docs.google.com/spreadsheets/d/1xmPlrr1QbdSIKvl1dWUl9K4PjAfSL9oeMr_37QVzcxc/edit?usp=sharing"",""สระบุรี!I152"")"),10)</f>
        <v>10</v>
      </c>
      <c r="Z70" s="92">
        <f ca="1">IFERROR(__xludf.DUMMYFUNCTION("IMPORTRANGE(""https://docs.google.com/spreadsheets/d/1xmPlrr1QbdSIKvl1dWUl9K4PjAfSL9oeMr_37QVzcxc/edit?usp=sharing"",""สระบุรี!I153"")"),1)</f>
        <v>1</v>
      </c>
      <c r="AA70" s="92">
        <f ca="1">IFERROR(__xludf.DUMMYFUNCTION("IMPORTRANGE(""https://docs.google.com/spreadsheets/d/1xmPlrr1QbdSIKvl1dWUl9K4PjAfSL9oeMr_37QVzcxc/edit?usp=sharing"",""สระบุรี!J152"")"),0)</f>
        <v>0</v>
      </c>
      <c r="AB70" s="93">
        <f t="shared" ca="1" si="35"/>
        <v>0</v>
      </c>
      <c r="AC70" s="92">
        <f ca="1">IFERROR(__xludf.DUMMYFUNCTION("IMPORTRANGE(""https://docs.google.com/spreadsheets/d/1xmPlrr1QbdSIKvl1dWUl9K4PjAfSL9oeMr_37QVzcxc/edit?usp=sharing"",""สระบุรี!J153"")"),0)</f>
        <v>0</v>
      </c>
      <c r="AD70" s="93">
        <f t="shared" ca="1" si="36"/>
        <v>0</v>
      </c>
      <c r="AE70" s="92">
        <f ca="1">IFERROR(__xludf.DUMMYFUNCTION("IMPORTRANGE(""https://docs.google.com/spreadsheets/d/1xmPlrr1QbdSIKvl1dWUl9K4PjAfSL9oeMr_37QVzcxc/edit?usp=sharing"",""สระบุรี!I154"")"),0)</f>
        <v>0</v>
      </c>
      <c r="AF70" s="92">
        <f ca="1">IFERROR(__xludf.DUMMYFUNCTION("IMPORTRANGE(""https://docs.google.com/spreadsheets/d/1xmPlrr1QbdSIKvl1dWUl9K4PjAfSL9oeMr_37QVzcxc/edit?usp=sharing"",""สระบุรี!J154"")"),0)</f>
        <v>0</v>
      </c>
      <c r="AG70" s="93">
        <f t="shared" ca="1" si="38"/>
        <v>0</v>
      </c>
    </row>
    <row r="71" spans="1:33" ht="21" customHeight="1" x14ac:dyDescent="0.3">
      <c r="A71" s="172">
        <v>19</v>
      </c>
      <c r="B71" s="173" t="s">
        <v>93</v>
      </c>
      <c r="C71" s="174">
        <f t="shared" ca="1" si="23"/>
        <v>0</v>
      </c>
      <c r="D71" s="175">
        <f t="shared" ca="1" si="49"/>
        <v>0</v>
      </c>
      <c r="E71" s="176">
        <f ca="1">IFERROR(__xludf.DUMMYFUNCTION("IMPORTRANGE(""https://docs.google.com/spreadsheets/d/1-uDff_7J0KD5mKrp0Vvzr7lt3OU09vwQwhkpOPPYv2Y/edit?usp=sharing"",""งบพรบ!BR71"")"),0)</f>
        <v>0</v>
      </c>
      <c r="F71" s="176">
        <f ca="1">IFERROR(__xludf.DUMMYFUNCTION("IMPORTRANGE(""https://docs.google.com/spreadsheets/d/1-uDff_7J0KD5mKrp0Vvzr7lt3OU09vwQwhkpOPPYv2Y/edit?usp=sharing"",""งบพรบ!BS71"")"),0)</f>
        <v>0</v>
      </c>
      <c r="G71" s="176">
        <f ca="1">IFERROR(__xludf.DUMMYFUNCTION("IMPORTRANGE(""https://docs.google.com/spreadsheets/d/1-uDff_7J0KD5mKrp0Vvzr7lt3OU09vwQwhkpOPPYv2Y/edit?usp=sharing"",""งบพรบ!BT71"")"),0)</f>
        <v>0</v>
      </c>
      <c r="H71" s="176">
        <f ca="1">IFERROR(__xludf.DUMMYFUNCTION("IMPORTRANGE(""https://docs.google.com/spreadsheets/d/1-uDff_7J0KD5mKrp0Vvzr7lt3OU09vwQwhkpOPPYv2Y/edit?usp=sharing"",""งบพรบ!BV71"")"),0)</f>
        <v>0</v>
      </c>
      <c r="I71" s="176">
        <f ca="1">IFERROR(__xludf.DUMMYFUNCTION("IMPORTRANGE(""https://docs.google.com/spreadsheets/d/1-uDff_7J0KD5mKrp0Vvzr7lt3OU09vwQwhkpOPPYv2Y/edit?usp=sharing"",""งบพรบ!BW71"")"),0)</f>
        <v>0</v>
      </c>
      <c r="J71" s="176">
        <f t="shared" ca="1" si="25"/>
        <v>0</v>
      </c>
      <c r="K71" s="181">
        <f t="shared" ca="1" si="26"/>
        <v>0</v>
      </c>
      <c r="L71" s="176">
        <f ca="1">IFERROR(__xludf.DUMMYFUNCTION("IMPORTRANGE(""https://docs.google.com/spreadsheets/d/1-uDff_7J0KD5mKrp0Vvzr7lt3OU09vwQwhkpOPPYv2Y/edit?usp=sharing"",""งบพรบ!BX71"")"),0)</f>
        <v>0</v>
      </c>
      <c r="M71" s="179">
        <f t="shared" ca="1" si="27"/>
        <v>0</v>
      </c>
      <c r="N71" s="179">
        <f t="shared" ca="1" si="28"/>
        <v>0</v>
      </c>
      <c r="O71" s="180">
        <f ca="1">IFERROR(__xludf.DUMMYFUNCTION("IMPORTRANGE(""https://docs.google.com/spreadsheets/d/1-uDff_7J0KD5mKrp0Vvzr7lt3OU09vwQwhkpOPPYv2Y/edit?usp=sharing"",""งบพรบ!BY71"")"),0)</f>
        <v>0</v>
      </c>
      <c r="P71" s="180">
        <f t="shared" ca="1" si="29"/>
        <v>0</v>
      </c>
      <c r="Q71" s="179">
        <f t="shared" ca="1" si="30"/>
        <v>0</v>
      </c>
      <c r="R71" s="92">
        <f ca="1">IFERROR(__xludf.DUMMYFUNCTION("IMPORTRANGE(""https://docs.google.com/spreadsheets/d/1j51vR6CYVGhABJpv6tkstgok82RLpXieLzW1yOY5rHw/edit?usp=sharing"",""สิงห์บุรี!J149"")"),0)</f>
        <v>0</v>
      </c>
      <c r="S71" s="92">
        <f ca="1">IFERROR(__xludf.DUMMYFUNCTION("IMPORTRANGE(""https://docs.google.com/spreadsheets/d/1j51vR6CYVGhABJpv6tkstgok82RLpXieLzW1yOY5rHw/edit?usp=sharing"",""สิงห์บุรี!I150"")"),0)</f>
        <v>0</v>
      </c>
      <c r="T71" s="92">
        <f ca="1">IFERROR(__xludf.DUMMYFUNCTION("IMPORTRANGE(""https://docs.google.com/spreadsheets/d/1j51vR6CYVGhABJpv6tkstgok82RLpXieLzW1yOY5rHw/edit?usp=sharing"",""สิงห์บุรี!I151"")"),0)</f>
        <v>0</v>
      </c>
      <c r="U71" s="92">
        <f ca="1">IFERROR(__xludf.DUMMYFUNCTION("IMPORTRANGE(""https://docs.google.com/spreadsheets/d/1j51vR6CYVGhABJpv6tkstgok82RLpXieLzW1yOY5rHw/edit?usp=sharing"",""สิงห์บุรี!J150"")"),0)</f>
        <v>0</v>
      </c>
      <c r="V71" s="93">
        <f t="shared" ca="1" si="32"/>
        <v>0</v>
      </c>
      <c r="W71" s="92">
        <f ca="1">IFERROR(__xludf.DUMMYFUNCTION("IMPORTRANGE(""https://docs.google.com/spreadsheets/d/1j51vR6CYVGhABJpv6tkstgok82RLpXieLzW1yOY5rHw/edit?usp=sharing"",""สิงห์บุรี!J151"")"),0)</f>
        <v>0</v>
      </c>
      <c r="X71" s="93">
        <f t="shared" ca="1" si="33"/>
        <v>0</v>
      </c>
      <c r="Y71" s="92">
        <f ca="1">IFERROR(__xludf.DUMMYFUNCTION("IMPORTRANGE(""https://docs.google.com/spreadsheets/d/1j51vR6CYVGhABJpv6tkstgok82RLpXieLzW1yOY5rHw/edit?usp=sharing"",""สิงห์บุรี!I152"")"),0)</f>
        <v>0</v>
      </c>
      <c r="Z71" s="92">
        <f ca="1">IFERROR(__xludf.DUMMYFUNCTION("IMPORTRANGE(""https://docs.google.com/spreadsheets/d/1j51vR6CYVGhABJpv6tkstgok82RLpXieLzW1yOY5rHw/edit?usp=sharing"",""สิงห์บุรี!I153"")"),0)</f>
        <v>0</v>
      </c>
      <c r="AA71" s="92">
        <f ca="1">IFERROR(__xludf.DUMMYFUNCTION("IMPORTRANGE(""https://docs.google.com/spreadsheets/d/1j51vR6CYVGhABJpv6tkstgok82RLpXieLzW1yOY5rHw/edit?usp=sharing"",""สิงห์บุรี!J152"")"),0)</f>
        <v>0</v>
      </c>
      <c r="AB71" s="93">
        <f t="shared" ca="1" si="35"/>
        <v>0</v>
      </c>
      <c r="AC71" s="92">
        <f ca="1">IFERROR(__xludf.DUMMYFUNCTION("IMPORTRANGE(""https://docs.google.com/spreadsheets/d/1j51vR6CYVGhABJpv6tkstgok82RLpXieLzW1yOY5rHw/edit?usp=sharing"",""สิงห์บุรี!J153"")"),0)</f>
        <v>0</v>
      </c>
      <c r="AD71" s="93">
        <f t="shared" ca="1" si="36"/>
        <v>0</v>
      </c>
      <c r="AE71" s="92">
        <f ca="1">IFERROR(__xludf.DUMMYFUNCTION("IMPORTRANGE(""https://docs.google.com/spreadsheets/d/1j51vR6CYVGhABJpv6tkstgok82RLpXieLzW1yOY5rHw/edit?usp=sharing"",""สิงห์บุรี!I154"")"),0)</f>
        <v>0</v>
      </c>
      <c r="AF71" s="92">
        <f ca="1">IFERROR(__xludf.DUMMYFUNCTION("IMPORTRANGE(""https://docs.google.com/spreadsheets/d/1j51vR6CYVGhABJpv6tkstgok82RLpXieLzW1yOY5rHw/edit?usp=sharing"",""สิงห์บุรี!J154"")"),0)</f>
        <v>0</v>
      </c>
      <c r="AG71" s="93">
        <f t="shared" ca="1" si="38"/>
        <v>0</v>
      </c>
    </row>
    <row r="72" spans="1:33" ht="21" customHeight="1" x14ac:dyDescent="0.3">
      <c r="A72" s="172">
        <v>20</v>
      </c>
      <c r="B72" s="173" t="s">
        <v>94</v>
      </c>
      <c r="C72" s="174">
        <f t="shared" ca="1" si="23"/>
        <v>0</v>
      </c>
      <c r="D72" s="175">
        <f t="shared" ca="1" si="49"/>
        <v>0</v>
      </c>
      <c r="E72" s="176">
        <f ca="1">IFERROR(__xludf.DUMMYFUNCTION("IMPORTRANGE(""https://docs.google.com/spreadsheets/d/1-uDff_7J0KD5mKrp0Vvzr7lt3OU09vwQwhkpOPPYv2Y/edit?usp=sharing"",""งบพรบ!BR72"")"),0)</f>
        <v>0</v>
      </c>
      <c r="F72" s="176">
        <f ca="1">IFERROR(__xludf.DUMMYFUNCTION("IMPORTRANGE(""https://docs.google.com/spreadsheets/d/1-uDff_7J0KD5mKrp0Vvzr7lt3OU09vwQwhkpOPPYv2Y/edit?usp=sharing"",""งบพรบ!BS72"")"),0)</f>
        <v>0</v>
      </c>
      <c r="G72" s="176">
        <f ca="1">IFERROR(__xludf.DUMMYFUNCTION("IMPORTRANGE(""https://docs.google.com/spreadsheets/d/1-uDff_7J0KD5mKrp0Vvzr7lt3OU09vwQwhkpOPPYv2Y/edit?usp=sharing"",""งบพรบ!BT72"")"),0)</f>
        <v>0</v>
      </c>
      <c r="H72" s="176">
        <f ca="1">IFERROR(__xludf.DUMMYFUNCTION("IMPORTRANGE(""https://docs.google.com/spreadsheets/d/1-uDff_7J0KD5mKrp0Vvzr7lt3OU09vwQwhkpOPPYv2Y/edit?usp=sharing"",""งบพรบ!BV72"")"),0)</f>
        <v>0</v>
      </c>
      <c r="I72" s="176">
        <f ca="1">IFERROR(__xludf.DUMMYFUNCTION("IMPORTRANGE(""https://docs.google.com/spreadsheets/d/1-uDff_7J0KD5mKrp0Vvzr7lt3OU09vwQwhkpOPPYv2Y/edit?usp=sharing"",""งบพรบ!BW72"")"),0)</f>
        <v>0</v>
      </c>
      <c r="J72" s="176">
        <f t="shared" ca="1" si="25"/>
        <v>0</v>
      </c>
      <c r="K72" s="181">
        <f t="shared" ca="1" si="26"/>
        <v>0</v>
      </c>
      <c r="L72" s="176">
        <f ca="1">IFERROR(__xludf.DUMMYFUNCTION("IMPORTRANGE(""https://docs.google.com/spreadsheets/d/1-uDff_7J0KD5mKrp0Vvzr7lt3OU09vwQwhkpOPPYv2Y/edit?usp=sharing"",""งบพรบ!BX72"")"),0)</f>
        <v>0</v>
      </c>
      <c r="M72" s="179">
        <f t="shared" ca="1" si="27"/>
        <v>0</v>
      </c>
      <c r="N72" s="179">
        <f t="shared" ca="1" si="28"/>
        <v>0</v>
      </c>
      <c r="O72" s="180">
        <f ca="1">IFERROR(__xludf.DUMMYFUNCTION("IMPORTRANGE(""https://docs.google.com/spreadsheets/d/1-uDff_7J0KD5mKrp0Vvzr7lt3OU09vwQwhkpOPPYv2Y/edit?usp=sharing"",""งบพรบ!BY72"")"),0)</f>
        <v>0</v>
      </c>
      <c r="P72" s="180">
        <f t="shared" ca="1" si="29"/>
        <v>0</v>
      </c>
      <c r="Q72" s="179">
        <f t="shared" ca="1" si="30"/>
        <v>0</v>
      </c>
      <c r="R72" s="92">
        <f ca="1">IFERROR(__xludf.DUMMYFUNCTION("IMPORTRANGE(""https://docs.google.com/spreadsheets/d/1H1EalTWKUSzO4Z1-1CwzoDUaVffgrThEBe2sl74kKG0/edit?usp=sharing"",""สุพรรณบุรี!J149"")"),0)</f>
        <v>0</v>
      </c>
      <c r="S72" s="92">
        <f ca="1">IFERROR(__xludf.DUMMYFUNCTION("IMPORTRANGE(""https://docs.google.com/spreadsheets/d/1H1EalTWKUSzO4Z1-1CwzoDUaVffgrThEBe2sl74kKG0/edit?usp=sharing"",""สุพรรณบุรี!I150"")"),0)</f>
        <v>0</v>
      </c>
      <c r="T72" s="92">
        <f ca="1">IFERROR(__xludf.DUMMYFUNCTION("IMPORTRANGE(""https://docs.google.com/spreadsheets/d/1H1EalTWKUSzO4Z1-1CwzoDUaVffgrThEBe2sl74kKG0/edit?usp=sharing"",""สุพรรณบุรี!I151"")"),0)</f>
        <v>0</v>
      </c>
      <c r="U72" s="92">
        <f ca="1">IFERROR(__xludf.DUMMYFUNCTION("IMPORTRANGE(""https://docs.google.com/spreadsheets/d/1H1EalTWKUSzO4Z1-1CwzoDUaVffgrThEBe2sl74kKG0/edit?usp=sharing"",""สุพรรณบุรี!J150"")"),0)</f>
        <v>0</v>
      </c>
      <c r="V72" s="93">
        <f t="shared" ca="1" si="32"/>
        <v>0</v>
      </c>
      <c r="W72" s="92">
        <f ca="1">IFERROR(__xludf.DUMMYFUNCTION("IMPORTRANGE(""https://docs.google.com/spreadsheets/d/1H1EalTWKUSzO4Z1-1CwzoDUaVffgrThEBe2sl74kKG0/edit?usp=sharing"",""สุพรรณบุรี!J151"")"),0)</f>
        <v>0</v>
      </c>
      <c r="X72" s="93">
        <f t="shared" ca="1" si="33"/>
        <v>0</v>
      </c>
      <c r="Y72" s="92">
        <f ca="1">IFERROR(__xludf.DUMMYFUNCTION("IMPORTRANGE(""https://docs.google.com/spreadsheets/d/1H1EalTWKUSzO4Z1-1CwzoDUaVffgrThEBe2sl74kKG0/edit?usp=sharing"",""สุพรรณบุรี!I152"")"),0)</f>
        <v>0</v>
      </c>
      <c r="Z72" s="92">
        <f ca="1">IFERROR(__xludf.DUMMYFUNCTION("IMPORTRANGE(""https://docs.google.com/spreadsheets/d/1H1EalTWKUSzO4Z1-1CwzoDUaVffgrThEBe2sl74kKG0/edit?usp=sharing"",""สุพรรณบุรี!I153"")"),0)</f>
        <v>0</v>
      </c>
      <c r="AA72" s="92">
        <f ca="1">IFERROR(__xludf.DUMMYFUNCTION("IMPORTRANGE(""https://docs.google.com/spreadsheets/d/1H1EalTWKUSzO4Z1-1CwzoDUaVffgrThEBe2sl74kKG0/edit?usp=sharing"",""สุพรรณบุรี!J152"")"),0)</f>
        <v>0</v>
      </c>
      <c r="AB72" s="93">
        <f t="shared" ca="1" si="35"/>
        <v>0</v>
      </c>
      <c r="AC72" s="92">
        <f ca="1">IFERROR(__xludf.DUMMYFUNCTION("IMPORTRANGE(""https://docs.google.com/spreadsheets/d/1H1EalTWKUSzO4Z1-1CwzoDUaVffgrThEBe2sl74kKG0/edit?usp=sharing"",""สุพรรณบุรี!J153"")"),0)</f>
        <v>0</v>
      </c>
      <c r="AD72" s="93">
        <f t="shared" ca="1" si="36"/>
        <v>0</v>
      </c>
      <c r="AE72" s="92">
        <f ca="1">IFERROR(__xludf.DUMMYFUNCTION("IMPORTRANGE(""https://docs.google.com/spreadsheets/d/1H1EalTWKUSzO4Z1-1CwzoDUaVffgrThEBe2sl74kKG0/edit?usp=sharing"",""สุพรรณบุรี!I154"")"),0)</f>
        <v>0</v>
      </c>
      <c r="AF72" s="92">
        <f ca="1">IFERROR(__xludf.DUMMYFUNCTION("IMPORTRANGE(""https://docs.google.com/spreadsheets/d/1H1EalTWKUSzO4Z1-1CwzoDUaVffgrThEBe2sl74kKG0/edit?usp=sharing"",""สุพรรณบุรี!J154"")"),0)</f>
        <v>0</v>
      </c>
      <c r="AG72" s="93">
        <f t="shared" ca="1" si="38"/>
        <v>0</v>
      </c>
    </row>
    <row r="73" spans="1:33" ht="21" customHeight="1" x14ac:dyDescent="0.3">
      <c r="A73" s="182">
        <v>21</v>
      </c>
      <c r="B73" s="183" t="s">
        <v>95</v>
      </c>
      <c r="C73" s="184">
        <f t="shared" ca="1" si="23"/>
        <v>0</v>
      </c>
      <c r="D73" s="185">
        <f t="shared" ca="1" si="49"/>
        <v>0</v>
      </c>
      <c r="E73" s="186">
        <f ca="1">IFERROR(__xludf.DUMMYFUNCTION("IMPORTRANGE(""https://docs.google.com/spreadsheets/d/1-uDff_7J0KD5mKrp0Vvzr7lt3OU09vwQwhkpOPPYv2Y/edit?usp=sharing"",""งบพรบ!BR73"")"),0)</f>
        <v>0</v>
      </c>
      <c r="F73" s="186">
        <f ca="1">IFERROR(__xludf.DUMMYFUNCTION("IMPORTRANGE(""https://docs.google.com/spreadsheets/d/1-uDff_7J0KD5mKrp0Vvzr7lt3OU09vwQwhkpOPPYv2Y/edit?usp=sharing"",""งบพรบ!BS73"")"),0)</f>
        <v>0</v>
      </c>
      <c r="G73" s="186">
        <f ca="1">IFERROR(__xludf.DUMMYFUNCTION("IMPORTRANGE(""https://docs.google.com/spreadsheets/d/1-uDff_7J0KD5mKrp0Vvzr7lt3OU09vwQwhkpOPPYv2Y/edit?usp=sharing"",""งบพรบ!BT73"")"),0)</f>
        <v>0</v>
      </c>
      <c r="H73" s="186">
        <f ca="1">IFERROR(__xludf.DUMMYFUNCTION("IMPORTRANGE(""https://docs.google.com/spreadsheets/d/1-uDff_7J0KD5mKrp0Vvzr7lt3OU09vwQwhkpOPPYv2Y/edit?usp=sharing"",""งบพรบ!BV73"")"),0)</f>
        <v>0</v>
      </c>
      <c r="I73" s="186">
        <f ca="1">IFERROR(__xludf.DUMMYFUNCTION("IMPORTRANGE(""https://docs.google.com/spreadsheets/d/1-uDff_7J0KD5mKrp0Vvzr7lt3OU09vwQwhkpOPPYv2Y/edit?usp=sharing"",""งบพรบ!BW73"")"),0)</f>
        <v>0</v>
      </c>
      <c r="J73" s="186">
        <f t="shared" ca="1" si="25"/>
        <v>0</v>
      </c>
      <c r="K73" s="187">
        <f t="shared" ca="1" si="26"/>
        <v>0</v>
      </c>
      <c r="L73" s="186">
        <f ca="1">IFERROR(__xludf.DUMMYFUNCTION("IMPORTRANGE(""https://docs.google.com/spreadsheets/d/1-uDff_7J0KD5mKrp0Vvzr7lt3OU09vwQwhkpOPPYv2Y/edit?usp=sharing"",""งบพรบ!BX73"")"),0)</f>
        <v>0</v>
      </c>
      <c r="M73" s="188">
        <f t="shared" ca="1" si="27"/>
        <v>0</v>
      </c>
      <c r="N73" s="188">
        <f t="shared" ca="1" si="28"/>
        <v>0</v>
      </c>
      <c r="O73" s="189">
        <f ca="1">IFERROR(__xludf.DUMMYFUNCTION("IMPORTRANGE(""https://docs.google.com/spreadsheets/d/1-uDff_7J0KD5mKrp0Vvzr7lt3OU09vwQwhkpOPPYv2Y/edit?usp=sharing"",""งบพรบ!BY73"")"),0)</f>
        <v>0</v>
      </c>
      <c r="P73" s="189">
        <f t="shared" ca="1" si="29"/>
        <v>0</v>
      </c>
      <c r="Q73" s="188">
        <f t="shared" ca="1" si="30"/>
        <v>0</v>
      </c>
      <c r="R73" s="103">
        <f ca="1">IFERROR(__xludf.DUMMYFUNCTION("IMPORTRANGE(""https://docs.google.com/spreadsheets/d/1BmIruG_sIrJLYao_Pdr7zVArWsfoBt2692TMi6x_854/edit?usp=sharing"",""อ่างทอง!J149"")"),0)</f>
        <v>0</v>
      </c>
      <c r="S73" s="103">
        <f ca="1">IFERROR(__xludf.DUMMYFUNCTION("IMPORTRANGE(""https://docs.google.com/spreadsheets/d/1BmIruG_sIrJLYao_Pdr7zVArWsfoBt2692TMi6x_854/edit?usp=sharing"",""อ่างทอง!I150"")"),0)</f>
        <v>0</v>
      </c>
      <c r="T73" s="103">
        <f ca="1">IFERROR(__xludf.DUMMYFUNCTION("IMPORTRANGE(""https://docs.google.com/spreadsheets/d/1BmIruG_sIrJLYao_Pdr7zVArWsfoBt2692TMi6x_854/edit?usp=sharing"",""อ่างทอง!I151"")"),0)</f>
        <v>0</v>
      </c>
      <c r="U73" s="103">
        <f ca="1">IFERROR(__xludf.DUMMYFUNCTION("IMPORTRANGE(""https://docs.google.com/spreadsheets/d/1BmIruG_sIrJLYao_Pdr7zVArWsfoBt2692TMi6x_854/edit?usp=sharing"",""อ่างทอง!J150"")"),0)</f>
        <v>0</v>
      </c>
      <c r="V73" s="104">
        <f t="shared" ca="1" si="32"/>
        <v>0</v>
      </c>
      <c r="W73" s="103">
        <f ca="1">IFERROR(__xludf.DUMMYFUNCTION("IMPORTRANGE(""https://docs.google.com/spreadsheets/d/1BmIruG_sIrJLYao_Pdr7zVArWsfoBt2692TMi6x_854/edit?usp=sharing"",""อ่างทอง!J151"")"),0)</f>
        <v>0</v>
      </c>
      <c r="X73" s="104">
        <f t="shared" ca="1" si="33"/>
        <v>0</v>
      </c>
      <c r="Y73" s="103">
        <f ca="1">IFERROR(__xludf.DUMMYFUNCTION("IMPORTRANGE(""https://docs.google.com/spreadsheets/d/1BmIruG_sIrJLYao_Pdr7zVArWsfoBt2692TMi6x_854/edit?usp=sharing"",""อ่างทอง!I152"")"),0)</f>
        <v>0</v>
      </c>
      <c r="Z73" s="103">
        <f ca="1">IFERROR(__xludf.DUMMYFUNCTION("IMPORTRANGE(""https://docs.google.com/spreadsheets/d/1BmIruG_sIrJLYao_Pdr7zVArWsfoBt2692TMi6x_854/edit?usp=sharing"",""อ่างทอง!I153"")"),0)</f>
        <v>0</v>
      </c>
      <c r="AA73" s="103">
        <f ca="1">IFERROR(__xludf.DUMMYFUNCTION("IMPORTRANGE(""https://docs.google.com/spreadsheets/d/1BmIruG_sIrJLYao_Pdr7zVArWsfoBt2692TMi6x_854/edit?usp=sharing"",""อ่างทอง!J152"")"),0)</f>
        <v>0</v>
      </c>
      <c r="AB73" s="104">
        <f t="shared" ca="1" si="35"/>
        <v>0</v>
      </c>
      <c r="AC73" s="103">
        <f ca="1">IFERROR(__xludf.DUMMYFUNCTION("IMPORTRANGE(""https://docs.google.com/spreadsheets/d/1BmIruG_sIrJLYao_Pdr7zVArWsfoBt2692TMi6x_854/edit?usp=sharing"",""อ่างทอง!J153"")"),0)</f>
        <v>0</v>
      </c>
      <c r="AD73" s="104">
        <f t="shared" ca="1" si="36"/>
        <v>0</v>
      </c>
      <c r="AE73" s="103">
        <f ca="1">IFERROR(__xludf.DUMMYFUNCTION("IMPORTRANGE(""https://docs.google.com/spreadsheets/d/1BmIruG_sIrJLYao_Pdr7zVArWsfoBt2692TMi6x_854/edit?usp=sharing"",""อ่างทอง!I154"")"),0)</f>
        <v>0</v>
      </c>
      <c r="AF73" s="103">
        <f ca="1">IFERROR(__xludf.DUMMYFUNCTION("IMPORTRANGE(""https://docs.google.com/spreadsheets/d/1BmIruG_sIrJLYao_Pdr7zVArWsfoBt2692TMi6x_854/edit?usp=sharing"",""อ่างทอง!J154"")"),0)</f>
        <v>0</v>
      </c>
      <c r="AG73" s="104">
        <f t="shared" ca="1" si="38"/>
        <v>0</v>
      </c>
    </row>
    <row r="74" spans="1:33" ht="21" customHeight="1" x14ac:dyDescent="0.3">
      <c r="A74" s="421" t="s">
        <v>96</v>
      </c>
      <c r="B74" s="422"/>
      <c r="C74" s="154">
        <f t="shared" ca="1" si="23"/>
        <v>597100</v>
      </c>
      <c r="D74" s="154">
        <f t="shared" ref="D74:I74" ca="1" si="50">SUM(D75:D88)</f>
        <v>597100</v>
      </c>
      <c r="E74" s="154">
        <f t="shared" ca="1" si="50"/>
        <v>254600</v>
      </c>
      <c r="F74" s="154">
        <f t="shared" ca="1" si="50"/>
        <v>342500</v>
      </c>
      <c r="G74" s="154">
        <f t="shared" ca="1" si="50"/>
        <v>0</v>
      </c>
      <c r="H74" s="154">
        <f t="shared" ca="1" si="50"/>
        <v>490000</v>
      </c>
      <c r="I74" s="154">
        <f t="shared" ca="1" si="50"/>
        <v>0</v>
      </c>
      <c r="J74" s="154">
        <f t="shared" ca="1" si="25"/>
        <v>102299.4</v>
      </c>
      <c r="K74" s="155">
        <f t="shared" ca="1" si="26"/>
        <v>17.132708089097303</v>
      </c>
      <c r="L74" s="154">
        <f ca="1">SUM(L75:L88)</f>
        <v>102299.4</v>
      </c>
      <c r="M74" s="156">
        <f t="shared" ca="1" si="27"/>
        <v>17.132708089097303</v>
      </c>
      <c r="N74" s="156">
        <f t="shared" ca="1" si="28"/>
        <v>20.87742857142857</v>
      </c>
      <c r="O74" s="157">
        <f ca="1">SUM(O75:O88)</f>
        <v>0</v>
      </c>
      <c r="P74" s="157">
        <f t="shared" ca="1" si="29"/>
        <v>0</v>
      </c>
      <c r="Q74" s="156">
        <f t="shared" ca="1" si="30"/>
        <v>0</v>
      </c>
      <c r="R74" s="68">
        <f t="shared" ref="R74:U74" ca="1" si="51">SUM(R75:R88)</f>
        <v>0</v>
      </c>
      <c r="S74" s="68">
        <f t="shared" ca="1" si="51"/>
        <v>50</v>
      </c>
      <c r="T74" s="68">
        <f t="shared" ca="1" si="51"/>
        <v>5</v>
      </c>
      <c r="U74" s="68">
        <f t="shared" ca="1" si="51"/>
        <v>0</v>
      </c>
      <c r="V74" s="107">
        <f t="shared" ca="1" si="32"/>
        <v>0</v>
      </c>
      <c r="W74" s="68">
        <f ca="1">SUM(W75:W88)</f>
        <v>0</v>
      </c>
      <c r="X74" s="107">
        <f t="shared" ca="1" si="33"/>
        <v>0</v>
      </c>
      <c r="Y74" s="68">
        <f t="shared" ref="Y74:AA74" ca="1" si="52">SUM(Y75:Y88)</f>
        <v>200</v>
      </c>
      <c r="Z74" s="68">
        <f t="shared" ca="1" si="52"/>
        <v>20</v>
      </c>
      <c r="AA74" s="68">
        <f t="shared" ca="1" si="52"/>
        <v>0</v>
      </c>
      <c r="AB74" s="107">
        <f t="shared" ca="1" si="35"/>
        <v>0</v>
      </c>
      <c r="AC74" s="68">
        <f ca="1">SUM(AC75:AC88)</f>
        <v>0</v>
      </c>
      <c r="AD74" s="107">
        <f t="shared" ca="1" si="36"/>
        <v>0</v>
      </c>
      <c r="AE74" s="68">
        <f t="shared" ref="AE74:AF74" ca="1" si="53">SUM(AE75:AE88)</f>
        <v>5</v>
      </c>
      <c r="AF74" s="68">
        <f t="shared" ca="1" si="53"/>
        <v>0</v>
      </c>
      <c r="AG74" s="107">
        <f t="shared" ca="1" si="38"/>
        <v>0</v>
      </c>
    </row>
    <row r="75" spans="1:33" ht="21" customHeight="1" x14ac:dyDescent="0.3">
      <c r="A75" s="172">
        <v>1</v>
      </c>
      <c r="B75" s="173" t="s">
        <v>97</v>
      </c>
      <c r="C75" s="174">
        <f t="shared" ca="1" si="23"/>
        <v>0</v>
      </c>
      <c r="D75" s="175">
        <f t="shared" ref="D75:D88" ca="1" si="54">+E75+F75</f>
        <v>0</v>
      </c>
      <c r="E75" s="176">
        <f ca="1">IFERROR(__xludf.DUMMYFUNCTION("IMPORTRANGE(""https://docs.google.com/spreadsheets/d/1-uDff_7J0KD5mKrp0Vvzr7lt3OU09vwQwhkpOPPYv2Y/edit?usp=sharing"",""งบพรบ!BR75"")"),0)</f>
        <v>0</v>
      </c>
      <c r="F75" s="176">
        <f ca="1">IFERROR(__xludf.DUMMYFUNCTION("IMPORTRANGE(""https://docs.google.com/spreadsheets/d/1-uDff_7J0KD5mKrp0Vvzr7lt3OU09vwQwhkpOPPYv2Y/edit?usp=sharing"",""งบพรบ!BS75"")"),0)</f>
        <v>0</v>
      </c>
      <c r="G75" s="176">
        <f ca="1">IFERROR(__xludf.DUMMYFUNCTION("IMPORTRANGE(""https://docs.google.com/spreadsheets/d/1-uDff_7J0KD5mKrp0Vvzr7lt3OU09vwQwhkpOPPYv2Y/edit?usp=sharing"",""งบพรบ!BT75"")"),0)</f>
        <v>0</v>
      </c>
      <c r="H75" s="176">
        <f ca="1">IFERROR(__xludf.DUMMYFUNCTION("IMPORTRANGE(""https://docs.google.com/spreadsheets/d/1-uDff_7J0KD5mKrp0Vvzr7lt3OU09vwQwhkpOPPYv2Y/edit?usp=sharing"",""งบพรบ!BV75"")"),0)</f>
        <v>0</v>
      </c>
      <c r="I75" s="176">
        <f ca="1">IFERROR(__xludf.DUMMYFUNCTION("IMPORTRANGE(""https://docs.google.com/spreadsheets/d/1-uDff_7J0KD5mKrp0Vvzr7lt3OU09vwQwhkpOPPYv2Y/edit?usp=sharing"",""งบพรบ!BW75"")"),0)</f>
        <v>0</v>
      </c>
      <c r="J75" s="176">
        <f t="shared" ca="1" si="25"/>
        <v>0</v>
      </c>
      <c r="K75" s="181">
        <f t="shared" ca="1" si="26"/>
        <v>0</v>
      </c>
      <c r="L75" s="176">
        <f ca="1">IFERROR(__xludf.DUMMYFUNCTION("IMPORTRANGE(""https://docs.google.com/spreadsheets/d/1-uDff_7J0KD5mKrp0Vvzr7lt3OU09vwQwhkpOPPYv2Y/edit?usp=sharing"",""งบพรบ!BX75"")"),0)</f>
        <v>0</v>
      </c>
      <c r="M75" s="179">
        <f t="shared" ca="1" si="27"/>
        <v>0</v>
      </c>
      <c r="N75" s="179">
        <f t="shared" ca="1" si="28"/>
        <v>0</v>
      </c>
      <c r="O75" s="180">
        <f ca="1">IFERROR(__xludf.DUMMYFUNCTION("IMPORTRANGE(""https://docs.google.com/spreadsheets/d/1-uDff_7J0KD5mKrp0Vvzr7lt3OU09vwQwhkpOPPYv2Y/edit?usp=sharing"",""งบพรบ!BY75"")"),0)</f>
        <v>0</v>
      </c>
      <c r="P75" s="180">
        <f t="shared" ca="1" si="29"/>
        <v>0</v>
      </c>
      <c r="Q75" s="179">
        <f t="shared" ca="1" si="30"/>
        <v>0</v>
      </c>
      <c r="R75" s="79">
        <f ca="1">IFERROR(__xludf.DUMMYFUNCTION("IMPORTRANGE(""https://docs.google.com/spreadsheets/d/1kKUcYdkIfrgTSj8iHHHB2MD2FAtwyyocFgqGQn6ADyI/edit?usp=sharing"",""กระบี่!J149"")"),0)</f>
        <v>0</v>
      </c>
      <c r="S75" s="79">
        <f ca="1">IFERROR(__xludf.DUMMYFUNCTION("IMPORTRANGE(""https://docs.google.com/spreadsheets/d/1kKUcYdkIfrgTSj8iHHHB2MD2FAtwyyocFgqGQn6ADyI/edit?usp=sharing"",""กระบี่!I150"")"),0)</f>
        <v>0</v>
      </c>
      <c r="T75" s="79">
        <f ca="1">IFERROR(__xludf.DUMMYFUNCTION("IMPORTRANGE(""https://docs.google.com/spreadsheets/d/1kKUcYdkIfrgTSj8iHHHB2MD2FAtwyyocFgqGQn6ADyI/edit?usp=sharing"",""กระบี่!I151"")"),0)</f>
        <v>0</v>
      </c>
      <c r="U75" s="79">
        <f ca="1">IFERROR(__xludf.DUMMYFUNCTION("IMPORTRANGE(""https://docs.google.com/spreadsheets/d/1kKUcYdkIfrgTSj8iHHHB2MD2FAtwyyocFgqGQn6ADyI/edit?usp=sharing"",""กระบี่!J150"")"),0)</f>
        <v>0</v>
      </c>
      <c r="V75" s="83">
        <f t="shared" ca="1" si="32"/>
        <v>0</v>
      </c>
      <c r="W75" s="79">
        <f ca="1">IFERROR(__xludf.DUMMYFUNCTION("IMPORTRANGE(""https://docs.google.com/spreadsheets/d/1kKUcYdkIfrgTSj8iHHHB2MD2FAtwyyocFgqGQn6ADyI/edit?usp=sharing"",""กระบี่!J151"")"),0)</f>
        <v>0</v>
      </c>
      <c r="X75" s="83">
        <f t="shared" ca="1" si="33"/>
        <v>0</v>
      </c>
      <c r="Y75" s="79">
        <f ca="1">IFERROR(__xludf.DUMMYFUNCTION("IMPORTRANGE(""https://docs.google.com/spreadsheets/d/1kKUcYdkIfrgTSj8iHHHB2MD2FAtwyyocFgqGQn6ADyI/edit?usp=sharing"",""กระบี่!I152"")"),0)</f>
        <v>0</v>
      </c>
      <c r="Z75" s="79">
        <f ca="1">IFERROR(__xludf.DUMMYFUNCTION("IMPORTRANGE(""https://docs.google.com/spreadsheets/d/1kKUcYdkIfrgTSj8iHHHB2MD2FAtwyyocFgqGQn6ADyI/edit?usp=sharing"",""กระบี่!I153"")"),0)</f>
        <v>0</v>
      </c>
      <c r="AA75" s="79">
        <f ca="1">IFERROR(__xludf.DUMMYFUNCTION("IMPORTRANGE(""https://docs.google.com/spreadsheets/d/1kKUcYdkIfrgTSj8iHHHB2MD2FAtwyyocFgqGQn6ADyI/edit?usp=sharing"",""กระบี่!J152"")"),0)</f>
        <v>0</v>
      </c>
      <c r="AB75" s="83">
        <f t="shared" ca="1" si="35"/>
        <v>0</v>
      </c>
      <c r="AC75" s="79">
        <f ca="1">IFERROR(__xludf.DUMMYFUNCTION("IMPORTRANGE(""https://docs.google.com/spreadsheets/d/1kKUcYdkIfrgTSj8iHHHB2MD2FAtwyyocFgqGQn6ADyI/edit?usp=sharing"",""กระบี่!J153"")"),0)</f>
        <v>0</v>
      </c>
      <c r="AD75" s="83">
        <f t="shared" ca="1" si="36"/>
        <v>0</v>
      </c>
      <c r="AE75" s="79">
        <f ca="1">IFERROR(__xludf.DUMMYFUNCTION("IMPORTRANGE(""https://docs.google.com/spreadsheets/d/1kKUcYdkIfrgTSj8iHHHB2MD2FAtwyyocFgqGQn6ADyI/edit?usp=sharing"",""กระบี่!I154"")"),0)</f>
        <v>0</v>
      </c>
      <c r="AF75" s="79">
        <f ca="1">IFERROR(__xludf.DUMMYFUNCTION("IMPORTRANGE(""https://docs.google.com/spreadsheets/d/1kKUcYdkIfrgTSj8iHHHB2MD2FAtwyyocFgqGQn6ADyI/edit?usp=sharing"",""กระบี่!J154"")"),0)</f>
        <v>0</v>
      </c>
      <c r="AG75" s="83">
        <f t="shared" ca="1" si="38"/>
        <v>0</v>
      </c>
    </row>
    <row r="76" spans="1:33" ht="21" customHeight="1" x14ac:dyDescent="0.3">
      <c r="A76" s="172">
        <v>2</v>
      </c>
      <c r="B76" s="173" t="s">
        <v>98</v>
      </c>
      <c r="C76" s="174">
        <f t="shared" ca="1" si="23"/>
        <v>111200</v>
      </c>
      <c r="D76" s="175">
        <f t="shared" ca="1" si="54"/>
        <v>111200</v>
      </c>
      <c r="E76" s="176">
        <f ca="1">IFERROR(__xludf.DUMMYFUNCTION("IMPORTRANGE(""https://docs.google.com/spreadsheets/d/1-uDff_7J0KD5mKrp0Vvzr7lt3OU09vwQwhkpOPPYv2Y/edit?usp=sharing"",""งบพรบ!BR76"")"),79600)</f>
        <v>79600</v>
      </c>
      <c r="F76" s="176">
        <f ca="1">IFERROR(__xludf.DUMMYFUNCTION("IMPORTRANGE(""https://docs.google.com/spreadsheets/d/1-uDff_7J0KD5mKrp0Vvzr7lt3OU09vwQwhkpOPPYv2Y/edit?usp=sharing"",""งบพรบ!BS76"")"),31600)</f>
        <v>31600</v>
      </c>
      <c r="G76" s="176">
        <f ca="1">IFERROR(__xludf.DUMMYFUNCTION("IMPORTRANGE(""https://docs.google.com/spreadsheets/d/1-uDff_7J0KD5mKrp0Vvzr7lt3OU09vwQwhkpOPPYv2Y/edit?usp=sharing"",""งบพรบ!BT76"")"),0)</f>
        <v>0</v>
      </c>
      <c r="H76" s="176">
        <f ca="1">IFERROR(__xludf.DUMMYFUNCTION("IMPORTRANGE(""https://docs.google.com/spreadsheets/d/1-uDff_7J0KD5mKrp0Vvzr7lt3OU09vwQwhkpOPPYv2Y/edit?usp=sharing"",""งบพรบ!BV76"")"),83600)</f>
        <v>83600</v>
      </c>
      <c r="I76" s="176">
        <f ca="1">IFERROR(__xludf.DUMMYFUNCTION("IMPORTRANGE(""https://docs.google.com/spreadsheets/d/1-uDff_7J0KD5mKrp0Vvzr7lt3OU09vwQwhkpOPPYv2Y/edit?usp=sharing"",""งบพรบ!BW76"")"),0)</f>
        <v>0</v>
      </c>
      <c r="J76" s="176">
        <f t="shared" ca="1" si="25"/>
        <v>25320</v>
      </c>
      <c r="K76" s="181">
        <f t="shared" ca="1" si="26"/>
        <v>22.769784172661872</v>
      </c>
      <c r="L76" s="176">
        <f ca="1">IFERROR(__xludf.DUMMYFUNCTION("IMPORTRANGE(""https://docs.google.com/spreadsheets/d/1-uDff_7J0KD5mKrp0Vvzr7lt3OU09vwQwhkpOPPYv2Y/edit?usp=sharing"",""งบพรบ!BX76"")"),25320)</f>
        <v>25320</v>
      </c>
      <c r="M76" s="179">
        <f t="shared" ca="1" si="27"/>
        <v>22.769784172661872</v>
      </c>
      <c r="N76" s="179">
        <f t="shared" ca="1" si="28"/>
        <v>30.28708133971292</v>
      </c>
      <c r="O76" s="180">
        <f ca="1">IFERROR(__xludf.DUMMYFUNCTION("IMPORTRANGE(""https://docs.google.com/spreadsheets/d/1-uDff_7J0KD5mKrp0Vvzr7lt3OU09vwQwhkpOPPYv2Y/edit?usp=sharing"",""งบพรบ!BY76"")"),0)</f>
        <v>0</v>
      </c>
      <c r="P76" s="180">
        <f t="shared" ca="1" si="29"/>
        <v>0</v>
      </c>
      <c r="Q76" s="179">
        <f t="shared" ca="1" si="30"/>
        <v>0</v>
      </c>
      <c r="R76" s="92">
        <f ca="1">IFERROR(__xludf.DUMMYFUNCTION("IMPORTRANGE(""https://docs.google.com/spreadsheets/d/1GwtLaSlNZkLk7iDqcyZz22giiy40b_usZZBXYciEN1U/edit?usp=sharing"",""ชุมพร!J149"")"),0)</f>
        <v>0</v>
      </c>
      <c r="S76" s="92">
        <f ca="1">IFERROR(__xludf.DUMMYFUNCTION("IMPORTRANGE(""https://docs.google.com/spreadsheets/d/1GwtLaSlNZkLk7iDqcyZz22giiy40b_usZZBXYciEN1U/edit?usp=sharing"",""ชุมพร!I150"")"),0)</f>
        <v>0</v>
      </c>
      <c r="T76" s="92">
        <f ca="1">IFERROR(__xludf.DUMMYFUNCTION("IMPORTRANGE(""https://docs.google.com/spreadsheets/d/1GwtLaSlNZkLk7iDqcyZz22giiy40b_usZZBXYciEN1U/edit?usp=sharing"",""ชุมพร!I151"")"),0)</f>
        <v>0</v>
      </c>
      <c r="U76" s="92">
        <f ca="1">IFERROR(__xludf.DUMMYFUNCTION("IMPORTRANGE(""https://docs.google.com/spreadsheets/d/1GwtLaSlNZkLk7iDqcyZz22giiy40b_usZZBXYciEN1U/edit?usp=sharing"",""ชุมพร!J150"")"),0)</f>
        <v>0</v>
      </c>
      <c r="V76" s="93">
        <f t="shared" ca="1" si="32"/>
        <v>0</v>
      </c>
      <c r="W76" s="92">
        <f ca="1">IFERROR(__xludf.DUMMYFUNCTION("IMPORTRANGE(""https://docs.google.com/spreadsheets/d/1GwtLaSlNZkLk7iDqcyZz22giiy40b_usZZBXYciEN1U/edit?usp=sharing"",""ชุมพร!J151"")"),0)</f>
        <v>0</v>
      </c>
      <c r="X76" s="93">
        <f t="shared" ca="1" si="33"/>
        <v>0</v>
      </c>
      <c r="Y76" s="92">
        <f ca="1">IFERROR(__xludf.DUMMYFUNCTION("IMPORTRANGE(""https://docs.google.com/spreadsheets/d/1GwtLaSlNZkLk7iDqcyZz22giiy40b_usZZBXYciEN1U/edit?usp=sharing"",""ชุมพร!I152"")"),20)</f>
        <v>20</v>
      </c>
      <c r="Z76" s="92">
        <f ca="1">IFERROR(__xludf.DUMMYFUNCTION("IMPORTRANGE(""https://docs.google.com/spreadsheets/d/1GwtLaSlNZkLk7iDqcyZz22giiy40b_usZZBXYciEN1U/edit?usp=sharing"",""ชุมพร!I153"")"),2)</f>
        <v>2</v>
      </c>
      <c r="AA76" s="92">
        <f ca="1">IFERROR(__xludf.DUMMYFUNCTION("IMPORTRANGE(""https://docs.google.com/spreadsheets/d/1GwtLaSlNZkLk7iDqcyZz22giiy40b_usZZBXYciEN1U/edit?usp=sharing"",""ชุมพร!J152"")"),0)</f>
        <v>0</v>
      </c>
      <c r="AB76" s="93">
        <f t="shared" ca="1" si="35"/>
        <v>0</v>
      </c>
      <c r="AC76" s="92">
        <f ca="1">IFERROR(__xludf.DUMMYFUNCTION("IMPORTRANGE(""https://docs.google.com/spreadsheets/d/1GwtLaSlNZkLk7iDqcyZz22giiy40b_usZZBXYciEN1U/edit?usp=sharing"",""ชุมพร!J153"")"),0)</f>
        <v>0</v>
      </c>
      <c r="AD76" s="93">
        <f t="shared" ca="1" si="36"/>
        <v>0</v>
      </c>
      <c r="AE76" s="92">
        <f ca="1">IFERROR(__xludf.DUMMYFUNCTION("IMPORTRANGE(""https://docs.google.com/spreadsheets/d/1GwtLaSlNZkLk7iDqcyZz22giiy40b_usZZBXYciEN1U/edit?usp=sharing"",""ชุมพร!I154"")"),0)</f>
        <v>0</v>
      </c>
      <c r="AF76" s="92">
        <f ca="1">IFERROR(__xludf.DUMMYFUNCTION("IMPORTRANGE(""https://docs.google.com/spreadsheets/d/1GwtLaSlNZkLk7iDqcyZz22giiy40b_usZZBXYciEN1U/edit?usp=sharing"",""ชุมพร!J154"")"),0)</f>
        <v>0</v>
      </c>
      <c r="AG76" s="93">
        <f t="shared" ca="1" si="38"/>
        <v>0</v>
      </c>
    </row>
    <row r="77" spans="1:33" ht="21" customHeight="1" x14ac:dyDescent="0.3">
      <c r="A77" s="172">
        <v>3</v>
      </c>
      <c r="B77" s="173" t="s">
        <v>99</v>
      </c>
      <c r="C77" s="174">
        <f t="shared" ca="1" si="23"/>
        <v>137700</v>
      </c>
      <c r="D77" s="175">
        <f t="shared" ca="1" si="54"/>
        <v>137700</v>
      </c>
      <c r="E77" s="176">
        <f ca="1">IFERROR(__xludf.DUMMYFUNCTION("IMPORTRANGE(""https://docs.google.com/spreadsheets/d/1-uDff_7J0KD5mKrp0Vvzr7lt3OU09vwQwhkpOPPYv2Y/edit?usp=sharing"",""งบพรบ!BR77"")"),87800)</f>
        <v>87800</v>
      </c>
      <c r="F77" s="176">
        <f ca="1">IFERROR(__xludf.DUMMYFUNCTION("IMPORTRANGE(""https://docs.google.com/spreadsheets/d/1-uDff_7J0KD5mKrp0Vvzr7lt3OU09vwQwhkpOPPYv2Y/edit?usp=sharing"",""งบพรบ!BS77"")"),49900)</f>
        <v>49900</v>
      </c>
      <c r="G77" s="176">
        <f ca="1">IFERROR(__xludf.DUMMYFUNCTION("IMPORTRANGE(""https://docs.google.com/spreadsheets/d/1-uDff_7J0KD5mKrp0Vvzr7lt3OU09vwQwhkpOPPYv2Y/edit?usp=sharing"",""งบพรบ!BT77"")"),0)</f>
        <v>0</v>
      </c>
      <c r="H77" s="176">
        <f ca="1">IFERROR(__xludf.DUMMYFUNCTION("IMPORTRANGE(""https://docs.google.com/spreadsheets/d/1-uDff_7J0KD5mKrp0Vvzr7lt3OU09vwQwhkpOPPYv2Y/edit?usp=sharing"",""งบพรบ!BV77"")"),107900)</f>
        <v>107900</v>
      </c>
      <c r="I77" s="176">
        <f ca="1">IFERROR(__xludf.DUMMYFUNCTION("IMPORTRANGE(""https://docs.google.com/spreadsheets/d/1-uDff_7J0KD5mKrp0Vvzr7lt3OU09vwQwhkpOPPYv2Y/edit?usp=sharing"",""งบพรบ!BW77"")"),0)</f>
        <v>0</v>
      </c>
      <c r="J77" s="176">
        <f t="shared" ca="1" si="25"/>
        <v>51569.4</v>
      </c>
      <c r="K77" s="181">
        <f t="shared" ca="1" si="26"/>
        <v>37.450544662309369</v>
      </c>
      <c r="L77" s="176">
        <f ca="1">IFERROR(__xludf.DUMMYFUNCTION("IMPORTRANGE(""https://docs.google.com/spreadsheets/d/1-uDff_7J0KD5mKrp0Vvzr7lt3OU09vwQwhkpOPPYv2Y/edit?usp=sharing"",""งบพรบ!BX77"")"),51569.4)</f>
        <v>51569.4</v>
      </c>
      <c r="M77" s="179">
        <f t="shared" ca="1" si="27"/>
        <v>37.450544662309369</v>
      </c>
      <c r="N77" s="179">
        <f t="shared" ca="1" si="28"/>
        <v>47.793697868396663</v>
      </c>
      <c r="O77" s="180">
        <f ca="1">IFERROR(__xludf.DUMMYFUNCTION("IMPORTRANGE(""https://docs.google.com/spreadsheets/d/1-uDff_7J0KD5mKrp0Vvzr7lt3OU09vwQwhkpOPPYv2Y/edit?usp=sharing"",""งบพรบ!BY77"")"),0)</f>
        <v>0</v>
      </c>
      <c r="P77" s="180">
        <f t="shared" ca="1" si="29"/>
        <v>0</v>
      </c>
      <c r="Q77" s="179">
        <f t="shared" ca="1" si="30"/>
        <v>0</v>
      </c>
      <c r="R77" s="92">
        <f ca="1">IFERROR(__xludf.DUMMYFUNCTION("IMPORTRANGE(""https://docs.google.com/spreadsheets/d/16pAz3pOhQEZBhvFNMa5KGgZS6iKWpsKX0pg6tQmwFpo/edit?usp=sharing"",""ตรัง!J149"")"),0)</f>
        <v>0</v>
      </c>
      <c r="S77" s="92">
        <f ca="1">IFERROR(__xludf.DUMMYFUNCTION("IMPORTRANGE(""https://docs.google.com/spreadsheets/d/16pAz3pOhQEZBhvFNMa5KGgZS6iKWpsKX0pg6tQmwFpo/edit?usp=sharing"",""ตรัง!I150"")"),10)</f>
        <v>10</v>
      </c>
      <c r="T77" s="92">
        <f ca="1">IFERROR(__xludf.DUMMYFUNCTION("IMPORTRANGE(""https://docs.google.com/spreadsheets/d/16pAz3pOhQEZBhvFNMa5KGgZS6iKWpsKX0pg6tQmwFpo/edit?usp=sharing"",""ตรัง!I151"")"),1)</f>
        <v>1</v>
      </c>
      <c r="U77" s="92">
        <f ca="1">IFERROR(__xludf.DUMMYFUNCTION("IMPORTRANGE(""https://docs.google.com/spreadsheets/d/16pAz3pOhQEZBhvFNMa5KGgZS6iKWpsKX0pg6tQmwFpo/edit?usp=sharing"",""ตรัง!J150"")"),0)</f>
        <v>0</v>
      </c>
      <c r="V77" s="93">
        <f t="shared" ca="1" si="32"/>
        <v>0</v>
      </c>
      <c r="W77" s="92">
        <f ca="1">IFERROR(__xludf.DUMMYFUNCTION("IMPORTRANGE(""https://docs.google.com/spreadsheets/d/16pAz3pOhQEZBhvFNMa5KGgZS6iKWpsKX0pg6tQmwFpo/edit?usp=sharing"",""ตรัง!J151"")"),0)</f>
        <v>0</v>
      </c>
      <c r="X77" s="93">
        <f t="shared" ca="1" si="33"/>
        <v>0</v>
      </c>
      <c r="Y77" s="92">
        <f ca="1">IFERROR(__xludf.DUMMYFUNCTION("IMPORTRANGE(""https://docs.google.com/spreadsheets/d/16pAz3pOhQEZBhvFNMa5KGgZS6iKWpsKX0pg6tQmwFpo/edit?usp=sharing"",""ตรัง!I152"")"),20)</f>
        <v>20</v>
      </c>
      <c r="Z77" s="92">
        <f ca="1">IFERROR(__xludf.DUMMYFUNCTION("IMPORTRANGE(""https://docs.google.com/spreadsheets/d/16pAz3pOhQEZBhvFNMa5KGgZS6iKWpsKX0pg6tQmwFpo/edit?usp=sharing"",""ตรัง!I153"")"),2)</f>
        <v>2</v>
      </c>
      <c r="AA77" s="92">
        <f ca="1">IFERROR(__xludf.DUMMYFUNCTION("IMPORTRANGE(""https://docs.google.com/spreadsheets/d/16pAz3pOhQEZBhvFNMa5KGgZS6iKWpsKX0pg6tQmwFpo/edit?usp=sharing"",""ตรัง!J152"")"),0)</f>
        <v>0</v>
      </c>
      <c r="AB77" s="93">
        <f t="shared" ca="1" si="35"/>
        <v>0</v>
      </c>
      <c r="AC77" s="92">
        <f ca="1">IFERROR(__xludf.DUMMYFUNCTION("IMPORTRANGE(""https://docs.google.com/spreadsheets/d/16pAz3pOhQEZBhvFNMa5KGgZS6iKWpsKX0pg6tQmwFpo/edit?usp=sharing"",""ตรัง!J153"")"),0)</f>
        <v>0</v>
      </c>
      <c r="AD77" s="93">
        <f t="shared" ca="1" si="36"/>
        <v>0</v>
      </c>
      <c r="AE77" s="92">
        <f ca="1">IFERROR(__xludf.DUMMYFUNCTION("IMPORTRANGE(""https://docs.google.com/spreadsheets/d/16pAz3pOhQEZBhvFNMa5KGgZS6iKWpsKX0pg6tQmwFpo/edit?usp=sharing"",""ตรัง!I154"")"),1)</f>
        <v>1</v>
      </c>
      <c r="AF77" s="92">
        <f ca="1">IFERROR(__xludf.DUMMYFUNCTION("IMPORTRANGE(""https://docs.google.com/spreadsheets/d/16pAz3pOhQEZBhvFNMa5KGgZS6iKWpsKX0pg6tQmwFpo/edit?usp=sharing"",""ตรัง!J154"")"),0)</f>
        <v>0</v>
      </c>
      <c r="AG77" s="93">
        <f t="shared" ca="1" si="38"/>
        <v>0</v>
      </c>
    </row>
    <row r="78" spans="1:33" ht="21" customHeight="1" x14ac:dyDescent="0.3">
      <c r="A78" s="172">
        <v>4</v>
      </c>
      <c r="B78" s="173" t="s">
        <v>100</v>
      </c>
      <c r="C78" s="174">
        <f t="shared" ca="1" si="23"/>
        <v>135400</v>
      </c>
      <c r="D78" s="175">
        <f t="shared" ca="1" si="54"/>
        <v>135400</v>
      </c>
      <c r="E78" s="176">
        <f ca="1">IFERROR(__xludf.DUMMYFUNCTION("IMPORTRANGE(""https://docs.google.com/spreadsheets/d/1-uDff_7J0KD5mKrp0Vvzr7lt3OU09vwQwhkpOPPYv2Y/edit?usp=sharing"",""งบพรบ!BR78"")"),87200)</f>
        <v>87200</v>
      </c>
      <c r="F78" s="176">
        <f ca="1">IFERROR(__xludf.DUMMYFUNCTION("IMPORTRANGE(""https://docs.google.com/spreadsheets/d/1-uDff_7J0KD5mKrp0Vvzr7lt3OU09vwQwhkpOPPYv2Y/edit?usp=sharing"",""งบพรบ!BS78"")"),48200)</f>
        <v>48200</v>
      </c>
      <c r="G78" s="176">
        <f ca="1">IFERROR(__xludf.DUMMYFUNCTION("IMPORTRANGE(""https://docs.google.com/spreadsheets/d/1-uDff_7J0KD5mKrp0Vvzr7lt3OU09vwQwhkpOPPYv2Y/edit?usp=sharing"",""งบพรบ!BT78"")"),0)</f>
        <v>0</v>
      </c>
      <c r="H78" s="176">
        <f ca="1">IFERROR(__xludf.DUMMYFUNCTION("IMPORTRANGE(""https://docs.google.com/spreadsheets/d/1-uDff_7J0KD5mKrp0Vvzr7lt3OU09vwQwhkpOPPYv2Y/edit?usp=sharing"",""งบพรบ!BV78"")"),105700)</f>
        <v>105700</v>
      </c>
      <c r="I78" s="176">
        <f ca="1">IFERROR(__xludf.DUMMYFUNCTION("IMPORTRANGE(""https://docs.google.com/spreadsheets/d/1-uDff_7J0KD5mKrp0Vvzr7lt3OU09vwQwhkpOPPYv2Y/edit?usp=sharing"",""งบพรบ!BW78"")"),0)</f>
        <v>0</v>
      </c>
      <c r="J78" s="176">
        <f t="shared" ca="1" si="25"/>
        <v>25410</v>
      </c>
      <c r="K78" s="181">
        <f t="shared" ca="1" si="26"/>
        <v>18.766617429837517</v>
      </c>
      <c r="L78" s="176">
        <f ca="1">IFERROR(__xludf.DUMMYFUNCTION("IMPORTRANGE(""https://docs.google.com/spreadsheets/d/1-uDff_7J0KD5mKrp0Vvzr7lt3OU09vwQwhkpOPPYv2Y/edit?usp=sharing"",""งบพรบ!BX78"")"),25410)</f>
        <v>25410</v>
      </c>
      <c r="M78" s="179">
        <f t="shared" ca="1" si="27"/>
        <v>18.766617429837517</v>
      </c>
      <c r="N78" s="179">
        <f t="shared" ca="1" si="28"/>
        <v>24.039735099337747</v>
      </c>
      <c r="O78" s="180">
        <f ca="1">IFERROR(__xludf.DUMMYFUNCTION("IMPORTRANGE(""https://docs.google.com/spreadsheets/d/1-uDff_7J0KD5mKrp0Vvzr7lt3OU09vwQwhkpOPPYv2Y/edit?usp=sharing"",""งบพรบ!BY78"")"),0)</f>
        <v>0</v>
      </c>
      <c r="P78" s="180">
        <f t="shared" ca="1" si="29"/>
        <v>0</v>
      </c>
      <c r="Q78" s="179">
        <f t="shared" ca="1" si="30"/>
        <v>0</v>
      </c>
      <c r="R78" s="92">
        <f ca="1">IFERROR(__xludf.DUMMYFUNCTION("IMPORTRANGE(""https://docs.google.com/spreadsheets/d/1Dj4jcHCTV9JXKCaMoheSXS52JE63kDKyG7bPXnFogHk/edit?usp=sharing"",""นครศรีธรรมราช!J149"")"),0)</f>
        <v>0</v>
      </c>
      <c r="S78" s="92">
        <f ca="1">IFERROR(__xludf.DUMMYFUNCTION("IMPORTRANGE(""https://docs.google.com/spreadsheets/d/1Dj4jcHCTV9JXKCaMoheSXS52JE63kDKyG7bPXnFogHk/edit?usp=sharing"",""นครศรีธรรมราช!I150"")"),0)</f>
        <v>0</v>
      </c>
      <c r="T78" s="92">
        <f ca="1">IFERROR(__xludf.DUMMYFUNCTION("IMPORTRANGE(""https://docs.google.com/spreadsheets/d/1Dj4jcHCTV9JXKCaMoheSXS52JE63kDKyG7bPXnFogHk/edit?usp=sharing"",""นครศรีธรรมราช!I151"")"),0)</f>
        <v>0</v>
      </c>
      <c r="U78" s="92">
        <f ca="1">IFERROR(__xludf.DUMMYFUNCTION("IMPORTRANGE(""https://docs.google.com/spreadsheets/d/1Dj4jcHCTV9JXKCaMoheSXS52JE63kDKyG7bPXnFogHk/edit?usp=sharing"",""นครศรีธรรมราช!J150"")"),0)</f>
        <v>0</v>
      </c>
      <c r="V78" s="93">
        <f t="shared" ca="1" si="32"/>
        <v>0</v>
      </c>
      <c r="W78" s="92">
        <f ca="1">IFERROR(__xludf.DUMMYFUNCTION("IMPORTRANGE(""https://docs.google.com/spreadsheets/d/1Dj4jcHCTV9JXKCaMoheSXS52JE63kDKyG7bPXnFogHk/edit?usp=sharing"",""นครศรีธรรมราช!J151"")"),0)</f>
        <v>0</v>
      </c>
      <c r="X78" s="93">
        <f t="shared" ca="1" si="33"/>
        <v>0</v>
      </c>
      <c r="Y78" s="92">
        <f ca="1">IFERROR(__xludf.DUMMYFUNCTION("IMPORTRANGE(""https://docs.google.com/spreadsheets/d/1Dj4jcHCTV9JXKCaMoheSXS52JE63kDKyG7bPXnFogHk/edit?usp=sharing"",""นครศรีธรรมราช!I152"")"),40)</f>
        <v>40</v>
      </c>
      <c r="Z78" s="92">
        <f ca="1">IFERROR(__xludf.DUMMYFUNCTION("IMPORTRANGE(""https://docs.google.com/spreadsheets/d/1Dj4jcHCTV9JXKCaMoheSXS52JE63kDKyG7bPXnFogHk/edit?usp=sharing"",""นครศรีธรรมราช!I153"")"),4)</f>
        <v>4</v>
      </c>
      <c r="AA78" s="92">
        <f ca="1">IFERROR(__xludf.DUMMYFUNCTION("IMPORTRANGE(""https://docs.google.com/spreadsheets/d/1Dj4jcHCTV9JXKCaMoheSXS52JE63kDKyG7bPXnFogHk/edit?usp=sharing"",""นครศรีธรรมราช!J152"")"),0)</f>
        <v>0</v>
      </c>
      <c r="AB78" s="93">
        <f t="shared" ca="1" si="35"/>
        <v>0</v>
      </c>
      <c r="AC78" s="92">
        <f ca="1">IFERROR(__xludf.DUMMYFUNCTION("IMPORTRANGE(""https://docs.google.com/spreadsheets/d/1Dj4jcHCTV9JXKCaMoheSXS52JE63kDKyG7bPXnFogHk/edit?usp=sharing"",""นครศรีธรรมราช!J153"")"),0)</f>
        <v>0</v>
      </c>
      <c r="AD78" s="93">
        <f t="shared" ca="1" si="36"/>
        <v>0</v>
      </c>
      <c r="AE78" s="92">
        <f ca="1">IFERROR(__xludf.DUMMYFUNCTION("IMPORTRANGE(""https://docs.google.com/spreadsheets/d/1Dj4jcHCTV9JXKCaMoheSXS52JE63kDKyG7bPXnFogHk/edit?usp=sharing"",""นครศรีธรรมราช!I154"")"),0)</f>
        <v>0</v>
      </c>
      <c r="AF78" s="92">
        <f ca="1">IFERROR(__xludf.DUMMYFUNCTION("IMPORTRANGE(""https://docs.google.com/spreadsheets/d/1Dj4jcHCTV9JXKCaMoheSXS52JE63kDKyG7bPXnFogHk/edit?usp=sharing"",""นครศรีธรรมราช!J154"")"),0)</f>
        <v>0</v>
      </c>
      <c r="AG78" s="93">
        <f t="shared" ca="1" si="38"/>
        <v>0</v>
      </c>
    </row>
    <row r="79" spans="1:33" ht="21" customHeight="1" x14ac:dyDescent="0.3">
      <c r="A79" s="172">
        <v>5</v>
      </c>
      <c r="B79" s="173" t="s">
        <v>101</v>
      </c>
      <c r="C79" s="174">
        <f t="shared" ca="1" si="23"/>
        <v>0</v>
      </c>
      <c r="D79" s="175">
        <f t="shared" ca="1" si="54"/>
        <v>0</v>
      </c>
      <c r="E79" s="176">
        <f ca="1">IFERROR(__xludf.DUMMYFUNCTION("IMPORTRANGE(""https://docs.google.com/spreadsheets/d/1-uDff_7J0KD5mKrp0Vvzr7lt3OU09vwQwhkpOPPYv2Y/edit?usp=sharing"",""งบพรบ!BR79"")"),0)</f>
        <v>0</v>
      </c>
      <c r="F79" s="176">
        <f ca="1">IFERROR(__xludf.DUMMYFUNCTION("IMPORTRANGE(""https://docs.google.com/spreadsheets/d/1-uDff_7J0KD5mKrp0Vvzr7lt3OU09vwQwhkpOPPYv2Y/edit?usp=sharing"",""งบพรบ!BS79"")"),0)</f>
        <v>0</v>
      </c>
      <c r="G79" s="176">
        <f ca="1">IFERROR(__xludf.DUMMYFUNCTION("IMPORTRANGE(""https://docs.google.com/spreadsheets/d/1-uDff_7J0KD5mKrp0Vvzr7lt3OU09vwQwhkpOPPYv2Y/edit?usp=sharing"",""งบพรบ!BT79"")"),0)</f>
        <v>0</v>
      </c>
      <c r="H79" s="176">
        <f ca="1">IFERROR(__xludf.DUMMYFUNCTION("IMPORTRANGE(""https://docs.google.com/spreadsheets/d/1-uDff_7J0KD5mKrp0Vvzr7lt3OU09vwQwhkpOPPYv2Y/edit?usp=sharing"",""งบพรบ!BV79"")"),0)</f>
        <v>0</v>
      </c>
      <c r="I79" s="176">
        <f ca="1">IFERROR(__xludf.DUMMYFUNCTION("IMPORTRANGE(""https://docs.google.com/spreadsheets/d/1-uDff_7J0KD5mKrp0Vvzr7lt3OU09vwQwhkpOPPYv2Y/edit?usp=sharing"",""งบพรบ!BW79"")"),0)</f>
        <v>0</v>
      </c>
      <c r="J79" s="176">
        <f t="shared" ca="1" si="25"/>
        <v>0</v>
      </c>
      <c r="K79" s="181">
        <f t="shared" ca="1" si="26"/>
        <v>0</v>
      </c>
      <c r="L79" s="176">
        <f ca="1">IFERROR(__xludf.DUMMYFUNCTION("IMPORTRANGE(""https://docs.google.com/spreadsheets/d/1-uDff_7J0KD5mKrp0Vvzr7lt3OU09vwQwhkpOPPYv2Y/edit?usp=sharing"",""งบพรบ!BX79"")"),0)</f>
        <v>0</v>
      </c>
      <c r="M79" s="179">
        <f t="shared" ca="1" si="27"/>
        <v>0</v>
      </c>
      <c r="N79" s="179">
        <f t="shared" ca="1" si="28"/>
        <v>0</v>
      </c>
      <c r="O79" s="180">
        <f ca="1">IFERROR(__xludf.DUMMYFUNCTION("IMPORTRANGE(""https://docs.google.com/spreadsheets/d/1-uDff_7J0KD5mKrp0Vvzr7lt3OU09vwQwhkpOPPYv2Y/edit?usp=sharing"",""งบพรบ!BY79"")"),0)</f>
        <v>0</v>
      </c>
      <c r="P79" s="180">
        <f t="shared" ca="1" si="29"/>
        <v>0</v>
      </c>
      <c r="Q79" s="179">
        <f t="shared" ca="1" si="30"/>
        <v>0</v>
      </c>
      <c r="R79" s="92">
        <f ca="1">IFERROR(__xludf.DUMMYFUNCTION("IMPORTRANGE(""https://docs.google.com/spreadsheets/d/1iodCdmuK2GR3jzUwk8tpccY2JHQQA-87DLOtJP-ooyU/edit?usp=sharing"",""นราธิวาส!J149"")"),0)</f>
        <v>0</v>
      </c>
      <c r="S79" s="92">
        <f ca="1">IFERROR(__xludf.DUMMYFUNCTION("IMPORTRANGE(""https://docs.google.com/spreadsheets/d/1iodCdmuK2GR3jzUwk8tpccY2JHQQA-87DLOtJP-ooyU/edit?usp=sharing"",""นราธิวาส!I150"")"),0)</f>
        <v>0</v>
      </c>
      <c r="T79" s="92">
        <f ca="1">IFERROR(__xludf.DUMMYFUNCTION("IMPORTRANGE(""https://docs.google.com/spreadsheets/d/1iodCdmuK2GR3jzUwk8tpccY2JHQQA-87DLOtJP-ooyU/edit?usp=sharing"",""นราธิวาส!I151"")"),0)</f>
        <v>0</v>
      </c>
      <c r="U79" s="92">
        <f ca="1">IFERROR(__xludf.DUMMYFUNCTION("IMPORTRANGE(""https://docs.google.com/spreadsheets/d/1iodCdmuK2GR3jzUwk8tpccY2JHQQA-87DLOtJP-ooyU/edit?usp=sharing"",""นราธิวาส!J150"")"),0)</f>
        <v>0</v>
      </c>
      <c r="V79" s="93">
        <f t="shared" ca="1" si="32"/>
        <v>0</v>
      </c>
      <c r="W79" s="92">
        <f ca="1">IFERROR(__xludf.DUMMYFUNCTION("IMPORTRANGE(""https://docs.google.com/spreadsheets/d/1iodCdmuK2GR3jzUwk8tpccY2JHQQA-87DLOtJP-ooyU/edit?usp=sharing"",""นราธิวาส!J151"")"),0)</f>
        <v>0</v>
      </c>
      <c r="X79" s="93">
        <f t="shared" ca="1" si="33"/>
        <v>0</v>
      </c>
      <c r="Y79" s="92">
        <f ca="1">IFERROR(__xludf.DUMMYFUNCTION("IMPORTRANGE(""https://docs.google.com/spreadsheets/d/1iodCdmuK2GR3jzUwk8tpccY2JHQQA-87DLOtJP-ooyU/edit?usp=sharing"",""นราธิวาส!I152"")"),0)</f>
        <v>0</v>
      </c>
      <c r="Z79" s="92">
        <f ca="1">IFERROR(__xludf.DUMMYFUNCTION("IMPORTRANGE(""https://docs.google.com/spreadsheets/d/1iodCdmuK2GR3jzUwk8tpccY2JHQQA-87DLOtJP-ooyU/edit?usp=sharing"",""นราธิวาส!I153"")"),0)</f>
        <v>0</v>
      </c>
      <c r="AA79" s="92">
        <f ca="1">IFERROR(__xludf.DUMMYFUNCTION("IMPORTRANGE(""https://docs.google.com/spreadsheets/d/1iodCdmuK2GR3jzUwk8tpccY2JHQQA-87DLOtJP-ooyU/edit?usp=sharing"",""นราธิวาส!J152"")"),0)</f>
        <v>0</v>
      </c>
      <c r="AB79" s="93">
        <f t="shared" ca="1" si="35"/>
        <v>0</v>
      </c>
      <c r="AC79" s="92">
        <f ca="1">IFERROR(__xludf.DUMMYFUNCTION("IMPORTRANGE(""https://docs.google.com/spreadsheets/d/1iodCdmuK2GR3jzUwk8tpccY2JHQQA-87DLOtJP-ooyU/edit?usp=sharing"",""นราธิวาส!J153"")"),0)</f>
        <v>0</v>
      </c>
      <c r="AD79" s="93">
        <f t="shared" ca="1" si="36"/>
        <v>0</v>
      </c>
      <c r="AE79" s="92">
        <f ca="1">IFERROR(__xludf.DUMMYFUNCTION("IMPORTRANGE(""https://docs.google.com/spreadsheets/d/1iodCdmuK2GR3jzUwk8tpccY2JHQQA-87DLOtJP-ooyU/edit?usp=sharing"",""นราธิวาส!I154"")"),0)</f>
        <v>0</v>
      </c>
      <c r="AF79" s="92">
        <f ca="1">IFERROR(__xludf.DUMMYFUNCTION("IMPORTRANGE(""https://docs.google.com/spreadsheets/d/1iodCdmuK2GR3jzUwk8tpccY2JHQQA-87DLOtJP-ooyU/edit?usp=sharing"",""นราธิวาส!J154"")"),0)</f>
        <v>0</v>
      </c>
      <c r="AG79" s="93">
        <f t="shared" ca="1" si="38"/>
        <v>0</v>
      </c>
    </row>
    <row r="80" spans="1:33" ht="21" customHeight="1" x14ac:dyDescent="0.3">
      <c r="A80" s="172">
        <v>6</v>
      </c>
      <c r="B80" s="173" t="s">
        <v>102</v>
      </c>
      <c r="C80" s="174">
        <f t="shared" ca="1" si="23"/>
        <v>0</v>
      </c>
      <c r="D80" s="175">
        <f t="shared" ca="1" si="54"/>
        <v>0</v>
      </c>
      <c r="E80" s="176">
        <f ca="1">IFERROR(__xludf.DUMMYFUNCTION("IMPORTRANGE(""https://docs.google.com/spreadsheets/d/1-uDff_7J0KD5mKrp0Vvzr7lt3OU09vwQwhkpOPPYv2Y/edit?usp=sharing"",""งบพรบ!BR80"")"),0)</f>
        <v>0</v>
      </c>
      <c r="F80" s="176">
        <f ca="1">IFERROR(__xludf.DUMMYFUNCTION("IMPORTRANGE(""https://docs.google.com/spreadsheets/d/1-uDff_7J0KD5mKrp0Vvzr7lt3OU09vwQwhkpOPPYv2Y/edit?usp=sharing"",""งบพรบ!BS80"")"),0)</f>
        <v>0</v>
      </c>
      <c r="G80" s="176">
        <f ca="1">IFERROR(__xludf.DUMMYFUNCTION("IMPORTRANGE(""https://docs.google.com/spreadsheets/d/1-uDff_7J0KD5mKrp0Vvzr7lt3OU09vwQwhkpOPPYv2Y/edit?usp=sharing"",""งบพรบ!BT80"")"),0)</f>
        <v>0</v>
      </c>
      <c r="H80" s="176">
        <f ca="1">IFERROR(__xludf.DUMMYFUNCTION("IMPORTRANGE(""https://docs.google.com/spreadsheets/d/1-uDff_7J0KD5mKrp0Vvzr7lt3OU09vwQwhkpOPPYv2Y/edit?usp=sharing"",""งบพรบ!BV80"")"),0)</f>
        <v>0</v>
      </c>
      <c r="I80" s="176">
        <f ca="1">IFERROR(__xludf.DUMMYFUNCTION("IMPORTRANGE(""https://docs.google.com/spreadsheets/d/1-uDff_7J0KD5mKrp0Vvzr7lt3OU09vwQwhkpOPPYv2Y/edit?usp=sharing"",""งบพรบ!BW80"")"),0)</f>
        <v>0</v>
      </c>
      <c r="J80" s="176">
        <f t="shared" ca="1" si="25"/>
        <v>0</v>
      </c>
      <c r="K80" s="181">
        <f t="shared" ca="1" si="26"/>
        <v>0</v>
      </c>
      <c r="L80" s="176">
        <f ca="1">IFERROR(__xludf.DUMMYFUNCTION("IMPORTRANGE(""https://docs.google.com/spreadsheets/d/1-uDff_7J0KD5mKrp0Vvzr7lt3OU09vwQwhkpOPPYv2Y/edit?usp=sharing"",""งบพรบ!BX80"")"),0)</f>
        <v>0</v>
      </c>
      <c r="M80" s="179">
        <f t="shared" ca="1" si="27"/>
        <v>0</v>
      </c>
      <c r="N80" s="179">
        <f t="shared" ca="1" si="28"/>
        <v>0</v>
      </c>
      <c r="O80" s="180">
        <f ca="1">IFERROR(__xludf.DUMMYFUNCTION("IMPORTRANGE(""https://docs.google.com/spreadsheets/d/1-uDff_7J0KD5mKrp0Vvzr7lt3OU09vwQwhkpOPPYv2Y/edit?usp=sharing"",""งบพรบ!BY80"")"),0)</f>
        <v>0</v>
      </c>
      <c r="P80" s="180">
        <f t="shared" ca="1" si="29"/>
        <v>0</v>
      </c>
      <c r="Q80" s="179">
        <f t="shared" ca="1" si="30"/>
        <v>0</v>
      </c>
      <c r="R80" s="92">
        <f ca="1">IFERROR(__xludf.DUMMYFUNCTION("IMPORTRANGE(""https://docs.google.com/spreadsheets/d/1SDNX3JhDdYRuIOsj0Wh2M-Qa_eaXl0NbWmhAOTbfQAs/edit?usp=sharing"",""ปัตตานี!J149"")"),0)</f>
        <v>0</v>
      </c>
      <c r="S80" s="92">
        <f ca="1">IFERROR(__xludf.DUMMYFUNCTION("IMPORTRANGE(""https://docs.google.com/spreadsheets/d/1SDNX3JhDdYRuIOsj0Wh2M-Qa_eaXl0NbWmhAOTbfQAs/edit?usp=sharing"",""ปัตตานี!I150"")"),0)</f>
        <v>0</v>
      </c>
      <c r="T80" s="92">
        <f ca="1">IFERROR(__xludf.DUMMYFUNCTION("IMPORTRANGE(""https://docs.google.com/spreadsheets/d/1SDNX3JhDdYRuIOsj0Wh2M-Qa_eaXl0NbWmhAOTbfQAs/edit?usp=sharing"",""ปัตตานี!I151"")"),0)</f>
        <v>0</v>
      </c>
      <c r="U80" s="92">
        <f ca="1">IFERROR(__xludf.DUMMYFUNCTION("IMPORTRANGE(""https://docs.google.com/spreadsheets/d/1SDNX3JhDdYRuIOsj0Wh2M-Qa_eaXl0NbWmhAOTbfQAs/edit?usp=sharing"",""ปัตตานี!J150"")"),0)</f>
        <v>0</v>
      </c>
      <c r="V80" s="93">
        <f t="shared" ca="1" si="32"/>
        <v>0</v>
      </c>
      <c r="W80" s="92">
        <f ca="1">IFERROR(__xludf.DUMMYFUNCTION("IMPORTRANGE(""https://docs.google.com/spreadsheets/d/1SDNX3JhDdYRuIOsj0Wh2M-Qa_eaXl0NbWmhAOTbfQAs/edit?usp=sharing"",""ปัตตานี!J151"")"),0)</f>
        <v>0</v>
      </c>
      <c r="X80" s="93">
        <f t="shared" ca="1" si="33"/>
        <v>0</v>
      </c>
      <c r="Y80" s="92">
        <f ca="1">IFERROR(__xludf.DUMMYFUNCTION("IMPORTRANGE(""https://docs.google.com/spreadsheets/d/1SDNX3JhDdYRuIOsj0Wh2M-Qa_eaXl0NbWmhAOTbfQAs/edit?usp=sharing"",""ปัตตานี!I152"")"),0)</f>
        <v>0</v>
      </c>
      <c r="Z80" s="92">
        <f ca="1">IFERROR(__xludf.DUMMYFUNCTION("IMPORTRANGE(""https://docs.google.com/spreadsheets/d/1SDNX3JhDdYRuIOsj0Wh2M-Qa_eaXl0NbWmhAOTbfQAs/edit?usp=sharing"",""ปัตตานี!I153"")"),0)</f>
        <v>0</v>
      </c>
      <c r="AA80" s="92">
        <f ca="1">IFERROR(__xludf.DUMMYFUNCTION("IMPORTRANGE(""https://docs.google.com/spreadsheets/d/1SDNX3JhDdYRuIOsj0Wh2M-Qa_eaXl0NbWmhAOTbfQAs/edit?usp=sharing"",""ปัตตานี!J152"")"),0)</f>
        <v>0</v>
      </c>
      <c r="AB80" s="93">
        <f t="shared" ca="1" si="35"/>
        <v>0</v>
      </c>
      <c r="AC80" s="92">
        <f ca="1">IFERROR(__xludf.DUMMYFUNCTION("IMPORTRANGE(""https://docs.google.com/spreadsheets/d/1SDNX3JhDdYRuIOsj0Wh2M-Qa_eaXl0NbWmhAOTbfQAs/edit?usp=sharing"",""ปัตตานี!J153"")"),0)</f>
        <v>0</v>
      </c>
      <c r="AD80" s="93">
        <f t="shared" ca="1" si="36"/>
        <v>0</v>
      </c>
      <c r="AE80" s="92">
        <f ca="1">IFERROR(__xludf.DUMMYFUNCTION("IMPORTRANGE(""https://docs.google.com/spreadsheets/d/1SDNX3JhDdYRuIOsj0Wh2M-Qa_eaXl0NbWmhAOTbfQAs/edit?usp=sharing"",""ปัตตานี!I154"")"),0)</f>
        <v>0</v>
      </c>
      <c r="AF80" s="92">
        <f ca="1">IFERROR(__xludf.DUMMYFUNCTION("IMPORTRANGE(""https://docs.google.com/spreadsheets/d/1SDNX3JhDdYRuIOsj0Wh2M-Qa_eaXl0NbWmhAOTbfQAs/edit?usp=sharing"",""ปัตตานี!J154"")"),0)</f>
        <v>0</v>
      </c>
      <c r="AG80" s="93">
        <f t="shared" ca="1" si="38"/>
        <v>0</v>
      </c>
    </row>
    <row r="81" spans="1:33" ht="21" customHeight="1" x14ac:dyDescent="0.3">
      <c r="A81" s="172">
        <v>7</v>
      </c>
      <c r="B81" s="173" t="s">
        <v>103</v>
      </c>
      <c r="C81" s="174">
        <f t="shared" ca="1" si="23"/>
        <v>0</v>
      </c>
      <c r="D81" s="175">
        <f t="shared" ca="1" si="54"/>
        <v>0</v>
      </c>
      <c r="E81" s="176">
        <f ca="1">IFERROR(__xludf.DUMMYFUNCTION("IMPORTRANGE(""https://docs.google.com/spreadsheets/d/1-uDff_7J0KD5mKrp0Vvzr7lt3OU09vwQwhkpOPPYv2Y/edit?usp=sharing"",""งบพรบ!BR81"")"),0)</f>
        <v>0</v>
      </c>
      <c r="F81" s="176">
        <f ca="1">IFERROR(__xludf.DUMMYFUNCTION("IMPORTRANGE(""https://docs.google.com/spreadsheets/d/1-uDff_7J0KD5mKrp0Vvzr7lt3OU09vwQwhkpOPPYv2Y/edit?usp=sharing"",""งบพรบ!BS81"")"),0)</f>
        <v>0</v>
      </c>
      <c r="G81" s="176">
        <f ca="1">IFERROR(__xludf.DUMMYFUNCTION("IMPORTRANGE(""https://docs.google.com/spreadsheets/d/1-uDff_7J0KD5mKrp0Vvzr7lt3OU09vwQwhkpOPPYv2Y/edit?usp=sharing"",""งบพรบ!BT81"")"),0)</f>
        <v>0</v>
      </c>
      <c r="H81" s="176">
        <f ca="1">IFERROR(__xludf.DUMMYFUNCTION("IMPORTRANGE(""https://docs.google.com/spreadsheets/d/1-uDff_7J0KD5mKrp0Vvzr7lt3OU09vwQwhkpOPPYv2Y/edit?usp=sharing"",""งบพรบ!BV81"")"),0)</f>
        <v>0</v>
      </c>
      <c r="I81" s="176">
        <f ca="1">IFERROR(__xludf.DUMMYFUNCTION("IMPORTRANGE(""https://docs.google.com/spreadsheets/d/1-uDff_7J0KD5mKrp0Vvzr7lt3OU09vwQwhkpOPPYv2Y/edit?usp=sharing"",""งบพรบ!BW81"")"),0)</f>
        <v>0</v>
      </c>
      <c r="J81" s="176">
        <f t="shared" ca="1" si="25"/>
        <v>0</v>
      </c>
      <c r="K81" s="181">
        <f t="shared" ca="1" si="26"/>
        <v>0</v>
      </c>
      <c r="L81" s="176">
        <f ca="1">IFERROR(__xludf.DUMMYFUNCTION("IMPORTRANGE(""https://docs.google.com/spreadsheets/d/1-uDff_7J0KD5mKrp0Vvzr7lt3OU09vwQwhkpOPPYv2Y/edit?usp=sharing"",""งบพรบ!BX81"")"),0)</f>
        <v>0</v>
      </c>
      <c r="M81" s="179">
        <f t="shared" ca="1" si="27"/>
        <v>0</v>
      </c>
      <c r="N81" s="179">
        <f t="shared" ca="1" si="28"/>
        <v>0</v>
      </c>
      <c r="O81" s="180">
        <f ca="1">IFERROR(__xludf.DUMMYFUNCTION("IMPORTRANGE(""https://docs.google.com/spreadsheets/d/1-uDff_7J0KD5mKrp0Vvzr7lt3OU09vwQwhkpOPPYv2Y/edit?usp=sharing"",""งบพรบ!BY81"")"),0)</f>
        <v>0</v>
      </c>
      <c r="P81" s="180">
        <f t="shared" ca="1" si="29"/>
        <v>0</v>
      </c>
      <c r="Q81" s="179">
        <f t="shared" ca="1" si="30"/>
        <v>0</v>
      </c>
      <c r="R81" s="92">
        <f ca="1">IFERROR(__xludf.DUMMYFUNCTION("IMPORTRANGE(""https://docs.google.com/spreadsheets/d/16JDLGguT8s5DsGCND1KcwHP_AWR_zDMTqLHPLJUKhaU/edit?usp=sharing"",""พังงา!J149"")"),0)</f>
        <v>0</v>
      </c>
      <c r="S81" s="92">
        <f ca="1">IFERROR(__xludf.DUMMYFUNCTION("IMPORTRANGE(""https://docs.google.com/spreadsheets/d/16JDLGguT8s5DsGCND1KcwHP_AWR_zDMTqLHPLJUKhaU/edit?usp=sharing"",""พังงา!I150"")"),0)</f>
        <v>0</v>
      </c>
      <c r="T81" s="92">
        <f ca="1">IFERROR(__xludf.DUMMYFUNCTION("IMPORTRANGE(""https://docs.google.com/spreadsheets/d/16JDLGguT8s5DsGCND1KcwHP_AWR_zDMTqLHPLJUKhaU/edit?usp=sharing"",""พังงา!I151"")"),0)</f>
        <v>0</v>
      </c>
      <c r="U81" s="92">
        <f ca="1">IFERROR(__xludf.DUMMYFUNCTION("IMPORTRANGE(""https://docs.google.com/spreadsheets/d/16JDLGguT8s5DsGCND1KcwHP_AWR_zDMTqLHPLJUKhaU/edit?usp=sharing"",""พังงา!J150"")"),0)</f>
        <v>0</v>
      </c>
      <c r="V81" s="93">
        <f t="shared" ca="1" si="32"/>
        <v>0</v>
      </c>
      <c r="W81" s="92">
        <f ca="1">IFERROR(__xludf.DUMMYFUNCTION("IMPORTRANGE(""https://docs.google.com/spreadsheets/d/16JDLGguT8s5DsGCND1KcwHP_AWR_zDMTqLHPLJUKhaU/edit?usp=sharing"",""พังงา!J151"")"),0)</f>
        <v>0</v>
      </c>
      <c r="X81" s="93">
        <f t="shared" ca="1" si="33"/>
        <v>0</v>
      </c>
      <c r="Y81" s="92">
        <f ca="1">IFERROR(__xludf.DUMMYFUNCTION("IMPORTRANGE(""https://docs.google.com/spreadsheets/d/16JDLGguT8s5DsGCND1KcwHP_AWR_zDMTqLHPLJUKhaU/edit?usp=sharing"",""พังงา!I152"")"),0)</f>
        <v>0</v>
      </c>
      <c r="Z81" s="92">
        <f ca="1">IFERROR(__xludf.DUMMYFUNCTION("IMPORTRANGE(""https://docs.google.com/spreadsheets/d/16JDLGguT8s5DsGCND1KcwHP_AWR_zDMTqLHPLJUKhaU/edit?usp=sharing"",""พังงา!I153"")"),0)</f>
        <v>0</v>
      </c>
      <c r="AA81" s="92">
        <f ca="1">IFERROR(__xludf.DUMMYFUNCTION("IMPORTRANGE(""https://docs.google.com/spreadsheets/d/16JDLGguT8s5DsGCND1KcwHP_AWR_zDMTqLHPLJUKhaU/edit?usp=sharing"",""พังงา!J152"")"),0)</f>
        <v>0</v>
      </c>
      <c r="AB81" s="93">
        <f t="shared" ca="1" si="35"/>
        <v>0</v>
      </c>
      <c r="AC81" s="92">
        <f ca="1">IFERROR(__xludf.DUMMYFUNCTION("IMPORTRANGE(""https://docs.google.com/spreadsheets/d/16JDLGguT8s5DsGCND1KcwHP_AWR_zDMTqLHPLJUKhaU/edit?usp=sharing"",""พังงา!J153"")"),0)</f>
        <v>0</v>
      </c>
      <c r="AD81" s="93">
        <f t="shared" ca="1" si="36"/>
        <v>0</v>
      </c>
      <c r="AE81" s="92">
        <f ca="1">IFERROR(__xludf.DUMMYFUNCTION("IMPORTRANGE(""https://docs.google.com/spreadsheets/d/16JDLGguT8s5DsGCND1KcwHP_AWR_zDMTqLHPLJUKhaU/edit?usp=sharing"",""พังงา!I154"")"),0)</f>
        <v>0</v>
      </c>
      <c r="AF81" s="92">
        <f ca="1">IFERROR(__xludf.DUMMYFUNCTION("IMPORTRANGE(""https://docs.google.com/spreadsheets/d/16JDLGguT8s5DsGCND1KcwHP_AWR_zDMTqLHPLJUKhaU/edit?usp=sharing"",""พังงา!J154"")"),0)</f>
        <v>0</v>
      </c>
      <c r="AG81" s="93">
        <f t="shared" ca="1" si="38"/>
        <v>0</v>
      </c>
    </row>
    <row r="82" spans="1:33" ht="21" customHeight="1" x14ac:dyDescent="0.3">
      <c r="A82" s="172">
        <v>8</v>
      </c>
      <c r="B82" s="173" t="s">
        <v>104</v>
      </c>
      <c r="C82" s="174">
        <f t="shared" ca="1" si="23"/>
        <v>91400</v>
      </c>
      <c r="D82" s="175">
        <f t="shared" ca="1" si="54"/>
        <v>91400</v>
      </c>
      <c r="E82" s="176">
        <f ca="1">IFERROR(__xludf.DUMMYFUNCTION("IMPORTRANGE(""https://docs.google.com/spreadsheets/d/1-uDff_7J0KD5mKrp0Vvzr7lt3OU09vwQwhkpOPPYv2Y/edit?usp=sharing"",""งบพรบ!BR82"")"),0)</f>
        <v>0</v>
      </c>
      <c r="F82" s="176">
        <f ca="1">IFERROR(__xludf.DUMMYFUNCTION("IMPORTRANGE(""https://docs.google.com/spreadsheets/d/1-uDff_7J0KD5mKrp0Vvzr7lt3OU09vwQwhkpOPPYv2Y/edit?usp=sharing"",""งบพรบ!BS82"")"),91400)</f>
        <v>91400</v>
      </c>
      <c r="G82" s="176">
        <f ca="1">IFERROR(__xludf.DUMMYFUNCTION("IMPORTRANGE(""https://docs.google.com/spreadsheets/d/1-uDff_7J0KD5mKrp0Vvzr7lt3OU09vwQwhkpOPPYv2Y/edit?usp=sharing"",""งบพรบ!BT82"")"),0)</f>
        <v>0</v>
      </c>
      <c r="H82" s="176">
        <f ca="1">IFERROR(__xludf.DUMMYFUNCTION("IMPORTRANGE(""https://docs.google.com/spreadsheets/d/1-uDff_7J0KD5mKrp0Vvzr7lt3OU09vwQwhkpOPPYv2Y/edit?usp=sharing"",""งบพรบ!BV82"")"),86400)</f>
        <v>86400</v>
      </c>
      <c r="I82" s="176">
        <f ca="1">IFERROR(__xludf.DUMMYFUNCTION("IMPORTRANGE(""https://docs.google.com/spreadsheets/d/1-uDff_7J0KD5mKrp0Vvzr7lt3OU09vwQwhkpOPPYv2Y/edit?usp=sharing"",""งบพรบ!BW82"")"),0)</f>
        <v>0</v>
      </c>
      <c r="J82" s="176">
        <f t="shared" ca="1" si="25"/>
        <v>0</v>
      </c>
      <c r="K82" s="181">
        <f t="shared" ca="1" si="26"/>
        <v>0</v>
      </c>
      <c r="L82" s="176">
        <f ca="1">IFERROR(__xludf.DUMMYFUNCTION("IMPORTRANGE(""https://docs.google.com/spreadsheets/d/1-uDff_7J0KD5mKrp0Vvzr7lt3OU09vwQwhkpOPPYv2Y/edit?usp=sharing"",""งบพรบ!BX82"")"),0)</f>
        <v>0</v>
      </c>
      <c r="M82" s="179">
        <f t="shared" ca="1" si="27"/>
        <v>0</v>
      </c>
      <c r="N82" s="179">
        <f t="shared" ca="1" si="28"/>
        <v>0</v>
      </c>
      <c r="O82" s="180">
        <f ca="1">IFERROR(__xludf.DUMMYFUNCTION("IMPORTRANGE(""https://docs.google.com/spreadsheets/d/1-uDff_7J0KD5mKrp0Vvzr7lt3OU09vwQwhkpOPPYv2Y/edit?usp=sharing"",""งบพรบ!BY82"")"),0)</f>
        <v>0</v>
      </c>
      <c r="P82" s="180">
        <f t="shared" ca="1" si="29"/>
        <v>0</v>
      </c>
      <c r="Q82" s="179">
        <f t="shared" ca="1" si="30"/>
        <v>0</v>
      </c>
      <c r="R82" s="92">
        <f ca="1">IFERROR(__xludf.DUMMYFUNCTION("IMPORTRANGE(""https://docs.google.com/spreadsheets/d/17ht0gPKzzT3PObBL1XJkeRmntBXI7wGjpLV7QorqlTk/edit?usp=sharing"",""พัทลุง!J149"")"),0)</f>
        <v>0</v>
      </c>
      <c r="S82" s="92">
        <f ca="1">IFERROR(__xludf.DUMMYFUNCTION("IMPORTRANGE(""https://docs.google.com/spreadsheets/d/17ht0gPKzzT3PObBL1XJkeRmntBXI7wGjpLV7QorqlTk/edit?usp=sharing"",""พัทลุง!I150"")"),20)</f>
        <v>20</v>
      </c>
      <c r="T82" s="92">
        <f ca="1">IFERROR(__xludf.DUMMYFUNCTION("IMPORTRANGE(""https://docs.google.com/spreadsheets/d/17ht0gPKzzT3PObBL1XJkeRmntBXI7wGjpLV7QorqlTk/edit?usp=sharing"",""พัทลุง!I151"")"),2)</f>
        <v>2</v>
      </c>
      <c r="U82" s="92">
        <f ca="1">IFERROR(__xludf.DUMMYFUNCTION("IMPORTRANGE(""https://docs.google.com/spreadsheets/d/17ht0gPKzzT3PObBL1XJkeRmntBXI7wGjpLV7QorqlTk/edit?usp=sharing"",""พัทลุง!J150"")"),0)</f>
        <v>0</v>
      </c>
      <c r="V82" s="93">
        <f t="shared" ca="1" si="32"/>
        <v>0</v>
      </c>
      <c r="W82" s="92">
        <f ca="1">IFERROR(__xludf.DUMMYFUNCTION("IMPORTRANGE(""https://docs.google.com/spreadsheets/d/17ht0gPKzzT3PObBL1XJkeRmntBXI7wGjpLV7QorqlTk/edit?usp=sharing"",""พัทลุง!J151"")"),0)</f>
        <v>0</v>
      </c>
      <c r="X82" s="93">
        <f t="shared" ca="1" si="33"/>
        <v>0</v>
      </c>
      <c r="Y82" s="92">
        <f ca="1">IFERROR(__xludf.DUMMYFUNCTION("IMPORTRANGE(""https://docs.google.com/spreadsheets/d/17ht0gPKzzT3PObBL1XJkeRmntBXI7wGjpLV7QorqlTk/edit?usp=sharing"",""พัทลุง!I152"")"),60)</f>
        <v>60</v>
      </c>
      <c r="Z82" s="92">
        <f ca="1">IFERROR(__xludf.DUMMYFUNCTION("IMPORTRANGE(""https://docs.google.com/spreadsheets/d/17ht0gPKzzT3PObBL1XJkeRmntBXI7wGjpLV7QorqlTk/edit?usp=sharing"",""พัทลุง!I153"")"),6)</f>
        <v>6</v>
      </c>
      <c r="AA82" s="92">
        <f ca="1">IFERROR(__xludf.DUMMYFUNCTION("IMPORTRANGE(""https://docs.google.com/spreadsheets/d/17ht0gPKzzT3PObBL1XJkeRmntBXI7wGjpLV7QorqlTk/edit?usp=sharing"",""พัทลุง!J152"")"),0)</f>
        <v>0</v>
      </c>
      <c r="AB82" s="93">
        <f t="shared" ca="1" si="35"/>
        <v>0</v>
      </c>
      <c r="AC82" s="92">
        <f ca="1">IFERROR(__xludf.DUMMYFUNCTION("IMPORTRANGE(""https://docs.google.com/spreadsheets/d/17ht0gPKzzT3PObBL1XJkeRmntBXI7wGjpLV7QorqlTk/edit?usp=sharing"",""พัทลุง!J153"")"),0)</f>
        <v>0</v>
      </c>
      <c r="AD82" s="93">
        <f t="shared" ca="1" si="36"/>
        <v>0</v>
      </c>
      <c r="AE82" s="92">
        <f ca="1">IFERROR(__xludf.DUMMYFUNCTION("IMPORTRANGE(""https://docs.google.com/spreadsheets/d/17ht0gPKzzT3PObBL1XJkeRmntBXI7wGjpLV7QorqlTk/edit?usp=sharing"",""พัทลุง!I154"")"),2)</f>
        <v>2</v>
      </c>
      <c r="AF82" s="92">
        <f ca="1">IFERROR(__xludf.DUMMYFUNCTION("IMPORTRANGE(""https://docs.google.com/spreadsheets/d/17ht0gPKzzT3PObBL1XJkeRmntBXI7wGjpLV7QorqlTk/edit?usp=sharing"",""พัทลุง!J154"")"),0)</f>
        <v>0</v>
      </c>
      <c r="AG82" s="93">
        <f t="shared" ca="1" si="38"/>
        <v>0</v>
      </c>
    </row>
    <row r="83" spans="1:33" ht="21" customHeight="1" x14ac:dyDescent="0.3">
      <c r="A83" s="172">
        <v>9</v>
      </c>
      <c r="B83" s="173" t="s">
        <v>105</v>
      </c>
      <c r="C83" s="174">
        <f t="shared" ca="1" si="23"/>
        <v>0</v>
      </c>
      <c r="D83" s="175">
        <f t="shared" ca="1" si="54"/>
        <v>0</v>
      </c>
      <c r="E83" s="176">
        <f ca="1">IFERROR(__xludf.DUMMYFUNCTION("IMPORTRANGE(""https://docs.google.com/spreadsheets/d/1-uDff_7J0KD5mKrp0Vvzr7lt3OU09vwQwhkpOPPYv2Y/edit?usp=sharing"",""งบพรบ!BR83"")"),0)</f>
        <v>0</v>
      </c>
      <c r="F83" s="176">
        <f ca="1">IFERROR(__xludf.DUMMYFUNCTION("IMPORTRANGE(""https://docs.google.com/spreadsheets/d/1-uDff_7J0KD5mKrp0Vvzr7lt3OU09vwQwhkpOPPYv2Y/edit?usp=sharing"",""งบพรบ!BS83"")"),0)</f>
        <v>0</v>
      </c>
      <c r="G83" s="176">
        <f ca="1">IFERROR(__xludf.DUMMYFUNCTION("IMPORTRANGE(""https://docs.google.com/spreadsheets/d/1-uDff_7J0KD5mKrp0Vvzr7lt3OU09vwQwhkpOPPYv2Y/edit?usp=sharing"",""งบพรบ!BT83"")"),0)</f>
        <v>0</v>
      </c>
      <c r="H83" s="176">
        <f ca="1">IFERROR(__xludf.DUMMYFUNCTION("IMPORTRANGE(""https://docs.google.com/spreadsheets/d/1-uDff_7J0KD5mKrp0Vvzr7lt3OU09vwQwhkpOPPYv2Y/edit?usp=sharing"",""งบพรบ!BV83"")"),0)</f>
        <v>0</v>
      </c>
      <c r="I83" s="176">
        <f ca="1">IFERROR(__xludf.DUMMYFUNCTION("IMPORTRANGE(""https://docs.google.com/spreadsheets/d/1-uDff_7J0KD5mKrp0Vvzr7lt3OU09vwQwhkpOPPYv2Y/edit?usp=sharing"",""งบพรบ!BW83"")"),0)</f>
        <v>0</v>
      </c>
      <c r="J83" s="176">
        <f t="shared" ca="1" si="25"/>
        <v>0</v>
      </c>
      <c r="K83" s="181">
        <f t="shared" ca="1" si="26"/>
        <v>0</v>
      </c>
      <c r="L83" s="176">
        <f ca="1">IFERROR(__xludf.DUMMYFUNCTION("IMPORTRANGE(""https://docs.google.com/spreadsheets/d/1-uDff_7J0KD5mKrp0Vvzr7lt3OU09vwQwhkpOPPYv2Y/edit?usp=sharing"",""งบพรบ!BX83"")"),0)</f>
        <v>0</v>
      </c>
      <c r="M83" s="179">
        <f t="shared" ca="1" si="27"/>
        <v>0</v>
      </c>
      <c r="N83" s="179">
        <f t="shared" ca="1" si="28"/>
        <v>0</v>
      </c>
      <c r="O83" s="180">
        <f ca="1">IFERROR(__xludf.DUMMYFUNCTION("IMPORTRANGE(""https://docs.google.com/spreadsheets/d/1-uDff_7J0KD5mKrp0Vvzr7lt3OU09vwQwhkpOPPYv2Y/edit?usp=sharing"",""งบพรบ!BY83"")"),0)</f>
        <v>0</v>
      </c>
      <c r="P83" s="180">
        <f t="shared" ca="1" si="29"/>
        <v>0</v>
      </c>
      <c r="Q83" s="179">
        <f t="shared" ca="1" si="30"/>
        <v>0</v>
      </c>
      <c r="R83" s="92">
        <f ca="1">IFERROR(__xludf.DUMMYFUNCTION("IMPORTRANGE(""https://docs.google.com/spreadsheets/d/1rd4qoM1q_hsgaolqNGfrim9gbsoLxQsda4-vOz5x_BM/edit?usp=sharing"",""ภูเก็ต!J149"")"),0)</f>
        <v>0</v>
      </c>
      <c r="S83" s="92">
        <f ca="1">IFERROR(__xludf.DUMMYFUNCTION("IMPORTRANGE(""https://docs.google.com/spreadsheets/d/1rd4qoM1q_hsgaolqNGfrim9gbsoLxQsda4-vOz5x_BM/edit?usp=sharing"",""ภูเก็ต!I150"")"),0)</f>
        <v>0</v>
      </c>
      <c r="T83" s="92">
        <f ca="1">IFERROR(__xludf.DUMMYFUNCTION("IMPORTRANGE(""https://docs.google.com/spreadsheets/d/1rd4qoM1q_hsgaolqNGfrim9gbsoLxQsda4-vOz5x_BM/edit?usp=sharing"",""ภูเก็ต!I151"")"),0)</f>
        <v>0</v>
      </c>
      <c r="U83" s="92">
        <f ca="1">IFERROR(__xludf.DUMMYFUNCTION("IMPORTRANGE(""https://docs.google.com/spreadsheets/d/1rd4qoM1q_hsgaolqNGfrim9gbsoLxQsda4-vOz5x_BM/edit?usp=sharing"",""ภูเก็ต!J150"")"),0)</f>
        <v>0</v>
      </c>
      <c r="V83" s="93">
        <f t="shared" ca="1" si="32"/>
        <v>0</v>
      </c>
      <c r="W83" s="92">
        <f ca="1">IFERROR(__xludf.DUMMYFUNCTION("IMPORTRANGE(""https://docs.google.com/spreadsheets/d/1rd4qoM1q_hsgaolqNGfrim9gbsoLxQsda4-vOz5x_BM/edit?usp=sharing"",""ภูเก็ต!J151"")"),0)</f>
        <v>0</v>
      </c>
      <c r="X83" s="93">
        <f t="shared" ca="1" si="33"/>
        <v>0</v>
      </c>
      <c r="Y83" s="92">
        <f ca="1">IFERROR(__xludf.DUMMYFUNCTION("IMPORTRANGE(""https://docs.google.com/spreadsheets/d/1rd4qoM1q_hsgaolqNGfrim9gbsoLxQsda4-vOz5x_BM/edit?usp=sharing"",""ภูเก็ต!I152"")"),0)</f>
        <v>0</v>
      </c>
      <c r="Z83" s="92">
        <f ca="1">IFERROR(__xludf.DUMMYFUNCTION("IMPORTRANGE(""https://docs.google.com/spreadsheets/d/1rd4qoM1q_hsgaolqNGfrim9gbsoLxQsda4-vOz5x_BM/edit?usp=sharing"",""ภูเก็ต!I153"")"),0)</f>
        <v>0</v>
      </c>
      <c r="AA83" s="92">
        <f ca="1">IFERROR(__xludf.DUMMYFUNCTION("IMPORTRANGE(""https://docs.google.com/spreadsheets/d/1rd4qoM1q_hsgaolqNGfrim9gbsoLxQsda4-vOz5x_BM/edit?usp=sharing"",""ภูเก็ต!J152"")"),0)</f>
        <v>0</v>
      </c>
      <c r="AB83" s="93">
        <f t="shared" ca="1" si="35"/>
        <v>0</v>
      </c>
      <c r="AC83" s="92">
        <f ca="1">IFERROR(__xludf.DUMMYFUNCTION("IMPORTRANGE(""https://docs.google.com/spreadsheets/d/1rd4qoM1q_hsgaolqNGfrim9gbsoLxQsda4-vOz5x_BM/edit?usp=sharing"",""ภูเก็ต!J153"")"),0)</f>
        <v>0</v>
      </c>
      <c r="AD83" s="93">
        <f t="shared" ca="1" si="36"/>
        <v>0</v>
      </c>
      <c r="AE83" s="92">
        <f ca="1">IFERROR(__xludf.DUMMYFUNCTION("IMPORTRANGE(""https://docs.google.com/spreadsheets/d/1rd4qoM1q_hsgaolqNGfrim9gbsoLxQsda4-vOz5x_BM/edit?usp=sharing"",""ภูเก็ต!I154"")"),0)</f>
        <v>0</v>
      </c>
      <c r="AF83" s="92">
        <f ca="1">IFERROR(__xludf.DUMMYFUNCTION("IMPORTRANGE(""https://docs.google.com/spreadsheets/d/1rd4qoM1q_hsgaolqNGfrim9gbsoLxQsda4-vOz5x_BM/edit?usp=sharing"",""ภูเก็ต!J154"")"),0)</f>
        <v>0</v>
      </c>
      <c r="AG83" s="93">
        <f t="shared" ca="1" si="38"/>
        <v>0</v>
      </c>
    </row>
    <row r="84" spans="1:33" ht="21" customHeight="1" x14ac:dyDescent="0.3">
      <c r="A84" s="172">
        <v>10</v>
      </c>
      <c r="B84" s="173" t="s">
        <v>106</v>
      </c>
      <c r="C84" s="174">
        <f t="shared" ca="1" si="23"/>
        <v>0</v>
      </c>
      <c r="D84" s="175">
        <f t="shared" ca="1" si="54"/>
        <v>0</v>
      </c>
      <c r="E84" s="176">
        <f ca="1">IFERROR(__xludf.DUMMYFUNCTION("IMPORTRANGE(""https://docs.google.com/spreadsheets/d/1-uDff_7J0KD5mKrp0Vvzr7lt3OU09vwQwhkpOPPYv2Y/edit?usp=sharing"",""งบพรบ!BR84"")"),0)</f>
        <v>0</v>
      </c>
      <c r="F84" s="176">
        <f ca="1">IFERROR(__xludf.DUMMYFUNCTION("IMPORTRANGE(""https://docs.google.com/spreadsheets/d/1-uDff_7J0KD5mKrp0Vvzr7lt3OU09vwQwhkpOPPYv2Y/edit?usp=sharing"",""งบพรบ!BS84"")"),0)</f>
        <v>0</v>
      </c>
      <c r="G84" s="176">
        <f ca="1">IFERROR(__xludf.DUMMYFUNCTION("IMPORTRANGE(""https://docs.google.com/spreadsheets/d/1-uDff_7J0KD5mKrp0Vvzr7lt3OU09vwQwhkpOPPYv2Y/edit?usp=sharing"",""งบพรบ!BT84"")"),0)</f>
        <v>0</v>
      </c>
      <c r="H84" s="176">
        <f ca="1">IFERROR(__xludf.DUMMYFUNCTION("IMPORTRANGE(""https://docs.google.com/spreadsheets/d/1-uDff_7J0KD5mKrp0Vvzr7lt3OU09vwQwhkpOPPYv2Y/edit?usp=sharing"",""งบพรบ!BV84"")"),0)</f>
        <v>0</v>
      </c>
      <c r="I84" s="176">
        <f ca="1">IFERROR(__xludf.DUMMYFUNCTION("IMPORTRANGE(""https://docs.google.com/spreadsheets/d/1-uDff_7J0KD5mKrp0Vvzr7lt3OU09vwQwhkpOPPYv2Y/edit?usp=sharing"",""งบพรบ!BW84"")"),0)</f>
        <v>0</v>
      </c>
      <c r="J84" s="176">
        <f t="shared" ca="1" si="25"/>
        <v>0</v>
      </c>
      <c r="K84" s="181">
        <f t="shared" ca="1" si="26"/>
        <v>0</v>
      </c>
      <c r="L84" s="176">
        <f ca="1">IFERROR(__xludf.DUMMYFUNCTION("IMPORTRANGE(""https://docs.google.com/spreadsheets/d/1-uDff_7J0KD5mKrp0Vvzr7lt3OU09vwQwhkpOPPYv2Y/edit?usp=sharing"",""งบพรบ!BX84"")"),0)</f>
        <v>0</v>
      </c>
      <c r="M84" s="179">
        <f t="shared" ca="1" si="27"/>
        <v>0</v>
      </c>
      <c r="N84" s="179">
        <f t="shared" ca="1" si="28"/>
        <v>0</v>
      </c>
      <c r="O84" s="180">
        <f ca="1">IFERROR(__xludf.DUMMYFUNCTION("IMPORTRANGE(""https://docs.google.com/spreadsheets/d/1-uDff_7J0KD5mKrp0Vvzr7lt3OU09vwQwhkpOPPYv2Y/edit?usp=sharing"",""งบพรบ!BY84"")"),0)</f>
        <v>0</v>
      </c>
      <c r="P84" s="180">
        <f t="shared" ca="1" si="29"/>
        <v>0</v>
      </c>
      <c r="Q84" s="179">
        <f t="shared" ca="1" si="30"/>
        <v>0</v>
      </c>
      <c r="R84" s="92">
        <f ca="1">IFERROR(__xludf.DUMMYFUNCTION("IMPORTRANGE(""https://docs.google.com/spreadsheets/d/1woKwKjgoLssDvPcPeVyezB5izizAn4X1JDrys69n6xI/edit?usp=sharing"",""ยะลา!J149"")"),0)</f>
        <v>0</v>
      </c>
      <c r="S84" s="92">
        <f ca="1">IFERROR(__xludf.DUMMYFUNCTION("IMPORTRANGE(""https://docs.google.com/spreadsheets/d/1woKwKjgoLssDvPcPeVyezB5izizAn4X1JDrys69n6xI/edit?usp=sharing"",""ยะลา!I150"")"),0)</f>
        <v>0</v>
      </c>
      <c r="T84" s="92">
        <f ca="1">IFERROR(__xludf.DUMMYFUNCTION("IMPORTRANGE(""https://docs.google.com/spreadsheets/d/1woKwKjgoLssDvPcPeVyezB5izizAn4X1JDrys69n6xI/edit?usp=sharing"",""ยะลา!I151"")"),0)</f>
        <v>0</v>
      </c>
      <c r="U84" s="92">
        <f ca="1">IFERROR(__xludf.DUMMYFUNCTION("IMPORTRANGE(""https://docs.google.com/spreadsheets/d/1woKwKjgoLssDvPcPeVyezB5izizAn4X1JDrys69n6xI/edit?usp=sharing"",""ยะลา!J150"")"),0)</f>
        <v>0</v>
      </c>
      <c r="V84" s="93">
        <f t="shared" ca="1" si="32"/>
        <v>0</v>
      </c>
      <c r="W84" s="92">
        <f ca="1">IFERROR(__xludf.DUMMYFUNCTION("IMPORTRANGE(""https://docs.google.com/spreadsheets/d/1woKwKjgoLssDvPcPeVyezB5izizAn4X1JDrys69n6xI/edit?usp=sharing"",""ยะลา!J151"")"),0)</f>
        <v>0</v>
      </c>
      <c r="X84" s="93">
        <f t="shared" ca="1" si="33"/>
        <v>0</v>
      </c>
      <c r="Y84" s="92">
        <f ca="1">IFERROR(__xludf.DUMMYFUNCTION("IMPORTRANGE(""https://docs.google.com/spreadsheets/d/1woKwKjgoLssDvPcPeVyezB5izizAn4X1JDrys69n6xI/edit?usp=sharing"",""ยะลา!I152"")"),0)</f>
        <v>0</v>
      </c>
      <c r="Z84" s="92">
        <f ca="1">IFERROR(__xludf.DUMMYFUNCTION("IMPORTRANGE(""https://docs.google.com/spreadsheets/d/1woKwKjgoLssDvPcPeVyezB5izizAn4X1JDrys69n6xI/edit?usp=sharing"",""ยะลา!I153"")"),0)</f>
        <v>0</v>
      </c>
      <c r="AA84" s="92">
        <f ca="1">IFERROR(__xludf.DUMMYFUNCTION("IMPORTRANGE(""https://docs.google.com/spreadsheets/d/1woKwKjgoLssDvPcPeVyezB5izizAn4X1JDrys69n6xI/edit?usp=sharing"",""ยะลา!J152"")"),0)</f>
        <v>0</v>
      </c>
      <c r="AB84" s="93">
        <f t="shared" ca="1" si="35"/>
        <v>0</v>
      </c>
      <c r="AC84" s="92">
        <f ca="1">IFERROR(__xludf.DUMMYFUNCTION("IMPORTRANGE(""https://docs.google.com/spreadsheets/d/1woKwKjgoLssDvPcPeVyezB5izizAn4X1JDrys69n6xI/edit?usp=sharing"",""ยะลา!J153"")"),0)</f>
        <v>0</v>
      </c>
      <c r="AD84" s="93">
        <f t="shared" ca="1" si="36"/>
        <v>0</v>
      </c>
      <c r="AE84" s="92">
        <f ca="1">IFERROR(__xludf.DUMMYFUNCTION("IMPORTRANGE(""https://docs.google.com/spreadsheets/d/1woKwKjgoLssDvPcPeVyezB5izizAn4X1JDrys69n6xI/edit?usp=sharing"",""ยะลา!I154"")"),0)</f>
        <v>0</v>
      </c>
      <c r="AF84" s="92">
        <f ca="1">IFERROR(__xludf.DUMMYFUNCTION("IMPORTRANGE(""https://docs.google.com/spreadsheets/d/1woKwKjgoLssDvPcPeVyezB5izizAn4X1JDrys69n6xI/edit?usp=sharing"",""ยะลา!J154"")"),0)</f>
        <v>0</v>
      </c>
      <c r="AG84" s="93">
        <f t="shared" ca="1" si="38"/>
        <v>0</v>
      </c>
    </row>
    <row r="85" spans="1:33" ht="21" customHeight="1" x14ac:dyDescent="0.3">
      <c r="A85" s="172">
        <v>11</v>
      </c>
      <c r="B85" s="173" t="s">
        <v>107</v>
      </c>
      <c r="C85" s="174">
        <f t="shared" ca="1" si="23"/>
        <v>66500</v>
      </c>
      <c r="D85" s="175">
        <f t="shared" ca="1" si="54"/>
        <v>66500</v>
      </c>
      <c r="E85" s="176">
        <f ca="1">IFERROR(__xludf.DUMMYFUNCTION("IMPORTRANGE(""https://docs.google.com/spreadsheets/d/1-uDff_7J0KD5mKrp0Vvzr7lt3OU09vwQwhkpOPPYv2Y/edit?usp=sharing"",""งบพรบ!BR85"")"),0)</f>
        <v>0</v>
      </c>
      <c r="F85" s="176">
        <f ca="1">IFERROR(__xludf.DUMMYFUNCTION("IMPORTRANGE(""https://docs.google.com/spreadsheets/d/1-uDff_7J0KD5mKrp0Vvzr7lt3OU09vwQwhkpOPPYv2Y/edit?usp=sharing"",""งบพรบ!BS85"")"),66500)</f>
        <v>66500</v>
      </c>
      <c r="G85" s="176">
        <f ca="1">IFERROR(__xludf.DUMMYFUNCTION("IMPORTRANGE(""https://docs.google.com/spreadsheets/d/1-uDff_7J0KD5mKrp0Vvzr7lt3OU09vwQwhkpOPPYv2Y/edit?usp=sharing"",""งบพรบ!BT85"")"),0)</f>
        <v>0</v>
      </c>
      <c r="H85" s="176">
        <f ca="1">IFERROR(__xludf.DUMMYFUNCTION("IMPORTRANGE(""https://docs.google.com/spreadsheets/d/1-uDff_7J0KD5mKrp0Vvzr7lt3OU09vwQwhkpOPPYv2Y/edit?usp=sharing"",""งบพรบ!BV85"")"),61500)</f>
        <v>61500</v>
      </c>
      <c r="I85" s="176">
        <f ca="1">IFERROR(__xludf.DUMMYFUNCTION("IMPORTRANGE(""https://docs.google.com/spreadsheets/d/1-uDff_7J0KD5mKrp0Vvzr7lt3OU09vwQwhkpOPPYv2Y/edit?usp=sharing"",""งบพรบ!BW85"")"),0)</f>
        <v>0</v>
      </c>
      <c r="J85" s="176">
        <f t="shared" ca="1" si="25"/>
        <v>0</v>
      </c>
      <c r="K85" s="181">
        <f t="shared" ca="1" si="26"/>
        <v>0</v>
      </c>
      <c r="L85" s="176">
        <f ca="1">IFERROR(__xludf.DUMMYFUNCTION("IMPORTRANGE(""https://docs.google.com/spreadsheets/d/1-uDff_7J0KD5mKrp0Vvzr7lt3OU09vwQwhkpOPPYv2Y/edit?usp=sharing"",""งบพรบ!BX85"")"),0)</f>
        <v>0</v>
      </c>
      <c r="M85" s="179">
        <f t="shared" ca="1" si="27"/>
        <v>0</v>
      </c>
      <c r="N85" s="179">
        <f t="shared" ca="1" si="28"/>
        <v>0</v>
      </c>
      <c r="O85" s="180">
        <f ca="1">IFERROR(__xludf.DUMMYFUNCTION("IMPORTRANGE(""https://docs.google.com/spreadsheets/d/1-uDff_7J0KD5mKrp0Vvzr7lt3OU09vwQwhkpOPPYv2Y/edit?usp=sharing"",""งบพรบ!BY85"")"),0)</f>
        <v>0</v>
      </c>
      <c r="P85" s="180">
        <f t="shared" ca="1" si="29"/>
        <v>0</v>
      </c>
      <c r="Q85" s="179">
        <f t="shared" ca="1" si="30"/>
        <v>0</v>
      </c>
      <c r="R85" s="92">
        <f ca="1">IFERROR(__xludf.DUMMYFUNCTION("IMPORTRANGE(""https://docs.google.com/spreadsheets/d/1qfrKjzMhm2HJfxQ-qVlJlJQ25Hne1d0khsySbZyGtPA/edit?usp=sharing"",""ระนอง!J149"")"),0)</f>
        <v>0</v>
      </c>
      <c r="S85" s="92">
        <f ca="1">IFERROR(__xludf.DUMMYFUNCTION("IMPORTRANGE(""https://docs.google.com/spreadsheets/d/1qfrKjzMhm2HJfxQ-qVlJlJQ25Hne1d0khsySbZyGtPA/edit?usp=sharing"",""ระนอง!I150"")"),20)</f>
        <v>20</v>
      </c>
      <c r="T85" s="92">
        <f ca="1">IFERROR(__xludf.DUMMYFUNCTION("IMPORTRANGE(""https://docs.google.com/spreadsheets/d/1qfrKjzMhm2HJfxQ-qVlJlJQ25Hne1d0khsySbZyGtPA/edit?usp=sharing"",""ระนอง!I151"")"),2)</f>
        <v>2</v>
      </c>
      <c r="U85" s="92">
        <f ca="1">IFERROR(__xludf.DUMMYFUNCTION("IMPORTRANGE(""https://docs.google.com/spreadsheets/d/1qfrKjzMhm2HJfxQ-qVlJlJQ25Hne1d0khsySbZyGtPA/edit?usp=sharing"",""ระนอง!J150"")"),0)</f>
        <v>0</v>
      </c>
      <c r="V85" s="93">
        <f t="shared" ca="1" si="32"/>
        <v>0</v>
      </c>
      <c r="W85" s="92">
        <f ca="1">IFERROR(__xludf.DUMMYFUNCTION("IMPORTRANGE(""https://docs.google.com/spreadsheets/d/1qfrKjzMhm2HJfxQ-qVlJlJQ25Hne1d0khsySbZyGtPA/edit?usp=sharing"",""ระนอง!J151"")"),0)</f>
        <v>0</v>
      </c>
      <c r="X85" s="93">
        <f t="shared" ca="1" si="33"/>
        <v>0</v>
      </c>
      <c r="Y85" s="92">
        <f ca="1">IFERROR(__xludf.DUMMYFUNCTION("IMPORTRANGE(""https://docs.google.com/spreadsheets/d/1qfrKjzMhm2HJfxQ-qVlJlJQ25Hne1d0khsySbZyGtPA/edit?usp=sharing"",""ระนอง!I152"")"),30)</f>
        <v>30</v>
      </c>
      <c r="Z85" s="92">
        <f ca="1">IFERROR(__xludf.DUMMYFUNCTION("IMPORTRANGE(""https://docs.google.com/spreadsheets/d/1qfrKjzMhm2HJfxQ-qVlJlJQ25Hne1d0khsySbZyGtPA/edit?usp=sharing"",""ระนอง!I153"")"),3)</f>
        <v>3</v>
      </c>
      <c r="AA85" s="92">
        <f ca="1">IFERROR(__xludf.DUMMYFUNCTION("IMPORTRANGE(""https://docs.google.com/spreadsheets/d/1qfrKjzMhm2HJfxQ-qVlJlJQ25Hne1d0khsySbZyGtPA/edit?usp=sharing"",""ระนอง!J152"")"),0)</f>
        <v>0</v>
      </c>
      <c r="AB85" s="93">
        <f t="shared" ca="1" si="35"/>
        <v>0</v>
      </c>
      <c r="AC85" s="92">
        <f ca="1">IFERROR(__xludf.DUMMYFUNCTION("IMPORTRANGE(""https://docs.google.com/spreadsheets/d/1qfrKjzMhm2HJfxQ-qVlJlJQ25Hne1d0khsySbZyGtPA/edit?usp=sharing"",""ระนอง!J153"")"),0)</f>
        <v>0</v>
      </c>
      <c r="AD85" s="93">
        <f t="shared" ca="1" si="36"/>
        <v>0</v>
      </c>
      <c r="AE85" s="92">
        <f ca="1">IFERROR(__xludf.DUMMYFUNCTION("IMPORTRANGE(""https://docs.google.com/spreadsheets/d/1qfrKjzMhm2HJfxQ-qVlJlJQ25Hne1d0khsySbZyGtPA/edit?usp=sharing"",""ระนอง!I154"")"),2)</f>
        <v>2</v>
      </c>
      <c r="AF85" s="92">
        <f ca="1">IFERROR(__xludf.DUMMYFUNCTION("IMPORTRANGE(""https://docs.google.com/spreadsheets/d/1qfrKjzMhm2HJfxQ-qVlJlJQ25Hne1d0khsySbZyGtPA/edit?usp=sharing"",""ระนอง!J154"")"),0)</f>
        <v>0</v>
      </c>
      <c r="AG85" s="93">
        <f t="shared" ca="1" si="38"/>
        <v>0</v>
      </c>
    </row>
    <row r="86" spans="1:33" ht="24" customHeight="1" x14ac:dyDescent="0.3">
      <c r="A86" s="172">
        <v>12</v>
      </c>
      <c r="B86" s="173" t="s">
        <v>108</v>
      </c>
      <c r="C86" s="174">
        <f t="shared" ca="1" si="23"/>
        <v>23300</v>
      </c>
      <c r="D86" s="175">
        <f t="shared" ca="1" si="54"/>
        <v>23300</v>
      </c>
      <c r="E86" s="176">
        <f ca="1">IFERROR(__xludf.DUMMYFUNCTION("IMPORTRANGE(""https://docs.google.com/spreadsheets/d/1-uDff_7J0KD5mKrp0Vvzr7lt3OU09vwQwhkpOPPYv2Y/edit?usp=sharing"",""งบพรบ!BR86"")"),0)</f>
        <v>0</v>
      </c>
      <c r="F86" s="176">
        <f ca="1">IFERROR(__xludf.DUMMYFUNCTION("IMPORTRANGE(""https://docs.google.com/spreadsheets/d/1-uDff_7J0KD5mKrp0Vvzr7lt3OU09vwQwhkpOPPYv2Y/edit?usp=sharing"",""งบพรบ!BS86"")"),23300)</f>
        <v>23300</v>
      </c>
      <c r="G86" s="176">
        <f ca="1">IFERROR(__xludf.DUMMYFUNCTION("IMPORTRANGE(""https://docs.google.com/spreadsheets/d/1-uDff_7J0KD5mKrp0Vvzr7lt3OU09vwQwhkpOPPYv2Y/edit?usp=sharing"",""งบพรบ!BT86"")"),0)</f>
        <v>0</v>
      </c>
      <c r="H86" s="176">
        <f ca="1">IFERROR(__xludf.DUMMYFUNCTION("IMPORTRANGE(""https://docs.google.com/spreadsheets/d/1-uDff_7J0KD5mKrp0Vvzr7lt3OU09vwQwhkpOPPYv2Y/edit?usp=sharing"",""งบพรบ!BV86"")"),18300)</f>
        <v>18300</v>
      </c>
      <c r="I86" s="176">
        <f ca="1">IFERROR(__xludf.DUMMYFUNCTION("IMPORTRANGE(""https://docs.google.com/spreadsheets/d/1-uDff_7J0KD5mKrp0Vvzr7lt3OU09vwQwhkpOPPYv2Y/edit?usp=sharing"",""งบพรบ!BW86"")"),0)</f>
        <v>0</v>
      </c>
      <c r="J86" s="176">
        <f t="shared" ca="1" si="25"/>
        <v>0</v>
      </c>
      <c r="K86" s="181">
        <f t="shared" ca="1" si="26"/>
        <v>0</v>
      </c>
      <c r="L86" s="176">
        <f ca="1">IFERROR(__xludf.DUMMYFUNCTION("IMPORTRANGE(""https://docs.google.com/spreadsheets/d/1-uDff_7J0KD5mKrp0Vvzr7lt3OU09vwQwhkpOPPYv2Y/edit?usp=sharing"",""งบพรบ!BX86"")"),0)</f>
        <v>0</v>
      </c>
      <c r="M86" s="179">
        <f t="shared" ca="1" si="27"/>
        <v>0</v>
      </c>
      <c r="N86" s="179">
        <f t="shared" ca="1" si="28"/>
        <v>0</v>
      </c>
      <c r="O86" s="180">
        <f ca="1">IFERROR(__xludf.DUMMYFUNCTION("IMPORTRANGE(""https://docs.google.com/spreadsheets/d/1-uDff_7J0KD5mKrp0Vvzr7lt3OU09vwQwhkpOPPYv2Y/edit?usp=sharing"",""งบพรบ!BY86"")"),0)</f>
        <v>0</v>
      </c>
      <c r="P86" s="180">
        <f t="shared" ca="1" si="29"/>
        <v>0</v>
      </c>
      <c r="Q86" s="179">
        <f t="shared" ca="1" si="30"/>
        <v>0</v>
      </c>
      <c r="R86" s="92">
        <f ca="1">IFERROR(__xludf.DUMMYFUNCTION("IMPORTRANGE(""https://docs.google.com/spreadsheets/d/1IbSCnFOKpZsnFogBHJnL_isstZVaOMnFiIN0fGTPZZw/edit?usp=sharing"",""สงขลา!J149"")"),0)</f>
        <v>0</v>
      </c>
      <c r="S86" s="92">
        <f ca="1">IFERROR(__xludf.DUMMYFUNCTION("IMPORTRANGE(""https://docs.google.com/spreadsheets/d/1IbSCnFOKpZsnFogBHJnL_isstZVaOMnFiIN0fGTPZZw/edit?usp=sharing"",""สงขลา!I150"")"),0)</f>
        <v>0</v>
      </c>
      <c r="T86" s="92">
        <f ca="1">IFERROR(__xludf.DUMMYFUNCTION("IMPORTRANGE(""https://docs.google.com/spreadsheets/d/1IbSCnFOKpZsnFogBHJnL_isstZVaOMnFiIN0fGTPZZw/edit?usp=sharing"",""สงขลา!I151"")"),0)</f>
        <v>0</v>
      </c>
      <c r="U86" s="92">
        <f ca="1">IFERROR(__xludf.DUMMYFUNCTION("IMPORTRANGE(""https://docs.google.com/spreadsheets/d/1IbSCnFOKpZsnFogBHJnL_isstZVaOMnFiIN0fGTPZZw/edit?usp=sharing"",""สงขลา!J150"")"),0)</f>
        <v>0</v>
      </c>
      <c r="V86" s="93">
        <f t="shared" ca="1" si="32"/>
        <v>0</v>
      </c>
      <c r="W86" s="92">
        <f ca="1">IFERROR(__xludf.DUMMYFUNCTION("IMPORTRANGE(""https://docs.google.com/spreadsheets/d/1IbSCnFOKpZsnFogBHJnL_isstZVaOMnFiIN0fGTPZZw/edit?usp=sharing"",""สงขลา!J151"")"),0)</f>
        <v>0</v>
      </c>
      <c r="X86" s="93">
        <f t="shared" ca="1" si="33"/>
        <v>0</v>
      </c>
      <c r="Y86" s="92">
        <f ca="1">IFERROR(__xludf.DUMMYFUNCTION("IMPORTRANGE(""https://docs.google.com/spreadsheets/d/1IbSCnFOKpZsnFogBHJnL_isstZVaOMnFiIN0fGTPZZw/edit?usp=sharing"",""สงขลา!I152"")"),10)</f>
        <v>10</v>
      </c>
      <c r="Z86" s="92">
        <f ca="1">IFERROR(__xludf.DUMMYFUNCTION("IMPORTRANGE(""https://docs.google.com/spreadsheets/d/1IbSCnFOKpZsnFogBHJnL_isstZVaOMnFiIN0fGTPZZw/edit?usp=sharing"",""สงขลา!I153"")"),1)</f>
        <v>1</v>
      </c>
      <c r="AA86" s="92">
        <f ca="1">IFERROR(__xludf.DUMMYFUNCTION("IMPORTRANGE(""https://docs.google.com/spreadsheets/d/1IbSCnFOKpZsnFogBHJnL_isstZVaOMnFiIN0fGTPZZw/edit?usp=sharing"",""สงขลา!J152"")"),0)</f>
        <v>0</v>
      </c>
      <c r="AB86" s="93">
        <f t="shared" ca="1" si="35"/>
        <v>0</v>
      </c>
      <c r="AC86" s="92">
        <f ca="1">IFERROR(__xludf.DUMMYFUNCTION("IMPORTRANGE(""https://docs.google.com/spreadsheets/d/1IbSCnFOKpZsnFogBHJnL_isstZVaOMnFiIN0fGTPZZw/edit?usp=sharing"",""สงขลา!J153"")"),0)</f>
        <v>0</v>
      </c>
      <c r="AD86" s="93">
        <f t="shared" ca="1" si="36"/>
        <v>0</v>
      </c>
      <c r="AE86" s="92">
        <f ca="1">IFERROR(__xludf.DUMMYFUNCTION("IMPORTRANGE(""https://docs.google.com/spreadsheets/d/1IbSCnFOKpZsnFogBHJnL_isstZVaOMnFiIN0fGTPZZw/edit?usp=sharing"",""สงขลา!I154"")"),0)</f>
        <v>0</v>
      </c>
      <c r="AF86" s="92">
        <f ca="1">IFERROR(__xludf.DUMMYFUNCTION("IMPORTRANGE(""https://docs.google.com/spreadsheets/d/1IbSCnFOKpZsnFogBHJnL_isstZVaOMnFiIN0fGTPZZw/edit?usp=sharing"",""สงขลา!J154"")"),0)</f>
        <v>0</v>
      </c>
      <c r="AG86" s="93">
        <f t="shared" ca="1" si="38"/>
        <v>0</v>
      </c>
    </row>
    <row r="87" spans="1:33" ht="24" customHeight="1" x14ac:dyDescent="0.3">
      <c r="A87" s="172">
        <v>13</v>
      </c>
      <c r="B87" s="173" t="s">
        <v>109</v>
      </c>
      <c r="C87" s="174">
        <f t="shared" ca="1" si="23"/>
        <v>0</v>
      </c>
      <c r="D87" s="175">
        <f t="shared" ca="1" si="54"/>
        <v>0</v>
      </c>
      <c r="E87" s="176">
        <f ca="1">IFERROR(__xludf.DUMMYFUNCTION("IMPORTRANGE(""https://docs.google.com/spreadsheets/d/1-uDff_7J0KD5mKrp0Vvzr7lt3OU09vwQwhkpOPPYv2Y/edit?usp=sharing"",""งบพรบ!BR87"")"),0)</f>
        <v>0</v>
      </c>
      <c r="F87" s="176">
        <f ca="1">IFERROR(__xludf.DUMMYFUNCTION("IMPORTRANGE(""https://docs.google.com/spreadsheets/d/1-uDff_7J0KD5mKrp0Vvzr7lt3OU09vwQwhkpOPPYv2Y/edit?usp=sharing"",""งบพรบ!BS87"")"),0)</f>
        <v>0</v>
      </c>
      <c r="G87" s="176">
        <f ca="1">IFERROR(__xludf.DUMMYFUNCTION("IMPORTRANGE(""https://docs.google.com/spreadsheets/d/1-uDff_7J0KD5mKrp0Vvzr7lt3OU09vwQwhkpOPPYv2Y/edit?usp=sharing"",""งบพรบ!BT87"")"),0)</f>
        <v>0</v>
      </c>
      <c r="H87" s="176">
        <f ca="1">IFERROR(__xludf.DUMMYFUNCTION("IMPORTRANGE(""https://docs.google.com/spreadsheets/d/1-uDff_7J0KD5mKrp0Vvzr7lt3OU09vwQwhkpOPPYv2Y/edit?usp=sharing"",""งบพรบ!BV87"")"),0)</f>
        <v>0</v>
      </c>
      <c r="I87" s="176">
        <f ca="1">IFERROR(__xludf.DUMMYFUNCTION("IMPORTRANGE(""https://docs.google.com/spreadsheets/d/1-uDff_7J0KD5mKrp0Vvzr7lt3OU09vwQwhkpOPPYv2Y/edit?usp=sharing"",""งบพรบ!BW87"")"),0)</f>
        <v>0</v>
      </c>
      <c r="J87" s="176">
        <f t="shared" ca="1" si="25"/>
        <v>0</v>
      </c>
      <c r="K87" s="181">
        <f t="shared" ca="1" si="26"/>
        <v>0</v>
      </c>
      <c r="L87" s="176">
        <f ca="1">IFERROR(__xludf.DUMMYFUNCTION("IMPORTRANGE(""https://docs.google.com/spreadsheets/d/1-uDff_7J0KD5mKrp0Vvzr7lt3OU09vwQwhkpOPPYv2Y/edit?usp=sharing"",""งบพรบ!BX87"")"),0)</f>
        <v>0</v>
      </c>
      <c r="M87" s="179">
        <f t="shared" ca="1" si="27"/>
        <v>0</v>
      </c>
      <c r="N87" s="179">
        <f t="shared" ca="1" si="28"/>
        <v>0</v>
      </c>
      <c r="O87" s="180">
        <f ca="1">IFERROR(__xludf.DUMMYFUNCTION("IMPORTRANGE(""https://docs.google.com/spreadsheets/d/1-uDff_7J0KD5mKrp0Vvzr7lt3OU09vwQwhkpOPPYv2Y/edit?usp=sharing"",""งบพรบ!BY87"")"),0)</f>
        <v>0</v>
      </c>
      <c r="P87" s="180">
        <f t="shared" ca="1" si="29"/>
        <v>0</v>
      </c>
      <c r="Q87" s="179">
        <f t="shared" ca="1" si="30"/>
        <v>0</v>
      </c>
      <c r="R87" s="92">
        <f ca="1">IFERROR(__xludf.DUMMYFUNCTION("IMPORTRANGE(""https://docs.google.com/spreadsheets/d/1q9nWasZJ-K8bFGvbE9n0qSRuKGA4Toe3Y89cKCiVtCU/edit?usp=sharing"",""สตูล!J149"")"),0)</f>
        <v>0</v>
      </c>
      <c r="S87" s="92">
        <f ca="1">IFERROR(__xludf.DUMMYFUNCTION("IMPORTRANGE(""https://docs.google.com/spreadsheets/d/1q9nWasZJ-K8bFGvbE9n0qSRuKGA4Toe3Y89cKCiVtCU/edit?usp=sharing"",""สตูล!I150"")"),0)</f>
        <v>0</v>
      </c>
      <c r="T87" s="92">
        <f ca="1">IFERROR(__xludf.DUMMYFUNCTION("IMPORTRANGE(""https://docs.google.com/spreadsheets/d/1q9nWasZJ-K8bFGvbE9n0qSRuKGA4Toe3Y89cKCiVtCU/edit?usp=sharing"",""สตูล!I151"")"),0)</f>
        <v>0</v>
      </c>
      <c r="U87" s="92">
        <f ca="1">IFERROR(__xludf.DUMMYFUNCTION("IMPORTRANGE(""https://docs.google.com/spreadsheets/d/1q9nWasZJ-K8bFGvbE9n0qSRuKGA4Toe3Y89cKCiVtCU/edit?usp=sharing"",""สตูล!J150"")"),0)</f>
        <v>0</v>
      </c>
      <c r="V87" s="93">
        <f t="shared" ca="1" si="32"/>
        <v>0</v>
      </c>
      <c r="W87" s="92">
        <f ca="1">IFERROR(__xludf.DUMMYFUNCTION("IMPORTRANGE(""https://docs.google.com/spreadsheets/d/1q9nWasZJ-K8bFGvbE9n0qSRuKGA4Toe3Y89cKCiVtCU/edit?usp=sharing"",""สตูล!J151"")"),0)</f>
        <v>0</v>
      </c>
      <c r="X87" s="93">
        <f t="shared" ca="1" si="33"/>
        <v>0</v>
      </c>
      <c r="Y87" s="92">
        <f ca="1">IFERROR(__xludf.DUMMYFUNCTION("IMPORTRANGE(""https://docs.google.com/spreadsheets/d/1q9nWasZJ-K8bFGvbE9n0qSRuKGA4Toe3Y89cKCiVtCU/edit?usp=sharing"",""สตูล!I152"")"),0)</f>
        <v>0</v>
      </c>
      <c r="Z87" s="92">
        <f ca="1">IFERROR(__xludf.DUMMYFUNCTION("IMPORTRANGE(""https://docs.google.com/spreadsheets/d/1q9nWasZJ-K8bFGvbE9n0qSRuKGA4Toe3Y89cKCiVtCU/edit?usp=sharing"",""สตูล!I153"")"),0)</f>
        <v>0</v>
      </c>
      <c r="AA87" s="92">
        <f ca="1">IFERROR(__xludf.DUMMYFUNCTION("IMPORTRANGE(""https://docs.google.com/spreadsheets/d/1q9nWasZJ-K8bFGvbE9n0qSRuKGA4Toe3Y89cKCiVtCU/edit?usp=sharing"",""สตูล!J152"")"),0)</f>
        <v>0</v>
      </c>
      <c r="AB87" s="93">
        <f t="shared" ca="1" si="35"/>
        <v>0</v>
      </c>
      <c r="AC87" s="92">
        <f ca="1">IFERROR(__xludf.DUMMYFUNCTION("IMPORTRANGE(""https://docs.google.com/spreadsheets/d/1q9nWasZJ-K8bFGvbE9n0qSRuKGA4Toe3Y89cKCiVtCU/edit?usp=sharing"",""สตูล!J153"")"),0)</f>
        <v>0</v>
      </c>
      <c r="AD87" s="93">
        <f t="shared" ca="1" si="36"/>
        <v>0</v>
      </c>
      <c r="AE87" s="92">
        <f ca="1">IFERROR(__xludf.DUMMYFUNCTION("IMPORTRANGE(""https://docs.google.com/spreadsheets/d/1q9nWasZJ-K8bFGvbE9n0qSRuKGA4Toe3Y89cKCiVtCU/edit?usp=sharing"",""สตูล!I154"")"),0)</f>
        <v>0</v>
      </c>
      <c r="AF87" s="92">
        <f ca="1">IFERROR(__xludf.DUMMYFUNCTION("IMPORTRANGE(""https://docs.google.com/spreadsheets/d/1q9nWasZJ-K8bFGvbE9n0qSRuKGA4Toe3Y89cKCiVtCU/edit?usp=sharing"",""สตูล!J154"")"),0)</f>
        <v>0</v>
      </c>
      <c r="AG87" s="93">
        <f t="shared" ca="1" si="38"/>
        <v>0</v>
      </c>
    </row>
    <row r="88" spans="1:33" ht="24" customHeight="1" x14ac:dyDescent="0.3">
      <c r="A88" s="182">
        <v>14</v>
      </c>
      <c r="B88" s="183" t="s">
        <v>110</v>
      </c>
      <c r="C88" s="184">
        <f t="shared" ca="1" si="23"/>
        <v>31600</v>
      </c>
      <c r="D88" s="185">
        <f t="shared" ca="1" si="54"/>
        <v>31600</v>
      </c>
      <c r="E88" s="186">
        <f ca="1">IFERROR(__xludf.DUMMYFUNCTION("IMPORTRANGE(""https://docs.google.com/spreadsheets/d/1-uDff_7J0KD5mKrp0Vvzr7lt3OU09vwQwhkpOPPYv2Y/edit?usp=sharing"",""งบพรบ!BR88"")"),0)</f>
        <v>0</v>
      </c>
      <c r="F88" s="186">
        <f ca="1">IFERROR(__xludf.DUMMYFUNCTION("IMPORTRANGE(""https://docs.google.com/spreadsheets/d/1-uDff_7J0KD5mKrp0Vvzr7lt3OU09vwQwhkpOPPYv2Y/edit?usp=sharing"",""งบพรบ!BS88"")"),31600)</f>
        <v>31600</v>
      </c>
      <c r="G88" s="186">
        <f ca="1">IFERROR(__xludf.DUMMYFUNCTION("IMPORTRANGE(""https://docs.google.com/spreadsheets/d/1-uDff_7J0KD5mKrp0Vvzr7lt3OU09vwQwhkpOPPYv2Y/edit?usp=sharing"",""งบพรบ!BT88"")"),0)</f>
        <v>0</v>
      </c>
      <c r="H88" s="186">
        <f ca="1">IFERROR(__xludf.DUMMYFUNCTION("IMPORTRANGE(""https://docs.google.com/spreadsheets/d/1-uDff_7J0KD5mKrp0Vvzr7lt3OU09vwQwhkpOPPYv2Y/edit?usp=sharing"",""งบพรบ!BV88"")"),26600)</f>
        <v>26600</v>
      </c>
      <c r="I88" s="186">
        <f ca="1">IFERROR(__xludf.DUMMYFUNCTION("IMPORTRANGE(""https://docs.google.com/spreadsheets/d/1-uDff_7J0KD5mKrp0Vvzr7lt3OU09vwQwhkpOPPYv2Y/edit?usp=sharing"",""งบพรบ!BW88"")"),0)</f>
        <v>0</v>
      </c>
      <c r="J88" s="186">
        <f t="shared" ca="1" si="25"/>
        <v>0</v>
      </c>
      <c r="K88" s="187">
        <f t="shared" ca="1" si="26"/>
        <v>0</v>
      </c>
      <c r="L88" s="186">
        <f ca="1">IFERROR(__xludf.DUMMYFUNCTION("IMPORTRANGE(""https://docs.google.com/spreadsheets/d/1-uDff_7J0KD5mKrp0Vvzr7lt3OU09vwQwhkpOPPYv2Y/edit?usp=sharing"",""งบพรบ!BX88"")"),0)</f>
        <v>0</v>
      </c>
      <c r="M88" s="188">
        <f t="shared" ca="1" si="27"/>
        <v>0</v>
      </c>
      <c r="N88" s="188">
        <f t="shared" ca="1" si="28"/>
        <v>0</v>
      </c>
      <c r="O88" s="189">
        <f ca="1">IFERROR(__xludf.DUMMYFUNCTION("IMPORTRANGE(""https://docs.google.com/spreadsheets/d/1-uDff_7J0KD5mKrp0Vvzr7lt3OU09vwQwhkpOPPYv2Y/edit?usp=sharing"",""งบพรบ!BY88"")"),0)</f>
        <v>0</v>
      </c>
      <c r="P88" s="189">
        <f t="shared" ca="1" si="29"/>
        <v>0</v>
      </c>
      <c r="Q88" s="188">
        <f t="shared" ca="1" si="30"/>
        <v>0</v>
      </c>
      <c r="R88" s="103">
        <f ca="1">IFERROR(__xludf.DUMMYFUNCTION("IMPORTRANGE(""https://docs.google.com/spreadsheets/d/18T20gbkS_WBjdscyTOV05cvq_JqvqQ17C81mpxf7Ncs/edit?usp=sharing"",""สุราษฎร์ธานี!J149"")"),0)</f>
        <v>0</v>
      </c>
      <c r="S88" s="103">
        <f ca="1">IFERROR(__xludf.DUMMYFUNCTION("IMPORTRANGE(""https://docs.google.com/spreadsheets/d/18T20gbkS_WBjdscyTOV05cvq_JqvqQ17C81mpxf7Ncs/edit?usp=sharing"",""สุราษฎร์ธานี!I150"")"),0)</f>
        <v>0</v>
      </c>
      <c r="T88" s="103">
        <f ca="1">IFERROR(__xludf.DUMMYFUNCTION("IMPORTRANGE(""https://docs.google.com/spreadsheets/d/18T20gbkS_WBjdscyTOV05cvq_JqvqQ17C81mpxf7Ncs/edit?usp=sharing"",""สุราษฎร์ธานี!I151"")"),0)</f>
        <v>0</v>
      </c>
      <c r="U88" s="103">
        <f ca="1">IFERROR(__xludf.DUMMYFUNCTION("IMPORTRANGE(""https://docs.google.com/spreadsheets/d/18T20gbkS_WBjdscyTOV05cvq_JqvqQ17C81mpxf7Ncs/edit?usp=sharing"",""สุราษฎร์ธานี!J150"")"),0)</f>
        <v>0</v>
      </c>
      <c r="V88" s="104">
        <f t="shared" ca="1" si="32"/>
        <v>0</v>
      </c>
      <c r="W88" s="103">
        <f ca="1">IFERROR(__xludf.DUMMYFUNCTION("IMPORTRANGE(""https://docs.google.com/spreadsheets/d/18T20gbkS_WBjdscyTOV05cvq_JqvqQ17C81mpxf7Ncs/edit?usp=sharing"",""สุราษฎร์ธานี!J151"")"),0)</f>
        <v>0</v>
      </c>
      <c r="X88" s="104">
        <f t="shared" ca="1" si="33"/>
        <v>0</v>
      </c>
      <c r="Y88" s="103">
        <f ca="1">IFERROR(__xludf.DUMMYFUNCTION("IMPORTRANGE(""https://docs.google.com/spreadsheets/d/18T20gbkS_WBjdscyTOV05cvq_JqvqQ17C81mpxf7Ncs/edit?usp=sharing"",""สุราษฎร์ธานี!I152"")"),20)</f>
        <v>20</v>
      </c>
      <c r="Z88" s="103">
        <f ca="1">IFERROR(__xludf.DUMMYFUNCTION("IMPORTRANGE(""https://docs.google.com/spreadsheets/d/18T20gbkS_WBjdscyTOV05cvq_JqvqQ17C81mpxf7Ncs/edit?usp=sharing"",""สุราษฎร์ธานี!I153"")"),2)</f>
        <v>2</v>
      </c>
      <c r="AA88" s="103">
        <f ca="1">IFERROR(__xludf.DUMMYFUNCTION("IMPORTRANGE(""https://docs.google.com/spreadsheets/d/18T20gbkS_WBjdscyTOV05cvq_JqvqQ17C81mpxf7Ncs/edit?usp=sharing"",""สุราษฎร์ธานี!J152"")"),0)</f>
        <v>0</v>
      </c>
      <c r="AB88" s="104">
        <f t="shared" ca="1" si="35"/>
        <v>0</v>
      </c>
      <c r="AC88" s="103">
        <f ca="1">IFERROR(__xludf.DUMMYFUNCTION("IMPORTRANGE(""https://docs.google.com/spreadsheets/d/18T20gbkS_WBjdscyTOV05cvq_JqvqQ17C81mpxf7Ncs/edit?usp=sharing"",""สุราษฎร์ธานี!J153"")"),0)</f>
        <v>0</v>
      </c>
      <c r="AD88" s="104">
        <f t="shared" ca="1" si="36"/>
        <v>0</v>
      </c>
      <c r="AE88" s="103">
        <f ca="1">IFERROR(__xludf.DUMMYFUNCTION("IMPORTRANGE(""https://docs.google.com/spreadsheets/d/18T20gbkS_WBjdscyTOV05cvq_JqvqQ17C81mpxf7Ncs/edit?usp=sharing"",""สุราษฎร์ธานี!I154"")"),0)</f>
        <v>0</v>
      </c>
      <c r="AF88" s="103">
        <f ca="1">IFERROR(__xludf.DUMMYFUNCTION("IMPORTRANGE(""https://docs.google.com/spreadsheets/d/18T20gbkS_WBjdscyTOV05cvq_JqvqQ17C81mpxf7Ncs/edit?usp=sharing"",""สุราษฎร์ธานี!J154"")"),0)</f>
        <v>0</v>
      </c>
      <c r="AG88" s="104">
        <f t="shared" ca="1" si="38"/>
        <v>0</v>
      </c>
    </row>
    <row r="89" spans="1:33" ht="21" customHeight="1" x14ac:dyDescent="0.3">
      <c r="A89" s="424" t="s">
        <v>111</v>
      </c>
      <c r="B89" s="422"/>
      <c r="C89" s="46">
        <f t="shared" ref="C89:Q89" ca="1" si="55">SUM(C90:C106)</f>
        <v>312000</v>
      </c>
      <c r="D89" s="46">
        <f t="shared" ca="1" si="55"/>
        <v>312000</v>
      </c>
      <c r="E89" s="46">
        <f t="shared" ca="1" si="55"/>
        <v>92800</v>
      </c>
      <c r="F89" s="46">
        <f t="shared" ca="1" si="55"/>
        <v>219200</v>
      </c>
      <c r="G89" s="46">
        <f t="shared" ca="1" si="55"/>
        <v>0</v>
      </c>
      <c r="H89" s="46">
        <f t="shared" ca="1" si="55"/>
        <v>571500</v>
      </c>
      <c r="I89" s="46">
        <f t="shared" ca="1" si="55"/>
        <v>0</v>
      </c>
      <c r="J89" s="46">
        <f t="shared" ca="1" si="55"/>
        <v>127327.8</v>
      </c>
      <c r="K89" s="48">
        <f t="shared" ca="1" si="55"/>
        <v>27.676459854014599</v>
      </c>
      <c r="L89" s="46">
        <f t="shared" ca="1" si="55"/>
        <v>127327.8</v>
      </c>
      <c r="M89" s="48">
        <f t="shared" ca="1" si="55"/>
        <v>27.676459854014599</v>
      </c>
      <c r="N89" s="48">
        <f t="shared" ca="1" si="55"/>
        <v>102.15121501749125</v>
      </c>
      <c r="O89" s="46">
        <f t="shared" ca="1" si="55"/>
        <v>0</v>
      </c>
      <c r="P89" s="46">
        <f t="shared" ca="1" si="55"/>
        <v>0</v>
      </c>
      <c r="Q89" s="46">
        <f t="shared" ca="1" si="55"/>
        <v>0</v>
      </c>
      <c r="R89" s="46"/>
      <c r="S89" s="46"/>
      <c r="T89" s="46"/>
      <c r="U89" s="46"/>
      <c r="V89" s="49"/>
      <c r="W89" s="49"/>
      <c r="X89" s="49"/>
      <c r="Y89" s="46"/>
      <c r="Z89" s="46"/>
      <c r="AA89" s="49"/>
      <c r="AB89" s="49"/>
      <c r="AC89" s="49"/>
      <c r="AD89" s="49"/>
      <c r="AE89" s="46"/>
      <c r="AF89" s="46"/>
      <c r="AG89" s="49"/>
    </row>
    <row r="90" spans="1:33" ht="24" customHeight="1" x14ac:dyDescent="0.3">
      <c r="A90" s="192"/>
      <c r="B90" s="114" t="s">
        <v>112</v>
      </c>
      <c r="C90" s="193">
        <f t="shared" ref="C90:C106" ca="1" si="56">D90+G90</f>
        <v>0</v>
      </c>
      <c r="D90" s="194">
        <f t="shared" ref="D90:D106" ca="1" si="57">+E90+F90</f>
        <v>0</v>
      </c>
      <c r="E90" s="78">
        <f ca="1">IFERROR(__xludf.DUMMYFUNCTION("IMPORTRANGE(""https://docs.google.com/spreadsheets/d/1-uDff_7J0KD5mKrp0Vvzr7lt3OU09vwQwhkpOPPYv2Y/edit?usp=sharing"",""งบพรบ!BR90"")"),0)</f>
        <v>0</v>
      </c>
      <c r="F90" s="78">
        <f ca="1">IFERROR(__xludf.DUMMYFUNCTION("IMPORTRANGE(""https://docs.google.com/spreadsheets/d/1-uDff_7J0KD5mKrp0Vvzr7lt3OU09vwQwhkpOPPYv2Y/edit?usp=sharing"",""งบพรบ!BS90"")"),0)</f>
        <v>0</v>
      </c>
      <c r="G90" s="78">
        <f ca="1">IFERROR(__xludf.DUMMYFUNCTION("IMPORTRANGE(""https://docs.google.com/spreadsheets/d/1-uDff_7J0KD5mKrp0Vvzr7lt3OU09vwQwhkpOPPYv2Y/edit?usp=sharing"",""งบพรบ!BT90"")"),0)</f>
        <v>0</v>
      </c>
      <c r="H90" s="78">
        <f ca="1">IFERROR(__xludf.DUMMYFUNCTION("IMPORTRANGE(""https://docs.google.com/spreadsheets/d/1-uDff_7J0KD5mKrp0Vvzr7lt3OU09vwQwhkpOPPYv2Y/edit?usp=sharing"",""งบพรบ!BV90"")"),0)</f>
        <v>0</v>
      </c>
      <c r="I90" s="78">
        <f ca="1">IFERROR(__xludf.DUMMYFUNCTION("IMPORTRANGE(""https://docs.google.com/spreadsheets/d/1-uDff_7J0KD5mKrp0Vvzr7lt3OU09vwQwhkpOPPYv2Y/edit?usp=sharing"",""งบพรบ!BW90"")"),0)</f>
        <v>0</v>
      </c>
      <c r="J90" s="78">
        <f t="shared" ref="J90:J106" ca="1" si="58">L90+O90</f>
        <v>0</v>
      </c>
      <c r="K90" s="115">
        <f t="shared" ref="K90:K106" ca="1" si="59">IF(C90&gt;0,J90*100/C90,0)</f>
        <v>0</v>
      </c>
      <c r="L90" s="78">
        <f ca="1">IFERROR(__xludf.DUMMYFUNCTION("IMPORTRANGE(""https://docs.google.com/spreadsheets/d/1-uDff_7J0KD5mKrp0Vvzr7lt3OU09vwQwhkpOPPYv2Y/edit?usp=sharing"",""งบพรบ!BX90"")"),0)</f>
        <v>0</v>
      </c>
      <c r="M90" s="81">
        <f t="shared" ref="M90:M106" ca="1" si="60">IF(D90&gt;0,L90*100/D90,0)</f>
        <v>0</v>
      </c>
      <c r="N90" s="81">
        <f t="shared" ref="N90:N106" ca="1" si="61">IF(H90&gt;0,L90*100/H90,0)</f>
        <v>0</v>
      </c>
      <c r="O90" s="82">
        <f ca="1">IFERROR(__xludf.DUMMYFUNCTION("IMPORTRANGE(""https://docs.google.com/spreadsheets/d/1-uDff_7J0KD5mKrp0Vvzr7lt3OU09vwQwhkpOPPYv2Y/edit?usp=sharing"",""งบพรบ!BY90"")"),0)</f>
        <v>0</v>
      </c>
      <c r="P90" s="82">
        <f t="shared" ref="P90:P106" ca="1" si="62">IF(G90&gt;0,O90*100/G90,0)</f>
        <v>0</v>
      </c>
      <c r="Q90" s="81">
        <f t="shared" ref="Q90:Q106" ca="1" si="63">IF(I90&gt;0,O90*100/I90,0)</f>
        <v>0</v>
      </c>
      <c r="R90" s="78"/>
      <c r="S90" s="78"/>
      <c r="T90" s="78"/>
      <c r="U90" s="78"/>
      <c r="V90" s="81"/>
      <c r="W90" s="81"/>
      <c r="X90" s="81"/>
      <c r="Y90" s="78"/>
      <c r="Z90" s="78"/>
      <c r="AA90" s="81"/>
      <c r="AB90" s="81"/>
      <c r="AC90" s="81"/>
      <c r="AD90" s="81"/>
      <c r="AE90" s="78"/>
      <c r="AF90" s="78"/>
      <c r="AG90" s="81"/>
    </row>
    <row r="91" spans="1:33" ht="24" customHeight="1" x14ac:dyDescent="0.3">
      <c r="A91" s="196"/>
      <c r="B91" s="117" t="s">
        <v>113</v>
      </c>
      <c r="C91" s="197">
        <f t="shared" ca="1" si="56"/>
        <v>0</v>
      </c>
      <c r="D91" s="198">
        <f t="shared" ca="1" si="57"/>
        <v>0</v>
      </c>
      <c r="E91" s="88">
        <f ca="1">IFERROR(__xludf.DUMMYFUNCTION("IMPORTRANGE(""https://docs.google.com/spreadsheets/d/1-uDff_7J0KD5mKrp0Vvzr7lt3OU09vwQwhkpOPPYv2Y/edit?usp=sharing"",""งบพรบ!BR91"")"),0)</f>
        <v>0</v>
      </c>
      <c r="F91" s="88">
        <f ca="1">IFERROR(__xludf.DUMMYFUNCTION("IMPORTRANGE(""https://docs.google.com/spreadsheets/d/1-uDff_7J0KD5mKrp0Vvzr7lt3OU09vwQwhkpOPPYv2Y/edit?usp=sharing"",""งบพรบ!BS91"")"),0)</f>
        <v>0</v>
      </c>
      <c r="G91" s="88">
        <f ca="1">IFERROR(__xludf.DUMMYFUNCTION("IMPORTRANGE(""https://docs.google.com/spreadsheets/d/1-uDff_7J0KD5mKrp0Vvzr7lt3OU09vwQwhkpOPPYv2Y/edit?usp=sharing"",""งบพรบ!BT91"")"),0)</f>
        <v>0</v>
      </c>
      <c r="H91" s="88">
        <f ca="1">IFERROR(__xludf.DUMMYFUNCTION("IMPORTRANGE(""https://docs.google.com/spreadsheets/d/1-uDff_7J0KD5mKrp0Vvzr7lt3OU09vwQwhkpOPPYv2Y/edit?usp=sharing"",""งบพรบ!BV91"")"),0)</f>
        <v>0</v>
      </c>
      <c r="I91" s="88">
        <f ca="1">IFERROR(__xludf.DUMMYFUNCTION("IMPORTRANGE(""https://docs.google.com/spreadsheets/d/1-uDff_7J0KD5mKrp0Vvzr7lt3OU09vwQwhkpOPPYv2Y/edit?usp=sharing"",""งบพรบ!BW91"")"),0)</f>
        <v>0</v>
      </c>
      <c r="J91" s="88">
        <f t="shared" ca="1" si="58"/>
        <v>0</v>
      </c>
      <c r="K91" s="89">
        <f t="shared" ca="1" si="59"/>
        <v>0</v>
      </c>
      <c r="L91" s="88">
        <f ca="1">IFERROR(__xludf.DUMMYFUNCTION("IMPORTRANGE(""https://docs.google.com/spreadsheets/d/1-uDff_7J0KD5mKrp0Vvzr7lt3OU09vwQwhkpOPPYv2Y/edit?usp=sharing"",""งบพรบ!BX91"")"),0)</f>
        <v>0</v>
      </c>
      <c r="M91" s="90">
        <f t="shared" ca="1" si="60"/>
        <v>0</v>
      </c>
      <c r="N91" s="90">
        <f t="shared" ca="1" si="61"/>
        <v>0</v>
      </c>
      <c r="O91" s="91">
        <f ca="1">IFERROR(__xludf.DUMMYFUNCTION("IMPORTRANGE(""https://docs.google.com/spreadsheets/d/1-uDff_7J0KD5mKrp0Vvzr7lt3OU09vwQwhkpOPPYv2Y/edit?usp=sharing"",""งบพรบ!BY91"")"),0)</f>
        <v>0</v>
      </c>
      <c r="P91" s="91">
        <f t="shared" ca="1" si="62"/>
        <v>0</v>
      </c>
      <c r="Q91" s="90">
        <f t="shared" ca="1" si="63"/>
        <v>0</v>
      </c>
      <c r="R91" s="88"/>
      <c r="S91" s="88"/>
      <c r="T91" s="88"/>
      <c r="U91" s="88"/>
      <c r="V91" s="90"/>
      <c r="W91" s="90"/>
      <c r="X91" s="90"/>
      <c r="Y91" s="88"/>
      <c r="Z91" s="88"/>
      <c r="AA91" s="90"/>
      <c r="AB91" s="90"/>
      <c r="AC91" s="90"/>
      <c r="AD91" s="90"/>
      <c r="AE91" s="88"/>
      <c r="AF91" s="88"/>
      <c r="AG91" s="90"/>
    </row>
    <row r="92" spans="1:33" ht="24" customHeight="1" x14ac:dyDescent="0.3">
      <c r="A92" s="196"/>
      <c r="B92" s="117" t="s">
        <v>114</v>
      </c>
      <c r="C92" s="197">
        <f t="shared" ca="1" si="56"/>
        <v>0</v>
      </c>
      <c r="D92" s="198">
        <f t="shared" ca="1" si="57"/>
        <v>0</v>
      </c>
      <c r="E92" s="88">
        <f ca="1">IFERROR(__xludf.DUMMYFUNCTION("IMPORTRANGE(""https://docs.google.com/spreadsheets/d/1-uDff_7J0KD5mKrp0Vvzr7lt3OU09vwQwhkpOPPYv2Y/edit?usp=sharing"",""งบพรบ!BR92"")"),0)</f>
        <v>0</v>
      </c>
      <c r="F92" s="88">
        <f ca="1">IFERROR(__xludf.DUMMYFUNCTION("IMPORTRANGE(""https://docs.google.com/spreadsheets/d/1-uDff_7J0KD5mKrp0Vvzr7lt3OU09vwQwhkpOPPYv2Y/edit?usp=sharing"",""งบพรบ!BS92"")"),0)</f>
        <v>0</v>
      </c>
      <c r="G92" s="88">
        <f ca="1">IFERROR(__xludf.DUMMYFUNCTION("IMPORTRANGE(""https://docs.google.com/spreadsheets/d/1-uDff_7J0KD5mKrp0Vvzr7lt3OU09vwQwhkpOPPYv2Y/edit?usp=sharing"",""งบพรบ!BT92"")"),0)</f>
        <v>0</v>
      </c>
      <c r="H92" s="88">
        <f ca="1">IFERROR(__xludf.DUMMYFUNCTION("IMPORTRANGE(""https://docs.google.com/spreadsheets/d/1-uDff_7J0KD5mKrp0Vvzr7lt3OU09vwQwhkpOPPYv2Y/edit?usp=sharing"",""งบพรบ!BV92"")"),0)</f>
        <v>0</v>
      </c>
      <c r="I92" s="88">
        <f ca="1">IFERROR(__xludf.DUMMYFUNCTION("IMPORTRANGE(""https://docs.google.com/spreadsheets/d/1-uDff_7J0KD5mKrp0Vvzr7lt3OU09vwQwhkpOPPYv2Y/edit?usp=sharing"",""งบพรบ!BW92"")"),0)</f>
        <v>0</v>
      </c>
      <c r="J92" s="88">
        <f t="shared" ca="1" si="58"/>
        <v>0</v>
      </c>
      <c r="K92" s="89">
        <f t="shared" ca="1" si="59"/>
        <v>0</v>
      </c>
      <c r="L92" s="88">
        <f ca="1">IFERROR(__xludf.DUMMYFUNCTION("IMPORTRANGE(""https://docs.google.com/spreadsheets/d/1-uDff_7J0KD5mKrp0Vvzr7lt3OU09vwQwhkpOPPYv2Y/edit?usp=sharing"",""งบพรบ!BX92"")"),0)</f>
        <v>0</v>
      </c>
      <c r="M92" s="90">
        <f t="shared" ca="1" si="60"/>
        <v>0</v>
      </c>
      <c r="N92" s="90">
        <f t="shared" ca="1" si="61"/>
        <v>0</v>
      </c>
      <c r="O92" s="91">
        <f ca="1">IFERROR(__xludf.DUMMYFUNCTION("IMPORTRANGE(""https://docs.google.com/spreadsheets/d/1-uDff_7J0KD5mKrp0Vvzr7lt3OU09vwQwhkpOPPYv2Y/edit?usp=sharing"",""งบพรบ!BY92"")"),0)</f>
        <v>0</v>
      </c>
      <c r="P92" s="91">
        <f t="shared" ca="1" si="62"/>
        <v>0</v>
      </c>
      <c r="Q92" s="90">
        <f t="shared" ca="1" si="63"/>
        <v>0</v>
      </c>
      <c r="R92" s="88"/>
      <c r="S92" s="88"/>
      <c r="T92" s="88"/>
      <c r="U92" s="88"/>
      <c r="V92" s="90"/>
      <c r="W92" s="90"/>
      <c r="X92" s="90"/>
      <c r="Y92" s="88"/>
      <c r="Z92" s="88"/>
      <c r="AA92" s="90"/>
      <c r="AB92" s="90"/>
      <c r="AC92" s="90"/>
      <c r="AD92" s="90"/>
      <c r="AE92" s="88"/>
      <c r="AF92" s="88"/>
      <c r="AG92" s="90"/>
    </row>
    <row r="93" spans="1:33" ht="24" customHeight="1" x14ac:dyDescent="0.3">
      <c r="A93" s="196"/>
      <c r="B93" s="117" t="s">
        <v>115</v>
      </c>
      <c r="C93" s="197">
        <f t="shared" ca="1" si="56"/>
        <v>0</v>
      </c>
      <c r="D93" s="198">
        <f t="shared" ca="1" si="57"/>
        <v>0</v>
      </c>
      <c r="E93" s="88">
        <f ca="1">IFERROR(__xludf.DUMMYFUNCTION("IMPORTRANGE(""https://docs.google.com/spreadsheets/d/1-uDff_7J0KD5mKrp0Vvzr7lt3OU09vwQwhkpOPPYv2Y/edit?usp=sharing"",""งบพรบ!BR93"")"),0)</f>
        <v>0</v>
      </c>
      <c r="F93" s="88">
        <f ca="1">IFERROR(__xludf.DUMMYFUNCTION("IMPORTRANGE(""https://docs.google.com/spreadsheets/d/1-uDff_7J0KD5mKrp0Vvzr7lt3OU09vwQwhkpOPPYv2Y/edit?usp=sharing"",""งบพรบ!BS93"")"),0)</f>
        <v>0</v>
      </c>
      <c r="G93" s="88">
        <f ca="1">IFERROR(__xludf.DUMMYFUNCTION("IMPORTRANGE(""https://docs.google.com/spreadsheets/d/1-uDff_7J0KD5mKrp0Vvzr7lt3OU09vwQwhkpOPPYv2Y/edit?usp=sharing"",""งบพรบ!BT93"")"),0)</f>
        <v>0</v>
      </c>
      <c r="H93" s="88">
        <f ca="1">IFERROR(__xludf.DUMMYFUNCTION("IMPORTRANGE(""https://docs.google.com/spreadsheets/d/1-uDff_7J0KD5mKrp0Vvzr7lt3OU09vwQwhkpOPPYv2Y/edit?usp=sharing"",""งบพรบ!BV93"")"),92800)</f>
        <v>92800</v>
      </c>
      <c r="I93" s="88">
        <f ca="1">IFERROR(__xludf.DUMMYFUNCTION("IMPORTRANGE(""https://docs.google.com/spreadsheets/d/1-uDff_7J0KD5mKrp0Vvzr7lt3OU09vwQwhkpOPPYv2Y/edit?usp=sharing"",""งบพรบ!BW93"")"),0)</f>
        <v>0</v>
      </c>
      <c r="J93" s="88">
        <f t="shared" ca="1" si="58"/>
        <v>66661</v>
      </c>
      <c r="K93" s="89">
        <f t="shared" ca="1" si="59"/>
        <v>0</v>
      </c>
      <c r="L93" s="88">
        <f ca="1">IFERROR(__xludf.DUMMYFUNCTION("IMPORTRANGE(""https://docs.google.com/spreadsheets/d/1-uDff_7J0KD5mKrp0Vvzr7lt3OU09vwQwhkpOPPYv2Y/edit?usp=sharing"",""งบพรบ!BX93"")"),66661)</f>
        <v>66661</v>
      </c>
      <c r="M93" s="90">
        <f t="shared" ca="1" si="60"/>
        <v>0</v>
      </c>
      <c r="N93" s="90">
        <f t="shared" ca="1" si="61"/>
        <v>71.832974137931032</v>
      </c>
      <c r="O93" s="91">
        <f ca="1">IFERROR(__xludf.DUMMYFUNCTION("IMPORTRANGE(""https://docs.google.com/spreadsheets/d/1-uDff_7J0KD5mKrp0Vvzr7lt3OU09vwQwhkpOPPYv2Y/edit?usp=sharing"",""งบพรบ!BY93"")"),0)</f>
        <v>0</v>
      </c>
      <c r="P93" s="91">
        <f t="shared" ca="1" si="62"/>
        <v>0</v>
      </c>
      <c r="Q93" s="90">
        <f t="shared" ca="1" si="63"/>
        <v>0</v>
      </c>
      <c r="R93" s="88"/>
      <c r="S93" s="88"/>
      <c r="T93" s="88"/>
      <c r="U93" s="88"/>
      <c r="V93" s="90"/>
      <c r="W93" s="90"/>
      <c r="X93" s="90"/>
      <c r="Y93" s="88"/>
      <c r="Z93" s="88"/>
      <c r="AA93" s="90"/>
      <c r="AB93" s="90"/>
      <c r="AC93" s="90"/>
      <c r="AD93" s="90"/>
      <c r="AE93" s="88"/>
      <c r="AF93" s="88"/>
      <c r="AG93" s="90"/>
    </row>
    <row r="94" spans="1:33" ht="24" customHeight="1" x14ac:dyDescent="0.3">
      <c r="A94" s="196"/>
      <c r="B94" s="117" t="s">
        <v>116</v>
      </c>
      <c r="C94" s="197">
        <f t="shared" ca="1" si="56"/>
        <v>0</v>
      </c>
      <c r="D94" s="198">
        <f t="shared" ca="1" si="57"/>
        <v>0</v>
      </c>
      <c r="E94" s="88">
        <f ca="1">IFERROR(__xludf.DUMMYFUNCTION("IMPORTRANGE(""https://docs.google.com/spreadsheets/d/1-uDff_7J0KD5mKrp0Vvzr7lt3OU09vwQwhkpOPPYv2Y/edit?usp=sharing"",""งบพรบ!BR94"")"),0)</f>
        <v>0</v>
      </c>
      <c r="F94" s="88">
        <f ca="1">IFERROR(__xludf.DUMMYFUNCTION("IMPORTRANGE(""https://docs.google.com/spreadsheets/d/1-uDff_7J0KD5mKrp0Vvzr7lt3OU09vwQwhkpOPPYv2Y/edit?usp=sharing"",""งบพรบ!BS94"")"),0)</f>
        <v>0</v>
      </c>
      <c r="G94" s="88">
        <f ca="1">IFERROR(__xludf.DUMMYFUNCTION("IMPORTRANGE(""https://docs.google.com/spreadsheets/d/1-uDff_7J0KD5mKrp0Vvzr7lt3OU09vwQwhkpOPPYv2Y/edit?usp=sharing"",""งบพรบ!BT94"")"),0)</f>
        <v>0</v>
      </c>
      <c r="H94" s="88">
        <f ca="1">IFERROR(__xludf.DUMMYFUNCTION("IMPORTRANGE(""https://docs.google.com/spreadsheets/d/1-uDff_7J0KD5mKrp0Vvzr7lt3OU09vwQwhkpOPPYv2Y/edit?usp=sharing"",""งบพรบ!BV94"")"),0)</f>
        <v>0</v>
      </c>
      <c r="I94" s="88">
        <f ca="1">IFERROR(__xludf.DUMMYFUNCTION("IMPORTRANGE(""https://docs.google.com/spreadsheets/d/1-uDff_7J0KD5mKrp0Vvzr7lt3OU09vwQwhkpOPPYv2Y/edit?usp=sharing"",""งบพรบ!BW94"")"),0)</f>
        <v>0</v>
      </c>
      <c r="J94" s="88">
        <f t="shared" ca="1" si="58"/>
        <v>0</v>
      </c>
      <c r="K94" s="89">
        <f t="shared" ca="1" si="59"/>
        <v>0</v>
      </c>
      <c r="L94" s="88">
        <f ca="1">IFERROR(__xludf.DUMMYFUNCTION("IMPORTRANGE(""https://docs.google.com/spreadsheets/d/1-uDff_7J0KD5mKrp0Vvzr7lt3OU09vwQwhkpOPPYv2Y/edit?usp=sharing"",""งบพรบ!BX94"")"),0)</f>
        <v>0</v>
      </c>
      <c r="M94" s="90">
        <f t="shared" ca="1" si="60"/>
        <v>0</v>
      </c>
      <c r="N94" s="90">
        <f t="shared" ca="1" si="61"/>
        <v>0</v>
      </c>
      <c r="O94" s="91">
        <f ca="1">IFERROR(__xludf.DUMMYFUNCTION("IMPORTRANGE(""https://docs.google.com/spreadsheets/d/1-uDff_7J0KD5mKrp0Vvzr7lt3OU09vwQwhkpOPPYv2Y/edit?usp=sharing"",""งบพรบ!BY94"")"),0)</f>
        <v>0</v>
      </c>
      <c r="P94" s="91">
        <f t="shared" ca="1" si="62"/>
        <v>0</v>
      </c>
      <c r="Q94" s="90">
        <f t="shared" ca="1" si="63"/>
        <v>0</v>
      </c>
      <c r="R94" s="88"/>
      <c r="S94" s="88"/>
      <c r="T94" s="88"/>
      <c r="U94" s="88"/>
      <c r="V94" s="90"/>
      <c r="W94" s="90"/>
      <c r="X94" s="90"/>
      <c r="Y94" s="88"/>
      <c r="Z94" s="88"/>
      <c r="AA94" s="90"/>
      <c r="AB94" s="90"/>
      <c r="AC94" s="90"/>
      <c r="AD94" s="90"/>
      <c r="AE94" s="88"/>
      <c r="AF94" s="88"/>
      <c r="AG94" s="90"/>
    </row>
    <row r="95" spans="1:33" ht="24" customHeight="1" x14ac:dyDescent="0.3">
      <c r="A95" s="196"/>
      <c r="B95" s="117" t="s">
        <v>117</v>
      </c>
      <c r="C95" s="197">
        <f t="shared" ca="1" si="56"/>
        <v>0</v>
      </c>
      <c r="D95" s="198">
        <f t="shared" ca="1" si="57"/>
        <v>0</v>
      </c>
      <c r="E95" s="88">
        <f ca="1">IFERROR(__xludf.DUMMYFUNCTION("IMPORTRANGE(""https://docs.google.com/spreadsheets/d/1-uDff_7J0KD5mKrp0Vvzr7lt3OU09vwQwhkpOPPYv2Y/edit?usp=sharing"",""งบพรบ!BR95"")"),0)</f>
        <v>0</v>
      </c>
      <c r="F95" s="88">
        <f ca="1">IFERROR(__xludf.DUMMYFUNCTION("IMPORTRANGE(""https://docs.google.com/spreadsheets/d/1-uDff_7J0KD5mKrp0Vvzr7lt3OU09vwQwhkpOPPYv2Y/edit?usp=sharing"",""งบพรบ!BS95"")"),0)</f>
        <v>0</v>
      </c>
      <c r="G95" s="88">
        <f ca="1">IFERROR(__xludf.DUMMYFUNCTION("IMPORTRANGE(""https://docs.google.com/spreadsheets/d/1-uDff_7J0KD5mKrp0Vvzr7lt3OU09vwQwhkpOPPYv2Y/edit?usp=sharing"",""งบพรบ!BT95"")"),0)</f>
        <v>0</v>
      </c>
      <c r="H95" s="88">
        <f ca="1">IFERROR(__xludf.DUMMYFUNCTION("IMPORTRANGE(""https://docs.google.com/spreadsheets/d/1-uDff_7J0KD5mKrp0Vvzr7lt3OU09vwQwhkpOPPYv2Y/edit?usp=sharing"",""งบพรบ!BV95"")"),0)</f>
        <v>0</v>
      </c>
      <c r="I95" s="88">
        <f ca="1">IFERROR(__xludf.DUMMYFUNCTION("IMPORTRANGE(""https://docs.google.com/spreadsheets/d/1-uDff_7J0KD5mKrp0Vvzr7lt3OU09vwQwhkpOPPYv2Y/edit?usp=sharing"",""งบพรบ!BW95"")"),0)</f>
        <v>0</v>
      </c>
      <c r="J95" s="88">
        <f t="shared" ca="1" si="58"/>
        <v>0</v>
      </c>
      <c r="K95" s="89">
        <f t="shared" ca="1" si="59"/>
        <v>0</v>
      </c>
      <c r="L95" s="88">
        <f ca="1">IFERROR(__xludf.DUMMYFUNCTION("IMPORTRANGE(""https://docs.google.com/spreadsheets/d/1-uDff_7J0KD5mKrp0Vvzr7lt3OU09vwQwhkpOPPYv2Y/edit?usp=sharing"",""งบพรบ!BX95"")"),0)</f>
        <v>0</v>
      </c>
      <c r="M95" s="90">
        <f t="shared" ca="1" si="60"/>
        <v>0</v>
      </c>
      <c r="N95" s="90">
        <f t="shared" ca="1" si="61"/>
        <v>0</v>
      </c>
      <c r="O95" s="91">
        <f ca="1">IFERROR(__xludf.DUMMYFUNCTION("IMPORTRANGE(""https://docs.google.com/spreadsheets/d/1-uDff_7J0KD5mKrp0Vvzr7lt3OU09vwQwhkpOPPYv2Y/edit?usp=sharing"",""งบพรบ!BY95"")"),0)</f>
        <v>0</v>
      </c>
      <c r="P95" s="91">
        <f t="shared" ca="1" si="62"/>
        <v>0</v>
      </c>
      <c r="Q95" s="90">
        <f t="shared" ca="1" si="63"/>
        <v>0</v>
      </c>
      <c r="R95" s="88"/>
      <c r="S95" s="88"/>
      <c r="T95" s="88"/>
      <c r="U95" s="88"/>
      <c r="V95" s="90"/>
      <c r="W95" s="90"/>
      <c r="X95" s="90"/>
      <c r="Y95" s="88"/>
      <c r="Z95" s="88"/>
      <c r="AA95" s="90"/>
      <c r="AB95" s="90"/>
      <c r="AC95" s="90"/>
      <c r="AD95" s="90"/>
      <c r="AE95" s="88"/>
      <c r="AF95" s="88"/>
      <c r="AG95" s="90"/>
    </row>
    <row r="96" spans="1:33" ht="24" customHeight="1" x14ac:dyDescent="0.3">
      <c r="A96" s="196"/>
      <c r="B96" s="117" t="s">
        <v>118</v>
      </c>
      <c r="C96" s="197">
        <f t="shared" ca="1" si="56"/>
        <v>0</v>
      </c>
      <c r="D96" s="198">
        <f t="shared" ca="1" si="57"/>
        <v>0</v>
      </c>
      <c r="E96" s="88">
        <f ca="1">IFERROR(__xludf.DUMMYFUNCTION("IMPORTRANGE(""https://docs.google.com/spreadsheets/d/1-uDff_7J0KD5mKrp0Vvzr7lt3OU09vwQwhkpOPPYv2Y/edit?usp=sharing"",""งบพรบ!BR96"")"),0)</f>
        <v>0</v>
      </c>
      <c r="F96" s="88">
        <f ca="1">IFERROR(__xludf.DUMMYFUNCTION("IMPORTRANGE(""https://docs.google.com/spreadsheets/d/1-uDff_7J0KD5mKrp0Vvzr7lt3OU09vwQwhkpOPPYv2Y/edit?usp=sharing"",""งบพรบ!BS96"")"),0)</f>
        <v>0</v>
      </c>
      <c r="G96" s="88">
        <f ca="1">IFERROR(__xludf.DUMMYFUNCTION("IMPORTRANGE(""https://docs.google.com/spreadsheets/d/1-uDff_7J0KD5mKrp0Vvzr7lt3OU09vwQwhkpOPPYv2Y/edit?usp=sharing"",""งบพรบ!BT96"")"),0)</f>
        <v>0</v>
      </c>
      <c r="H96" s="88">
        <f ca="1">IFERROR(__xludf.DUMMYFUNCTION("IMPORTRANGE(""https://docs.google.com/spreadsheets/d/1-uDff_7J0KD5mKrp0Vvzr7lt3OU09vwQwhkpOPPYv2Y/edit?usp=sharing"",""งบพรบ!BV96"")"),0)</f>
        <v>0</v>
      </c>
      <c r="I96" s="88">
        <f ca="1">IFERROR(__xludf.DUMMYFUNCTION("IMPORTRANGE(""https://docs.google.com/spreadsheets/d/1-uDff_7J0KD5mKrp0Vvzr7lt3OU09vwQwhkpOPPYv2Y/edit?usp=sharing"",""งบพรบ!BW96"")"),0)</f>
        <v>0</v>
      </c>
      <c r="J96" s="88">
        <f t="shared" ca="1" si="58"/>
        <v>0</v>
      </c>
      <c r="K96" s="89">
        <f t="shared" ca="1" si="59"/>
        <v>0</v>
      </c>
      <c r="L96" s="88">
        <f ca="1">IFERROR(__xludf.DUMMYFUNCTION("IMPORTRANGE(""https://docs.google.com/spreadsheets/d/1-uDff_7J0KD5mKrp0Vvzr7lt3OU09vwQwhkpOPPYv2Y/edit?usp=sharing"",""งบพรบ!BX96"")"),0)</f>
        <v>0</v>
      </c>
      <c r="M96" s="90">
        <f t="shared" ca="1" si="60"/>
        <v>0</v>
      </c>
      <c r="N96" s="90">
        <f t="shared" ca="1" si="61"/>
        <v>0</v>
      </c>
      <c r="O96" s="91">
        <f ca="1">IFERROR(__xludf.DUMMYFUNCTION("IMPORTRANGE(""https://docs.google.com/spreadsheets/d/1-uDff_7J0KD5mKrp0Vvzr7lt3OU09vwQwhkpOPPYv2Y/edit?usp=sharing"",""งบพรบ!BY96"")"),0)</f>
        <v>0</v>
      </c>
      <c r="P96" s="91">
        <f t="shared" ca="1" si="62"/>
        <v>0</v>
      </c>
      <c r="Q96" s="90">
        <f t="shared" ca="1" si="63"/>
        <v>0</v>
      </c>
      <c r="R96" s="88"/>
      <c r="S96" s="88"/>
      <c r="T96" s="88"/>
      <c r="U96" s="88"/>
      <c r="V96" s="90"/>
      <c r="W96" s="90"/>
      <c r="X96" s="90"/>
      <c r="Y96" s="88"/>
      <c r="Z96" s="88"/>
      <c r="AA96" s="90"/>
      <c r="AB96" s="90"/>
      <c r="AC96" s="90"/>
      <c r="AD96" s="90"/>
      <c r="AE96" s="88"/>
      <c r="AF96" s="88"/>
      <c r="AG96" s="90"/>
    </row>
    <row r="97" spans="1:33" ht="24" customHeight="1" x14ac:dyDescent="0.3">
      <c r="A97" s="196"/>
      <c r="B97" s="117" t="s">
        <v>119</v>
      </c>
      <c r="C97" s="197">
        <f t="shared" ca="1" si="56"/>
        <v>0</v>
      </c>
      <c r="D97" s="198">
        <f t="shared" ca="1" si="57"/>
        <v>0</v>
      </c>
      <c r="E97" s="88">
        <f ca="1">IFERROR(__xludf.DUMMYFUNCTION("IMPORTRANGE(""https://docs.google.com/spreadsheets/d/1-uDff_7J0KD5mKrp0Vvzr7lt3OU09vwQwhkpOPPYv2Y/edit?usp=sharing"",""งบพรบ!BR97"")"),0)</f>
        <v>0</v>
      </c>
      <c r="F97" s="88">
        <f ca="1">IFERROR(__xludf.DUMMYFUNCTION("IMPORTRANGE(""https://docs.google.com/spreadsheets/d/1-uDff_7J0KD5mKrp0Vvzr7lt3OU09vwQwhkpOPPYv2Y/edit?usp=sharing"",""งบพรบ!BS97"")"),0)</f>
        <v>0</v>
      </c>
      <c r="G97" s="88">
        <f ca="1">IFERROR(__xludf.DUMMYFUNCTION("IMPORTRANGE(""https://docs.google.com/spreadsheets/d/1-uDff_7J0KD5mKrp0Vvzr7lt3OU09vwQwhkpOPPYv2Y/edit?usp=sharing"",""งบพรบ!BT97"")"),0)</f>
        <v>0</v>
      </c>
      <c r="H97" s="88">
        <f ca="1">IFERROR(__xludf.DUMMYFUNCTION("IMPORTRANGE(""https://docs.google.com/spreadsheets/d/1-uDff_7J0KD5mKrp0Vvzr7lt3OU09vwQwhkpOPPYv2Y/edit?usp=sharing"",""งบพรบ!BV97"")"),0)</f>
        <v>0</v>
      </c>
      <c r="I97" s="88">
        <f ca="1">IFERROR(__xludf.DUMMYFUNCTION("IMPORTRANGE(""https://docs.google.com/spreadsheets/d/1-uDff_7J0KD5mKrp0Vvzr7lt3OU09vwQwhkpOPPYv2Y/edit?usp=sharing"",""งบพรบ!BW97"")"),0)</f>
        <v>0</v>
      </c>
      <c r="J97" s="88">
        <f t="shared" ca="1" si="58"/>
        <v>0</v>
      </c>
      <c r="K97" s="89">
        <f t="shared" ca="1" si="59"/>
        <v>0</v>
      </c>
      <c r="L97" s="88">
        <f ca="1">IFERROR(__xludf.DUMMYFUNCTION("IMPORTRANGE(""https://docs.google.com/spreadsheets/d/1-uDff_7J0KD5mKrp0Vvzr7lt3OU09vwQwhkpOPPYv2Y/edit?usp=sharing"",""งบพรบ!BX97"")"),0)</f>
        <v>0</v>
      </c>
      <c r="M97" s="90">
        <f t="shared" ca="1" si="60"/>
        <v>0</v>
      </c>
      <c r="N97" s="90">
        <f t="shared" ca="1" si="61"/>
        <v>0</v>
      </c>
      <c r="O97" s="91">
        <f ca="1">IFERROR(__xludf.DUMMYFUNCTION("IMPORTRANGE(""https://docs.google.com/spreadsheets/d/1-uDff_7J0KD5mKrp0Vvzr7lt3OU09vwQwhkpOPPYv2Y/edit?usp=sharing"",""งบพรบ!BY97"")"),0)</f>
        <v>0</v>
      </c>
      <c r="P97" s="91">
        <f t="shared" ca="1" si="62"/>
        <v>0</v>
      </c>
      <c r="Q97" s="90">
        <f t="shared" ca="1" si="63"/>
        <v>0</v>
      </c>
      <c r="R97" s="88"/>
      <c r="S97" s="88"/>
      <c r="T97" s="88"/>
      <c r="U97" s="88"/>
      <c r="V97" s="90"/>
      <c r="W97" s="90"/>
      <c r="X97" s="90"/>
      <c r="Y97" s="88"/>
      <c r="Z97" s="88"/>
      <c r="AA97" s="90"/>
      <c r="AB97" s="90"/>
      <c r="AC97" s="90"/>
      <c r="AD97" s="90"/>
      <c r="AE97" s="88"/>
      <c r="AF97" s="88"/>
      <c r="AG97" s="90"/>
    </row>
    <row r="98" spans="1:33" ht="24" customHeight="1" x14ac:dyDescent="0.3">
      <c r="A98" s="196"/>
      <c r="B98" s="117" t="s">
        <v>120</v>
      </c>
      <c r="C98" s="197">
        <f t="shared" ca="1" si="56"/>
        <v>0</v>
      </c>
      <c r="D98" s="198">
        <f t="shared" ca="1" si="57"/>
        <v>0</v>
      </c>
      <c r="E98" s="88">
        <f ca="1">IFERROR(__xludf.DUMMYFUNCTION("IMPORTRANGE(""https://docs.google.com/spreadsheets/d/1-uDff_7J0KD5mKrp0Vvzr7lt3OU09vwQwhkpOPPYv2Y/edit?usp=sharing"",""งบพรบ!BR98"")"),0)</f>
        <v>0</v>
      </c>
      <c r="F98" s="88">
        <f ca="1">IFERROR(__xludf.DUMMYFUNCTION("IMPORTRANGE(""https://docs.google.com/spreadsheets/d/1-uDff_7J0KD5mKrp0Vvzr7lt3OU09vwQwhkpOPPYv2Y/edit?usp=sharing"",""งบพรบ!BS98"")"),0)</f>
        <v>0</v>
      </c>
      <c r="G98" s="88">
        <f ca="1">IFERROR(__xludf.DUMMYFUNCTION("IMPORTRANGE(""https://docs.google.com/spreadsheets/d/1-uDff_7J0KD5mKrp0Vvzr7lt3OU09vwQwhkpOPPYv2Y/edit?usp=sharing"",""งบพรบ!BT98"")"),0)</f>
        <v>0</v>
      </c>
      <c r="H98" s="88">
        <f ca="1">IFERROR(__xludf.DUMMYFUNCTION("IMPORTRANGE(""https://docs.google.com/spreadsheets/d/1-uDff_7J0KD5mKrp0Vvzr7lt3OU09vwQwhkpOPPYv2Y/edit?usp=sharing"",""งบพรบ!BV98"")"),0)</f>
        <v>0</v>
      </c>
      <c r="I98" s="88">
        <f ca="1">IFERROR(__xludf.DUMMYFUNCTION("IMPORTRANGE(""https://docs.google.com/spreadsheets/d/1-uDff_7J0KD5mKrp0Vvzr7lt3OU09vwQwhkpOPPYv2Y/edit?usp=sharing"",""งบพรบ!BW98"")"),0)</f>
        <v>0</v>
      </c>
      <c r="J98" s="88">
        <f t="shared" ca="1" si="58"/>
        <v>0</v>
      </c>
      <c r="K98" s="89">
        <f t="shared" ca="1" si="59"/>
        <v>0</v>
      </c>
      <c r="L98" s="88">
        <f ca="1">IFERROR(__xludf.DUMMYFUNCTION("IMPORTRANGE(""https://docs.google.com/spreadsheets/d/1-uDff_7J0KD5mKrp0Vvzr7lt3OU09vwQwhkpOPPYv2Y/edit?usp=sharing"",""งบพรบ!BX98"")"),0)</f>
        <v>0</v>
      </c>
      <c r="M98" s="90">
        <f t="shared" ca="1" si="60"/>
        <v>0</v>
      </c>
      <c r="N98" s="90">
        <f t="shared" ca="1" si="61"/>
        <v>0</v>
      </c>
      <c r="O98" s="91">
        <f ca="1">IFERROR(__xludf.DUMMYFUNCTION("IMPORTRANGE(""https://docs.google.com/spreadsheets/d/1-uDff_7J0KD5mKrp0Vvzr7lt3OU09vwQwhkpOPPYv2Y/edit?usp=sharing"",""งบพรบ!BY98"")"),0)</f>
        <v>0</v>
      </c>
      <c r="P98" s="91">
        <f t="shared" ca="1" si="62"/>
        <v>0</v>
      </c>
      <c r="Q98" s="90">
        <f t="shared" ca="1" si="63"/>
        <v>0</v>
      </c>
      <c r="R98" s="88"/>
      <c r="S98" s="88"/>
      <c r="T98" s="88"/>
      <c r="U98" s="88"/>
      <c r="V98" s="90"/>
      <c r="W98" s="90"/>
      <c r="X98" s="90"/>
      <c r="Y98" s="88"/>
      <c r="Z98" s="88"/>
      <c r="AA98" s="90"/>
      <c r="AB98" s="90"/>
      <c r="AC98" s="90"/>
      <c r="AD98" s="90"/>
      <c r="AE98" s="88"/>
      <c r="AF98" s="88"/>
      <c r="AG98" s="90"/>
    </row>
    <row r="99" spans="1:33" ht="24" customHeight="1" x14ac:dyDescent="0.3">
      <c r="A99" s="196"/>
      <c r="B99" s="117" t="s">
        <v>121</v>
      </c>
      <c r="C99" s="197">
        <f t="shared" ca="1" si="56"/>
        <v>0</v>
      </c>
      <c r="D99" s="198">
        <f t="shared" ca="1" si="57"/>
        <v>0</v>
      </c>
      <c r="E99" s="88">
        <f ca="1">IFERROR(__xludf.DUMMYFUNCTION("IMPORTRANGE(""https://docs.google.com/spreadsheets/d/1-uDff_7J0KD5mKrp0Vvzr7lt3OU09vwQwhkpOPPYv2Y/edit?usp=sharing"",""งบพรบ!BR99"")"),0)</f>
        <v>0</v>
      </c>
      <c r="F99" s="88">
        <f ca="1">IFERROR(__xludf.DUMMYFUNCTION("IMPORTRANGE(""https://docs.google.com/spreadsheets/d/1-uDff_7J0KD5mKrp0Vvzr7lt3OU09vwQwhkpOPPYv2Y/edit?usp=sharing"",""งบพรบ!BS99"")"),0)</f>
        <v>0</v>
      </c>
      <c r="G99" s="88">
        <f ca="1">IFERROR(__xludf.DUMMYFUNCTION("IMPORTRANGE(""https://docs.google.com/spreadsheets/d/1-uDff_7J0KD5mKrp0Vvzr7lt3OU09vwQwhkpOPPYv2Y/edit?usp=sharing"",""งบพรบ!BT99"")"),0)</f>
        <v>0</v>
      </c>
      <c r="H99" s="88">
        <f ca="1">IFERROR(__xludf.DUMMYFUNCTION("IMPORTRANGE(""https://docs.google.com/spreadsheets/d/1-uDff_7J0KD5mKrp0Vvzr7lt3OU09vwQwhkpOPPYv2Y/edit?usp=sharing"",""งบพรบ!BV99"")"),0)</f>
        <v>0</v>
      </c>
      <c r="I99" s="88">
        <f ca="1">IFERROR(__xludf.DUMMYFUNCTION("IMPORTRANGE(""https://docs.google.com/spreadsheets/d/1-uDff_7J0KD5mKrp0Vvzr7lt3OU09vwQwhkpOPPYv2Y/edit?usp=sharing"",""งบพรบ!BW99"")"),0)</f>
        <v>0</v>
      </c>
      <c r="J99" s="88">
        <f t="shared" ca="1" si="58"/>
        <v>0</v>
      </c>
      <c r="K99" s="89">
        <f t="shared" ca="1" si="59"/>
        <v>0</v>
      </c>
      <c r="L99" s="88">
        <f ca="1">IFERROR(__xludf.DUMMYFUNCTION("IMPORTRANGE(""https://docs.google.com/spreadsheets/d/1-uDff_7J0KD5mKrp0Vvzr7lt3OU09vwQwhkpOPPYv2Y/edit?usp=sharing"",""งบพรบ!BX99"")"),0)</f>
        <v>0</v>
      </c>
      <c r="M99" s="90">
        <f t="shared" ca="1" si="60"/>
        <v>0</v>
      </c>
      <c r="N99" s="90">
        <f t="shared" ca="1" si="61"/>
        <v>0</v>
      </c>
      <c r="O99" s="91">
        <f ca="1">IFERROR(__xludf.DUMMYFUNCTION("IMPORTRANGE(""https://docs.google.com/spreadsheets/d/1-uDff_7J0KD5mKrp0Vvzr7lt3OU09vwQwhkpOPPYv2Y/edit?usp=sharing"",""งบพรบ!BY99"")"),0)</f>
        <v>0</v>
      </c>
      <c r="P99" s="91">
        <f t="shared" ca="1" si="62"/>
        <v>0</v>
      </c>
      <c r="Q99" s="90">
        <f t="shared" ca="1" si="63"/>
        <v>0</v>
      </c>
      <c r="R99" s="88"/>
      <c r="S99" s="88"/>
      <c r="T99" s="88"/>
      <c r="U99" s="88"/>
      <c r="V99" s="90"/>
      <c r="W99" s="90"/>
      <c r="X99" s="90"/>
      <c r="Y99" s="88"/>
      <c r="Z99" s="88"/>
      <c r="AA99" s="90"/>
      <c r="AB99" s="90"/>
      <c r="AC99" s="90"/>
      <c r="AD99" s="90"/>
      <c r="AE99" s="88"/>
      <c r="AF99" s="88"/>
      <c r="AG99" s="90"/>
    </row>
    <row r="100" spans="1:33" ht="24" customHeight="1" x14ac:dyDescent="0.3">
      <c r="A100" s="196"/>
      <c r="B100" s="117" t="s">
        <v>122</v>
      </c>
      <c r="C100" s="197">
        <f t="shared" ca="1" si="56"/>
        <v>0</v>
      </c>
      <c r="D100" s="198">
        <f t="shared" ca="1" si="57"/>
        <v>0</v>
      </c>
      <c r="E100" s="88">
        <f ca="1">IFERROR(__xludf.DUMMYFUNCTION("IMPORTRANGE(""https://docs.google.com/spreadsheets/d/1-uDff_7J0KD5mKrp0Vvzr7lt3OU09vwQwhkpOPPYv2Y/edit?usp=sharing"",""งบพรบ!BR100"")"),0)</f>
        <v>0</v>
      </c>
      <c r="F100" s="88">
        <f ca="1">IFERROR(__xludf.DUMMYFUNCTION("IMPORTRANGE(""https://docs.google.com/spreadsheets/d/1-uDff_7J0KD5mKrp0Vvzr7lt3OU09vwQwhkpOPPYv2Y/edit?usp=sharing"",""งบพรบ!BS100"")"),0)</f>
        <v>0</v>
      </c>
      <c r="G100" s="88">
        <f ca="1">IFERROR(__xludf.DUMMYFUNCTION("IMPORTRANGE(""https://docs.google.com/spreadsheets/d/1-uDff_7J0KD5mKrp0Vvzr7lt3OU09vwQwhkpOPPYv2Y/edit?usp=sharing"",""งบพรบ!BT100"")"),0)</f>
        <v>0</v>
      </c>
      <c r="H100" s="88">
        <f ca="1">IFERROR(__xludf.DUMMYFUNCTION("IMPORTRANGE(""https://docs.google.com/spreadsheets/d/1-uDff_7J0KD5mKrp0Vvzr7lt3OU09vwQwhkpOPPYv2Y/edit?usp=sharing"",""งบพรบ!BV100"")"),0)</f>
        <v>0</v>
      </c>
      <c r="I100" s="88">
        <f ca="1">IFERROR(__xludf.DUMMYFUNCTION("IMPORTRANGE(""https://docs.google.com/spreadsheets/d/1-uDff_7J0KD5mKrp0Vvzr7lt3OU09vwQwhkpOPPYv2Y/edit?usp=sharing"",""งบพรบ!BW100"")"),0)</f>
        <v>0</v>
      </c>
      <c r="J100" s="88">
        <f t="shared" ca="1" si="58"/>
        <v>0</v>
      </c>
      <c r="K100" s="89">
        <f t="shared" ca="1" si="59"/>
        <v>0</v>
      </c>
      <c r="L100" s="88">
        <f ca="1">IFERROR(__xludf.DUMMYFUNCTION("IMPORTRANGE(""https://docs.google.com/spreadsheets/d/1-uDff_7J0KD5mKrp0Vvzr7lt3OU09vwQwhkpOPPYv2Y/edit?usp=sharing"",""งบพรบ!BX100"")"),0)</f>
        <v>0</v>
      </c>
      <c r="M100" s="90">
        <f t="shared" ca="1" si="60"/>
        <v>0</v>
      </c>
      <c r="N100" s="90">
        <f t="shared" ca="1" si="61"/>
        <v>0</v>
      </c>
      <c r="O100" s="91">
        <f ca="1">IFERROR(__xludf.DUMMYFUNCTION("IMPORTRANGE(""https://docs.google.com/spreadsheets/d/1-uDff_7J0KD5mKrp0Vvzr7lt3OU09vwQwhkpOPPYv2Y/edit?usp=sharing"",""งบพรบ!BY100"")"),0)</f>
        <v>0</v>
      </c>
      <c r="P100" s="91">
        <f t="shared" ca="1" si="62"/>
        <v>0</v>
      </c>
      <c r="Q100" s="90">
        <f t="shared" ca="1" si="63"/>
        <v>0</v>
      </c>
      <c r="R100" s="88"/>
      <c r="S100" s="88"/>
      <c r="T100" s="88"/>
      <c r="U100" s="88"/>
      <c r="V100" s="90"/>
      <c r="W100" s="90"/>
      <c r="X100" s="90"/>
      <c r="Y100" s="88"/>
      <c r="Z100" s="88"/>
      <c r="AA100" s="90"/>
      <c r="AB100" s="90"/>
      <c r="AC100" s="90"/>
      <c r="AD100" s="90"/>
      <c r="AE100" s="88"/>
      <c r="AF100" s="88"/>
      <c r="AG100" s="90"/>
    </row>
    <row r="101" spans="1:33" ht="24" customHeight="1" x14ac:dyDescent="0.3">
      <c r="A101" s="196"/>
      <c r="B101" s="117" t="s">
        <v>123</v>
      </c>
      <c r="C101" s="197">
        <f t="shared" ca="1" si="56"/>
        <v>219200</v>
      </c>
      <c r="D101" s="198">
        <f t="shared" ca="1" si="57"/>
        <v>219200</v>
      </c>
      <c r="E101" s="88">
        <f ca="1">IFERROR(__xludf.DUMMYFUNCTION("IMPORTRANGE(""https://docs.google.com/spreadsheets/d/1-uDff_7J0KD5mKrp0Vvzr7lt3OU09vwQwhkpOPPYv2Y/edit?usp=sharing"",""งบพรบ!BR101"")"),0)</f>
        <v>0</v>
      </c>
      <c r="F101" s="88">
        <f ca="1">IFERROR(__xludf.DUMMYFUNCTION("IMPORTRANGE(""https://docs.google.com/spreadsheets/d/1-uDff_7J0KD5mKrp0Vvzr7lt3OU09vwQwhkpOPPYv2Y/edit?usp=sharing"",""งบพรบ!BS101"")"),219200)</f>
        <v>219200</v>
      </c>
      <c r="G101" s="88">
        <f ca="1">IFERROR(__xludf.DUMMYFUNCTION("IMPORTRANGE(""https://docs.google.com/spreadsheets/d/1-uDff_7J0KD5mKrp0Vvzr7lt3OU09vwQwhkpOPPYv2Y/edit?usp=sharing"",""งบพรบ!BT101"")"),0)</f>
        <v>0</v>
      </c>
      <c r="H101" s="88">
        <f ca="1">IFERROR(__xludf.DUMMYFUNCTION("IMPORTRANGE(""https://docs.google.com/spreadsheets/d/1-uDff_7J0KD5mKrp0Vvzr7lt3OU09vwQwhkpOPPYv2Y/edit?usp=sharing"",""งบพรบ!BV101"")"),200100)</f>
        <v>200100</v>
      </c>
      <c r="I101" s="88">
        <f ca="1">IFERROR(__xludf.DUMMYFUNCTION("IMPORTRANGE(""https://docs.google.com/spreadsheets/d/1-uDff_7J0KD5mKrp0Vvzr7lt3OU09vwQwhkpOPPYv2Y/edit?usp=sharing"",""งบพรบ!BW101"")"),0)</f>
        <v>0</v>
      </c>
      <c r="J101" s="88">
        <f t="shared" ca="1" si="58"/>
        <v>60666.8</v>
      </c>
      <c r="K101" s="89">
        <f t="shared" ca="1" si="59"/>
        <v>27.676459854014599</v>
      </c>
      <c r="L101" s="88">
        <f ca="1">IFERROR(__xludf.DUMMYFUNCTION("IMPORTRANGE(""https://docs.google.com/spreadsheets/d/1-uDff_7J0KD5mKrp0Vvzr7lt3OU09vwQwhkpOPPYv2Y/edit?usp=sharing"",""งบพรบ!BX101"")"),60666.8)</f>
        <v>60666.8</v>
      </c>
      <c r="M101" s="90">
        <f t="shared" ca="1" si="60"/>
        <v>27.676459854014599</v>
      </c>
      <c r="N101" s="90">
        <f t="shared" ca="1" si="61"/>
        <v>30.318240879560221</v>
      </c>
      <c r="O101" s="91">
        <f ca="1">IFERROR(__xludf.DUMMYFUNCTION("IMPORTRANGE(""https://docs.google.com/spreadsheets/d/1-uDff_7J0KD5mKrp0Vvzr7lt3OU09vwQwhkpOPPYv2Y/edit?usp=sharing"",""งบพรบ!BY101"")"),0)</f>
        <v>0</v>
      </c>
      <c r="P101" s="91">
        <f t="shared" ca="1" si="62"/>
        <v>0</v>
      </c>
      <c r="Q101" s="90">
        <f t="shared" ca="1" si="63"/>
        <v>0</v>
      </c>
      <c r="R101" s="88"/>
      <c r="S101" s="88"/>
      <c r="T101" s="88"/>
      <c r="U101" s="88"/>
      <c r="V101" s="90"/>
      <c r="W101" s="90"/>
      <c r="X101" s="90"/>
      <c r="Y101" s="88"/>
      <c r="Z101" s="88"/>
      <c r="AA101" s="90"/>
      <c r="AB101" s="90"/>
      <c r="AC101" s="90"/>
      <c r="AD101" s="90"/>
      <c r="AE101" s="88"/>
      <c r="AF101" s="88"/>
      <c r="AG101" s="90"/>
    </row>
    <row r="102" spans="1:33" ht="24" customHeight="1" x14ac:dyDescent="0.3">
      <c r="A102" s="196"/>
      <c r="B102" s="117" t="s">
        <v>124</v>
      </c>
      <c r="C102" s="197">
        <f t="shared" ca="1" si="56"/>
        <v>0</v>
      </c>
      <c r="D102" s="198">
        <f t="shared" ca="1" si="57"/>
        <v>0</v>
      </c>
      <c r="E102" s="88">
        <f ca="1">IFERROR(__xludf.DUMMYFUNCTION("IMPORTRANGE(""https://docs.google.com/spreadsheets/d/1-uDff_7J0KD5mKrp0Vvzr7lt3OU09vwQwhkpOPPYv2Y/edit?usp=sharing"",""งบพรบ!BR102"")"),0)</f>
        <v>0</v>
      </c>
      <c r="F102" s="88">
        <f ca="1">IFERROR(__xludf.DUMMYFUNCTION("IMPORTRANGE(""https://docs.google.com/spreadsheets/d/1-uDff_7J0KD5mKrp0Vvzr7lt3OU09vwQwhkpOPPYv2Y/edit?usp=sharing"",""งบพรบ!BS102"")"),0)</f>
        <v>0</v>
      </c>
      <c r="G102" s="88">
        <f ca="1">IFERROR(__xludf.DUMMYFUNCTION("IMPORTRANGE(""https://docs.google.com/spreadsheets/d/1-uDff_7J0KD5mKrp0Vvzr7lt3OU09vwQwhkpOPPYv2Y/edit?usp=sharing"",""งบพรบ!BT102"")"),0)</f>
        <v>0</v>
      </c>
      <c r="H102" s="88">
        <f ca="1">IFERROR(__xludf.DUMMYFUNCTION("IMPORTRANGE(""https://docs.google.com/spreadsheets/d/1-uDff_7J0KD5mKrp0Vvzr7lt3OU09vwQwhkpOPPYv2Y/edit?usp=sharing"",""งบพรบ!BV102"")"),0)</f>
        <v>0</v>
      </c>
      <c r="I102" s="88">
        <f ca="1">IFERROR(__xludf.DUMMYFUNCTION("IMPORTRANGE(""https://docs.google.com/spreadsheets/d/1-uDff_7J0KD5mKrp0Vvzr7lt3OU09vwQwhkpOPPYv2Y/edit?usp=sharing"",""งบพรบ!BW102"")"),0)</f>
        <v>0</v>
      </c>
      <c r="J102" s="88">
        <f t="shared" ca="1" si="58"/>
        <v>0</v>
      </c>
      <c r="K102" s="89">
        <f t="shared" ca="1" si="59"/>
        <v>0</v>
      </c>
      <c r="L102" s="88">
        <f ca="1">IFERROR(__xludf.DUMMYFUNCTION("IMPORTRANGE(""https://docs.google.com/spreadsheets/d/1-uDff_7J0KD5mKrp0Vvzr7lt3OU09vwQwhkpOPPYv2Y/edit?usp=sharing"",""งบพรบ!BX102"")"),0)</f>
        <v>0</v>
      </c>
      <c r="M102" s="90">
        <f t="shared" ca="1" si="60"/>
        <v>0</v>
      </c>
      <c r="N102" s="90">
        <f t="shared" ca="1" si="61"/>
        <v>0</v>
      </c>
      <c r="O102" s="91">
        <f ca="1">IFERROR(__xludf.DUMMYFUNCTION("IMPORTRANGE(""https://docs.google.com/spreadsheets/d/1-uDff_7J0KD5mKrp0Vvzr7lt3OU09vwQwhkpOPPYv2Y/edit?usp=sharing"",""งบพรบ!BY102"")"),0)</f>
        <v>0</v>
      </c>
      <c r="P102" s="91">
        <f t="shared" ca="1" si="62"/>
        <v>0</v>
      </c>
      <c r="Q102" s="90">
        <f t="shared" ca="1" si="63"/>
        <v>0</v>
      </c>
      <c r="R102" s="88"/>
      <c r="S102" s="88"/>
      <c r="T102" s="88"/>
      <c r="U102" s="88"/>
      <c r="V102" s="90"/>
      <c r="W102" s="90"/>
      <c r="X102" s="90"/>
      <c r="Y102" s="88"/>
      <c r="Z102" s="88"/>
      <c r="AA102" s="90"/>
      <c r="AB102" s="90"/>
      <c r="AC102" s="90"/>
      <c r="AD102" s="90"/>
      <c r="AE102" s="88"/>
      <c r="AF102" s="88"/>
      <c r="AG102" s="90"/>
    </row>
    <row r="103" spans="1:33" ht="24" customHeight="1" x14ac:dyDescent="0.3">
      <c r="A103" s="196"/>
      <c r="B103" s="117" t="s">
        <v>125</v>
      </c>
      <c r="C103" s="197">
        <f t="shared" ca="1" si="56"/>
        <v>0</v>
      </c>
      <c r="D103" s="198">
        <f t="shared" ca="1" si="57"/>
        <v>0</v>
      </c>
      <c r="E103" s="88">
        <f ca="1">IFERROR(__xludf.DUMMYFUNCTION("IMPORTRANGE(""https://docs.google.com/spreadsheets/d/1-uDff_7J0KD5mKrp0Vvzr7lt3OU09vwQwhkpOPPYv2Y/edit?usp=sharing"",""งบพรบ!BR103"")"),0)</f>
        <v>0</v>
      </c>
      <c r="F103" s="88">
        <f ca="1">IFERROR(__xludf.DUMMYFUNCTION("IMPORTRANGE(""https://docs.google.com/spreadsheets/d/1-uDff_7J0KD5mKrp0Vvzr7lt3OU09vwQwhkpOPPYv2Y/edit?usp=sharing"",""งบพรบ!BS103"")"),0)</f>
        <v>0</v>
      </c>
      <c r="G103" s="88">
        <f ca="1">IFERROR(__xludf.DUMMYFUNCTION("IMPORTRANGE(""https://docs.google.com/spreadsheets/d/1-uDff_7J0KD5mKrp0Vvzr7lt3OU09vwQwhkpOPPYv2Y/edit?usp=sharing"",""งบพรบ!BT103"")"),0)</f>
        <v>0</v>
      </c>
      <c r="H103" s="88">
        <f ca="1">IFERROR(__xludf.DUMMYFUNCTION("IMPORTRANGE(""https://docs.google.com/spreadsheets/d/1-uDff_7J0KD5mKrp0Vvzr7lt3OU09vwQwhkpOPPYv2Y/edit?usp=sharing"",""งบพรบ!BV103"")"),0)</f>
        <v>0</v>
      </c>
      <c r="I103" s="88">
        <f ca="1">IFERROR(__xludf.DUMMYFUNCTION("IMPORTRANGE(""https://docs.google.com/spreadsheets/d/1-uDff_7J0KD5mKrp0Vvzr7lt3OU09vwQwhkpOPPYv2Y/edit?usp=sharing"",""งบพรบ!BW103"")"),0)</f>
        <v>0</v>
      </c>
      <c r="J103" s="88">
        <f t="shared" ca="1" si="58"/>
        <v>0</v>
      </c>
      <c r="K103" s="89">
        <f t="shared" ca="1" si="59"/>
        <v>0</v>
      </c>
      <c r="L103" s="88">
        <f ca="1">IFERROR(__xludf.DUMMYFUNCTION("IMPORTRANGE(""https://docs.google.com/spreadsheets/d/1-uDff_7J0KD5mKrp0Vvzr7lt3OU09vwQwhkpOPPYv2Y/edit?usp=sharing"",""งบพรบ!BX103"")"),0)</f>
        <v>0</v>
      </c>
      <c r="M103" s="90">
        <f t="shared" ca="1" si="60"/>
        <v>0</v>
      </c>
      <c r="N103" s="90">
        <f t="shared" ca="1" si="61"/>
        <v>0</v>
      </c>
      <c r="O103" s="91">
        <f ca="1">IFERROR(__xludf.DUMMYFUNCTION("IMPORTRANGE(""https://docs.google.com/spreadsheets/d/1-uDff_7J0KD5mKrp0Vvzr7lt3OU09vwQwhkpOPPYv2Y/edit?usp=sharing"",""งบพรบ!BY103"")"),0)</f>
        <v>0</v>
      </c>
      <c r="P103" s="91">
        <f t="shared" ca="1" si="62"/>
        <v>0</v>
      </c>
      <c r="Q103" s="90">
        <f t="shared" ca="1" si="63"/>
        <v>0</v>
      </c>
      <c r="R103" s="88"/>
      <c r="S103" s="88"/>
      <c r="T103" s="88"/>
      <c r="U103" s="88"/>
      <c r="V103" s="90"/>
      <c r="W103" s="90"/>
      <c r="X103" s="90"/>
      <c r="Y103" s="88"/>
      <c r="Z103" s="88"/>
      <c r="AA103" s="90"/>
      <c r="AB103" s="90"/>
      <c r="AC103" s="90"/>
      <c r="AD103" s="90"/>
      <c r="AE103" s="88"/>
      <c r="AF103" s="88"/>
      <c r="AG103" s="90"/>
    </row>
    <row r="104" spans="1:33" ht="24" customHeight="1" x14ac:dyDescent="0.3">
      <c r="A104" s="196"/>
      <c r="B104" s="117" t="s">
        <v>126</v>
      </c>
      <c r="C104" s="197">
        <f t="shared" ca="1" si="56"/>
        <v>92800</v>
      </c>
      <c r="D104" s="198">
        <f t="shared" ca="1" si="57"/>
        <v>92800</v>
      </c>
      <c r="E104" s="88">
        <f ca="1">IFERROR(__xludf.DUMMYFUNCTION("IMPORTRANGE(""https://docs.google.com/spreadsheets/d/1-uDff_7J0KD5mKrp0Vvzr7lt3OU09vwQwhkpOPPYv2Y/edit?usp=sharing"",""งบพรบ!BR104"")"),92800)</f>
        <v>92800</v>
      </c>
      <c r="F104" s="88">
        <f ca="1">IFERROR(__xludf.DUMMYFUNCTION("IMPORTRANGE(""https://docs.google.com/spreadsheets/d/1-uDff_7J0KD5mKrp0Vvzr7lt3OU09vwQwhkpOPPYv2Y/edit?usp=sharing"",""งบพรบ!BS104"")"),0)</f>
        <v>0</v>
      </c>
      <c r="G104" s="88">
        <f ca="1">IFERROR(__xludf.DUMMYFUNCTION("IMPORTRANGE(""https://docs.google.com/spreadsheets/d/1-uDff_7J0KD5mKrp0Vvzr7lt3OU09vwQwhkpOPPYv2Y/edit?usp=sharing"",""งบพรบ!BT104"")"),0)</f>
        <v>0</v>
      </c>
      <c r="H104" s="88">
        <f ca="1">IFERROR(__xludf.DUMMYFUNCTION("IMPORTRANGE(""https://docs.google.com/spreadsheets/d/1-uDff_7J0KD5mKrp0Vvzr7lt3OU09vwQwhkpOPPYv2Y/edit?usp=sharing"",""งบพรบ!BV104"")"),278600)</f>
        <v>278600</v>
      </c>
      <c r="I104" s="88">
        <f ca="1">IFERROR(__xludf.DUMMYFUNCTION("IMPORTRANGE(""https://docs.google.com/spreadsheets/d/1-uDff_7J0KD5mKrp0Vvzr7lt3OU09vwQwhkpOPPYv2Y/edit?usp=sharing"",""งบพรบ!BW104"")"),0)</f>
        <v>0</v>
      </c>
      <c r="J104" s="88">
        <f t="shared" ca="1" si="58"/>
        <v>0</v>
      </c>
      <c r="K104" s="89">
        <f t="shared" ca="1" si="59"/>
        <v>0</v>
      </c>
      <c r="L104" s="88">
        <f ca="1">IFERROR(__xludf.DUMMYFUNCTION("IMPORTRANGE(""https://docs.google.com/spreadsheets/d/1-uDff_7J0KD5mKrp0Vvzr7lt3OU09vwQwhkpOPPYv2Y/edit?usp=sharing"",""งบพรบ!BX104"")"),0)</f>
        <v>0</v>
      </c>
      <c r="M104" s="90">
        <f t="shared" ca="1" si="60"/>
        <v>0</v>
      </c>
      <c r="N104" s="90">
        <f t="shared" ca="1" si="61"/>
        <v>0</v>
      </c>
      <c r="O104" s="91">
        <f ca="1">IFERROR(__xludf.DUMMYFUNCTION("IMPORTRANGE(""https://docs.google.com/spreadsheets/d/1-uDff_7J0KD5mKrp0Vvzr7lt3OU09vwQwhkpOPPYv2Y/edit?usp=sharing"",""งบพรบ!BY104"")"),0)</f>
        <v>0</v>
      </c>
      <c r="P104" s="91">
        <f t="shared" ca="1" si="62"/>
        <v>0</v>
      </c>
      <c r="Q104" s="90">
        <f t="shared" ca="1" si="63"/>
        <v>0</v>
      </c>
      <c r="R104" s="88"/>
      <c r="S104" s="88"/>
      <c r="T104" s="88"/>
      <c r="U104" s="88"/>
      <c r="V104" s="90"/>
      <c r="W104" s="90"/>
      <c r="X104" s="90"/>
      <c r="Y104" s="88"/>
      <c r="Z104" s="88"/>
      <c r="AA104" s="90"/>
      <c r="AB104" s="90"/>
      <c r="AC104" s="90"/>
      <c r="AD104" s="90"/>
      <c r="AE104" s="88"/>
      <c r="AF104" s="88"/>
      <c r="AG104" s="90"/>
    </row>
    <row r="105" spans="1:33" ht="24" customHeight="1" x14ac:dyDescent="0.3">
      <c r="A105" s="196"/>
      <c r="B105" s="118" t="s">
        <v>127</v>
      </c>
      <c r="C105" s="197">
        <f t="shared" ca="1" si="56"/>
        <v>0</v>
      </c>
      <c r="D105" s="198">
        <f t="shared" ca="1" si="57"/>
        <v>0</v>
      </c>
      <c r="E105" s="88">
        <f ca="1">IFERROR(__xludf.DUMMYFUNCTION("IMPORTRANGE(""https://docs.google.com/spreadsheets/d/1-uDff_7J0KD5mKrp0Vvzr7lt3OU09vwQwhkpOPPYv2Y/edit?usp=sharing"",""งบพรบ!BR105"")"),0)</f>
        <v>0</v>
      </c>
      <c r="F105" s="88">
        <f ca="1">IFERROR(__xludf.DUMMYFUNCTION("IMPORTRANGE(""https://docs.google.com/spreadsheets/d/1-uDff_7J0KD5mKrp0Vvzr7lt3OU09vwQwhkpOPPYv2Y/edit?usp=sharing"",""งบพรบ!BS105"")"),0)</f>
        <v>0</v>
      </c>
      <c r="G105" s="88">
        <f ca="1">IFERROR(__xludf.DUMMYFUNCTION("IMPORTRANGE(""https://docs.google.com/spreadsheets/d/1-uDff_7J0KD5mKrp0Vvzr7lt3OU09vwQwhkpOPPYv2Y/edit?usp=sharing"",""งบพรบ!BT105"")"),0)</f>
        <v>0</v>
      </c>
      <c r="H105" s="88">
        <f ca="1">IFERROR(__xludf.DUMMYFUNCTION("IMPORTRANGE(""https://docs.google.com/spreadsheets/d/1-uDff_7J0KD5mKrp0Vvzr7lt3OU09vwQwhkpOPPYv2Y/edit?usp=sharing"",""งบพรบ!BV105"")"),0)</f>
        <v>0</v>
      </c>
      <c r="I105" s="88">
        <f ca="1">IFERROR(__xludf.DUMMYFUNCTION("IMPORTRANGE(""https://docs.google.com/spreadsheets/d/1-uDff_7J0KD5mKrp0Vvzr7lt3OU09vwQwhkpOPPYv2Y/edit?usp=sharing"",""งบพรบ!BW105"")"),0)</f>
        <v>0</v>
      </c>
      <c r="J105" s="88">
        <f t="shared" ca="1" si="58"/>
        <v>0</v>
      </c>
      <c r="K105" s="89">
        <f t="shared" ca="1" si="59"/>
        <v>0</v>
      </c>
      <c r="L105" s="88">
        <f ca="1">IFERROR(__xludf.DUMMYFUNCTION("IMPORTRANGE(""https://docs.google.com/spreadsheets/d/1-uDff_7J0KD5mKrp0Vvzr7lt3OU09vwQwhkpOPPYv2Y/edit?usp=sharing"",""งบพรบ!BX105"")"),0)</f>
        <v>0</v>
      </c>
      <c r="M105" s="90">
        <f t="shared" ca="1" si="60"/>
        <v>0</v>
      </c>
      <c r="N105" s="90">
        <f t="shared" ca="1" si="61"/>
        <v>0</v>
      </c>
      <c r="O105" s="91">
        <f ca="1">IFERROR(__xludf.DUMMYFUNCTION("IMPORTRANGE(""https://docs.google.com/spreadsheets/d/1-uDff_7J0KD5mKrp0Vvzr7lt3OU09vwQwhkpOPPYv2Y/edit?usp=sharing"",""งบพรบ!BY105"")"),0)</f>
        <v>0</v>
      </c>
      <c r="P105" s="91">
        <f t="shared" ca="1" si="62"/>
        <v>0</v>
      </c>
      <c r="Q105" s="90">
        <f t="shared" ca="1" si="63"/>
        <v>0</v>
      </c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</row>
    <row r="106" spans="1:33" ht="24" customHeight="1" x14ac:dyDescent="0.3">
      <c r="A106" s="200"/>
      <c r="B106" s="120" t="s">
        <v>128</v>
      </c>
      <c r="C106" s="201">
        <f t="shared" ca="1" si="56"/>
        <v>0</v>
      </c>
      <c r="D106" s="202">
        <f t="shared" ca="1" si="57"/>
        <v>0</v>
      </c>
      <c r="E106" s="99">
        <f ca="1">IFERROR(__xludf.DUMMYFUNCTION("IMPORTRANGE(""https://docs.google.com/spreadsheets/d/1-uDff_7J0KD5mKrp0Vvzr7lt3OU09vwQwhkpOPPYv2Y/edit?usp=sharing"",""งบพรบ!BR106"")"),0)</f>
        <v>0</v>
      </c>
      <c r="F106" s="99">
        <f ca="1">IFERROR(__xludf.DUMMYFUNCTION("IMPORTRANGE(""https://docs.google.com/spreadsheets/d/1-uDff_7J0KD5mKrp0Vvzr7lt3OU09vwQwhkpOPPYv2Y/edit?usp=sharing"",""งบพรบ!BS106"")"),0)</f>
        <v>0</v>
      </c>
      <c r="G106" s="99">
        <f ca="1">IFERROR(__xludf.DUMMYFUNCTION("IMPORTRANGE(""https://docs.google.com/spreadsheets/d/1-uDff_7J0KD5mKrp0Vvzr7lt3OU09vwQwhkpOPPYv2Y/edit?usp=sharing"",""งบพรบ!BT106"")"),0)</f>
        <v>0</v>
      </c>
      <c r="H106" s="99">
        <f ca="1">IFERROR(__xludf.DUMMYFUNCTION("IMPORTRANGE(""https://docs.google.com/spreadsheets/d/1-uDff_7J0KD5mKrp0Vvzr7lt3OU09vwQwhkpOPPYv2Y/edit?usp=sharing"",""งบพรบ!BV106"")"),0)</f>
        <v>0</v>
      </c>
      <c r="I106" s="99">
        <f ca="1">IFERROR(__xludf.DUMMYFUNCTION("IMPORTRANGE(""https://docs.google.com/spreadsheets/d/1-uDff_7J0KD5mKrp0Vvzr7lt3OU09vwQwhkpOPPYv2Y/edit?usp=sharing"",""งบพรบ!BW106"")"),0)</f>
        <v>0</v>
      </c>
      <c r="J106" s="99">
        <f t="shared" ca="1" si="58"/>
        <v>0</v>
      </c>
      <c r="K106" s="100">
        <f t="shared" ca="1" si="59"/>
        <v>0</v>
      </c>
      <c r="L106" s="99">
        <f ca="1">IFERROR(__xludf.DUMMYFUNCTION("IMPORTRANGE(""https://docs.google.com/spreadsheets/d/1-uDff_7J0KD5mKrp0Vvzr7lt3OU09vwQwhkpOPPYv2Y/edit?usp=sharing"",""งบพรบ!BX106"")"),0)</f>
        <v>0</v>
      </c>
      <c r="M106" s="101">
        <f t="shared" ca="1" si="60"/>
        <v>0</v>
      </c>
      <c r="N106" s="101">
        <f t="shared" ca="1" si="61"/>
        <v>0</v>
      </c>
      <c r="O106" s="102">
        <f ca="1">IFERROR(__xludf.DUMMYFUNCTION("IMPORTRANGE(""https://docs.google.com/spreadsheets/d/1-uDff_7J0KD5mKrp0Vvzr7lt3OU09vwQwhkpOPPYv2Y/edit?usp=sharing"",""งบพรบ!BY106"")"),0)</f>
        <v>0</v>
      </c>
      <c r="P106" s="102">
        <f t="shared" ca="1" si="62"/>
        <v>0</v>
      </c>
      <c r="Q106" s="101">
        <f t="shared" ca="1" si="63"/>
        <v>0</v>
      </c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</row>
    <row r="107" spans="1:33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</row>
    <row r="305" spans="1:33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</row>
    <row r="306" spans="1:33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</row>
    <row r="307" spans="1:33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</row>
    <row r="308" spans="1:33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</row>
    <row r="309" spans="1:33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</row>
    <row r="310" spans="1:33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</row>
    <row r="311" spans="1:33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</row>
    <row r="312" spans="1:33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</row>
    <row r="313" spans="1:33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</row>
    <row r="314" spans="1:33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</row>
    <row r="315" spans="1:33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</row>
    <row r="316" spans="1:33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</row>
    <row r="317" spans="1:33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</row>
    <row r="318" spans="1:33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</row>
    <row r="319" spans="1:33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</row>
    <row r="320" spans="1:33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</row>
    <row r="321" spans="1:33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</row>
    <row r="322" spans="1:33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</row>
    <row r="323" spans="1:33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</row>
    <row r="324" spans="1:33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</row>
    <row r="325" spans="1:33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</row>
    <row r="326" spans="1:33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</row>
    <row r="327" spans="1:33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</row>
    <row r="328" spans="1:33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</row>
    <row r="329" spans="1:33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</row>
    <row r="330" spans="1:33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</row>
    <row r="331" spans="1:33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</row>
    <row r="332" spans="1:33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</row>
    <row r="333" spans="1:33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</row>
    <row r="334" spans="1:33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</row>
    <row r="335" spans="1:33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</row>
    <row r="336" spans="1:33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</row>
    <row r="337" spans="1:33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</row>
    <row r="338" spans="1:33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</row>
    <row r="339" spans="1:33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</row>
    <row r="340" spans="1:33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</row>
    <row r="341" spans="1:33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</row>
    <row r="342" spans="1:33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</row>
    <row r="343" spans="1:33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</row>
    <row r="344" spans="1:33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</row>
    <row r="345" spans="1:33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</row>
    <row r="346" spans="1:33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</row>
    <row r="347" spans="1:33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</row>
    <row r="348" spans="1:33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</row>
    <row r="349" spans="1:33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</row>
    <row r="350" spans="1:33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</row>
    <row r="351" spans="1:33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</row>
    <row r="352" spans="1:33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</row>
    <row r="353" spans="1:33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</row>
    <row r="354" spans="1:33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</row>
    <row r="355" spans="1:33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</row>
    <row r="356" spans="1:33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</row>
    <row r="357" spans="1:33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</row>
    <row r="358" spans="1:33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</row>
    <row r="359" spans="1:33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</row>
    <row r="360" spans="1:33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</row>
    <row r="361" spans="1:33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</row>
    <row r="362" spans="1:33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</row>
    <row r="363" spans="1:33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</row>
    <row r="364" spans="1:33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</row>
    <row r="365" spans="1:33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</row>
    <row r="366" spans="1:33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</row>
    <row r="367" spans="1:33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</row>
    <row r="368" spans="1:33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</row>
    <row r="369" spans="1:33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</row>
    <row r="370" spans="1:33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</row>
    <row r="371" spans="1:33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</row>
    <row r="372" spans="1:33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</row>
    <row r="373" spans="1:33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</row>
    <row r="374" spans="1:33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</row>
    <row r="375" spans="1:33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</row>
    <row r="376" spans="1:33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</row>
    <row r="377" spans="1:33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</row>
    <row r="378" spans="1:33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</row>
    <row r="379" spans="1:33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</row>
    <row r="380" spans="1:33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</row>
    <row r="381" spans="1:33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</row>
    <row r="382" spans="1:33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</row>
    <row r="383" spans="1:33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</row>
    <row r="384" spans="1:33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</row>
    <row r="385" spans="1:33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</row>
    <row r="386" spans="1:33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</row>
    <row r="387" spans="1:33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</row>
    <row r="388" spans="1:33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</row>
    <row r="389" spans="1:33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</row>
    <row r="390" spans="1:33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</row>
    <row r="391" spans="1:33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</row>
    <row r="392" spans="1:33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</row>
    <row r="393" spans="1:33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</row>
    <row r="394" spans="1:33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</row>
    <row r="395" spans="1:33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</row>
    <row r="396" spans="1:33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</row>
    <row r="397" spans="1:33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</row>
    <row r="398" spans="1:33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</row>
    <row r="399" spans="1:33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</row>
    <row r="400" spans="1:33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</row>
    <row r="401" spans="1:33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</row>
    <row r="402" spans="1:33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</row>
    <row r="403" spans="1:33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</row>
    <row r="404" spans="1:33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</row>
    <row r="405" spans="1:33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</row>
    <row r="406" spans="1:33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</row>
    <row r="407" spans="1:33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</row>
    <row r="408" spans="1:33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</row>
    <row r="409" spans="1:33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</row>
    <row r="410" spans="1:33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</row>
    <row r="411" spans="1:33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</row>
    <row r="412" spans="1:33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</row>
    <row r="413" spans="1:33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</row>
    <row r="414" spans="1:33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</row>
    <row r="415" spans="1:33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</row>
    <row r="416" spans="1:33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</row>
    <row r="417" spans="1:33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</row>
    <row r="418" spans="1:33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</row>
    <row r="419" spans="1:33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</row>
    <row r="420" spans="1:33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</row>
    <row r="421" spans="1:33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</row>
    <row r="422" spans="1:33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</row>
    <row r="423" spans="1:33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</row>
    <row r="424" spans="1:33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</row>
    <row r="425" spans="1:33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</row>
    <row r="426" spans="1:33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</row>
    <row r="427" spans="1:33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</row>
    <row r="428" spans="1:33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</row>
    <row r="429" spans="1:33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</row>
    <row r="430" spans="1:33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</row>
    <row r="431" spans="1:33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</row>
    <row r="432" spans="1:33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</row>
    <row r="433" spans="1:33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</row>
    <row r="434" spans="1:33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</row>
    <row r="435" spans="1:33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</row>
    <row r="436" spans="1:33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</row>
    <row r="437" spans="1:33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</row>
    <row r="438" spans="1:33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</row>
    <row r="439" spans="1:33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</row>
    <row r="440" spans="1:33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</row>
    <row r="441" spans="1:33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</row>
    <row r="442" spans="1:33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</row>
    <row r="443" spans="1:33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</row>
    <row r="444" spans="1:33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</row>
    <row r="445" spans="1:33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</row>
    <row r="446" spans="1:33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</row>
    <row r="447" spans="1:33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</row>
    <row r="448" spans="1:33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</row>
    <row r="449" spans="1:33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</row>
    <row r="450" spans="1:33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</row>
    <row r="451" spans="1:33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</row>
    <row r="452" spans="1:33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</row>
    <row r="453" spans="1:33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</row>
    <row r="454" spans="1:33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</row>
    <row r="455" spans="1:33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</row>
    <row r="456" spans="1:33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</row>
    <row r="457" spans="1:33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</row>
    <row r="458" spans="1:33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</row>
    <row r="459" spans="1:33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</row>
    <row r="460" spans="1:33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</row>
    <row r="461" spans="1:33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</row>
    <row r="462" spans="1:33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</row>
    <row r="463" spans="1:33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</row>
    <row r="464" spans="1:33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</row>
    <row r="465" spans="1:33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</row>
    <row r="466" spans="1:33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</row>
    <row r="467" spans="1:33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</row>
    <row r="468" spans="1:33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</row>
    <row r="469" spans="1:33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</row>
    <row r="470" spans="1:33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</row>
    <row r="471" spans="1:33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</row>
    <row r="472" spans="1:33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</row>
    <row r="473" spans="1:33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</row>
    <row r="474" spans="1:33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</row>
    <row r="475" spans="1:33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</row>
    <row r="476" spans="1:33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</row>
    <row r="477" spans="1:33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</row>
    <row r="478" spans="1:33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</row>
    <row r="479" spans="1:33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</row>
    <row r="480" spans="1:33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</row>
    <row r="481" spans="1:33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</row>
    <row r="482" spans="1:33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</row>
    <row r="483" spans="1:33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</row>
    <row r="484" spans="1:33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</row>
    <row r="485" spans="1:33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</row>
    <row r="486" spans="1:33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</row>
    <row r="487" spans="1:33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</row>
    <row r="488" spans="1:33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</row>
    <row r="489" spans="1:33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</row>
    <row r="490" spans="1:33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</row>
    <row r="491" spans="1:33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</row>
    <row r="492" spans="1:33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</row>
    <row r="493" spans="1:33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</row>
    <row r="494" spans="1:33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</row>
    <row r="495" spans="1:33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</row>
    <row r="496" spans="1:33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</row>
    <row r="497" spans="1:33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</row>
    <row r="498" spans="1:33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</row>
    <row r="499" spans="1:33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</row>
    <row r="500" spans="1:33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</row>
    <row r="501" spans="1:33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</row>
    <row r="502" spans="1:33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</row>
    <row r="503" spans="1:33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</row>
    <row r="504" spans="1:33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</row>
    <row r="505" spans="1:33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</row>
    <row r="506" spans="1:33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</row>
    <row r="507" spans="1:33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</row>
    <row r="508" spans="1:33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</row>
    <row r="509" spans="1:33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</row>
    <row r="510" spans="1:33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</row>
    <row r="511" spans="1:33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</row>
    <row r="512" spans="1:33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</row>
    <row r="513" spans="1:33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</row>
    <row r="514" spans="1:33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</row>
    <row r="515" spans="1:33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</row>
    <row r="516" spans="1:33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</row>
    <row r="517" spans="1:33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</row>
    <row r="518" spans="1:33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</row>
    <row r="519" spans="1:33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</row>
    <row r="520" spans="1:33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</row>
    <row r="521" spans="1:33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</row>
    <row r="522" spans="1:33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</row>
    <row r="523" spans="1:33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</row>
    <row r="524" spans="1:33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</row>
    <row r="525" spans="1:33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</row>
    <row r="526" spans="1:33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</row>
    <row r="527" spans="1:33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</row>
    <row r="528" spans="1:33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</row>
    <row r="529" spans="1:33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</row>
    <row r="530" spans="1:33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</row>
    <row r="531" spans="1:33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</row>
    <row r="532" spans="1:33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</row>
    <row r="533" spans="1:33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</row>
    <row r="534" spans="1:33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</row>
    <row r="535" spans="1:33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</row>
    <row r="536" spans="1:33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</row>
    <row r="537" spans="1:33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</row>
    <row r="538" spans="1:33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</row>
    <row r="539" spans="1:33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</row>
    <row r="540" spans="1:33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</row>
    <row r="541" spans="1:33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</row>
    <row r="542" spans="1:33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</row>
    <row r="543" spans="1:33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</row>
    <row r="544" spans="1:33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</row>
    <row r="545" spans="1:33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</row>
    <row r="546" spans="1:33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</row>
    <row r="547" spans="1:33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</row>
    <row r="548" spans="1:33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</row>
    <row r="549" spans="1:33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</row>
    <row r="550" spans="1:33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</row>
    <row r="551" spans="1:33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</row>
    <row r="552" spans="1:33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</row>
    <row r="553" spans="1:33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</row>
    <row r="554" spans="1:33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</row>
    <row r="555" spans="1:33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</row>
    <row r="556" spans="1:33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</row>
    <row r="557" spans="1:33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</row>
    <row r="558" spans="1:33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</row>
    <row r="559" spans="1:33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</row>
    <row r="560" spans="1:33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</row>
    <row r="561" spans="1:33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</row>
    <row r="562" spans="1:33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</row>
    <row r="563" spans="1:33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</row>
    <row r="564" spans="1:33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</row>
    <row r="565" spans="1:33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</row>
    <row r="566" spans="1:33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</row>
    <row r="567" spans="1:33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</row>
    <row r="568" spans="1:33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</row>
    <row r="569" spans="1:33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</row>
    <row r="570" spans="1:33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</row>
    <row r="571" spans="1:33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</row>
    <row r="572" spans="1:33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</row>
    <row r="573" spans="1:33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</row>
    <row r="574" spans="1:33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</row>
    <row r="575" spans="1:33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</row>
    <row r="576" spans="1:33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</row>
    <row r="577" spans="1:33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</row>
    <row r="578" spans="1:33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</row>
    <row r="579" spans="1:33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</row>
    <row r="580" spans="1:33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</row>
    <row r="581" spans="1:33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</row>
    <row r="582" spans="1:33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</row>
    <row r="583" spans="1:33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</row>
    <row r="584" spans="1:33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</row>
    <row r="585" spans="1:33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</row>
    <row r="586" spans="1:33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</row>
    <row r="587" spans="1:33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</row>
    <row r="588" spans="1:33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</row>
    <row r="589" spans="1:33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</row>
    <row r="590" spans="1:33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</row>
    <row r="591" spans="1:33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</row>
    <row r="592" spans="1:33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</row>
    <row r="593" spans="1:33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</row>
    <row r="594" spans="1:33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</row>
    <row r="595" spans="1:33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</row>
    <row r="596" spans="1:33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</row>
    <row r="597" spans="1:33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</row>
    <row r="598" spans="1:33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</row>
    <row r="599" spans="1:33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</row>
    <row r="600" spans="1:33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</row>
    <row r="601" spans="1:33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</row>
    <row r="602" spans="1:33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</row>
    <row r="603" spans="1:33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</row>
    <row r="604" spans="1:33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</row>
    <row r="605" spans="1:33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</row>
    <row r="606" spans="1:33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</row>
    <row r="607" spans="1:33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</row>
    <row r="608" spans="1:33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</row>
    <row r="609" spans="1:33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</row>
    <row r="610" spans="1:33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</row>
    <row r="611" spans="1:33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</row>
    <row r="612" spans="1:33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</row>
    <row r="613" spans="1:33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</row>
    <row r="614" spans="1:33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</row>
    <row r="615" spans="1:33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</row>
    <row r="616" spans="1:33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</row>
    <row r="617" spans="1:33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</row>
    <row r="618" spans="1:33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</row>
    <row r="619" spans="1:33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</row>
    <row r="620" spans="1:33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</row>
    <row r="621" spans="1:33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</row>
    <row r="622" spans="1:33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</row>
    <row r="623" spans="1:33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</row>
    <row r="624" spans="1:33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</row>
    <row r="625" spans="1:33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</row>
    <row r="626" spans="1:33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</row>
    <row r="627" spans="1:33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</row>
    <row r="628" spans="1:33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</row>
    <row r="629" spans="1:33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</row>
    <row r="630" spans="1:33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</row>
    <row r="631" spans="1:33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</row>
    <row r="632" spans="1:33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</row>
    <row r="633" spans="1:33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</row>
    <row r="634" spans="1:33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</row>
    <row r="635" spans="1:33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</row>
    <row r="636" spans="1:33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</row>
    <row r="637" spans="1:33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</row>
    <row r="638" spans="1:33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</row>
    <row r="639" spans="1:33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</row>
    <row r="640" spans="1:33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</row>
    <row r="641" spans="1:33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</row>
    <row r="642" spans="1:33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</row>
    <row r="643" spans="1:33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</row>
    <row r="644" spans="1:33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</row>
    <row r="645" spans="1:33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</row>
    <row r="646" spans="1:33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</row>
    <row r="647" spans="1:33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</row>
    <row r="648" spans="1:33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</row>
    <row r="649" spans="1:33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</row>
    <row r="650" spans="1:33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</row>
    <row r="651" spans="1:33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</row>
    <row r="652" spans="1:33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</row>
    <row r="653" spans="1:33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</row>
    <row r="654" spans="1:33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</row>
    <row r="655" spans="1:33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</row>
    <row r="656" spans="1:33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</row>
    <row r="657" spans="1:33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</row>
    <row r="658" spans="1:33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</row>
    <row r="659" spans="1:33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</row>
    <row r="660" spans="1:33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</row>
    <row r="661" spans="1:33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</row>
    <row r="662" spans="1:33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</row>
    <row r="663" spans="1:33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</row>
    <row r="664" spans="1:33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</row>
    <row r="665" spans="1:33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</row>
    <row r="666" spans="1:33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</row>
    <row r="667" spans="1:33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</row>
    <row r="668" spans="1:33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</row>
    <row r="669" spans="1:33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</row>
    <row r="670" spans="1:33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</row>
    <row r="671" spans="1:33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</row>
    <row r="672" spans="1:33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</row>
    <row r="673" spans="1:33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</row>
    <row r="674" spans="1:33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</row>
    <row r="675" spans="1:33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</row>
    <row r="676" spans="1:33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</row>
    <row r="677" spans="1:33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</row>
    <row r="678" spans="1:33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</row>
    <row r="679" spans="1:33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</row>
    <row r="680" spans="1:33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</row>
    <row r="681" spans="1:33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</row>
    <row r="682" spans="1:33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</row>
    <row r="683" spans="1:33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</row>
    <row r="684" spans="1:33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</row>
    <row r="685" spans="1:33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</row>
    <row r="686" spans="1:33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</row>
    <row r="687" spans="1:33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</row>
    <row r="688" spans="1:33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</row>
    <row r="689" spans="1:33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</row>
    <row r="690" spans="1:33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</row>
    <row r="691" spans="1:33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</row>
    <row r="692" spans="1:33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</row>
    <row r="693" spans="1:33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</row>
    <row r="694" spans="1:33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</row>
    <row r="695" spans="1:33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</row>
    <row r="696" spans="1:33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</row>
    <row r="697" spans="1:33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</row>
    <row r="698" spans="1:33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</row>
    <row r="699" spans="1:33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</row>
    <row r="700" spans="1:33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</row>
    <row r="701" spans="1:33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</row>
    <row r="702" spans="1:33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</row>
    <row r="703" spans="1:33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</row>
    <row r="704" spans="1:33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</row>
    <row r="705" spans="1:33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</row>
    <row r="706" spans="1:33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</row>
    <row r="707" spans="1:33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</row>
    <row r="708" spans="1:33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</row>
    <row r="709" spans="1:33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</row>
    <row r="710" spans="1:33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</row>
    <row r="711" spans="1:33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</row>
    <row r="712" spans="1:33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</row>
    <row r="713" spans="1:33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</row>
    <row r="714" spans="1:33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</row>
    <row r="715" spans="1:33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</row>
    <row r="716" spans="1:33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</row>
    <row r="717" spans="1:33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</row>
    <row r="718" spans="1:33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</row>
    <row r="719" spans="1:33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</row>
    <row r="720" spans="1:33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</row>
    <row r="721" spans="1:33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</row>
    <row r="722" spans="1:33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</row>
    <row r="723" spans="1:33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</row>
    <row r="724" spans="1:33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</row>
    <row r="725" spans="1:33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</row>
    <row r="726" spans="1:33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</row>
    <row r="727" spans="1:33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</row>
    <row r="728" spans="1:33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</row>
    <row r="729" spans="1:33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</row>
    <row r="730" spans="1:33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</row>
    <row r="731" spans="1:33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</row>
    <row r="732" spans="1:33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</row>
    <row r="733" spans="1:33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</row>
    <row r="734" spans="1:33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</row>
    <row r="735" spans="1:33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</row>
    <row r="736" spans="1:33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</row>
    <row r="737" spans="1:33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</row>
    <row r="738" spans="1:33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</row>
    <row r="739" spans="1:33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</row>
    <row r="740" spans="1:33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</row>
    <row r="741" spans="1:33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</row>
    <row r="742" spans="1:33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</row>
    <row r="743" spans="1:33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</row>
    <row r="744" spans="1:33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</row>
    <row r="745" spans="1:33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</row>
    <row r="746" spans="1:33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</row>
    <row r="747" spans="1:33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</row>
    <row r="748" spans="1:33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</row>
    <row r="749" spans="1:33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</row>
    <row r="750" spans="1:33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</row>
    <row r="751" spans="1:33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</row>
    <row r="752" spans="1:33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</row>
    <row r="753" spans="1:33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</row>
    <row r="754" spans="1:33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</row>
    <row r="755" spans="1:33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</row>
    <row r="756" spans="1:33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</row>
    <row r="757" spans="1:33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</row>
    <row r="758" spans="1:33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</row>
    <row r="759" spans="1:33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</row>
    <row r="760" spans="1:33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</row>
    <row r="761" spans="1:33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</row>
    <row r="762" spans="1:33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</row>
    <row r="763" spans="1:33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</row>
    <row r="764" spans="1:33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</row>
    <row r="765" spans="1:33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</row>
    <row r="766" spans="1:33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</row>
    <row r="767" spans="1:33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</row>
    <row r="768" spans="1:33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</row>
    <row r="769" spans="1:33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</row>
    <row r="770" spans="1:33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</row>
    <row r="771" spans="1:33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</row>
    <row r="772" spans="1:33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</row>
    <row r="773" spans="1:33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</row>
    <row r="774" spans="1:33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</row>
    <row r="775" spans="1:33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</row>
    <row r="776" spans="1:33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</row>
    <row r="777" spans="1:33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</row>
    <row r="778" spans="1:33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</row>
    <row r="779" spans="1:33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</row>
    <row r="780" spans="1:33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</row>
    <row r="781" spans="1:33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</row>
    <row r="782" spans="1:33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</row>
    <row r="783" spans="1:33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</row>
    <row r="784" spans="1:33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</row>
    <row r="785" spans="1:33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</row>
    <row r="786" spans="1:33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</row>
    <row r="787" spans="1:33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</row>
    <row r="788" spans="1:33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</row>
    <row r="789" spans="1:33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</row>
    <row r="790" spans="1:33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</row>
    <row r="791" spans="1:33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</row>
    <row r="792" spans="1:33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</row>
    <row r="793" spans="1:33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</row>
    <row r="794" spans="1:33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</row>
    <row r="795" spans="1:33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</row>
    <row r="796" spans="1:33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</row>
    <row r="797" spans="1:33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</row>
    <row r="798" spans="1:33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</row>
    <row r="799" spans="1:33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</row>
    <row r="800" spans="1:33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</row>
    <row r="801" spans="1:33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</row>
    <row r="802" spans="1:33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</row>
    <row r="803" spans="1:33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</row>
    <row r="804" spans="1:33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</row>
    <row r="805" spans="1:33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</row>
    <row r="806" spans="1:33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</row>
    <row r="807" spans="1:33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</row>
    <row r="808" spans="1:33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</row>
    <row r="809" spans="1:33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</row>
    <row r="810" spans="1:33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</row>
    <row r="811" spans="1:33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</row>
    <row r="812" spans="1:33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</row>
    <row r="813" spans="1:33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</row>
    <row r="814" spans="1:33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</row>
    <row r="815" spans="1:33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</row>
    <row r="816" spans="1:33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</row>
    <row r="817" spans="1:33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</row>
    <row r="818" spans="1:33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</row>
    <row r="819" spans="1:33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</row>
    <row r="820" spans="1:33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</row>
    <row r="821" spans="1:33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</row>
    <row r="822" spans="1:33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</row>
    <row r="823" spans="1:33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</row>
    <row r="824" spans="1:33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</row>
    <row r="825" spans="1:33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</row>
    <row r="826" spans="1:33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</row>
    <row r="827" spans="1:33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</row>
    <row r="828" spans="1:33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</row>
    <row r="829" spans="1:33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</row>
    <row r="830" spans="1:33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</row>
    <row r="831" spans="1:33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</row>
    <row r="832" spans="1:33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</row>
    <row r="833" spans="1:33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</row>
    <row r="834" spans="1:33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</row>
    <row r="835" spans="1:33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</row>
    <row r="836" spans="1:33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</row>
    <row r="837" spans="1:33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</row>
    <row r="838" spans="1:33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</row>
    <row r="839" spans="1:33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</row>
    <row r="840" spans="1:33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</row>
    <row r="841" spans="1:33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</row>
    <row r="842" spans="1:33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</row>
    <row r="843" spans="1:33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</row>
    <row r="844" spans="1:33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</row>
    <row r="845" spans="1:33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</row>
    <row r="846" spans="1:33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</row>
    <row r="847" spans="1:33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</row>
    <row r="848" spans="1:33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</row>
    <row r="849" spans="1:33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</row>
    <row r="850" spans="1:33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</row>
    <row r="851" spans="1:33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</row>
    <row r="852" spans="1:33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</row>
    <row r="853" spans="1:33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</row>
    <row r="854" spans="1:33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</row>
    <row r="855" spans="1:33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</row>
    <row r="856" spans="1:33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</row>
    <row r="857" spans="1:33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</row>
    <row r="858" spans="1:33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</row>
    <row r="859" spans="1:33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</row>
    <row r="860" spans="1:33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</row>
    <row r="861" spans="1:33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</row>
    <row r="862" spans="1:33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</row>
    <row r="863" spans="1:33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</row>
    <row r="864" spans="1:33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</row>
    <row r="865" spans="1:33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</row>
    <row r="866" spans="1:33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</row>
    <row r="867" spans="1:33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</row>
    <row r="868" spans="1:33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</row>
    <row r="869" spans="1:33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</row>
    <row r="870" spans="1:33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</row>
    <row r="871" spans="1:33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</row>
    <row r="872" spans="1:33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</row>
    <row r="873" spans="1:33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</row>
    <row r="874" spans="1:33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</row>
    <row r="875" spans="1:33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</row>
    <row r="876" spans="1:33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</row>
    <row r="877" spans="1:33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</row>
    <row r="878" spans="1:33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</row>
    <row r="879" spans="1:33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</row>
    <row r="880" spans="1:33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</row>
    <row r="881" spans="1:33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</row>
    <row r="882" spans="1:33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</row>
    <row r="883" spans="1:33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</row>
    <row r="884" spans="1:33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</row>
    <row r="885" spans="1:33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</row>
    <row r="886" spans="1:33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</row>
    <row r="887" spans="1:33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</row>
    <row r="888" spans="1:33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</row>
    <row r="889" spans="1:33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</row>
    <row r="890" spans="1:33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</row>
    <row r="891" spans="1:33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</row>
    <row r="892" spans="1:33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</row>
    <row r="893" spans="1:33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</row>
    <row r="894" spans="1:33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</row>
    <row r="895" spans="1:33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</row>
    <row r="896" spans="1:33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</row>
    <row r="897" spans="1:33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</row>
    <row r="898" spans="1:33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</row>
    <row r="899" spans="1:33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</row>
    <row r="900" spans="1:33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</row>
    <row r="901" spans="1:33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</row>
    <row r="902" spans="1:33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</row>
    <row r="903" spans="1:33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</row>
    <row r="904" spans="1:33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</row>
    <row r="905" spans="1:33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</row>
    <row r="906" spans="1:33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</row>
    <row r="907" spans="1:33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</row>
    <row r="908" spans="1:33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</row>
    <row r="909" spans="1:33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</row>
    <row r="910" spans="1:33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</row>
    <row r="911" spans="1:33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</row>
    <row r="912" spans="1:33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</row>
    <row r="913" spans="1:33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</row>
    <row r="914" spans="1:33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</row>
    <row r="915" spans="1:33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</row>
    <row r="916" spans="1:33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</row>
    <row r="917" spans="1:33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</row>
    <row r="918" spans="1:33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</row>
    <row r="919" spans="1:33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</row>
    <row r="920" spans="1:33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</row>
    <row r="921" spans="1:33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</row>
    <row r="922" spans="1:33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</row>
    <row r="923" spans="1:33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</row>
    <row r="924" spans="1:33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</row>
    <row r="925" spans="1:33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</row>
    <row r="926" spans="1:33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</row>
    <row r="927" spans="1:33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</row>
    <row r="928" spans="1:33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</row>
    <row r="929" spans="1:33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</row>
    <row r="930" spans="1:33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</row>
    <row r="931" spans="1:33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</row>
    <row r="932" spans="1:33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</row>
    <row r="933" spans="1:33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</row>
    <row r="934" spans="1:33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</row>
    <row r="935" spans="1:33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</row>
    <row r="936" spans="1:33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</row>
    <row r="937" spans="1:33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</row>
    <row r="938" spans="1:33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</row>
    <row r="939" spans="1:33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</row>
    <row r="940" spans="1:33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</row>
    <row r="941" spans="1:33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</row>
    <row r="942" spans="1:33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</row>
    <row r="943" spans="1:33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</row>
    <row r="944" spans="1:33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</row>
    <row r="945" spans="1:33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</row>
    <row r="946" spans="1:33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</row>
    <row r="947" spans="1:33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</row>
    <row r="948" spans="1:33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</row>
    <row r="949" spans="1:33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</row>
    <row r="950" spans="1:33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</row>
    <row r="951" spans="1:33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</row>
    <row r="952" spans="1:33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</row>
    <row r="953" spans="1:33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</row>
    <row r="954" spans="1:33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</row>
    <row r="955" spans="1:33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</row>
    <row r="956" spans="1:33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</row>
    <row r="957" spans="1:33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</row>
    <row r="958" spans="1:33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</row>
    <row r="959" spans="1:33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</row>
    <row r="960" spans="1:33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</row>
    <row r="961" spans="1:33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</row>
    <row r="962" spans="1:33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</row>
    <row r="963" spans="1:33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</row>
    <row r="964" spans="1:33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</row>
    <row r="965" spans="1:33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</row>
    <row r="966" spans="1:33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</row>
    <row r="967" spans="1:33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</row>
    <row r="968" spans="1:33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</row>
    <row r="969" spans="1:33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</row>
    <row r="970" spans="1:33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</row>
    <row r="971" spans="1:33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</row>
    <row r="972" spans="1:33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</row>
    <row r="973" spans="1:33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</row>
    <row r="974" spans="1:33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</row>
    <row r="975" spans="1:33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</row>
    <row r="976" spans="1:33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</row>
    <row r="977" spans="1:33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</row>
    <row r="978" spans="1:33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</row>
    <row r="979" spans="1:33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</row>
    <row r="980" spans="1:33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</row>
    <row r="981" spans="1:33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</row>
    <row r="982" spans="1:33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</row>
    <row r="983" spans="1:33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</row>
    <row r="984" spans="1:33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</row>
    <row r="985" spans="1:33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123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</row>
    <row r="986" spans="1:33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123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</row>
    <row r="987" spans="1:33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123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</row>
    <row r="988" spans="1:33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123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</row>
    <row r="989" spans="1:33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123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</row>
  </sheetData>
  <mergeCells count="32">
    <mergeCell ref="A89:B89"/>
    <mergeCell ref="C2:AG2"/>
    <mergeCell ref="C3:Q3"/>
    <mergeCell ref="R3:AG3"/>
    <mergeCell ref="C4:G4"/>
    <mergeCell ref="R4:R6"/>
    <mergeCell ref="G5:G6"/>
    <mergeCell ref="AF5:AG5"/>
    <mergeCell ref="Y4:AD4"/>
    <mergeCell ref="AE4:AG4"/>
    <mergeCell ref="C5:C6"/>
    <mergeCell ref="D5:D6"/>
    <mergeCell ref="E5:E6"/>
    <mergeCell ref="F5:F6"/>
    <mergeCell ref="H4:I4"/>
    <mergeCell ref="J5:K5"/>
    <mergeCell ref="A7:B7"/>
    <mergeCell ref="A13:B13"/>
    <mergeCell ref="A31:B31"/>
    <mergeCell ref="A52:B52"/>
    <mergeCell ref="A74:B74"/>
    <mergeCell ref="J4:Q4"/>
    <mergeCell ref="S4:X4"/>
    <mergeCell ref="AA5:AB5"/>
    <mergeCell ref="AC5:AD5"/>
    <mergeCell ref="A2:B6"/>
    <mergeCell ref="L5:N5"/>
    <mergeCell ref="O5:Q5"/>
    <mergeCell ref="S5:T5"/>
    <mergeCell ref="U5:V5"/>
    <mergeCell ref="W5:X5"/>
    <mergeCell ref="Y5:Z5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T984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38" t="s">
        <v>1</v>
      </c>
      <c r="B2" s="379"/>
      <c r="C2" s="369" t="s">
        <v>140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1"/>
    </row>
    <row r="3" spans="1:20" ht="30" customHeight="1" x14ac:dyDescent="0.2">
      <c r="A3" s="432"/>
      <c r="B3" s="390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44" t="s">
        <v>141</v>
      </c>
      <c r="S3" s="378"/>
      <c r="T3" s="379"/>
    </row>
    <row r="4" spans="1:20" ht="30" customHeight="1" x14ac:dyDescent="0.2">
      <c r="A4" s="432"/>
      <c r="B4" s="390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433"/>
      <c r="S4" s="381"/>
      <c r="T4" s="382"/>
    </row>
    <row r="5" spans="1:20" ht="24" customHeight="1" x14ac:dyDescent="0.3">
      <c r="A5" s="432"/>
      <c r="B5" s="390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207" t="s">
        <v>21</v>
      </c>
      <c r="S5" s="393" t="s">
        <v>22</v>
      </c>
      <c r="T5" s="376"/>
    </row>
    <row r="6" spans="1:20" ht="30" customHeight="1" x14ac:dyDescent="0.2">
      <c r="A6" s="433"/>
      <c r="B6" s="382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4" t="s">
        <v>28</v>
      </c>
      <c r="S6" s="17" t="s">
        <v>28</v>
      </c>
      <c r="T6" s="16" t="s">
        <v>24</v>
      </c>
    </row>
    <row r="7" spans="1:20" ht="24" customHeight="1" x14ac:dyDescent="0.3">
      <c r="A7" s="442" t="s">
        <v>31</v>
      </c>
      <c r="B7" s="417"/>
      <c r="C7" s="141">
        <f t="shared" ref="C7:C10" ca="1" si="0">D7+G7</f>
        <v>3408600</v>
      </c>
      <c r="D7" s="142">
        <f t="shared" ref="D7:E7" ca="1" si="1">D8+D9+D12</f>
        <v>3408600</v>
      </c>
      <c r="E7" s="143">
        <f t="shared" ca="1" si="1"/>
        <v>1533900</v>
      </c>
      <c r="F7" s="144">
        <f ca="1">F8+F9</f>
        <v>1874700</v>
      </c>
      <c r="G7" s="145">
        <f t="shared" ref="G7:I7" ca="1" si="2">G8+G9+G12</f>
        <v>0</v>
      </c>
      <c r="H7" s="211">
        <f t="shared" ca="1" si="2"/>
        <v>2663500</v>
      </c>
      <c r="I7" s="211">
        <f t="shared" ca="1" si="2"/>
        <v>0</v>
      </c>
      <c r="J7" s="147">
        <f t="shared" ref="J7:J10" ca="1" si="3">L7+O7</f>
        <v>221740.16</v>
      </c>
      <c r="K7" s="148">
        <f t="shared" ref="K7:K10" ca="1" si="4">IF(C7&gt;0,J7*100/C7,0)</f>
        <v>6.5053147919967138</v>
      </c>
      <c r="L7" s="147">
        <f ca="1">L8+L9+L12</f>
        <v>221740.16</v>
      </c>
      <c r="M7" s="149">
        <f t="shared" ref="M7:M10" ca="1" si="5">IF(D7&gt;0,L7*100/D7,0)</f>
        <v>6.5053147919967138</v>
      </c>
      <c r="N7" s="149">
        <f t="shared" ref="N7:N10" ca="1" si="6">IF(H7&gt;0,L7*100/H7,0)</f>
        <v>8.3251421062511728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1">
        <f t="shared" ref="R7:S7" ca="1" si="9">R8</f>
        <v>330</v>
      </c>
      <c r="S7" s="32">
        <f t="shared" ca="1" si="9"/>
        <v>20</v>
      </c>
      <c r="T7" s="33">
        <f t="shared" ref="T7:T8" ca="1" si="10">IF(R7&gt;0,S7*100/R7,0)</f>
        <v>6.0606060606060606</v>
      </c>
    </row>
    <row r="8" spans="1:20" ht="28.5" customHeight="1" x14ac:dyDescent="0.3">
      <c r="A8" s="34" t="s">
        <v>32</v>
      </c>
      <c r="B8" s="35"/>
      <c r="C8" s="154">
        <f t="shared" ca="1" si="0"/>
        <v>99000</v>
      </c>
      <c r="D8" s="154">
        <f t="shared" ref="D8:I8" ca="1" si="11">+D13+D31+D52+D74</f>
        <v>99000</v>
      </c>
      <c r="E8" s="154">
        <f t="shared" ca="1" si="11"/>
        <v>0</v>
      </c>
      <c r="F8" s="154">
        <f t="shared" ca="1" si="11"/>
        <v>99000</v>
      </c>
      <c r="G8" s="154">
        <f t="shared" ca="1" si="11"/>
        <v>0</v>
      </c>
      <c r="H8" s="154">
        <f t="shared" ca="1" si="11"/>
        <v>0</v>
      </c>
      <c r="I8" s="154">
        <f t="shared" ca="1" si="11"/>
        <v>0</v>
      </c>
      <c r="J8" s="154">
        <f t="shared" ca="1" si="3"/>
        <v>0</v>
      </c>
      <c r="K8" s="155">
        <f t="shared" ca="1" si="4"/>
        <v>0</v>
      </c>
      <c r="L8" s="154">
        <f ca="1">+L13+L31+L52+L74</f>
        <v>0</v>
      </c>
      <c r="M8" s="156">
        <f t="shared" ca="1" si="5"/>
        <v>0</v>
      </c>
      <c r="N8" s="156">
        <f t="shared" ca="1" si="6"/>
        <v>0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8">
        <f t="shared" ref="R8:S8" ca="1" si="12">+R13+R31+R52+R74</f>
        <v>330</v>
      </c>
      <c r="S8" s="38">
        <f t="shared" ca="1" si="12"/>
        <v>20</v>
      </c>
      <c r="T8" s="40">
        <f t="shared" ca="1" si="10"/>
        <v>6.0606060606060606</v>
      </c>
    </row>
    <row r="9" spans="1:20" ht="28.5" customHeight="1" x14ac:dyDescent="0.3">
      <c r="A9" s="44" t="s">
        <v>33</v>
      </c>
      <c r="B9" s="45"/>
      <c r="C9" s="160">
        <f t="shared" ca="1" si="0"/>
        <v>3309600</v>
      </c>
      <c r="D9" s="160">
        <f t="shared" ref="D9:I9" ca="1" si="13">+D10+D11</f>
        <v>3309600</v>
      </c>
      <c r="E9" s="160">
        <f t="shared" ca="1" si="13"/>
        <v>1533900</v>
      </c>
      <c r="F9" s="160">
        <f t="shared" ca="1" si="13"/>
        <v>1775700</v>
      </c>
      <c r="G9" s="160">
        <f t="shared" ca="1" si="13"/>
        <v>0</v>
      </c>
      <c r="H9" s="160">
        <f t="shared" ca="1" si="13"/>
        <v>2663500</v>
      </c>
      <c r="I9" s="160">
        <f t="shared" ca="1" si="13"/>
        <v>0</v>
      </c>
      <c r="J9" s="160">
        <f t="shared" ca="1" si="3"/>
        <v>221740.16</v>
      </c>
      <c r="K9" s="161">
        <f t="shared" ca="1" si="4"/>
        <v>6.6999081459995162</v>
      </c>
      <c r="L9" s="160">
        <f ca="1">+L10+L11</f>
        <v>221740.16</v>
      </c>
      <c r="M9" s="162">
        <f t="shared" ca="1" si="5"/>
        <v>6.6999081459995162</v>
      </c>
      <c r="N9" s="162">
        <f t="shared" ca="1" si="6"/>
        <v>8.3251421062511728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46"/>
      <c r="S9" s="46"/>
      <c r="T9" s="49"/>
    </row>
    <row r="10" spans="1:20" ht="28.5" customHeight="1" x14ac:dyDescent="0.3">
      <c r="A10" s="44" t="s">
        <v>34</v>
      </c>
      <c r="B10" s="45"/>
      <c r="C10" s="160">
        <f t="shared" ca="1" si="0"/>
        <v>3309600</v>
      </c>
      <c r="D10" s="160">
        <f t="shared" ref="D10:I10" ca="1" si="14">+D89</f>
        <v>3309600</v>
      </c>
      <c r="E10" s="160">
        <f t="shared" ca="1" si="14"/>
        <v>1533900</v>
      </c>
      <c r="F10" s="160">
        <f t="shared" ca="1" si="14"/>
        <v>1775700</v>
      </c>
      <c r="G10" s="160">
        <f t="shared" ca="1" si="14"/>
        <v>0</v>
      </c>
      <c r="H10" s="160">
        <f t="shared" ca="1" si="14"/>
        <v>2663500</v>
      </c>
      <c r="I10" s="160">
        <f t="shared" ca="1" si="14"/>
        <v>0</v>
      </c>
      <c r="J10" s="160">
        <f t="shared" ca="1" si="3"/>
        <v>221740.16</v>
      </c>
      <c r="K10" s="161">
        <f t="shared" ca="1" si="4"/>
        <v>6.6999081459995162</v>
      </c>
      <c r="L10" s="160">
        <f ca="1">+L89</f>
        <v>221740.16</v>
      </c>
      <c r="M10" s="162">
        <f t="shared" ca="1" si="5"/>
        <v>6.6999081459995162</v>
      </c>
      <c r="N10" s="162">
        <f t="shared" ca="1" si="6"/>
        <v>8.3251421062511728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46"/>
      <c r="S10" s="46"/>
      <c r="T10" s="49"/>
    </row>
    <row r="11" spans="1:20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218"/>
      <c r="S11" s="218"/>
      <c r="T11" s="219"/>
    </row>
    <row r="12" spans="1:20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221"/>
      <c r="S12" s="221"/>
      <c r="T12" s="222"/>
    </row>
    <row r="13" spans="1:20" ht="28.5" customHeight="1" x14ac:dyDescent="0.3">
      <c r="A13" s="394" t="s">
        <v>35</v>
      </c>
      <c r="B13" s="376"/>
      <c r="C13" s="154">
        <f t="shared" ref="C13:C88" ca="1" si="15">D13+G13</f>
        <v>34500</v>
      </c>
      <c r="D13" s="154">
        <f t="shared" ref="D13:I13" ca="1" si="16">SUM(D14:D30)</f>
        <v>34500</v>
      </c>
      <c r="E13" s="154">
        <f t="shared" ca="1" si="16"/>
        <v>0</v>
      </c>
      <c r="F13" s="154">
        <f t="shared" ca="1" si="16"/>
        <v>34500</v>
      </c>
      <c r="G13" s="154">
        <f t="shared" ca="1" si="16"/>
        <v>0</v>
      </c>
      <c r="H13" s="154">
        <f t="shared" ca="1" si="16"/>
        <v>0</v>
      </c>
      <c r="I13" s="154">
        <f t="shared" ca="1" si="16"/>
        <v>0</v>
      </c>
      <c r="J13" s="154">
        <f t="shared" ref="J13:J88" ca="1" si="17">L13+O13</f>
        <v>0</v>
      </c>
      <c r="K13" s="155">
        <f t="shared" ref="K13:K88" ca="1" si="18">IF(C13&gt;0,J13*100/C13,0)</f>
        <v>0</v>
      </c>
      <c r="L13" s="154">
        <f ca="1">SUM(L14:L30)</f>
        <v>0</v>
      </c>
      <c r="M13" s="156">
        <f t="shared" ref="M13:M88" ca="1" si="19">IF(D13&gt;0,L13*100/D13,0)</f>
        <v>0</v>
      </c>
      <c r="N13" s="156">
        <f t="shared" ref="N13:N88" ca="1" si="20">IF(H13&gt;0,L13*100/H13,0)</f>
        <v>0</v>
      </c>
      <c r="O13" s="157">
        <f ca="1">SUM(O14:O30)</f>
        <v>0</v>
      </c>
      <c r="P13" s="157">
        <f t="shared" ref="P13:P88" ca="1" si="21">IF(G13&gt;0,O13*100/G13,0)</f>
        <v>0</v>
      </c>
      <c r="Q13" s="156">
        <f t="shared" ref="Q13:Q88" ca="1" si="22">IF(I13&gt;0,O13*100/I13,0)</f>
        <v>0</v>
      </c>
      <c r="R13" s="70">
        <f t="shared" ref="R13:S13" ca="1" si="23">SUM(R14:R30)</f>
        <v>115</v>
      </c>
      <c r="S13" s="70">
        <f t="shared" ca="1" si="23"/>
        <v>20</v>
      </c>
      <c r="T13" s="72">
        <f t="shared" ref="T13:T88" ca="1" si="24">IF(R13&gt;0,S13*100/R13,0)</f>
        <v>17.391304347826086</v>
      </c>
    </row>
    <row r="14" spans="1:20" ht="24" customHeight="1" x14ac:dyDescent="0.3">
      <c r="A14" s="74">
        <v>1</v>
      </c>
      <c r="B14" s="75" t="s">
        <v>36</v>
      </c>
      <c r="C14" s="174">
        <f t="shared" ca="1" si="15"/>
        <v>0</v>
      </c>
      <c r="D14" s="175">
        <f t="shared" ref="D14:D30" ca="1" si="25">+E14+F14</f>
        <v>0</v>
      </c>
      <c r="E14" s="176">
        <f ca="1">IFERROR(__xludf.DUMMYFUNCTION("IMPORTRANGE(""https://docs.google.com/spreadsheets/d/1-uDff_7J0KD5mKrp0Vvzr7lt3OU09vwQwhkpOPPYv2Y/edit?usp=sharing"",""งบพรบ!CB14"")"),0)</f>
        <v>0</v>
      </c>
      <c r="F14" s="176">
        <f ca="1">IFERROR(__xludf.DUMMYFUNCTION("IMPORTRANGE(""https://docs.google.com/spreadsheets/d/1-uDff_7J0KD5mKrp0Vvzr7lt3OU09vwQwhkpOPPYv2Y/edit?usp=sharing"",""งบพรบ!CC14"")"),0)</f>
        <v>0</v>
      </c>
      <c r="G14" s="177">
        <f ca="1">IFERROR(__xludf.DUMMYFUNCTION("IMPORTRANGE(""https://docs.google.com/spreadsheets/d/1-uDff_7J0KD5mKrp0Vvzr7lt3OU09vwQwhkpOPPYv2Y/edit?usp=sharing"",""งบพรบ!CD14"")"),0)</f>
        <v>0</v>
      </c>
      <c r="H14" s="177">
        <f ca="1">IFERROR(__xludf.DUMMYFUNCTION("IMPORTRANGE(""https://docs.google.com/spreadsheets/d/1-uDff_7J0KD5mKrp0Vvzr7lt3OU09vwQwhkpOPPYv2Y/edit?usp=sharing"",""งบพรบ!CF14"")"),0)</f>
        <v>0</v>
      </c>
      <c r="I14" s="177">
        <f ca="1">IFERROR(__xludf.DUMMYFUNCTION("IMPORTRANGE(""https://docs.google.com/spreadsheets/d/1-uDff_7J0KD5mKrp0Vvzr7lt3OU09vwQwhkpOPPYv2Y/edit?usp=sharing"",""งบพรบ!CG14"")"),0)</f>
        <v>0</v>
      </c>
      <c r="J14" s="177">
        <f t="shared" ca="1" si="17"/>
        <v>0</v>
      </c>
      <c r="K14" s="178">
        <f t="shared" ca="1" si="18"/>
        <v>0</v>
      </c>
      <c r="L14" s="177">
        <f ca="1">IFERROR(__xludf.DUMMYFUNCTION("IMPORTRANGE(""https://docs.google.com/spreadsheets/d/1-uDff_7J0KD5mKrp0Vvzr7lt3OU09vwQwhkpOPPYv2Y/edit?usp=sharing"",""งบพรบ!CH14"")"),0)</f>
        <v>0</v>
      </c>
      <c r="M14" s="179">
        <f t="shared" ca="1" si="19"/>
        <v>0</v>
      </c>
      <c r="N14" s="179">
        <f t="shared" ca="1" si="20"/>
        <v>0</v>
      </c>
      <c r="O14" s="180">
        <f ca="1">IFERROR(__xludf.DUMMYFUNCTION("IMPORTRANGE(""https://docs.google.com/spreadsheets/d/1-uDff_7J0KD5mKrp0Vvzr7lt3OU09vwQwhkpOPPYv2Y/edit?usp=sharing"",""งบพรบ!CI14"")"),0)</f>
        <v>0</v>
      </c>
      <c r="P14" s="180">
        <f t="shared" ca="1" si="21"/>
        <v>0</v>
      </c>
      <c r="Q14" s="179">
        <f t="shared" ca="1" si="22"/>
        <v>0</v>
      </c>
      <c r="R14" s="79">
        <f ca="1">IFERROR(__xludf.DUMMYFUNCTION("IMPORTRANGE(""https://docs.google.com/spreadsheets/d/1jTcq05yEiRwXcBMLjiodW9e4biSGYWAHcDj22rKWQ3s/edit?usp=sharing"",""กำแพงเพชร!I167"")"),0)</f>
        <v>0</v>
      </c>
      <c r="S14" s="79">
        <f ca="1">IFERROR(__xludf.DUMMYFUNCTION("IMPORTRANGE(""https://docs.google.com/spreadsheets/d/1jTcq05yEiRwXcBMLjiodW9e4biSGYWAHcDj22rKWQ3s/edit?usp=sharing"",""กำแพงเพชร!J167"")"),0)</f>
        <v>0</v>
      </c>
      <c r="T14" s="83">
        <f t="shared" ca="1" si="24"/>
        <v>0</v>
      </c>
    </row>
    <row r="15" spans="1:20" ht="24" customHeight="1" x14ac:dyDescent="0.3">
      <c r="A15" s="84">
        <v>2</v>
      </c>
      <c r="B15" s="85" t="s">
        <v>37</v>
      </c>
      <c r="C15" s="174">
        <f t="shared" ca="1" si="15"/>
        <v>3000</v>
      </c>
      <c r="D15" s="175">
        <f t="shared" ca="1" si="25"/>
        <v>3000</v>
      </c>
      <c r="E15" s="176">
        <f ca="1">IFERROR(__xludf.DUMMYFUNCTION("IMPORTRANGE(""https://docs.google.com/spreadsheets/d/1-uDff_7J0KD5mKrp0Vvzr7lt3OU09vwQwhkpOPPYv2Y/edit?usp=sharing"",""งบพรบ!CB15"")"),0)</f>
        <v>0</v>
      </c>
      <c r="F15" s="176">
        <f ca="1">IFERROR(__xludf.DUMMYFUNCTION("IMPORTRANGE(""https://docs.google.com/spreadsheets/d/1-uDff_7J0KD5mKrp0Vvzr7lt3OU09vwQwhkpOPPYv2Y/edit?usp=sharing"",""งบพรบ!CC15"")"),3000)</f>
        <v>3000</v>
      </c>
      <c r="G15" s="176">
        <f ca="1">IFERROR(__xludf.DUMMYFUNCTION("IMPORTRANGE(""https://docs.google.com/spreadsheets/d/1-uDff_7J0KD5mKrp0Vvzr7lt3OU09vwQwhkpOPPYv2Y/edit?usp=sharing"",""งบพรบ!CD15"")"),0)</f>
        <v>0</v>
      </c>
      <c r="H15" s="176">
        <f ca="1">IFERROR(__xludf.DUMMYFUNCTION("IMPORTRANGE(""https://docs.google.com/spreadsheets/d/1-uDff_7J0KD5mKrp0Vvzr7lt3OU09vwQwhkpOPPYv2Y/edit?usp=sharing"",""งบพรบ!CF15"")"),0)</f>
        <v>0</v>
      </c>
      <c r="I15" s="176">
        <f ca="1">IFERROR(__xludf.DUMMYFUNCTION("IMPORTRANGE(""https://docs.google.com/spreadsheets/d/1-uDff_7J0KD5mKrp0Vvzr7lt3OU09vwQwhkpOPPYv2Y/edit?usp=sharing"",""งบพรบ!CG15"")"),0)</f>
        <v>0</v>
      </c>
      <c r="J15" s="176">
        <f t="shared" ca="1" si="17"/>
        <v>0</v>
      </c>
      <c r="K15" s="181">
        <f t="shared" ca="1" si="18"/>
        <v>0</v>
      </c>
      <c r="L15" s="176">
        <f ca="1">IFERROR(__xludf.DUMMYFUNCTION("IMPORTRANGE(""https://docs.google.com/spreadsheets/d/1-uDff_7J0KD5mKrp0Vvzr7lt3OU09vwQwhkpOPPYv2Y/edit?usp=sharing"",""งบพรบ!CH15"")"),0)</f>
        <v>0</v>
      </c>
      <c r="M15" s="179">
        <f t="shared" ca="1" si="19"/>
        <v>0</v>
      </c>
      <c r="N15" s="179">
        <f t="shared" ca="1" si="20"/>
        <v>0</v>
      </c>
      <c r="O15" s="180">
        <f ca="1">IFERROR(__xludf.DUMMYFUNCTION("IMPORTRANGE(""https://docs.google.com/spreadsheets/d/1-uDff_7J0KD5mKrp0Vvzr7lt3OU09vwQwhkpOPPYv2Y/edit?usp=sharing"",""งบพรบ!CI15"")"),0)</f>
        <v>0</v>
      </c>
      <c r="P15" s="180">
        <f t="shared" ca="1" si="21"/>
        <v>0</v>
      </c>
      <c r="Q15" s="179">
        <f t="shared" ca="1" si="22"/>
        <v>0</v>
      </c>
      <c r="R15" s="92">
        <f ca="1">IFERROR(__xludf.DUMMYFUNCTION("IMPORTRANGE(""https://docs.google.com/spreadsheets/d/1KS0zmDSZPk8KnTAbGN-Xk6MtX1YRZD0ldgdt20K4CRk/edit?usp=sharing"",""เชียงราย!I167"")"),10)</f>
        <v>10</v>
      </c>
      <c r="S15" s="92">
        <f ca="1">IFERROR(__xludf.DUMMYFUNCTION("IMPORTRANGE(""https://docs.google.com/spreadsheets/d/1KS0zmDSZPk8KnTAbGN-Xk6MtX1YRZD0ldgdt20K4CRk/edit?usp=sharing"",""เชียงราย!J167"")"),0)</f>
        <v>0</v>
      </c>
      <c r="T15" s="93">
        <f t="shared" ca="1" si="24"/>
        <v>0</v>
      </c>
    </row>
    <row r="16" spans="1:20" ht="24" customHeight="1" x14ac:dyDescent="0.3">
      <c r="A16" s="84">
        <v>3</v>
      </c>
      <c r="B16" s="85" t="s">
        <v>38</v>
      </c>
      <c r="C16" s="174">
        <f t="shared" ca="1" si="15"/>
        <v>0</v>
      </c>
      <c r="D16" s="175">
        <f t="shared" ca="1" si="25"/>
        <v>0</v>
      </c>
      <c r="E16" s="176">
        <f ca="1">IFERROR(__xludf.DUMMYFUNCTION("IMPORTRANGE(""https://docs.google.com/spreadsheets/d/1-uDff_7J0KD5mKrp0Vvzr7lt3OU09vwQwhkpOPPYv2Y/edit?usp=sharing"",""งบพรบ!CB16"")"),0)</f>
        <v>0</v>
      </c>
      <c r="F16" s="176">
        <f ca="1">IFERROR(__xludf.DUMMYFUNCTION("IMPORTRANGE(""https://docs.google.com/spreadsheets/d/1-uDff_7J0KD5mKrp0Vvzr7lt3OU09vwQwhkpOPPYv2Y/edit?usp=sharing"",""งบพรบ!CC16"")"),0)</f>
        <v>0</v>
      </c>
      <c r="G16" s="176">
        <f ca="1">IFERROR(__xludf.DUMMYFUNCTION("IMPORTRANGE(""https://docs.google.com/spreadsheets/d/1-uDff_7J0KD5mKrp0Vvzr7lt3OU09vwQwhkpOPPYv2Y/edit?usp=sharing"",""งบพรบ!CD16"")"),0)</f>
        <v>0</v>
      </c>
      <c r="H16" s="176">
        <f ca="1">IFERROR(__xludf.DUMMYFUNCTION("IMPORTRANGE(""https://docs.google.com/spreadsheets/d/1-uDff_7J0KD5mKrp0Vvzr7lt3OU09vwQwhkpOPPYv2Y/edit?usp=sharing"",""งบพรบ!CF16"")"),0)</f>
        <v>0</v>
      </c>
      <c r="I16" s="176">
        <f ca="1">IFERROR(__xludf.DUMMYFUNCTION("IMPORTRANGE(""https://docs.google.com/spreadsheets/d/1-uDff_7J0KD5mKrp0Vvzr7lt3OU09vwQwhkpOPPYv2Y/edit?usp=sharing"",""งบพรบ!CG16"")"),0)</f>
        <v>0</v>
      </c>
      <c r="J16" s="176">
        <f t="shared" ca="1" si="17"/>
        <v>0</v>
      </c>
      <c r="K16" s="181">
        <f t="shared" ca="1" si="18"/>
        <v>0</v>
      </c>
      <c r="L16" s="176">
        <f ca="1">IFERROR(__xludf.DUMMYFUNCTION("IMPORTRANGE(""https://docs.google.com/spreadsheets/d/1-uDff_7J0KD5mKrp0Vvzr7lt3OU09vwQwhkpOPPYv2Y/edit?usp=sharing"",""งบพรบ!CH16"")"),0)</f>
        <v>0</v>
      </c>
      <c r="M16" s="179">
        <f t="shared" ca="1" si="19"/>
        <v>0</v>
      </c>
      <c r="N16" s="179">
        <f t="shared" ca="1" si="20"/>
        <v>0</v>
      </c>
      <c r="O16" s="180">
        <f ca="1">IFERROR(__xludf.DUMMYFUNCTION("IMPORTRANGE(""https://docs.google.com/spreadsheets/d/1-uDff_7J0KD5mKrp0Vvzr7lt3OU09vwQwhkpOPPYv2Y/edit?usp=sharing"",""งบพรบ!CI16"")"),0)</f>
        <v>0</v>
      </c>
      <c r="P16" s="180">
        <f t="shared" ca="1" si="21"/>
        <v>0</v>
      </c>
      <c r="Q16" s="179">
        <f t="shared" ca="1" si="22"/>
        <v>0</v>
      </c>
      <c r="R16" s="92">
        <f ca="1">IFERROR(__xludf.DUMMYFUNCTION("IMPORTRANGE(""https://docs.google.com/spreadsheets/d/1rEDxBtusbi64tE0zunoIbsTVV16HeL0oJ6trHQeQ7K8/edit?usp=sharing"",""เชียงใหม่!I167"")"),0)</f>
        <v>0</v>
      </c>
      <c r="S16" s="92">
        <f ca="1">IFERROR(__xludf.DUMMYFUNCTION("IMPORTRANGE(""https://docs.google.com/spreadsheets/d/1rEDxBtusbi64tE0zunoIbsTVV16HeL0oJ6trHQeQ7K8/edit?usp=sharing"",""เชียงใหม่!J167"")"),0)</f>
        <v>0</v>
      </c>
      <c r="T16" s="93">
        <f t="shared" ca="1" si="24"/>
        <v>0</v>
      </c>
    </row>
    <row r="17" spans="1:20" ht="24" customHeight="1" x14ac:dyDescent="0.3">
      <c r="A17" s="84">
        <v>4</v>
      </c>
      <c r="B17" s="85" t="s">
        <v>39</v>
      </c>
      <c r="C17" s="174">
        <f t="shared" ca="1" si="15"/>
        <v>3000</v>
      </c>
      <c r="D17" s="175">
        <f t="shared" ca="1" si="25"/>
        <v>3000</v>
      </c>
      <c r="E17" s="176">
        <f ca="1">IFERROR(__xludf.DUMMYFUNCTION("IMPORTRANGE(""https://docs.google.com/spreadsheets/d/1-uDff_7J0KD5mKrp0Vvzr7lt3OU09vwQwhkpOPPYv2Y/edit?usp=sharing"",""งบพรบ!CB17"")"),0)</f>
        <v>0</v>
      </c>
      <c r="F17" s="176">
        <f ca="1">IFERROR(__xludf.DUMMYFUNCTION("IMPORTRANGE(""https://docs.google.com/spreadsheets/d/1-uDff_7J0KD5mKrp0Vvzr7lt3OU09vwQwhkpOPPYv2Y/edit?usp=sharing"",""งบพรบ!CC17"")"),3000)</f>
        <v>3000</v>
      </c>
      <c r="G17" s="176">
        <f ca="1">IFERROR(__xludf.DUMMYFUNCTION("IMPORTRANGE(""https://docs.google.com/spreadsheets/d/1-uDff_7J0KD5mKrp0Vvzr7lt3OU09vwQwhkpOPPYv2Y/edit?usp=sharing"",""งบพรบ!CD17"")"),0)</f>
        <v>0</v>
      </c>
      <c r="H17" s="176">
        <f ca="1">IFERROR(__xludf.DUMMYFUNCTION("IMPORTRANGE(""https://docs.google.com/spreadsheets/d/1-uDff_7J0KD5mKrp0Vvzr7lt3OU09vwQwhkpOPPYv2Y/edit?usp=sharing"",""งบพรบ!CF17"")"),0)</f>
        <v>0</v>
      </c>
      <c r="I17" s="176">
        <f ca="1">IFERROR(__xludf.DUMMYFUNCTION("IMPORTRANGE(""https://docs.google.com/spreadsheets/d/1-uDff_7J0KD5mKrp0Vvzr7lt3OU09vwQwhkpOPPYv2Y/edit?usp=sharing"",""งบพรบ!CG17"")"),0)</f>
        <v>0</v>
      </c>
      <c r="J17" s="176">
        <f t="shared" ca="1" si="17"/>
        <v>0</v>
      </c>
      <c r="K17" s="181">
        <f t="shared" ca="1" si="18"/>
        <v>0</v>
      </c>
      <c r="L17" s="176">
        <f ca="1">IFERROR(__xludf.DUMMYFUNCTION("IMPORTRANGE(""https://docs.google.com/spreadsheets/d/1-uDff_7J0KD5mKrp0Vvzr7lt3OU09vwQwhkpOPPYv2Y/edit?usp=sharing"",""งบพรบ!CH17"")"),0)</f>
        <v>0</v>
      </c>
      <c r="M17" s="179">
        <f t="shared" ca="1" si="19"/>
        <v>0</v>
      </c>
      <c r="N17" s="179">
        <f t="shared" ca="1" si="20"/>
        <v>0</v>
      </c>
      <c r="O17" s="180">
        <f ca="1">IFERROR(__xludf.DUMMYFUNCTION("IMPORTRANGE(""https://docs.google.com/spreadsheets/d/1-uDff_7J0KD5mKrp0Vvzr7lt3OU09vwQwhkpOPPYv2Y/edit?usp=sharing"",""งบพรบ!CI17"")"),0)</f>
        <v>0</v>
      </c>
      <c r="P17" s="180">
        <f t="shared" ca="1" si="21"/>
        <v>0</v>
      </c>
      <c r="Q17" s="179">
        <f t="shared" ca="1" si="22"/>
        <v>0</v>
      </c>
      <c r="R17" s="92">
        <f ca="1">IFERROR(__xludf.DUMMYFUNCTION("IMPORTRANGE(""https://docs.google.com/spreadsheets/d/1W6MnUbDkMi6xHnHko_XkFDO9kkuL6Wqyc-6OCDFjW9I/edit?usp=sharing"",""ตาก!I167"")"),10)</f>
        <v>10</v>
      </c>
      <c r="S17" s="92">
        <f ca="1">IFERROR(__xludf.DUMMYFUNCTION("IMPORTRANGE(""https://docs.google.com/spreadsheets/d/1W6MnUbDkMi6xHnHko_XkFDO9kkuL6Wqyc-6OCDFjW9I/edit?usp=sharing"",""ตาก!J167"")"),0)</f>
        <v>0</v>
      </c>
      <c r="T17" s="93">
        <f t="shared" ca="1" si="24"/>
        <v>0</v>
      </c>
    </row>
    <row r="18" spans="1:20" ht="24" customHeight="1" x14ac:dyDescent="0.3">
      <c r="A18" s="84">
        <v>5</v>
      </c>
      <c r="B18" s="85" t="s">
        <v>40</v>
      </c>
      <c r="C18" s="174">
        <f t="shared" ca="1" si="15"/>
        <v>4500</v>
      </c>
      <c r="D18" s="175">
        <f t="shared" ca="1" si="25"/>
        <v>4500</v>
      </c>
      <c r="E18" s="176">
        <f ca="1">IFERROR(__xludf.DUMMYFUNCTION("IMPORTRANGE(""https://docs.google.com/spreadsheets/d/1-uDff_7J0KD5mKrp0Vvzr7lt3OU09vwQwhkpOPPYv2Y/edit?usp=sharing"",""งบพรบ!CB18"")"),0)</f>
        <v>0</v>
      </c>
      <c r="F18" s="176">
        <f ca="1">IFERROR(__xludf.DUMMYFUNCTION("IMPORTRANGE(""https://docs.google.com/spreadsheets/d/1-uDff_7J0KD5mKrp0Vvzr7lt3OU09vwQwhkpOPPYv2Y/edit?usp=sharing"",""งบพรบ!CC18"")"),4500)</f>
        <v>4500</v>
      </c>
      <c r="G18" s="176">
        <f ca="1">IFERROR(__xludf.DUMMYFUNCTION("IMPORTRANGE(""https://docs.google.com/spreadsheets/d/1-uDff_7J0KD5mKrp0Vvzr7lt3OU09vwQwhkpOPPYv2Y/edit?usp=sharing"",""งบพรบ!CD18"")"),0)</f>
        <v>0</v>
      </c>
      <c r="H18" s="176">
        <f ca="1">IFERROR(__xludf.DUMMYFUNCTION("IMPORTRANGE(""https://docs.google.com/spreadsheets/d/1-uDff_7J0KD5mKrp0Vvzr7lt3OU09vwQwhkpOPPYv2Y/edit?usp=sharing"",""งบพรบ!CF18"")"),0)</f>
        <v>0</v>
      </c>
      <c r="I18" s="176">
        <f ca="1">IFERROR(__xludf.DUMMYFUNCTION("IMPORTRANGE(""https://docs.google.com/spreadsheets/d/1-uDff_7J0KD5mKrp0Vvzr7lt3OU09vwQwhkpOPPYv2Y/edit?usp=sharing"",""งบพรบ!CG18"")"),0)</f>
        <v>0</v>
      </c>
      <c r="J18" s="176">
        <f t="shared" ca="1" si="17"/>
        <v>0</v>
      </c>
      <c r="K18" s="181">
        <f t="shared" ca="1" si="18"/>
        <v>0</v>
      </c>
      <c r="L18" s="176">
        <f ca="1">IFERROR(__xludf.DUMMYFUNCTION("IMPORTRANGE(""https://docs.google.com/spreadsheets/d/1-uDff_7J0KD5mKrp0Vvzr7lt3OU09vwQwhkpOPPYv2Y/edit?usp=sharing"",""งบพรบ!CH18"")"),0)</f>
        <v>0</v>
      </c>
      <c r="M18" s="179">
        <f t="shared" ca="1" si="19"/>
        <v>0</v>
      </c>
      <c r="N18" s="179">
        <f t="shared" ca="1" si="20"/>
        <v>0</v>
      </c>
      <c r="O18" s="180">
        <f ca="1">IFERROR(__xludf.DUMMYFUNCTION("IMPORTRANGE(""https://docs.google.com/spreadsheets/d/1-uDff_7J0KD5mKrp0Vvzr7lt3OU09vwQwhkpOPPYv2Y/edit?usp=sharing"",""งบพรบ!CI18"")"),0)</f>
        <v>0</v>
      </c>
      <c r="P18" s="180">
        <f t="shared" ca="1" si="21"/>
        <v>0</v>
      </c>
      <c r="Q18" s="179">
        <f t="shared" ca="1" si="22"/>
        <v>0</v>
      </c>
      <c r="R18" s="92">
        <f ca="1">IFERROR(__xludf.DUMMYFUNCTION("IMPORTRANGE(""https://docs.google.com/spreadsheets/d/1IQAWArduLkta9LpYo4a_ULsyqdta6-6aDDiwpUnQT6c/edit?usp=sharing"",""นครสวรรค์!I167"")"),15)</f>
        <v>15</v>
      </c>
      <c r="S18" s="92">
        <f ca="1">IFERROR(__xludf.DUMMYFUNCTION("IMPORTRANGE(""https://docs.google.com/spreadsheets/d/1IQAWArduLkta9LpYo4a_ULsyqdta6-6aDDiwpUnQT6c/edit?usp=sharing"",""นครสวรรค์!J167"")"),0)</f>
        <v>0</v>
      </c>
      <c r="T18" s="93">
        <f t="shared" ca="1" si="24"/>
        <v>0</v>
      </c>
    </row>
    <row r="19" spans="1:20" ht="24" customHeight="1" x14ac:dyDescent="0.3">
      <c r="A19" s="84">
        <v>6</v>
      </c>
      <c r="B19" s="85" t="s">
        <v>41</v>
      </c>
      <c r="C19" s="174">
        <f t="shared" ca="1" si="15"/>
        <v>0</v>
      </c>
      <c r="D19" s="175">
        <f t="shared" ca="1" si="25"/>
        <v>0</v>
      </c>
      <c r="E19" s="176">
        <f ca="1">IFERROR(__xludf.DUMMYFUNCTION("IMPORTRANGE(""https://docs.google.com/spreadsheets/d/1-uDff_7J0KD5mKrp0Vvzr7lt3OU09vwQwhkpOPPYv2Y/edit?usp=sharing"",""งบพรบ!CB19"")"),0)</f>
        <v>0</v>
      </c>
      <c r="F19" s="176">
        <f ca="1">IFERROR(__xludf.DUMMYFUNCTION("IMPORTRANGE(""https://docs.google.com/spreadsheets/d/1-uDff_7J0KD5mKrp0Vvzr7lt3OU09vwQwhkpOPPYv2Y/edit?usp=sharing"",""งบพรบ!CC19"")"),0)</f>
        <v>0</v>
      </c>
      <c r="G19" s="176">
        <f ca="1">IFERROR(__xludf.DUMMYFUNCTION("IMPORTRANGE(""https://docs.google.com/spreadsheets/d/1-uDff_7J0KD5mKrp0Vvzr7lt3OU09vwQwhkpOPPYv2Y/edit?usp=sharing"",""งบพรบ!CD19"")"),0)</f>
        <v>0</v>
      </c>
      <c r="H19" s="176">
        <f ca="1">IFERROR(__xludf.DUMMYFUNCTION("IMPORTRANGE(""https://docs.google.com/spreadsheets/d/1-uDff_7J0KD5mKrp0Vvzr7lt3OU09vwQwhkpOPPYv2Y/edit?usp=sharing"",""งบพรบ!CF19"")"),0)</f>
        <v>0</v>
      </c>
      <c r="I19" s="176">
        <f ca="1">IFERROR(__xludf.DUMMYFUNCTION("IMPORTRANGE(""https://docs.google.com/spreadsheets/d/1-uDff_7J0KD5mKrp0Vvzr7lt3OU09vwQwhkpOPPYv2Y/edit?usp=sharing"",""งบพรบ!CG19"")"),0)</f>
        <v>0</v>
      </c>
      <c r="J19" s="176">
        <f t="shared" ca="1" si="17"/>
        <v>0</v>
      </c>
      <c r="K19" s="181">
        <f t="shared" ca="1" si="18"/>
        <v>0</v>
      </c>
      <c r="L19" s="176">
        <f ca="1">IFERROR(__xludf.DUMMYFUNCTION("IMPORTRANGE(""https://docs.google.com/spreadsheets/d/1-uDff_7J0KD5mKrp0Vvzr7lt3OU09vwQwhkpOPPYv2Y/edit?usp=sharing"",""งบพรบ!CH19"")"),0)</f>
        <v>0</v>
      </c>
      <c r="M19" s="179">
        <f t="shared" ca="1" si="19"/>
        <v>0</v>
      </c>
      <c r="N19" s="179">
        <f t="shared" ca="1" si="20"/>
        <v>0</v>
      </c>
      <c r="O19" s="180">
        <f ca="1">IFERROR(__xludf.DUMMYFUNCTION("IMPORTRANGE(""https://docs.google.com/spreadsheets/d/1-uDff_7J0KD5mKrp0Vvzr7lt3OU09vwQwhkpOPPYv2Y/edit?usp=sharing"",""งบพรบ!CI19"")"),0)</f>
        <v>0</v>
      </c>
      <c r="P19" s="180">
        <f t="shared" ca="1" si="21"/>
        <v>0</v>
      </c>
      <c r="Q19" s="179">
        <f t="shared" ca="1" si="22"/>
        <v>0</v>
      </c>
      <c r="R19" s="92">
        <f ca="1">IFERROR(__xludf.DUMMYFUNCTION("IMPORTRANGE(""https://docs.google.com/spreadsheets/d/10s13Sk5xrltsiR-Zkbmk5DwIaDIKO8XlbJAfqyT7Gvg/edit?usp=sharing"",""น่าน!I167"")"),0)</f>
        <v>0</v>
      </c>
      <c r="S19" s="92">
        <f ca="1">IFERROR(__xludf.DUMMYFUNCTION("IMPORTRANGE(""https://docs.google.com/spreadsheets/d/10s13Sk5xrltsiR-Zkbmk5DwIaDIKO8XlbJAfqyT7Gvg/edit?usp=sharing"",""น่าน!J167"")"),0)</f>
        <v>0</v>
      </c>
      <c r="T19" s="93">
        <f t="shared" ca="1" si="24"/>
        <v>0</v>
      </c>
    </row>
    <row r="20" spans="1:20" ht="24" customHeight="1" x14ac:dyDescent="0.3">
      <c r="A20" s="84">
        <v>7</v>
      </c>
      <c r="B20" s="85" t="s">
        <v>42</v>
      </c>
      <c r="C20" s="174">
        <f t="shared" ca="1" si="15"/>
        <v>3000</v>
      </c>
      <c r="D20" s="175">
        <f t="shared" ca="1" si="25"/>
        <v>3000</v>
      </c>
      <c r="E20" s="176">
        <f ca="1">IFERROR(__xludf.DUMMYFUNCTION("IMPORTRANGE(""https://docs.google.com/spreadsheets/d/1-uDff_7J0KD5mKrp0Vvzr7lt3OU09vwQwhkpOPPYv2Y/edit?usp=sharing"",""งบพรบ!CB20"")"),0)</f>
        <v>0</v>
      </c>
      <c r="F20" s="176">
        <f ca="1">IFERROR(__xludf.DUMMYFUNCTION("IMPORTRANGE(""https://docs.google.com/spreadsheets/d/1-uDff_7J0KD5mKrp0Vvzr7lt3OU09vwQwhkpOPPYv2Y/edit?usp=sharing"",""งบพรบ!CC20"")"),3000)</f>
        <v>3000</v>
      </c>
      <c r="G20" s="176">
        <f ca="1">IFERROR(__xludf.DUMMYFUNCTION("IMPORTRANGE(""https://docs.google.com/spreadsheets/d/1-uDff_7J0KD5mKrp0Vvzr7lt3OU09vwQwhkpOPPYv2Y/edit?usp=sharing"",""งบพรบ!CD20"")"),0)</f>
        <v>0</v>
      </c>
      <c r="H20" s="176">
        <f ca="1">IFERROR(__xludf.DUMMYFUNCTION("IMPORTRANGE(""https://docs.google.com/spreadsheets/d/1-uDff_7J0KD5mKrp0Vvzr7lt3OU09vwQwhkpOPPYv2Y/edit?usp=sharing"",""งบพรบ!CF20"")"),0)</f>
        <v>0</v>
      </c>
      <c r="I20" s="176">
        <f ca="1">IFERROR(__xludf.DUMMYFUNCTION("IMPORTRANGE(""https://docs.google.com/spreadsheets/d/1-uDff_7J0KD5mKrp0Vvzr7lt3OU09vwQwhkpOPPYv2Y/edit?usp=sharing"",""งบพรบ!CG20"")"),0)</f>
        <v>0</v>
      </c>
      <c r="J20" s="176">
        <f t="shared" ca="1" si="17"/>
        <v>0</v>
      </c>
      <c r="K20" s="181">
        <f t="shared" ca="1" si="18"/>
        <v>0</v>
      </c>
      <c r="L20" s="176">
        <f ca="1">IFERROR(__xludf.DUMMYFUNCTION("IMPORTRANGE(""https://docs.google.com/spreadsheets/d/1-uDff_7J0KD5mKrp0Vvzr7lt3OU09vwQwhkpOPPYv2Y/edit?usp=sharing"",""งบพรบ!CH20"")"),0)</f>
        <v>0</v>
      </c>
      <c r="M20" s="179">
        <f t="shared" ca="1" si="19"/>
        <v>0</v>
      </c>
      <c r="N20" s="179">
        <f t="shared" ca="1" si="20"/>
        <v>0</v>
      </c>
      <c r="O20" s="180">
        <f ca="1">IFERROR(__xludf.DUMMYFUNCTION("IMPORTRANGE(""https://docs.google.com/spreadsheets/d/1-uDff_7J0KD5mKrp0Vvzr7lt3OU09vwQwhkpOPPYv2Y/edit?usp=sharing"",""งบพรบ!CI20"")"),0)</f>
        <v>0</v>
      </c>
      <c r="P20" s="180">
        <f t="shared" ca="1" si="21"/>
        <v>0</v>
      </c>
      <c r="Q20" s="179">
        <f t="shared" ca="1" si="22"/>
        <v>0</v>
      </c>
      <c r="R20" s="92">
        <f ca="1">IFERROR(__xludf.DUMMYFUNCTION("IMPORTRANGE(""https://docs.google.com/spreadsheets/d/1uu4nAn4Dbi1XREnLKKotUANlKXa7yCgRcgq8HEzQYW8/edit?usp=sharing"",""พะเยา!I167"")"),10)</f>
        <v>10</v>
      </c>
      <c r="S20" s="92">
        <f ca="1">IFERROR(__xludf.DUMMYFUNCTION("IMPORTRANGE(""https://docs.google.com/spreadsheets/d/1uu4nAn4Dbi1XREnLKKotUANlKXa7yCgRcgq8HEzQYW8/edit?usp=sharing"",""พะเยา!J167"")"),0)</f>
        <v>0</v>
      </c>
      <c r="T20" s="93">
        <f t="shared" ca="1" si="24"/>
        <v>0</v>
      </c>
    </row>
    <row r="21" spans="1:20" ht="24" customHeight="1" x14ac:dyDescent="0.3">
      <c r="A21" s="84">
        <v>8</v>
      </c>
      <c r="B21" s="85" t="s">
        <v>43</v>
      </c>
      <c r="C21" s="174">
        <f t="shared" ca="1" si="15"/>
        <v>0</v>
      </c>
      <c r="D21" s="175">
        <f t="shared" ca="1" si="25"/>
        <v>0</v>
      </c>
      <c r="E21" s="176">
        <f ca="1">IFERROR(__xludf.DUMMYFUNCTION("IMPORTRANGE(""https://docs.google.com/spreadsheets/d/1-uDff_7J0KD5mKrp0Vvzr7lt3OU09vwQwhkpOPPYv2Y/edit?usp=sharing"",""งบพรบ!CB21"")"),0)</f>
        <v>0</v>
      </c>
      <c r="F21" s="176">
        <f ca="1">IFERROR(__xludf.DUMMYFUNCTION("IMPORTRANGE(""https://docs.google.com/spreadsheets/d/1-uDff_7J0KD5mKrp0Vvzr7lt3OU09vwQwhkpOPPYv2Y/edit?usp=sharing"",""งบพรบ!CC21"")"),0)</f>
        <v>0</v>
      </c>
      <c r="G21" s="176">
        <f ca="1">IFERROR(__xludf.DUMMYFUNCTION("IMPORTRANGE(""https://docs.google.com/spreadsheets/d/1-uDff_7J0KD5mKrp0Vvzr7lt3OU09vwQwhkpOPPYv2Y/edit?usp=sharing"",""งบพรบ!CD21"")"),0)</f>
        <v>0</v>
      </c>
      <c r="H21" s="176">
        <f ca="1">IFERROR(__xludf.DUMMYFUNCTION("IMPORTRANGE(""https://docs.google.com/spreadsheets/d/1-uDff_7J0KD5mKrp0Vvzr7lt3OU09vwQwhkpOPPYv2Y/edit?usp=sharing"",""งบพรบ!CF21"")"),0)</f>
        <v>0</v>
      </c>
      <c r="I21" s="176">
        <f ca="1">IFERROR(__xludf.DUMMYFUNCTION("IMPORTRANGE(""https://docs.google.com/spreadsheets/d/1-uDff_7J0KD5mKrp0Vvzr7lt3OU09vwQwhkpOPPYv2Y/edit?usp=sharing"",""งบพรบ!CG21"")"),0)</f>
        <v>0</v>
      </c>
      <c r="J21" s="176">
        <f t="shared" ca="1" si="17"/>
        <v>0</v>
      </c>
      <c r="K21" s="181">
        <f t="shared" ca="1" si="18"/>
        <v>0</v>
      </c>
      <c r="L21" s="176">
        <f ca="1">IFERROR(__xludf.DUMMYFUNCTION("IMPORTRANGE(""https://docs.google.com/spreadsheets/d/1-uDff_7J0KD5mKrp0Vvzr7lt3OU09vwQwhkpOPPYv2Y/edit?usp=sharing"",""งบพรบ!CH21"")"),0)</f>
        <v>0</v>
      </c>
      <c r="M21" s="179">
        <f t="shared" ca="1" si="19"/>
        <v>0</v>
      </c>
      <c r="N21" s="179">
        <f t="shared" ca="1" si="20"/>
        <v>0</v>
      </c>
      <c r="O21" s="180">
        <f ca="1">IFERROR(__xludf.DUMMYFUNCTION("IMPORTRANGE(""https://docs.google.com/spreadsheets/d/1-uDff_7J0KD5mKrp0Vvzr7lt3OU09vwQwhkpOPPYv2Y/edit?usp=sharing"",""งบพรบ!CI21"")"),0)</f>
        <v>0</v>
      </c>
      <c r="P21" s="180">
        <f t="shared" ca="1" si="21"/>
        <v>0</v>
      </c>
      <c r="Q21" s="179">
        <f t="shared" ca="1" si="22"/>
        <v>0</v>
      </c>
      <c r="R21" s="92">
        <f ca="1">IFERROR(__xludf.DUMMYFUNCTION("IMPORTRANGE(""https://docs.google.com/spreadsheets/d/1xfJKIQxVOaPDIICqsflNlLu3JacTDk1FP9RH4phX7mI/edit?usp=sharing"",""พิจิตร!I167"")"),0)</f>
        <v>0</v>
      </c>
      <c r="S21" s="92">
        <f ca="1">IFERROR(__xludf.DUMMYFUNCTION("IMPORTRANGE(""https://docs.google.com/spreadsheets/d/1xfJKIQxVOaPDIICqsflNlLu3JacTDk1FP9RH4phX7mI/edit?usp=sharing"",""พิจิตร!J167"")"),0)</f>
        <v>0</v>
      </c>
      <c r="T21" s="93">
        <f t="shared" ca="1" si="24"/>
        <v>0</v>
      </c>
    </row>
    <row r="22" spans="1:20" ht="24" customHeight="1" x14ac:dyDescent="0.3">
      <c r="A22" s="84">
        <v>9</v>
      </c>
      <c r="B22" s="85" t="s">
        <v>44</v>
      </c>
      <c r="C22" s="174">
        <f t="shared" ca="1" si="15"/>
        <v>0</v>
      </c>
      <c r="D22" s="175">
        <f t="shared" ca="1" si="25"/>
        <v>0</v>
      </c>
      <c r="E22" s="176">
        <f ca="1">IFERROR(__xludf.DUMMYFUNCTION("IMPORTRANGE(""https://docs.google.com/spreadsheets/d/1-uDff_7J0KD5mKrp0Vvzr7lt3OU09vwQwhkpOPPYv2Y/edit?usp=sharing"",""งบพรบ!CB22"")"),0)</f>
        <v>0</v>
      </c>
      <c r="F22" s="176">
        <f ca="1">IFERROR(__xludf.DUMMYFUNCTION("IMPORTRANGE(""https://docs.google.com/spreadsheets/d/1-uDff_7J0KD5mKrp0Vvzr7lt3OU09vwQwhkpOPPYv2Y/edit?usp=sharing"",""งบพรบ!CC22"")"),0)</f>
        <v>0</v>
      </c>
      <c r="G22" s="176">
        <f ca="1">IFERROR(__xludf.DUMMYFUNCTION("IMPORTRANGE(""https://docs.google.com/spreadsheets/d/1-uDff_7J0KD5mKrp0Vvzr7lt3OU09vwQwhkpOPPYv2Y/edit?usp=sharing"",""งบพรบ!CD22"")"),0)</f>
        <v>0</v>
      </c>
      <c r="H22" s="176">
        <f ca="1">IFERROR(__xludf.DUMMYFUNCTION("IMPORTRANGE(""https://docs.google.com/spreadsheets/d/1-uDff_7J0KD5mKrp0Vvzr7lt3OU09vwQwhkpOPPYv2Y/edit?usp=sharing"",""งบพรบ!CF22"")"),0)</f>
        <v>0</v>
      </c>
      <c r="I22" s="176">
        <f ca="1">IFERROR(__xludf.DUMMYFUNCTION("IMPORTRANGE(""https://docs.google.com/spreadsheets/d/1-uDff_7J0KD5mKrp0Vvzr7lt3OU09vwQwhkpOPPYv2Y/edit?usp=sharing"",""งบพรบ!CG22"")"),0)</f>
        <v>0</v>
      </c>
      <c r="J22" s="176">
        <f t="shared" ca="1" si="17"/>
        <v>0</v>
      </c>
      <c r="K22" s="181">
        <f t="shared" ca="1" si="18"/>
        <v>0</v>
      </c>
      <c r="L22" s="176">
        <f ca="1">IFERROR(__xludf.DUMMYFUNCTION("IMPORTRANGE(""https://docs.google.com/spreadsheets/d/1-uDff_7J0KD5mKrp0Vvzr7lt3OU09vwQwhkpOPPYv2Y/edit?usp=sharing"",""งบพรบ!CH22"")"),0)</f>
        <v>0</v>
      </c>
      <c r="M22" s="179">
        <f t="shared" ca="1" si="19"/>
        <v>0</v>
      </c>
      <c r="N22" s="179">
        <f t="shared" ca="1" si="20"/>
        <v>0</v>
      </c>
      <c r="O22" s="180">
        <f ca="1">IFERROR(__xludf.DUMMYFUNCTION("IMPORTRANGE(""https://docs.google.com/spreadsheets/d/1-uDff_7J0KD5mKrp0Vvzr7lt3OU09vwQwhkpOPPYv2Y/edit?usp=sharing"",""งบพรบ!CI22"")"),0)</f>
        <v>0</v>
      </c>
      <c r="P22" s="180">
        <f t="shared" ca="1" si="21"/>
        <v>0</v>
      </c>
      <c r="Q22" s="179">
        <f t="shared" ca="1" si="22"/>
        <v>0</v>
      </c>
      <c r="R22" s="92">
        <f ca="1">IFERROR(__xludf.DUMMYFUNCTION("IMPORTRANGE(""https://docs.google.com/spreadsheets/d/1JtRfZkJMHtEhI5RdRHxYUG4FIZHqKDpNyIuN7A1Q0_k/edit?usp=sharing"",""พิษณุโลก!I167"")"),0)</f>
        <v>0</v>
      </c>
      <c r="S22" s="92">
        <f ca="1">IFERROR(__xludf.DUMMYFUNCTION("IMPORTRANGE(""https://docs.google.com/spreadsheets/d/1JtRfZkJMHtEhI5RdRHxYUG4FIZHqKDpNyIuN7A1Q0_k/edit?usp=sharing"",""พิษณุโลก!J167"")"),0)</f>
        <v>0</v>
      </c>
      <c r="T22" s="93">
        <f t="shared" ca="1" si="24"/>
        <v>0</v>
      </c>
    </row>
    <row r="23" spans="1:20" ht="24" customHeight="1" x14ac:dyDescent="0.3">
      <c r="A23" s="84">
        <v>10</v>
      </c>
      <c r="B23" s="85" t="s">
        <v>45</v>
      </c>
      <c r="C23" s="174">
        <f t="shared" ca="1" si="15"/>
        <v>6000</v>
      </c>
      <c r="D23" s="175">
        <f t="shared" ca="1" si="25"/>
        <v>6000</v>
      </c>
      <c r="E23" s="176">
        <f ca="1">IFERROR(__xludf.DUMMYFUNCTION("IMPORTRANGE(""https://docs.google.com/spreadsheets/d/1-uDff_7J0KD5mKrp0Vvzr7lt3OU09vwQwhkpOPPYv2Y/edit?usp=sharing"",""งบพรบ!CB23"")"),0)</f>
        <v>0</v>
      </c>
      <c r="F23" s="176">
        <f ca="1">IFERROR(__xludf.DUMMYFUNCTION("IMPORTRANGE(""https://docs.google.com/spreadsheets/d/1-uDff_7J0KD5mKrp0Vvzr7lt3OU09vwQwhkpOPPYv2Y/edit?usp=sharing"",""งบพรบ!CC23"")"),6000)</f>
        <v>6000</v>
      </c>
      <c r="G23" s="176">
        <f ca="1">IFERROR(__xludf.DUMMYFUNCTION("IMPORTRANGE(""https://docs.google.com/spreadsheets/d/1-uDff_7J0KD5mKrp0Vvzr7lt3OU09vwQwhkpOPPYv2Y/edit?usp=sharing"",""งบพรบ!CD23"")"),0)</f>
        <v>0</v>
      </c>
      <c r="H23" s="176">
        <f ca="1">IFERROR(__xludf.DUMMYFUNCTION("IMPORTRANGE(""https://docs.google.com/spreadsheets/d/1-uDff_7J0KD5mKrp0Vvzr7lt3OU09vwQwhkpOPPYv2Y/edit?usp=sharing"",""งบพรบ!CF23"")"),0)</f>
        <v>0</v>
      </c>
      <c r="I23" s="176">
        <f ca="1">IFERROR(__xludf.DUMMYFUNCTION("IMPORTRANGE(""https://docs.google.com/spreadsheets/d/1-uDff_7J0KD5mKrp0Vvzr7lt3OU09vwQwhkpOPPYv2Y/edit?usp=sharing"",""งบพรบ!CG23"")"),0)</f>
        <v>0</v>
      </c>
      <c r="J23" s="176">
        <f t="shared" ca="1" si="17"/>
        <v>0</v>
      </c>
      <c r="K23" s="181">
        <f t="shared" ca="1" si="18"/>
        <v>0</v>
      </c>
      <c r="L23" s="176">
        <f ca="1">IFERROR(__xludf.DUMMYFUNCTION("IMPORTRANGE(""https://docs.google.com/spreadsheets/d/1-uDff_7J0KD5mKrp0Vvzr7lt3OU09vwQwhkpOPPYv2Y/edit?usp=sharing"",""งบพรบ!CH23"")"),0)</f>
        <v>0</v>
      </c>
      <c r="M23" s="179">
        <f t="shared" ca="1" si="19"/>
        <v>0</v>
      </c>
      <c r="N23" s="179">
        <f t="shared" ca="1" si="20"/>
        <v>0</v>
      </c>
      <c r="O23" s="180">
        <f ca="1">IFERROR(__xludf.DUMMYFUNCTION("IMPORTRANGE(""https://docs.google.com/spreadsheets/d/1-uDff_7J0KD5mKrp0Vvzr7lt3OU09vwQwhkpOPPYv2Y/edit?usp=sharing"",""งบพรบ!CI23"")"),0)</f>
        <v>0</v>
      </c>
      <c r="P23" s="180">
        <f t="shared" ca="1" si="21"/>
        <v>0</v>
      </c>
      <c r="Q23" s="179">
        <f t="shared" ca="1" si="22"/>
        <v>0</v>
      </c>
      <c r="R23" s="92">
        <f ca="1">IFERROR(__xludf.DUMMYFUNCTION("IMPORTRANGE(""https://docs.google.com/spreadsheets/d/1xlcVZWUNn6SuWm0c307h32SiGkd9BaeQWlAktfD3KO8/edit?usp=sharing"",""เพชรบูรณ์!I167"")"),20)</f>
        <v>20</v>
      </c>
      <c r="S23" s="92">
        <f ca="1">IFERROR(__xludf.DUMMYFUNCTION("IMPORTRANGE(""https://docs.google.com/spreadsheets/d/1xlcVZWUNn6SuWm0c307h32SiGkd9BaeQWlAktfD3KO8/edit?usp=sharing"",""เพชรบูรณ์!J167"")"),20)</f>
        <v>20</v>
      </c>
      <c r="T23" s="93">
        <f t="shared" ca="1" si="24"/>
        <v>100</v>
      </c>
    </row>
    <row r="24" spans="1:20" ht="24" customHeight="1" x14ac:dyDescent="0.3">
      <c r="A24" s="84">
        <v>11</v>
      </c>
      <c r="B24" s="85" t="s">
        <v>46</v>
      </c>
      <c r="C24" s="174">
        <f t="shared" ca="1" si="15"/>
        <v>0</v>
      </c>
      <c r="D24" s="175">
        <f t="shared" ca="1" si="25"/>
        <v>0</v>
      </c>
      <c r="E24" s="176">
        <f ca="1">IFERROR(__xludf.DUMMYFUNCTION("IMPORTRANGE(""https://docs.google.com/spreadsheets/d/1-uDff_7J0KD5mKrp0Vvzr7lt3OU09vwQwhkpOPPYv2Y/edit?usp=sharing"",""งบพรบ!CB24"")"),0)</f>
        <v>0</v>
      </c>
      <c r="F24" s="176">
        <f ca="1">IFERROR(__xludf.DUMMYFUNCTION("IMPORTRANGE(""https://docs.google.com/spreadsheets/d/1-uDff_7J0KD5mKrp0Vvzr7lt3OU09vwQwhkpOPPYv2Y/edit?usp=sharing"",""งบพรบ!CC24"")"),0)</f>
        <v>0</v>
      </c>
      <c r="G24" s="176">
        <f ca="1">IFERROR(__xludf.DUMMYFUNCTION("IMPORTRANGE(""https://docs.google.com/spreadsheets/d/1-uDff_7J0KD5mKrp0Vvzr7lt3OU09vwQwhkpOPPYv2Y/edit?usp=sharing"",""งบพรบ!CD24"")"),0)</f>
        <v>0</v>
      </c>
      <c r="H24" s="176">
        <f ca="1">IFERROR(__xludf.DUMMYFUNCTION("IMPORTRANGE(""https://docs.google.com/spreadsheets/d/1-uDff_7J0KD5mKrp0Vvzr7lt3OU09vwQwhkpOPPYv2Y/edit?usp=sharing"",""งบพรบ!CF24"")"),0)</f>
        <v>0</v>
      </c>
      <c r="I24" s="176">
        <f ca="1">IFERROR(__xludf.DUMMYFUNCTION("IMPORTRANGE(""https://docs.google.com/spreadsheets/d/1-uDff_7J0KD5mKrp0Vvzr7lt3OU09vwQwhkpOPPYv2Y/edit?usp=sharing"",""งบพรบ!CG24"")"),0)</f>
        <v>0</v>
      </c>
      <c r="J24" s="176">
        <f t="shared" ca="1" si="17"/>
        <v>0</v>
      </c>
      <c r="K24" s="181">
        <f t="shared" ca="1" si="18"/>
        <v>0</v>
      </c>
      <c r="L24" s="176">
        <f ca="1">IFERROR(__xludf.DUMMYFUNCTION("IMPORTRANGE(""https://docs.google.com/spreadsheets/d/1-uDff_7J0KD5mKrp0Vvzr7lt3OU09vwQwhkpOPPYv2Y/edit?usp=sharing"",""งบพรบ!CH24"")"),0)</f>
        <v>0</v>
      </c>
      <c r="M24" s="179">
        <f t="shared" ca="1" si="19"/>
        <v>0</v>
      </c>
      <c r="N24" s="179">
        <f t="shared" ca="1" si="20"/>
        <v>0</v>
      </c>
      <c r="O24" s="180">
        <f ca="1">IFERROR(__xludf.DUMMYFUNCTION("IMPORTRANGE(""https://docs.google.com/spreadsheets/d/1-uDff_7J0KD5mKrp0Vvzr7lt3OU09vwQwhkpOPPYv2Y/edit?usp=sharing"",""งบพรบ!CI24"")"),0)</f>
        <v>0</v>
      </c>
      <c r="P24" s="180">
        <f t="shared" ca="1" si="21"/>
        <v>0</v>
      </c>
      <c r="Q24" s="179">
        <f t="shared" ca="1" si="22"/>
        <v>0</v>
      </c>
      <c r="R24" s="92">
        <f ca="1">IFERROR(__xludf.DUMMYFUNCTION("IMPORTRANGE(""https://docs.google.com/spreadsheets/d/1lOVebEIsI9qjGXl6EX66luk7wiuP2tBaryw-wKvv4e0/edit?usp=sharing"",""แพร่!I167"")"),0)</f>
        <v>0</v>
      </c>
      <c r="S24" s="92">
        <f ca="1">IFERROR(__xludf.DUMMYFUNCTION("IMPORTRANGE(""https://docs.google.com/spreadsheets/d/1lOVebEIsI9qjGXl6EX66luk7wiuP2tBaryw-wKvv4e0/edit?usp=sharing"",""แพร่!J167"")"),0)</f>
        <v>0</v>
      </c>
      <c r="T24" s="93">
        <f t="shared" ca="1" si="24"/>
        <v>0</v>
      </c>
    </row>
    <row r="25" spans="1:20" ht="24" customHeight="1" x14ac:dyDescent="0.3">
      <c r="A25" s="84">
        <v>12</v>
      </c>
      <c r="B25" s="85" t="s">
        <v>47</v>
      </c>
      <c r="C25" s="174">
        <f t="shared" ca="1" si="15"/>
        <v>3000</v>
      </c>
      <c r="D25" s="175">
        <f t="shared" ca="1" si="25"/>
        <v>3000</v>
      </c>
      <c r="E25" s="176">
        <f ca="1">IFERROR(__xludf.DUMMYFUNCTION("IMPORTRANGE(""https://docs.google.com/spreadsheets/d/1-uDff_7J0KD5mKrp0Vvzr7lt3OU09vwQwhkpOPPYv2Y/edit?usp=sharing"",""งบพรบ!CB25"")"),0)</f>
        <v>0</v>
      </c>
      <c r="F25" s="176">
        <f ca="1">IFERROR(__xludf.DUMMYFUNCTION("IMPORTRANGE(""https://docs.google.com/spreadsheets/d/1-uDff_7J0KD5mKrp0Vvzr7lt3OU09vwQwhkpOPPYv2Y/edit?usp=sharing"",""งบพรบ!CC25"")"),3000)</f>
        <v>3000</v>
      </c>
      <c r="G25" s="176">
        <f ca="1">IFERROR(__xludf.DUMMYFUNCTION("IMPORTRANGE(""https://docs.google.com/spreadsheets/d/1-uDff_7J0KD5mKrp0Vvzr7lt3OU09vwQwhkpOPPYv2Y/edit?usp=sharing"",""งบพรบ!CD25"")"),0)</f>
        <v>0</v>
      </c>
      <c r="H25" s="176">
        <f ca="1">IFERROR(__xludf.DUMMYFUNCTION("IMPORTRANGE(""https://docs.google.com/spreadsheets/d/1-uDff_7J0KD5mKrp0Vvzr7lt3OU09vwQwhkpOPPYv2Y/edit?usp=sharing"",""งบพรบ!CF25"")"),0)</f>
        <v>0</v>
      </c>
      <c r="I25" s="176">
        <f ca="1">IFERROR(__xludf.DUMMYFUNCTION("IMPORTRANGE(""https://docs.google.com/spreadsheets/d/1-uDff_7J0KD5mKrp0Vvzr7lt3OU09vwQwhkpOPPYv2Y/edit?usp=sharing"",""งบพรบ!CG25"")"),0)</f>
        <v>0</v>
      </c>
      <c r="J25" s="176">
        <f t="shared" ca="1" si="17"/>
        <v>0</v>
      </c>
      <c r="K25" s="181">
        <f t="shared" ca="1" si="18"/>
        <v>0</v>
      </c>
      <c r="L25" s="176">
        <f ca="1">IFERROR(__xludf.DUMMYFUNCTION("IMPORTRANGE(""https://docs.google.com/spreadsheets/d/1-uDff_7J0KD5mKrp0Vvzr7lt3OU09vwQwhkpOPPYv2Y/edit?usp=sharing"",""งบพรบ!CH25"")"),0)</f>
        <v>0</v>
      </c>
      <c r="M25" s="179">
        <f t="shared" ca="1" si="19"/>
        <v>0</v>
      </c>
      <c r="N25" s="179">
        <f t="shared" ca="1" si="20"/>
        <v>0</v>
      </c>
      <c r="O25" s="180">
        <f ca="1">IFERROR(__xludf.DUMMYFUNCTION("IMPORTRANGE(""https://docs.google.com/spreadsheets/d/1-uDff_7J0KD5mKrp0Vvzr7lt3OU09vwQwhkpOPPYv2Y/edit?usp=sharing"",""งบพรบ!CI25"")"),0)</f>
        <v>0</v>
      </c>
      <c r="P25" s="180">
        <f t="shared" ca="1" si="21"/>
        <v>0</v>
      </c>
      <c r="Q25" s="179">
        <f t="shared" ca="1" si="22"/>
        <v>0</v>
      </c>
      <c r="R25" s="92">
        <f ca="1">IFERROR(__xludf.DUMMYFUNCTION("IMPORTRANGE(""https://docs.google.com/spreadsheets/d/1dQrvX0vEcN7Gu0fnZ0B5S90AeR19zth4XlExFBeExMY/edit?usp=sharing"",""แม่ฮ่องสอน!I167"")"),10)</f>
        <v>10</v>
      </c>
      <c r="S25" s="92">
        <f ca="1">IFERROR(__xludf.DUMMYFUNCTION("IMPORTRANGE(""https://docs.google.com/spreadsheets/d/1dQrvX0vEcN7Gu0fnZ0B5S90AeR19zth4XlExFBeExMY/edit?usp=sharing"",""แม่ฮ่องสอน!J167"")"),0)</f>
        <v>0</v>
      </c>
      <c r="T25" s="93">
        <f t="shared" ca="1" si="24"/>
        <v>0</v>
      </c>
    </row>
    <row r="26" spans="1:20" ht="24" customHeight="1" x14ac:dyDescent="0.3">
      <c r="A26" s="84">
        <v>13</v>
      </c>
      <c r="B26" s="85" t="s">
        <v>48</v>
      </c>
      <c r="C26" s="174">
        <f t="shared" ca="1" si="15"/>
        <v>0</v>
      </c>
      <c r="D26" s="175">
        <f t="shared" ca="1" si="25"/>
        <v>0</v>
      </c>
      <c r="E26" s="176">
        <f ca="1">IFERROR(__xludf.DUMMYFUNCTION("IMPORTRANGE(""https://docs.google.com/spreadsheets/d/1-uDff_7J0KD5mKrp0Vvzr7lt3OU09vwQwhkpOPPYv2Y/edit?usp=sharing"",""งบพรบ!CB26"")"),0)</f>
        <v>0</v>
      </c>
      <c r="F26" s="176">
        <f ca="1">IFERROR(__xludf.DUMMYFUNCTION("IMPORTRANGE(""https://docs.google.com/spreadsheets/d/1-uDff_7J0KD5mKrp0Vvzr7lt3OU09vwQwhkpOPPYv2Y/edit?usp=sharing"",""งบพรบ!CC26"")"),0)</f>
        <v>0</v>
      </c>
      <c r="G26" s="176">
        <f ca="1">IFERROR(__xludf.DUMMYFUNCTION("IMPORTRANGE(""https://docs.google.com/spreadsheets/d/1-uDff_7J0KD5mKrp0Vvzr7lt3OU09vwQwhkpOPPYv2Y/edit?usp=sharing"",""งบพรบ!CD26"")"),0)</f>
        <v>0</v>
      </c>
      <c r="H26" s="176">
        <f ca="1">IFERROR(__xludf.DUMMYFUNCTION("IMPORTRANGE(""https://docs.google.com/spreadsheets/d/1-uDff_7J0KD5mKrp0Vvzr7lt3OU09vwQwhkpOPPYv2Y/edit?usp=sharing"",""งบพรบ!CF26"")"),0)</f>
        <v>0</v>
      </c>
      <c r="I26" s="176">
        <f ca="1">IFERROR(__xludf.DUMMYFUNCTION("IMPORTRANGE(""https://docs.google.com/spreadsheets/d/1-uDff_7J0KD5mKrp0Vvzr7lt3OU09vwQwhkpOPPYv2Y/edit?usp=sharing"",""งบพรบ!CG26"")"),0)</f>
        <v>0</v>
      </c>
      <c r="J26" s="176">
        <f t="shared" ca="1" si="17"/>
        <v>0</v>
      </c>
      <c r="K26" s="181">
        <f t="shared" ca="1" si="18"/>
        <v>0</v>
      </c>
      <c r="L26" s="176">
        <f ca="1">IFERROR(__xludf.DUMMYFUNCTION("IMPORTRANGE(""https://docs.google.com/spreadsheets/d/1-uDff_7J0KD5mKrp0Vvzr7lt3OU09vwQwhkpOPPYv2Y/edit?usp=sharing"",""งบพรบ!CH26"")"),0)</f>
        <v>0</v>
      </c>
      <c r="M26" s="179">
        <f t="shared" ca="1" si="19"/>
        <v>0</v>
      </c>
      <c r="N26" s="179">
        <f t="shared" ca="1" si="20"/>
        <v>0</v>
      </c>
      <c r="O26" s="180">
        <f ca="1">IFERROR(__xludf.DUMMYFUNCTION("IMPORTRANGE(""https://docs.google.com/spreadsheets/d/1-uDff_7J0KD5mKrp0Vvzr7lt3OU09vwQwhkpOPPYv2Y/edit?usp=sharing"",""งบพรบ!CI26"")"),0)</f>
        <v>0</v>
      </c>
      <c r="P26" s="180">
        <f t="shared" ca="1" si="21"/>
        <v>0</v>
      </c>
      <c r="Q26" s="179">
        <f t="shared" ca="1" si="22"/>
        <v>0</v>
      </c>
      <c r="R26" s="92">
        <f ca="1">IFERROR(__xludf.DUMMYFUNCTION("IMPORTRANGE(""https://docs.google.com/spreadsheets/d/1DY4XTNNwjluuxqdfdn6qvOSlMRrZqUtmYcZR0ttFiG4/edit?usp=sharing"",""ลำปาง!I167"")"),0)</f>
        <v>0</v>
      </c>
      <c r="S26" s="92">
        <f ca="1">IFERROR(__xludf.DUMMYFUNCTION("IMPORTRANGE(""https://docs.google.com/spreadsheets/d/1DY4XTNNwjluuxqdfdn6qvOSlMRrZqUtmYcZR0ttFiG4/edit?usp=sharing"",""ลำปาง!J167"")"),0)</f>
        <v>0</v>
      </c>
      <c r="T26" s="93">
        <f t="shared" ca="1" si="24"/>
        <v>0</v>
      </c>
    </row>
    <row r="27" spans="1:20" ht="24" customHeight="1" x14ac:dyDescent="0.3">
      <c r="A27" s="84">
        <v>14</v>
      </c>
      <c r="B27" s="85" t="s">
        <v>49</v>
      </c>
      <c r="C27" s="174">
        <f t="shared" ca="1" si="15"/>
        <v>3000</v>
      </c>
      <c r="D27" s="175">
        <f t="shared" ca="1" si="25"/>
        <v>3000</v>
      </c>
      <c r="E27" s="176">
        <f ca="1">IFERROR(__xludf.DUMMYFUNCTION("IMPORTRANGE(""https://docs.google.com/spreadsheets/d/1-uDff_7J0KD5mKrp0Vvzr7lt3OU09vwQwhkpOPPYv2Y/edit?usp=sharing"",""งบพรบ!CB27"")"),0)</f>
        <v>0</v>
      </c>
      <c r="F27" s="176">
        <f ca="1">IFERROR(__xludf.DUMMYFUNCTION("IMPORTRANGE(""https://docs.google.com/spreadsheets/d/1-uDff_7J0KD5mKrp0Vvzr7lt3OU09vwQwhkpOPPYv2Y/edit?usp=sharing"",""งบพรบ!CC27"")"),3000)</f>
        <v>3000</v>
      </c>
      <c r="G27" s="176">
        <f ca="1">IFERROR(__xludf.DUMMYFUNCTION("IMPORTRANGE(""https://docs.google.com/spreadsheets/d/1-uDff_7J0KD5mKrp0Vvzr7lt3OU09vwQwhkpOPPYv2Y/edit?usp=sharing"",""งบพรบ!CD27"")"),0)</f>
        <v>0</v>
      </c>
      <c r="H27" s="176">
        <f ca="1">IFERROR(__xludf.DUMMYFUNCTION("IMPORTRANGE(""https://docs.google.com/spreadsheets/d/1-uDff_7J0KD5mKrp0Vvzr7lt3OU09vwQwhkpOPPYv2Y/edit?usp=sharing"",""งบพรบ!CF27"")"),0)</f>
        <v>0</v>
      </c>
      <c r="I27" s="176">
        <f ca="1">IFERROR(__xludf.DUMMYFUNCTION("IMPORTRANGE(""https://docs.google.com/spreadsheets/d/1-uDff_7J0KD5mKrp0Vvzr7lt3OU09vwQwhkpOPPYv2Y/edit?usp=sharing"",""งบพรบ!CG27"")"),0)</f>
        <v>0</v>
      </c>
      <c r="J27" s="176">
        <f t="shared" ca="1" si="17"/>
        <v>0</v>
      </c>
      <c r="K27" s="181">
        <f t="shared" ca="1" si="18"/>
        <v>0</v>
      </c>
      <c r="L27" s="176">
        <f ca="1">IFERROR(__xludf.DUMMYFUNCTION("IMPORTRANGE(""https://docs.google.com/spreadsheets/d/1-uDff_7J0KD5mKrp0Vvzr7lt3OU09vwQwhkpOPPYv2Y/edit?usp=sharing"",""งบพรบ!CH27"")"),0)</f>
        <v>0</v>
      </c>
      <c r="M27" s="179">
        <f t="shared" ca="1" si="19"/>
        <v>0</v>
      </c>
      <c r="N27" s="179">
        <f t="shared" ca="1" si="20"/>
        <v>0</v>
      </c>
      <c r="O27" s="180">
        <f ca="1">IFERROR(__xludf.DUMMYFUNCTION("IMPORTRANGE(""https://docs.google.com/spreadsheets/d/1-uDff_7J0KD5mKrp0Vvzr7lt3OU09vwQwhkpOPPYv2Y/edit?usp=sharing"",""งบพรบ!CI27"")"),0)</f>
        <v>0</v>
      </c>
      <c r="P27" s="180">
        <f t="shared" ca="1" si="21"/>
        <v>0</v>
      </c>
      <c r="Q27" s="179">
        <f t="shared" ca="1" si="22"/>
        <v>0</v>
      </c>
      <c r="R27" s="92">
        <f ca="1">IFERROR(__xludf.DUMMYFUNCTION("IMPORTRANGE(""https://docs.google.com/spreadsheets/d/1ICwG78r0OFT8biBlxnBF8r7she7gNSzOvJ958PWT09c/edit?usp=sharing"",""ลำพูน!I167"")"),10)</f>
        <v>10</v>
      </c>
      <c r="S27" s="92">
        <f ca="1">IFERROR(__xludf.DUMMYFUNCTION("IMPORTRANGE(""https://docs.google.com/spreadsheets/d/1ICwG78r0OFT8biBlxnBF8r7she7gNSzOvJ958PWT09c/edit?usp=sharing"",""ลำพูน!J167"")"),0)</f>
        <v>0</v>
      </c>
      <c r="T27" s="93">
        <f t="shared" ca="1" si="24"/>
        <v>0</v>
      </c>
    </row>
    <row r="28" spans="1:20" ht="24" customHeight="1" x14ac:dyDescent="0.3">
      <c r="A28" s="84">
        <v>15</v>
      </c>
      <c r="B28" s="85" t="s">
        <v>50</v>
      </c>
      <c r="C28" s="174">
        <f t="shared" ca="1" si="15"/>
        <v>6000</v>
      </c>
      <c r="D28" s="175">
        <f t="shared" ca="1" si="25"/>
        <v>6000</v>
      </c>
      <c r="E28" s="176">
        <f ca="1">IFERROR(__xludf.DUMMYFUNCTION("IMPORTRANGE(""https://docs.google.com/spreadsheets/d/1-uDff_7J0KD5mKrp0Vvzr7lt3OU09vwQwhkpOPPYv2Y/edit?usp=sharing"",""งบพรบ!CB28"")"),0)</f>
        <v>0</v>
      </c>
      <c r="F28" s="176">
        <f ca="1">IFERROR(__xludf.DUMMYFUNCTION("IMPORTRANGE(""https://docs.google.com/spreadsheets/d/1-uDff_7J0KD5mKrp0Vvzr7lt3OU09vwQwhkpOPPYv2Y/edit?usp=sharing"",""งบพรบ!CC28"")"),6000)</f>
        <v>6000</v>
      </c>
      <c r="G28" s="176">
        <f ca="1">IFERROR(__xludf.DUMMYFUNCTION("IMPORTRANGE(""https://docs.google.com/spreadsheets/d/1-uDff_7J0KD5mKrp0Vvzr7lt3OU09vwQwhkpOPPYv2Y/edit?usp=sharing"",""งบพรบ!CD28"")"),0)</f>
        <v>0</v>
      </c>
      <c r="H28" s="176">
        <f ca="1">IFERROR(__xludf.DUMMYFUNCTION("IMPORTRANGE(""https://docs.google.com/spreadsheets/d/1-uDff_7J0KD5mKrp0Vvzr7lt3OU09vwQwhkpOPPYv2Y/edit?usp=sharing"",""งบพรบ!CF28"")"),0)</f>
        <v>0</v>
      </c>
      <c r="I28" s="176">
        <f ca="1">IFERROR(__xludf.DUMMYFUNCTION("IMPORTRANGE(""https://docs.google.com/spreadsheets/d/1-uDff_7J0KD5mKrp0Vvzr7lt3OU09vwQwhkpOPPYv2Y/edit?usp=sharing"",""งบพรบ!CG28"")"),0)</f>
        <v>0</v>
      </c>
      <c r="J28" s="176">
        <f t="shared" ca="1" si="17"/>
        <v>0</v>
      </c>
      <c r="K28" s="181">
        <f t="shared" ca="1" si="18"/>
        <v>0</v>
      </c>
      <c r="L28" s="176">
        <f ca="1">IFERROR(__xludf.DUMMYFUNCTION("IMPORTRANGE(""https://docs.google.com/spreadsheets/d/1-uDff_7J0KD5mKrp0Vvzr7lt3OU09vwQwhkpOPPYv2Y/edit?usp=sharing"",""งบพรบ!CH28"")"),0)</f>
        <v>0</v>
      </c>
      <c r="M28" s="179">
        <f t="shared" ca="1" si="19"/>
        <v>0</v>
      </c>
      <c r="N28" s="179">
        <f t="shared" ca="1" si="20"/>
        <v>0</v>
      </c>
      <c r="O28" s="180">
        <f ca="1">IFERROR(__xludf.DUMMYFUNCTION("IMPORTRANGE(""https://docs.google.com/spreadsheets/d/1-uDff_7J0KD5mKrp0Vvzr7lt3OU09vwQwhkpOPPYv2Y/edit?usp=sharing"",""งบพรบ!CI28"")"),0)</f>
        <v>0</v>
      </c>
      <c r="P28" s="180">
        <f t="shared" ca="1" si="21"/>
        <v>0</v>
      </c>
      <c r="Q28" s="179">
        <f t="shared" ca="1" si="22"/>
        <v>0</v>
      </c>
      <c r="R28" s="92">
        <f ca="1">IFERROR(__xludf.DUMMYFUNCTION("IMPORTRANGE(""https://docs.google.com/spreadsheets/d/1B0f2xJpZUC6Z0xXnqKlZtEPzsf6L84eP1r1Q15seqRM/edit?usp=sharing"",""สุโขทัย!I167"")"),20)</f>
        <v>20</v>
      </c>
      <c r="S28" s="92">
        <f ca="1">IFERROR(__xludf.DUMMYFUNCTION("IMPORTRANGE(""https://docs.google.com/spreadsheets/d/1B0f2xJpZUC6Z0xXnqKlZtEPzsf6L84eP1r1Q15seqRM/edit?usp=sharing"",""สุโขทัย!J167"")"),0)</f>
        <v>0</v>
      </c>
      <c r="T28" s="93">
        <f t="shared" ca="1" si="24"/>
        <v>0</v>
      </c>
    </row>
    <row r="29" spans="1:20" ht="24" customHeight="1" x14ac:dyDescent="0.3">
      <c r="A29" s="84">
        <v>16</v>
      </c>
      <c r="B29" s="85" t="s">
        <v>51</v>
      </c>
      <c r="C29" s="174">
        <f t="shared" ca="1" si="15"/>
        <v>0</v>
      </c>
      <c r="D29" s="175">
        <f t="shared" ca="1" si="25"/>
        <v>0</v>
      </c>
      <c r="E29" s="176">
        <f ca="1">IFERROR(__xludf.DUMMYFUNCTION("IMPORTRANGE(""https://docs.google.com/spreadsheets/d/1-uDff_7J0KD5mKrp0Vvzr7lt3OU09vwQwhkpOPPYv2Y/edit?usp=sharing"",""งบพรบ!CB29"")"),0)</f>
        <v>0</v>
      </c>
      <c r="F29" s="176">
        <f ca="1">IFERROR(__xludf.DUMMYFUNCTION("IMPORTRANGE(""https://docs.google.com/spreadsheets/d/1-uDff_7J0KD5mKrp0Vvzr7lt3OU09vwQwhkpOPPYv2Y/edit?usp=sharing"",""งบพรบ!CC29"")"),0)</f>
        <v>0</v>
      </c>
      <c r="G29" s="176">
        <f ca="1">IFERROR(__xludf.DUMMYFUNCTION("IMPORTRANGE(""https://docs.google.com/spreadsheets/d/1-uDff_7J0KD5mKrp0Vvzr7lt3OU09vwQwhkpOPPYv2Y/edit?usp=sharing"",""งบพรบ!CD29"")"),0)</f>
        <v>0</v>
      </c>
      <c r="H29" s="176">
        <f ca="1">IFERROR(__xludf.DUMMYFUNCTION("IMPORTRANGE(""https://docs.google.com/spreadsheets/d/1-uDff_7J0KD5mKrp0Vvzr7lt3OU09vwQwhkpOPPYv2Y/edit?usp=sharing"",""งบพรบ!CF29"")"),0)</f>
        <v>0</v>
      </c>
      <c r="I29" s="176">
        <f ca="1">IFERROR(__xludf.DUMMYFUNCTION("IMPORTRANGE(""https://docs.google.com/spreadsheets/d/1-uDff_7J0KD5mKrp0Vvzr7lt3OU09vwQwhkpOPPYv2Y/edit?usp=sharing"",""งบพรบ!CG29"")"),0)</f>
        <v>0</v>
      </c>
      <c r="J29" s="176">
        <f t="shared" ca="1" si="17"/>
        <v>0</v>
      </c>
      <c r="K29" s="181">
        <f t="shared" ca="1" si="18"/>
        <v>0</v>
      </c>
      <c r="L29" s="176">
        <f ca="1">IFERROR(__xludf.DUMMYFUNCTION("IMPORTRANGE(""https://docs.google.com/spreadsheets/d/1-uDff_7J0KD5mKrp0Vvzr7lt3OU09vwQwhkpOPPYv2Y/edit?usp=sharing"",""งบพรบ!CH29"")"),0)</f>
        <v>0</v>
      </c>
      <c r="M29" s="179">
        <f t="shared" ca="1" si="19"/>
        <v>0</v>
      </c>
      <c r="N29" s="179">
        <f t="shared" ca="1" si="20"/>
        <v>0</v>
      </c>
      <c r="O29" s="180">
        <f ca="1">IFERROR(__xludf.DUMMYFUNCTION("IMPORTRANGE(""https://docs.google.com/spreadsheets/d/1-uDff_7J0KD5mKrp0Vvzr7lt3OU09vwQwhkpOPPYv2Y/edit?usp=sharing"",""งบพรบ!CI29"")"),0)</f>
        <v>0</v>
      </c>
      <c r="P29" s="180">
        <f t="shared" ca="1" si="21"/>
        <v>0</v>
      </c>
      <c r="Q29" s="179">
        <f t="shared" ca="1" si="22"/>
        <v>0</v>
      </c>
      <c r="R29" s="92">
        <f ca="1">IFERROR(__xludf.DUMMYFUNCTION("IMPORTRANGE(""https://docs.google.com/spreadsheets/d/1v0b9pFQCsKUVExMei7AgY2yQkdeNQvtOssygGsXbiKo/edit?usp=sharing"",""อุตรดิตถ์!I167"")"),0)</f>
        <v>0</v>
      </c>
      <c r="S29" s="92">
        <f ca="1">IFERROR(__xludf.DUMMYFUNCTION("IMPORTRANGE(""https://docs.google.com/spreadsheets/d/1v0b9pFQCsKUVExMei7AgY2yQkdeNQvtOssygGsXbiKo/edit?usp=sharing"",""อุตรดิตถ์!J167"")"),0)</f>
        <v>0</v>
      </c>
      <c r="T29" s="93">
        <f t="shared" ca="1" si="24"/>
        <v>0</v>
      </c>
    </row>
    <row r="30" spans="1:20" ht="24" customHeight="1" x14ac:dyDescent="0.3">
      <c r="A30" s="95">
        <v>17</v>
      </c>
      <c r="B30" s="96" t="s">
        <v>52</v>
      </c>
      <c r="C30" s="184">
        <f t="shared" ca="1" si="15"/>
        <v>3000</v>
      </c>
      <c r="D30" s="185">
        <f t="shared" ca="1" si="25"/>
        <v>3000</v>
      </c>
      <c r="E30" s="186">
        <f ca="1">IFERROR(__xludf.DUMMYFUNCTION("IMPORTRANGE(""https://docs.google.com/spreadsheets/d/1-uDff_7J0KD5mKrp0Vvzr7lt3OU09vwQwhkpOPPYv2Y/edit?usp=sharing"",""งบพรบ!CB30"")"),0)</f>
        <v>0</v>
      </c>
      <c r="F30" s="186">
        <f ca="1">IFERROR(__xludf.DUMMYFUNCTION("IMPORTRANGE(""https://docs.google.com/spreadsheets/d/1-uDff_7J0KD5mKrp0Vvzr7lt3OU09vwQwhkpOPPYv2Y/edit?usp=sharing"",""งบพรบ!CC30"")"),3000)</f>
        <v>3000</v>
      </c>
      <c r="G30" s="186">
        <f ca="1">IFERROR(__xludf.DUMMYFUNCTION("IMPORTRANGE(""https://docs.google.com/spreadsheets/d/1-uDff_7J0KD5mKrp0Vvzr7lt3OU09vwQwhkpOPPYv2Y/edit?usp=sharing"",""งบพรบ!CD30"")"),0)</f>
        <v>0</v>
      </c>
      <c r="H30" s="186">
        <f ca="1">IFERROR(__xludf.DUMMYFUNCTION("IMPORTRANGE(""https://docs.google.com/spreadsheets/d/1-uDff_7J0KD5mKrp0Vvzr7lt3OU09vwQwhkpOPPYv2Y/edit?usp=sharing"",""งบพรบ!CF30"")"),0)</f>
        <v>0</v>
      </c>
      <c r="I30" s="186">
        <f ca="1">IFERROR(__xludf.DUMMYFUNCTION("IMPORTRANGE(""https://docs.google.com/spreadsheets/d/1-uDff_7J0KD5mKrp0Vvzr7lt3OU09vwQwhkpOPPYv2Y/edit?usp=sharing"",""งบพรบ!CG30"")"),0)</f>
        <v>0</v>
      </c>
      <c r="J30" s="186">
        <f t="shared" ca="1" si="17"/>
        <v>0</v>
      </c>
      <c r="K30" s="187">
        <f t="shared" ca="1" si="18"/>
        <v>0</v>
      </c>
      <c r="L30" s="186">
        <f ca="1">IFERROR(__xludf.DUMMYFUNCTION("IMPORTRANGE(""https://docs.google.com/spreadsheets/d/1-uDff_7J0KD5mKrp0Vvzr7lt3OU09vwQwhkpOPPYv2Y/edit?usp=sharing"",""งบพรบ!CH30"")"),0)</f>
        <v>0</v>
      </c>
      <c r="M30" s="188">
        <f t="shared" ca="1" si="19"/>
        <v>0</v>
      </c>
      <c r="N30" s="188">
        <f t="shared" ca="1" si="20"/>
        <v>0</v>
      </c>
      <c r="O30" s="189">
        <f ca="1">IFERROR(__xludf.DUMMYFUNCTION("IMPORTRANGE(""https://docs.google.com/spreadsheets/d/1-uDff_7J0KD5mKrp0Vvzr7lt3OU09vwQwhkpOPPYv2Y/edit?usp=sharing"",""งบพรบ!CI30"")"),0)</f>
        <v>0</v>
      </c>
      <c r="P30" s="189">
        <f t="shared" ca="1" si="21"/>
        <v>0</v>
      </c>
      <c r="Q30" s="188">
        <f t="shared" ca="1" si="22"/>
        <v>0</v>
      </c>
      <c r="R30" s="103">
        <f ca="1">IFERROR(__xludf.DUMMYFUNCTION("IMPORTRANGE(""https://docs.google.com/spreadsheets/d/1UsNK1e-WWiCo2PvGqdNfdme4m17_Ezd3J69EeeiQPD0/edit?usp=sharing"",""อุทัยธานี!I167"")"),10)</f>
        <v>10</v>
      </c>
      <c r="S30" s="103">
        <f ca="1">IFERROR(__xludf.DUMMYFUNCTION("IMPORTRANGE(""https://docs.google.com/spreadsheets/d/1UsNK1e-WWiCo2PvGqdNfdme4m17_Ezd3J69EeeiQPD0/edit?usp=sharing"",""อุทัยธานี!J167"")"),0)</f>
        <v>0</v>
      </c>
      <c r="T30" s="104">
        <f t="shared" ca="1" si="24"/>
        <v>0</v>
      </c>
    </row>
    <row r="31" spans="1:20" ht="21" customHeight="1" x14ac:dyDescent="0.3">
      <c r="A31" s="395" t="s">
        <v>53</v>
      </c>
      <c r="B31" s="396"/>
      <c r="C31" s="154">
        <f t="shared" ca="1" si="15"/>
        <v>27000</v>
      </c>
      <c r="D31" s="154">
        <f t="shared" ref="D31:I31" ca="1" si="26">SUM(D32:D51)</f>
        <v>27000</v>
      </c>
      <c r="E31" s="154">
        <f t="shared" ca="1" si="26"/>
        <v>0</v>
      </c>
      <c r="F31" s="154">
        <f t="shared" ca="1" si="26"/>
        <v>27000</v>
      </c>
      <c r="G31" s="154">
        <f t="shared" ca="1" si="26"/>
        <v>0</v>
      </c>
      <c r="H31" s="154">
        <f t="shared" ca="1" si="26"/>
        <v>0</v>
      </c>
      <c r="I31" s="154">
        <f t="shared" ca="1" si="26"/>
        <v>0</v>
      </c>
      <c r="J31" s="154">
        <f t="shared" ca="1" si="17"/>
        <v>0</v>
      </c>
      <c r="K31" s="155">
        <f t="shared" ca="1" si="18"/>
        <v>0</v>
      </c>
      <c r="L31" s="154">
        <f ca="1">SUM(L32:L51)</f>
        <v>0</v>
      </c>
      <c r="M31" s="156">
        <f t="shared" ca="1" si="19"/>
        <v>0</v>
      </c>
      <c r="N31" s="156">
        <f t="shared" ca="1" si="20"/>
        <v>0</v>
      </c>
      <c r="O31" s="157">
        <f ca="1">SUM(O32:O51)</f>
        <v>0</v>
      </c>
      <c r="P31" s="157">
        <f t="shared" ca="1" si="21"/>
        <v>0</v>
      </c>
      <c r="Q31" s="156">
        <f t="shared" ca="1" si="22"/>
        <v>0</v>
      </c>
      <c r="R31" s="68">
        <f t="shared" ref="R31:S31" ca="1" si="27">SUM(R32:R51)</f>
        <v>90</v>
      </c>
      <c r="S31" s="68">
        <f t="shared" ca="1" si="27"/>
        <v>0</v>
      </c>
      <c r="T31" s="107">
        <f t="shared" ca="1" si="24"/>
        <v>0</v>
      </c>
    </row>
    <row r="32" spans="1:20" ht="21" customHeight="1" x14ac:dyDescent="0.3">
      <c r="A32" s="74">
        <v>1</v>
      </c>
      <c r="B32" s="75" t="s">
        <v>54</v>
      </c>
      <c r="C32" s="174">
        <f t="shared" ca="1" si="15"/>
        <v>3000</v>
      </c>
      <c r="D32" s="175">
        <f t="shared" ref="D32:D51" ca="1" si="28">+E32+F32</f>
        <v>3000</v>
      </c>
      <c r="E32" s="176">
        <f ca="1">IFERROR(__xludf.DUMMYFUNCTION("IMPORTRANGE(""https://docs.google.com/spreadsheets/d/1-uDff_7J0KD5mKrp0Vvzr7lt3OU09vwQwhkpOPPYv2Y/edit?usp=sharing"",""งบพรบ!CB32"")"),0)</f>
        <v>0</v>
      </c>
      <c r="F32" s="176">
        <f ca="1">IFERROR(__xludf.DUMMYFUNCTION("IMPORTRANGE(""https://docs.google.com/spreadsheets/d/1-uDff_7J0KD5mKrp0Vvzr7lt3OU09vwQwhkpOPPYv2Y/edit?usp=sharing"",""งบพรบ!CC32"")"),3000)</f>
        <v>3000</v>
      </c>
      <c r="G32" s="177">
        <f ca="1">IFERROR(__xludf.DUMMYFUNCTION("IMPORTRANGE(""https://docs.google.com/spreadsheets/d/1-uDff_7J0KD5mKrp0Vvzr7lt3OU09vwQwhkpOPPYv2Y/edit?usp=sharing"",""งบพรบ!CD32"")"),0)</f>
        <v>0</v>
      </c>
      <c r="H32" s="177">
        <f ca="1">IFERROR(__xludf.DUMMYFUNCTION("IMPORTRANGE(""https://docs.google.com/spreadsheets/d/1-uDff_7J0KD5mKrp0Vvzr7lt3OU09vwQwhkpOPPYv2Y/edit?usp=sharing"",""งบพรบ!CF32"")"),0)</f>
        <v>0</v>
      </c>
      <c r="I32" s="177">
        <f ca="1">IFERROR(__xludf.DUMMYFUNCTION("IMPORTRANGE(""https://docs.google.com/spreadsheets/d/1-uDff_7J0KD5mKrp0Vvzr7lt3OU09vwQwhkpOPPYv2Y/edit?usp=sharing"",""งบพรบ!CG32"")"),0)</f>
        <v>0</v>
      </c>
      <c r="J32" s="177">
        <f t="shared" ca="1" si="17"/>
        <v>0</v>
      </c>
      <c r="K32" s="178">
        <f t="shared" ca="1" si="18"/>
        <v>0</v>
      </c>
      <c r="L32" s="177">
        <f ca="1">IFERROR(__xludf.DUMMYFUNCTION("IMPORTRANGE(""https://docs.google.com/spreadsheets/d/1-uDff_7J0KD5mKrp0Vvzr7lt3OU09vwQwhkpOPPYv2Y/edit?usp=sharing"",""งบพรบ!CH32"")"),0)</f>
        <v>0</v>
      </c>
      <c r="M32" s="179">
        <f t="shared" ca="1" si="19"/>
        <v>0</v>
      </c>
      <c r="N32" s="179">
        <f t="shared" ca="1" si="20"/>
        <v>0</v>
      </c>
      <c r="O32" s="180">
        <f ca="1">IFERROR(__xludf.DUMMYFUNCTION("IMPORTRANGE(""https://docs.google.com/spreadsheets/d/1-uDff_7J0KD5mKrp0Vvzr7lt3OU09vwQwhkpOPPYv2Y/edit?usp=sharing"",""งบพรบ!CI32"")"),0)</f>
        <v>0</v>
      </c>
      <c r="P32" s="180">
        <f t="shared" ca="1" si="21"/>
        <v>0</v>
      </c>
      <c r="Q32" s="179">
        <f t="shared" ca="1" si="22"/>
        <v>0</v>
      </c>
      <c r="R32" s="79">
        <f ca="1">IFERROR(__xludf.DUMMYFUNCTION("IMPORTRANGE(""https://docs.google.com/spreadsheets/d/1yhBcrRPreicbMKl9Bu_Snb2-OcQAF62RKfhTLhJ2eAA/edit?usp=sharing"",""กาฬสินธุ์!I167"")"),10)</f>
        <v>10</v>
      </c>
      <c r="S32" s="79">
        <f ca="1">IFERROR(__xludf.DUMMYFUNCTION("IMPORTRANGE(""https://docs.google.com/spreadsheets/d/1yhBcrRPreicbMKl9Bu_Snb2-OcQAF62RKfhTLhJ2eAA/edit?usp=sharing"",""กาฬสินธุ์!J167"")"),0)</f>
        <v>0</v>
      </c>
      <c r="T32" s="83">
        <f t="shared" ca="1" si="24"/>
        <v>0</v>
      </c>
    </row>
    <row r="33" spans="1:20" ht="21" customHeight="1" x14ac:dyDescent="0.3">
      <c r="A33" s="84">
        <v>2</v>
      </c>
      <c r="B33" s="85" t="s">
        <v>55</v>
      </c>
      <c r="C33" s="174">
        <f t="shared" ca="1" si="15"/>
        <v>0</v>
      </c>
      <c r="D33" s="175">
        <f t="shared" ca="1" si="28"/>
        <v>0</v>
      </c>
      <c r="E33" s="176">
        <f ca="1">IFERROR(__xludf.DUMMYFUNCTION("IMPORTRANGE(""https://docs.google.com/spreadsheets/d/1-uDff_7J0KD5mKrp0Vvzr7lt3OU09vwQwhkpOPPYv2Y/edit?usp=sharing"",""งบพรบ!CB33"")"),0)</f>
        <v>0</v>
      </c>
      <c r="F33" s="176">
        <f ca="1">IFERROR(__xludf.DUMMYFUNCTION("IMPORTRANGE(""https://docs.google.com/spreadsheets/d/1-uDff_7J0KD5mKrp0Vvzr7lt3OU09vwQwhkpOPPYv2Y/edit?usp=sharing"",""งบพรบ!CC33"")"),0)</f>
        <v>0</v>
      </c>
      <c r="G33" s="176">
        <f ca="1">IFERROR(__xludf.DUMMYFUNCTION("IMPORTRANGE(""https://docs.google.com/spreadsheets/d/1-uDff_7J0KD5mKrp0Vvzr7lt3OU09vwQwhkpOPPYv2Y/edit?usp=sharing"",""งบพรบ!CD33"")"),0)</f>
        <v>0</v>
      </c>
      <c r="H33" s="176">
        <f ca="1">IFERROR(__xludf.DUMMYFUNCTION("IMPORTRANGE(""https://docs.google.com/spreadsheets/d/1-uDff_7J0KD5mKrp0Vvzr7lt3OU09vwQwhkpOPPYv2Y/edit?usp=sharing"",""งบพรบ!CF33"")"),0)</f>
        <v>0</v>
      </c>
      <c r="I33" s="176">
        <f ca="1">IFERROR(__xludf.DUMMYFUNCTION("IMPORTRANGE(""https://docs.google.com/spreadsheets/d/1-uDff_7J0KD5mKrp0Vvzr7lt3OU09vwQwhkpOPPYv2Y/edit?usp=sharing"",""งบพรบ!CG33"")"),0)</f>
        <v>0</v>
      </c>
      <c r="J33" s="176">
        <f t="shared" ca="1" si="17"/>
        <v>0</v>
      </c>
      <c r="K33" s="181">
        <f t="shared" ca="1" si="18"/>
        <v>0</v>
      </c>
      <c r="L33" s="176">
        <f ca="1">IFERROR(__xludf.DUMMYFUNCTION("IMPORTRANGE(""https://docs.google.com/spreadsheets/d/1-uDff_7J0KD5mKrp0Vvzr7lt3OU09vwQwhkpOPPYv2Y/edit?usp=sharing"",""งบพรบ!CH33"")"),0)</f>
        <v>0</v>
      </c>
      <c r="M33" s="179">
        <f t="shared" ca="1" si="19"/>
        <v>0</v>
      </c>
      <c r="N33" s="179">
        <f t="shared" ca="1" si="20"/>
        <v>0</v>
      </c>
      <c r="O33" s="180">
        <f ca="1">IFERROR(__xludf.DUMMYFUNCTION("IMPORTRANGE(""https://docs.google.com/spreadsheets/d/1-uDff_7J0KD5mKrp0Vvzr7lt3OU09vwQwhkpOPPYv2Y/edit?usp=sharing"",""งบพรบ!CI33"")"),0)</f>
        <v>0</v>
      </c>
      <c r="P33" s="180">
        <f t="shared" ca="1" si="21"/>
        <v>0</v>
      </c>
      <c r="Q33" s="179">
        <f t="shared" ca="1" si="22"/>
        <v>0</v>
      </c>
      <c r="R33" s="92">
        <f ca="1">IFERROR(__xludf.DUMMYFUNCTION("IMPORTRANGE(""https://docs.google.com/spreadsheets/d/1aHkj4IaQMThhwWwevcOymEh837vdxeC_PycurhTbGFA/edit?usp=sharing"",""ขอนแก่น!I167"")"),0)</f>
        <v>0</v>
      </c>
      <c r="S33" s="92">
        <f ca="1">IFERROR(__xludf.DUMMYFUNCTION("IMPORTRANGE(""https://docs.google.com/spreadsheets/d/1aHkj4IaQMThhwWwevcOymEh837vdxeC_PycurhTbGFA/edit?usp=sharing"",""ขอนแก่น!J167"")"),0)</f>
        <v>0</v>
      </c>
      <c r="T33" s="93">
        <f t="shared" ca="1" si="24"/>
        <v>0</v>
      </c>
    </row>
    <row r="34" spans="1:20" ht="21" customHeight="1" x14ac:dyDescent="0.3">
      <c r="A34" s="84">
        <v>3</v>
      </c>
      <c r="B34" s="85" t="s">
        <v>56</v>
      </c>
      <c r="C34" s="174">
        <f t="shared" ca="1" si="15"/>
        <v>0</v>
      </c>
      <c r="D34" s="175">
        <f t="shared" ca="1" si="28"/>
        <v>0</v>
      </c>
      <c r="E34" s="176">
        <f ca="1">IFERROR(__xludf.DUMMYFUNCTION("IMPORTRANGE(""https://docs.google.com/spreadsheets/d/1-uDff_7J0KD5mKrp0Vvzr7lt3OU09vwQwhkpOPPYv2Y/edit?usp=sharing"",""งบพรบ!CB34"")"),0)</f>
        <v>0</v>
      </c>
      <c r="F34" s="176">
        <f ca="1">IFERROR(__xludf.DUMMYFUNCTION("IMPORTRANGE(""https://docs.google.com/spreadsheets/d/1-uDff_7J0KD5mKrp0Vvzr7lt3OU09vwQwhkpOPPYv2Y/edit?usp=sharing"",""งบพรบ!CC34"")"),0)</f>
        <v>0</v>
      </c>
      <c r="G34" s="176">
        <f ca="1">IFERROR(__xludf.DUMMYFUNCTION("IMPORTRANGE(""https://docs.google.com/spreadsheets/d/1-uDff_7J0KD5mKrp0Vvzr7lt3OU09vwQwhkpOPPYv2Y/edit?usp=sharing"",""งบพรบ!CD34"")"),0)</f>
        <v>0</v>
      </c>
      <c r="H34" s="176">
        <f ca="1">IFERROR(__xludf.DUMMYFUNCTION("IMPORTRANGE(""https://docs.google.com/spreadsheets/d/1-uDff_7J0KD5mKrp0Vvzr7lt3OU09vwQwhkpOPPYv2Y/edit?usp=sharing"",""งบพรบ!CF34"")"),0)</f>
        <v>0</v>
      </c>
      <c r="I34" s="176">
        <f ca="1">IFERROR(__xludf.DUMMYFUNCTION("IMPORTRANGE(""https://docs.google.com/spreadsheets/d/1-uDff_7J0KD5mKrp0Vvzr7lt3OU09vwQwhkpOPPYv2Y/edit?usp=sharing"",""งบพรบ!CG34"")"),0)</f>
        <v>0</v>
      </c>
      <c r="J34" s="176">
        <f t="shared" ca="1" si="17"/>
        <v>0</v>
      </c>
      <c r="K34" s="181">
        <f t="shared" ca="1" si="18"/>
        <v>0</v>
      </c>
      <c r="L34" s="176">
        <f ca="1">IFERROR(__xludf.DUMMYFUNCTION("IMPORTRANGE(""https://docs.google.com/spreadsheets/d/1-uDff_7J0KD5mKrp0Vvzr7lt3OU09vwQwhkpOPPYv2Y/edit?usp=sharing"",""งบพรบ!CH34"")"),0)</f>
        <v>0</v>
      </c>
      <c r="M34" s="179">
        <f t="shared" ca="1" si="19"/>
        <v>0</v>
      </c>
      <c r="N34" s="179">
        <f t="shared" ca="1" si="20"/>
        <v>0</v>
      </c>
      <c r="O34" s="180">
        <f ca="1">IFERROR(__xludf.DUMMYFUNCTION("IMPORTRANGE(""https://docs.google.com/spreadsheets/d/1-uDff_7J0KD5mKrp0Vvzr7lt3OU09vwQwhkpOPPYv2Y/edit?usp=sharing"",""งบพรบ!CI34"")"),0)</f>
        <v>0</v>
      </c>
      <c r="P34" s="180">
        <f t="shared" ca="1" si="21"/>
        <v>0</v>
      </c>
      <c r="Q34" s="179">
        <f t="shared" ca="1" si="22"/>
        <v>0</v>
      </c>
      <c r="R34" s="92">
        <f ca="1">IFERROR(__xludf.DUMMYFUNCTION("IMPORTRANGE(""https://docs.google.com/spreadsheets/d/1FvTu2DsIWUjP6WCWra38Bkj_oOl_sOMf14r5Fg5srxU/edit?usp=sharing"",""ชัยภูมิ!I167"")"),0)</f>
        <v>0</v>
      </c>
      <c r="S34" s="92">
        <f ca="1">IFERROR(__xludf.DUMMYFUNCTION("IMPORTRANGE(""https://docs.google.com/spreadsheets/d/1FvTu2DsIWUjP6WCWra38Bkj_oOl_sOMf14r5Fg5srxU/edit?usp=sharing"",""ชัยภูมิ!J167"")"),0)</f>
        <v>0</v>
      </c>
      <c r="T34" s="93">
        <f t="shared" ca="1" si="24"/>
        <v>0</v>
      </c>
    </row>
    <row r="35" spans="1:20" ht="21" customHeight="1" x14ac:dyDescent="0.3">
      <c r="A35" s="84">
        <v>4</v>
      </c>
      <c r="B35" s="85" t="s">
        <v>57</v>
      </c>
      <c r="C35" s="174">
        <f t="shared" ca="1" si="15"/>
        <v>0</v>
      </c>
      <c r="D35" s="175">
        <f t="shared" ca="1" si="28"/>
        <v>0</v>
      </c>
      <c r="E35" s="176">
        <f ca="1">IFERROR(__xludf.DUMMYFUNCTION("IMPORTRANGE(""https://docs.google.com/spreadsheets/d/1-uDff_7J0KD5mKrp0Vvzr7lt3OU09vwQwhkpOPPYv2Y/edit?usp=sharing"",""งบพรบ!CB35"")"),0)</f>
        <v>0</v>
      </c>
      <c r="F35" s="176">
        <f ca="1">IFERROR(__xludf.DUMMYFUNCTION("IMPORTRANGE(""https://docs.google.com/spreadsheets/d/1-uDff_7J0KD5mKrp0Vvzr7lt3OU09vwQwhkpOPPYv2Y/edit?usp=sharing"",""งบพรบ!CC35"")"),0)</f>
        <v>0</v>
      </c>
      <c r="G35" s="176">
        <f ca="1">IFERROR(__xludf.DUMMYFUNCTION("IMPORTRANGE(""https://docs.google.com/spreadsheets/d/1-uDff_7J0KD5mKrp0Vvzr7lt3OU09vwQwhkpOPPYv2Y/edit?usp=sharing"",""งบพรบ!CD35"")"),0)</f>
        <v>0</v>
      </c>
      <c r="H35" s="176">
        <f ca="1">IFERROR(__xludf.DUMMYFUNCTION("IMPORTRANGE(""https://docs.google.com/spreadsheets/d/1-uDff_7J0KD5mKrp0Vvzr7lt3OU09vwQwhkpOPPYv2Y/edit?usp=sharing"",""งบพรบ!CF35"")"),0)</f>
        <v>0</v>
      </c>
      <c r="I35" s="176">
        <f ca="1">IFERROR(__xludf.DUMMYFUNCTION("IMPORTRANGE(""https://docs.google.com/spreadsheets/d/1-uDff_7J0KD5mKrp0Vvzr7lt3OU09vwQwhkpOPPYv2Y/edit?usp=sharing"",""งบพรบ!CG35"")"),0)</f>
        <v>0</v>
      </c>
      <c r="J35" s="176">
        <f t="shared" ca="1" si="17"/>
        <v>0</v>
      </c>
      <c r="K35" s="181">
        <f t="shared" ca="1" si="18"/>
        <v>0</v>
      </c>
      <c r="L35" s="176">
        <f ca="1">IFERROR(__xludf.DUMMYFUNCTION("IMPORTRANGE(""https://docs.google.com/spreadsheets/d/1-uDff_7J0KD5mKrp0Vvzr7lt3OU09vwQwhkpOPPYv2Y/edit?usp=sharing"",""งบพรบ!CH35"")"),0)</f>
        <v>0</v>
      </c>
      <c r="M35" s="179">
        <f t="shared" ca="1" si="19"/>
        <v>0</v>
      </c>
      <c r="N35" s="179">
        <f t="shared" ca="1" si="20"/>
        <v>0</v>
      </c>
      <c r="O35" s="180">
        <f ca="1">IFERROR(__xludf.DUMMYFUNCTION("IMPORTRANGE(""https://docs.google.com/spreadsheets/d/1-uDff_7J0KD5mKrp0Vvzr7lt3OU09vwQwhkpOPPYv2Y/edit?usp=sharing"",""งบพรบ!CI35"")"),0)</f>
        <v>0</v>
      </c>
      <c r="P35" s="180">
        <f t="shared" ca="1" si="21"/>
        <v>0</v>
      </c>
      <c r="Q35" s="179">
        <f t="shared" ca="1" si="22"/>
        <v>0</v>
      </c>
      <c r="R35" s="92">
        <f ca="1">IFERROR(__xludf.DUMMYFUNCTION("IMPORTRANGE(""https://docs.google.com/spreadsheets/d/1XVB7oCJ3pr-vBUdflwPQ8Z2LlzhnCvZaaYjAfP-647E/edit?usp=sharing"",""นครพนม!I167"")"),0)</f>
        <v>0</v>
      </c>
      <c r="S35" s="92">
        <f ca="1">IFERROR(__xludf.DUMMYFUNCTION("IMPORTRANGE(""https://docs.google.com/spreadsheets/d/1XVB7oCJ3pr-vBUdflwPQ8Z2LlzhnCvZaaYjAfP-647E/edit?usp=sharing"",""นครพนม!J167"")"),0)</f>
        <v>0</v>
      </c>
      <c r="T35" s="93">
        <f t="shared" ca="1" si="24"/>
        <v>0</v>
      </c>
    </row>
    <row r="36" spans="1:20" ht="21" customHeight="1" x14ac:dyDescent="0.3">
      <c r="A36" s="84">
        <v>5</v>
      </c>
      <c r="B36" s="85" t="s">
        <v>58</v>
      </c>
      <c r="C36" s="174">
        <f t="shared" ca="1" si="15"/>
        <v>3000</v>
      </c>
      <c r="D36" s="175">
        <f t="shared" ca="1" si="28"/>
        <v>3000</v>
      </c>
      <c r="E36" s="176">
        <f ca="1">IFERROR(__xludf.DUMMYFUNCTION("IMPORTRANGE(""https://docs.google.com/spreadsheets/d/1-uDff_7J0KD5mKrp0Vvzr7lt3OU09vwQwhkpOPPYv2Y/edit?usp=sharing"",""งบพรบ!CB36"")"),0)</f>
        <v>0</v>
      </c>
      <c r="F36" s="176">
        <f ca="1">IFERROR(__xludf.DUMMYFUNCTION("IMPORTRANGE(""https://docs.google.com/spreadsheets/d/1-uDff_7J0KD5mKrp0Vvzr7lt3OU09vwQwhkpOPPYv2Y/edit?usp=sharing"",""งบพรบ!CC36"")"),3000)</f>
        <v>3000</v>
      </c>
      <c r="G36" s="176">
        <f ca="1">IFERROR(__xludf.DUMMYFUNCTION("IMPORTRANGE(""https://docs.google.com/spreadsheets/d/1-uDff_7J0KD5mKrp0Vvzr7lt3OU09vwQwhkpOPPYv2Y/edit?usp=sharing"",""งบพรบ!CD36"")"),0)</f>
        <v>0</v>
      </c>
      <c r="H36" s="176">
        <f ca="1">IFERROR(__xludf.DUMMYFUNCTION("IMPORTRANGE(""https://docs.google.com/spreadsheets/d/1-uDff_7J0KD5mKrp0Vvzr7lt3OU09vwQwhkpOPPYv2Y/edit?usp=sharing"",""งบพรบ!CF36"")"),0)</f>
        <v>0</v>
      </c>
      <c r="I36" s="176">
        <f ca="1">IFERROR(__xludf.DUMMYFUNCTION("IMPORTRANGE(""https://docs.google.com/spreadsheets/d/1-uDff_7J0KD5mKrp0Vvzr7lt3OU09vwQwhkpOPPYv2Y/edit?usp=sharing"",""งบพรบ!CG36"")"),0)</f>
        <v>0</v>
      </c>
      <c r="J36" s="176">
        <f t="shared" ca="1" si="17"/>
        <v>0</v>
      </c>
      <c r="K36" s="181">
        <f t="shared" ca="1" si="18"/>
        <v>0</v>
      </c>
      <c r="L36" s="176">
        <f ca="1">IFERROR(__xludf.DUMMYFUNCTION("IMPORTRANGE(""https://docs.google.com/spreadsheets/d/1-uDff_7J0KD5mKrp0Vvzr7lt3OU09vwQwhkpOPPYv2Y/edit?usp=sharing"",""งบพรบ!CH36"")"),0)</f>
        <v>0</v>
      </c>
      <c r="M36" s="179">
        <f t="shared" ca="1" si="19"/>
        <v>0</v>
      </c>
      <c r="N36" s="179">
        <f t="shared" ca="1" si="20"/>
        <v>0</v>
      </c>
      <c r="O36" s="180">
        <f ca="1">IFERROR(__xludf.DUMMYFUNCTION("IMPORTRANGE(""https://docs.google.com/spreadsheets/d/1-uDff_7J0KD5mKrp0Vvzr7lt3OU09vwQwhkpOPPYv2Y/edit?usp=sharing"",""งบพรบ!CI36"")"),0)</f>
        <v>0</v>
      </c>
      <c r="P36" s="180">
        <f t="shared" ca="1" si="21"/>
        <v>0</v>
      </c>
      <c r="Q36" s="179">
        <f t="shared" ca="1" si="22"/>
        <v>0</v>
      </c>
      <c r="R36" s="92">
        <f ca="1">IFERROR(__xludf.DUMMYFUNCTION("IMPORTRANGE(""https://docs.google.com/spreadsheets/d/1Mnpb-8PYAgn85W6KOTD40hc_Xc55CaLfHoGAbrZ8tls/edit?usp=sharing"",""นครราชสีมา!I167"")"),10)</f>
        <v>10</v>
      </c>
      <c r="S36" s="92">
        <f ca="1">IFERROR(__xludf.DUMMYFUNCTION("IMPORTRANGE(""https://docs.google.com/spreadsheets/d/1Mnpb-8PYAgn85W6KOTD40hc_Xc55CaLfHoGAbrZ8tls/edit?usp=sharing"",""นครราชสีมา!J167"")"),0)</f>
        <v>0</v>
      </c>
      <c r="T36" s="93">
        <f t="shared" ca="1" si="24"/>
        <v>0</v>
      </c>
    </row>
    <row r="37" spans="1:20" ht="21" customHeight="1" x14ac:dyDescent="0.3">
      <c r="A37" s="84">
        <v>6</v>
      </c>
      <c r="B37" s="85" t="s">
        <v>59</v>
      </c>
      <c r="C37" s="174">
        <f t="shared" ca="1" si="15"/>
        <v>3000</v>
      </c>
      <c r="D37" s="175">
        <f t="shared" ca="1" si="28"/>
        <v>3000</v>
      </c>
      <c r="E37" s="176">
        <f ca="1">IFERROR(__xludf.DUMMYFUNCTION("IMPORTRANGE(""https://docs.google.com/spreadsheets/d/1-uDff_7J0KD5mKrp0Vvzr7lt3OU09vwQwhkpOPPYv2Y/edit?usp=sharing"",""งบพรบ!CB37"")"),0)</f>
        <v>0</v>
      </c>
      <c r="F37" s="176">
        <f ca="1">IFERROR(__xludf.DUMMYFUNCTION("IMPORTRANGE(""https://docs.google.com/spreadsheets/d/1-uDff_7J0KD5mKrp0Vvzr7lt3OU09vwQwhkpOPPYv2Y/edit?usp=sharing"",""งบพรบ!CC37"")"),3000)</f>
        <v>3000</v>
      </c>
      <c r="G37" s="176">
        <f ca="1">IFERROR(__xludf.DUMMYFUNCTION("IMPORTRANGE(""https://docs.google.com/spreadsheets/d/1-uDff_7J0KD5mKrp0Vvzr7lt3OU09vwQwhkpOPPYv2Y/edit?usp=sharing"",""งบพรบ!CD37"")"),0)</f>
        <v>0</v>
      </c>
      <c r="H37" s="176">
        <f ca="1">IFERROR(__xludf.DUMMYFUNCTION("IMPORTRANGE(""https://docs.google.com/spreadsheets/d/1-uDff_7J0KD5mKrp0Vvzr7lt3OU09vwQwhkpOPPYv2Y/edit?usp=sharing"",""งบพรบ!CF37"")"),0)</f>
        <v>0</v>
      </c>
      <c r="I37" s="176">
        <f ca="1">IFERROR(__xludf.DUMMYFUNCTION("IMPORTRANGE(""https://docs.google.com/spreadsheets/d/1-uDff_7J0KD5mKrp0Vvzr7lt3OU09vwQwhkpOPPYv2Y/edit?usp=sharing"",""งบพรบ!CG37"")"),0)</f>
        <v>0</v>
      </c>
      <c r="J37" s="176">
        <f t="shared" ca="1" si="17"/>
        <v>0</v>
      </c>
      <c r="K37" s="181">
        <f t="shared" ca="1" si="18"/>
        <v>0</v>
      </c>
      <c r="L37" s="176">
        <f ca="1">IFERROR(__xludf.DUMMYFUNCTION("IMPORTRANGE(""https://docs.google.com/spreadsheets/d/1-uDff_7J0KD5mKrp0Vvzr7lt3OU09vwQwhkpOPPYv2Y/edit?usp=sharing"",""งบพรบ!CH37"")"),0)</f>
        <v>0</v>
      </c>
      <c r="M37" s="179">
        <f t="shared" ca="1" si="19"/>
        <v>0</v>
      </c>
      <c r="N37" s="179">
        <f t="shared" ca="1" si="20"/>
        <v>0</v>
      </c>
      <c r="O37" s="180">
        <f ca="1">IFERROR(__xludf.DUMMYFUNCTION("IMPORTRANGE(""https://docs.google.com/spreadsheets/d/1-uDff_7J0KD5mKrp0Vvzr7lt3OU09vwQwhkpOPPYv2Y/edit?usp=sharing"",""งบพรบ!CI37"")"),0)</f>
        <v>0</v>
      </c>
      <c r="P37" s="180">
        <f t="shared" ca="1" si="21"/>
        <v>0</v>
      </c>
      <c r="Q37" s="179">
        <f t="shared" ca="1" si="22"/>
        <v>0</v>
      </c>
      <c r="R37" s="92">
        <f ca="1">IFERROR(__xludf.DUMMYFUNCTION("IMPORTRANGE(""https://docs.google.com/spreadsheets/d/1xoDLGBv9CYbyosIhki0kTq6IpYNj-gpjxfobnaDiut0/edit?usp=sharing"",""บึงกาฬ!I167"")"),10)</f>
        <v>10</v>
      </c>
      <c r="S37" s="92">
        <f ca="1">IFERROR(__xludf.DUMMYFUNCTION("IMPORTRANGE(""https://docs.google.com/spreadsheets/d/1xoDLGBv9CYbyosIhki0kTq6IpYNj-gpjxfobnaDiut0/edit?usp=sharing"",""บึงกาฬ!J167"")"),0)</f>
        <v>0</v>
      </c>
      <c r="T37" s="93">
        <f t="shared" ca="1" si="24"/>
        <v>0</v>
      </c>
    </row>
    <row r="38" spans="1:20" ht="21" customHeight="1" x14ac:dyDescent="0.3">
      <c r="A38" s="84">
        <v>7</v>
      </c>
      <c r="B38" s="85" t="s">
        <v>60</v>
      </c>
      <c r="C38" s="174">
        <f t="shared" ca="1" si="15"/>
        <v>6000</v>
      </c>
      <c r="D38" s="175">
        <f t="shared" ca="1" si="28"/>
        <v>6000</v>
      </c>
      <c r="E38" s="176">
        <f ca="1">IFERROR(__xludf.DUMMYFUNCTION("IMPORTRANGE(""https://docs.google.com/spreadsheets/d/1-uDff_7J0KD5mKrp0Vvzr7lt3OU09vwQwhkpOPPYv2Y/edit?usp=sharing"",""งบพรบ!CB38"")"),0)</f>
        <v>0</v>
      </c>
      <c r="F38" s="176">
        <f ca="1">IFERROR(__xludf.DUMMYFUNCTION("IMPORTRANGE(""https://docs.google.com/spreadsheets/d/1-uDff_7J0KD5mKrp0Vvzr7lt3OU09vwQwhkpOPPYv2Y/edit?usp=sharing"",""งบพรบ!CC38"")"),6000)</f>
        <v>6000</v>
      </c>
      <c r="G38" s="176">
        <f ca="1">IFERROR(__xludf.DUMMYFUNCTION("IMPORTRANGE(""https://docs.google.com/spreadsheets/d/1-uDff_7J0KD5mKrp0Vvzr7lt3OU09vwQwhkpOPPYv2Y/edit?usp=sharing"",""งบพรบ!CD38"")"),0)</f>
        <v>0</v>
      </c>
      <c r="H38" s="176">
        <f ca="1">IFERROR(__xludf.DUMMYFUNCTION("IMPORTRANGE(""https://docs.google.com/spreadsheets/d/1-uDff_7J0KD5mKrp0Vvzr7lt3OU09vwQwhkpOPPYv2Y/edit?usp=sharing"",""งบพรบ!CF38"")"),0)</f>
        <v>0</v>
      </c>
      <c r="I38" s="176">
        <f ca="1">IFERROR(__xludf.DUMMYFUNCTION("IMPORTRANGE(""https://docs.google.com/spreadsheets/d/1-uDff_7J0KD5mKrp0Vvzr7lt3OU09vwQwhkpOPPYv2Y/edit?usp=sharing"",""งบพรบ!CG38"")"),0)</f>
        <v>0</v>
      </c>
      <c r="J38" s="176">
        <f t="shared" ca="1" si="17"/>
        <v>0</v>
      </c>
      <c r="K38" s="181">
        <f t="shared" ca="1" si="18"/>
        <v>0</v>
      </c>
      <c r="L38" s="176">
        <f ca="1">IFERROR(__xludf.DUMMYFUNCTION("IMPORTRANGE(""https://docs.google.com/spreadsheets/d/1-uDff_7J0KD5mKrp0Vvzr7lt3OU09vwQwhkpOPPYv2Y/edit?usp=sharing"",""งบพรบ!CH38"")"),0)</f>
        <v>0</v>
      </c>
      <c r="M38" s="179">
        <f t="shared" ca="1" si="19"/>
        <v>0</v>
      </c>
      <c r="N38" s="179">
        <f t="shared" ca="1" si="20"/>
        <v>0</v>
      </c>
      <c r="O38" s="180">
        <f ca="1">IFERROR(__xludf.DUMMYFUNCTION("IMPORTRANGE(""https://docs.google.com/spreadsheets/d/1-uDff_7J0KD5mKrp0Vvzr7lt3OU09vwQwhkpOPPYv2Y/edit?usp=sharing"",""งบพรบ!CI38"")"),0)</f>
        <v>0</v>
      </c>
      <c r="P38" s="180">
        <f t="shared" ca="1" si="21"/>
        <v>0</v>
      </c>
      <c r="Q38" s="179">
        <f t="shared" ca="1" si="22"/>
        <v>0</v>
      </c>
      <c r="R38" s="92">
        <f ca="1">IFERROR(__xludf.DUMMYFUNCTION("IMPORTRANGE(""https://docs.google.com/spreadsheets/d/1MMPq-JyI6DSgQETxuSiXkesP-P7JHuemnE6QJIa-Nlw/edit?usp=sharing"",""บุรีรัมย์!I167"")"),20)</f>
        <v>20</v>
      </c>
      <c r="S38" s="92">
        <f ca="1">IFERROR(__xludf.DUMMYFUNCTION("IMPORTRANGE(""https://docs.google.com/spreadsheets/d/1MMPq-JyI6DSgQETxuSiXkesP-P7JHuemnE6QJIa-Nlw/edit?usp=sharing"",""บุรีรัมย์!J167"")"),0)</f>
        <v>0</v>
      </c>
      <c r="T38" s="93">
        <f t="shared" ca="1" si="24"/>
        <v>0</v>
      </c>
    </row>
    <row r="39" spans="1:20" ht="21" customHeight="1" x14ac:dyDescent="0.3">
      <c r="A39" s="84">
        <v>8</v>
      </c>
      <c r="B39" s="85" t="s">
        <v>61</v>
      </c>
      <c r="C39" s="174">
        <f t="shared" ca="1" si="15"/>
        <v>0</v>
      </c>
      <c r="D39" s="175">
        <f t="shared" ca="1" si="28"/>
        <v>0</v>
      </c>
      <c r="E39" s="176">
        <f ca="1">IFERROR(__xludf.DUMMYFUNCTION("IMPORTRANGE(""https://docs.google.com/spreadsheets/d/1-uDff_7J0KD5mKrp0Vvzr7lt3OU09vwQwhkpOPPYv2Y/edit?usp=sharing"",""งบพรบ!CB39"")"),0)</f>
        <v>0</v>
      </c>
      <c r="F39" s="176">
        <f ca="1">IFERROR(__xludf.DUMMYFUNCTION("IMPORTRANGE(""https://docs.google.com/spreadsheets/d/1-uDff_7J0KD5mKrp0Vvzr7lt3OU09vwQwhkpOPPYv2Y/edit?usp=sharing"",""งบพรบ!CC39"")"),0)</f>
        <v>0</v>
      </c>
      <c r="G39" s="176">
        <f ca="1">IFERROR(__xludf.DUMMYFUNCTION("IMPORTRANGE(""https://docs.google.com/spreadsheets/d/1-uDff_7J0KD5mKrp0Vvzr7lt3OU09vwQwhkpOPPYv2Y/edit?usp=sharing"",""งบพรบ!CD39"")"),0)</f>
        <v>0</v>
      </c>
      <c r="H39" s="176">
        <f ca="1">IFERROR(__xludf.DUMMYFUNCTION("IMPORTRANGE(""https://docs.google.com/spreadsheets/d/1-uDff_7J0KD5mKrp0Vvzr7lt3OU09vwQwhkpOPPYv2Y/edit?usp=sharing"",""งบพรบ!CF39"")"),0)</f>
        <v>0</v>
      </c>
      <c r="I39" s="176">
        <f ca="1">IFERROR(__xludf.DUMMYFUNCTION("IMPORTRANGE(""https://docs.google.com/spreadsheets/d/1-uDff_7J0KD5mKrp0Vvzr7lt3OU09vwQwhkpOPPYv2Y/edit?usp=sharing"",""งบพรบ!CG39"")"),0)</f>
        <v>0</v>
      </c>
      <c r="J39" s="176">
        <f t="shared" ca="1" si="17"/>
        <v>0</v>
      </c>
      <c r="K39" s="181">
        <f t="shared" ca="1" si="18"/>
        <v>0</v>
      </c>
      <c r="L39" s="176">
        <f ca="1">IFERROR(__xludf.DUMMYFUNCTION("IMPORTRANGE(""https://docs.google.com/spreadsheets/d/1-uDff_7J0KD5mKrp0Vvzr7lt3OU09vwQwhkpOPPYv2Y/edit?usp=sharing"",""งบพรบ!CH39"")"),0)</f>
        <v>0</v>
      </c>
      <c r="M39" s="179">
        <f t="shared" ca="1" si="19"/>
        <v>0</v>
      </c>
      <c r="N39" s="179">
        <f t="shared" ca="1" si="20"/>
        <v>0</v>
      </c>
      <c r="O39" s="180">
        <f ca="1">IFERROR(__xludf.DUMMYFUNCTION("IMPORTRANGE(""https://docs.google.com/spreadsheets/d/1-uDff_7J0KD5mKrp0Vvzr7lt3OU09vwQwhkpOPPYv2Y/edit?usp=sharing"",""งบพรบ!CI39"")"),0)</f>
        <v>0</v>
      </c>
      <c r="P39" s="180">
        <f t="shared" ca="1" si="21"/>
        <v>0</v>
      </c>
      <c r="Q39" s="179">
        <f t="shared" ca="1" si="22"/>
        <v>0</v>
      </c>
      <c r="R39" s="92">
        <f ca="1">IFERROR(__xludf.DUMMYFUNCTION("IMPORTRANGE(""https://docs.google.com/spreadsheets/d/1l6IZ8xUPgMrESzcTYwhA1k_tPjeQjJPTqlm8Gd9eU5g/edit?usp=sharing"",""มหาสารคาม!I167"")"),0)</f>
        <v>0</v>
      </c>
      <c r="S39" s="92">
        <f ca="1">IFERROR(__xludf.DUMMYFUNCTION("IMPORTRANGE(""https://docs.google.com/spreadsheets/d/1l6IZ8xUPgMrESzcTYwhA1k_tPjeQjJPTqlm8Gd9eU5g/edit?usp=sharing"",""มหาสารคาม!J167"")"),0)</f>
        <v>0</v>
      </c>
      <c r="T39" s="93">
        <f t="shared" ca="1" si="24"/>
        <v>0</v>
      </c>
    </row>
    <row r="40" spans="1:20" ht="21" customHeight="1" x14ac:dyDescent="0.3">
      <c r="A40" s="84">
        <v>9</v>
      </c>
      <c r="B40" s="85" t="s">
        <v>62</v>
      </c>
      <c r="C40" s="174">
        <f t="shared" ca="1" si="15"/>
        <v>0</v>
      </c>
      <c r="D40" s="175">
        <f t="shared" ca="1" si="28"/>
        <v>0</v>
      </c>
      <c r="E40" s="176">
        <f ca="1">IFERROR(__xludf.DUMMYFUNCTION("IMPORTRANGE(""https://docs.google.com/spreadsheets/d/1-uDff_7J0KD5mKrp0Vvzr7lt3OU09vwQwhkpOPPYv2Y/edit?usp=sharing"",""งบพรบ!CB40"")"),0)</f>
        <v>0</v>
      </c>
      <c r="F40" s="176">
        <f ca="1">IFERROR(__xludf.DUMMYFUNCTION("IMPORTRANGE(""https://docs.google.com/spreadsheets/d/1-uDff_7J0KD5mKrp0Vvzr7lt3OU09vwQwhkpOPPYv2Y/edit?usp=sharing"",""งบพรบ!CC40"")"),0)</f>
        <v>0</v>
      </c>
      <c r="G40" s="176">
        <f ca="1">IFERROR(__xludf.DUMMYFUNCTION("IMPORTRANGE(""https://docs.google.com/spreadsheets/d/1-uDff_7J0KD5mKrp0Vvzr7lt3OU09vwQwhkpOPPYv2Y/edit?usp=sharing"",""งบพรบ!CD40"")"),0)</f>
        <v>0</v>
      </c>
      <c r="H40" s="176">
        <f ca="1">IFERROR(__xludf.DUMMYFUNCTION("IMPORTRANGE(""https://docs.google.com/spreadsheets/d/1-uDff_7J0KD5mKrp0Vvzr7lt3OU09vwQwhkpOPPYv2Y/edit?usp=sharing"",""งบพรบ!CF40"")"),0)</f>
        <v>0</v>
      </c>
      <c r="I40" s="176">
        <f ca="1">IFERROR(__xludf.DUMMYFUNCTION("IMPORTRANGE(""https://docs.google.com/spreadsheets/d/1-uDff_7J0KD5mKrp0Vvzr7lt3OU09vwQwhkpOPPYv2Y/edit?usp=sharing"",""งบพรบ!CG40"")"),0)</f>
        <v>0</v>
      </c>
      <c r="J40" s="176">
        <f t="shared" ca="1" si="17"/>
        <v>0</v>
      </c>
      <c r="K40" s="181">
        <f t="shared" ca="1" si="18"/>
        <v>0</v>
      </c>
      <c r="L40" s="176">
        <f ca="1">IFERROR(__xludf.DUMMYFUNCTION("IMPORTRANGE(""https://docs.google.com/spreadsheets/d/1-uDff_7J0KD5mKrp0Vvzr7lt3OU09vwQwhkpOPPYv2Y/edit?usp=sharing"",""งบพรบ!CH40"")"),0)</f>
        <v>0</v>
      </c>
      <c r="M40" s="179">
        <f t="shared" ca="1" si="19"/>
        <v>0</v>
      </c>
      <c r="N40" s="179">
        <f t="shared" ca="1" si="20"/>
        <v>0</v>
      </c>
      <c r="O40" s="180">
        <f ca="1">IFERROR(__xludf.DUMMYFUNCTION("IMPORTRANGE(""https://docs.google.com/spreadsheets/d/1-uDff_7J0KD5mKrp0Vvzr7lt3OU09vwQwhkpOPPYv2Y/edit?usp=sharing"",""งบพรบ!CI40"")"),0)</f>
        <v>0</v>
      </c>
      <c r="P40" s="180">
        <f t="shared" ca="1" si="21"/>
        <v>0</v>
      </c>
      <c r="Q40" s="179">
        <f t="shared" ca="1" si="22"/>
        <v>0</v>
      </c>
      <c r="R40" s="92">
        <f ca="1">IFERROR(__xludf.DUMMYFUNCTION("IMPORTRANGE(""https://docs.google.com/spreadsheets/d/1uB74YLqNjWX6FObjekfB2NtSYigTQyR2rq9u4Ub2Sq4/edit?usp=sharing"",""มุกดาหาร!I167"")"),0)</f>
        <v>0</v>
      </c>
      <c r="S40" s="92">
        <f ca="1">IFERROR(__xludf.DUMMYFUNCTION("IMPORTRANGE(""https://docs.google.com/spreadsheets/d/1uB74YLqNjWX6FObjekfB2NtSYigTQyR2rq9u4Ub2Sq4/edit?usp=sharing"",""มุกดาหาร!J167"")"),0)</f>
        <v>0</v>
      </c>
      <c r="T40" s="93">
        <f t="shared" ca="1" si="24"/>
        <v>0</v>
      </c>
    </row>
    <row r="41" spans="1:20" ht="21" customHeight="1" x14ac:dyDescent="0.3">
      <c r="A41" s="84">
        <v>10</v>
      </c>
      <c r="B41" s="85" t="s">
        <v>63</v>
      </c>
      <c r="C41" s="174">
        <f t="shared" ca="1" si="15"/>
        <v>0</v>
      </c>
      <c r="D41" s="175">
        <f t="shared" ca="1" si="28"/>
        <v>0</v>
      </c>
      <c r="E41" s="176">
        <f ca="1">IFERROR(__xludf.DUMMYFUNCTION("IMPORTRANGE(""https://docs.google.com/spreadsheets/d/1-uDff_7J0KD5mKrp0Vvzr7lt3OU09vwQwhkpOPPYv2Y/edit?usp=sharing"",""งบพรบ!CB41"")"),0)</f>
        <v>0</v>
      </c>
      <c r="F41" s="176">
        <f ca="1">IFERROR(__xludf.DUMMYFUNCTION("IMPORTRANGE(""https://docs.google.com/spreadsheets/d/1-uDff_7J0KD5mKrp0Vvzr7lt3OU09vwQwhkpOPPYv2Y/edit?usp=sharing"",""งบพรบ!CC41"")"),0)</f>
        <v>0</v>
      </c>
      <c r="G41" s="176">
        <f ca="1">IFERROR(__xludf.DUMMYFUNCTION("IMPORTRANGE(""https://docs.google.com/spreadsheets/d/1-uDff_7J0KD5mKrp0Vvzr7lt3OU09vwQwhkpOPPYv2Y/edit?usp=sharing"",""งบพรบ!CD41"")"),0)</f>
        <v>0</v>
      </c>
      <c r="H41" s="176">
        <f ca="1">IFERROR(__xludf.DUMMYFUNCTION("IMPORTRANGE(""https://docs.google.com/spreadsheets/d/1-uDff_7J0KD5mKrp0Vvzr7lt3OU09vwQwhkpOPPYv2Y/edit?usp=sharing"",""งบพรบ!CF41"")"),0)</f>
        <v>0</v>
      </c>
      <c r="I41" s="176">
        <f ca="1">IFERROR(__xludf.DUMMYFUNCTION("IMPORTRANGE(""https://docs.google.com/spreadsheets/d/1-uDff_7J0KD5mKrp0Vvzr7lt3OU09vwQwhkpOPPYv2Y/edit?usp=sharing"",""งบพรบ!CG41"")"),0)</f>
        <v>0</v>
      </c>
      <c r="J41" s="176">
        <f t="shared" ca="1" si="17"/>
        <v>0</v>
      </c>
      <c r="K41" s="181">
        <f t="shared" ca="1" si="18"/>
        <v>0</v>
      </c>
      <c r="L41" s="176">
        <f ca="1">IFERROR(__xludf.DUMMYFUNCTION("IMPORTRANGE(""https://docs.google.com/spreadsheets/d/1-uDff_7J0KD5mKrp0Vvzr7lt3OU09vwQwhkpOPPYv2Y/edit?usp=sharing"",""งบพรบ!CH41"")"),0)</f>
        <v>0</v>
      </c>
      <c r="M41" s="179">
        <f t="shared" ca="1" si="19"/>
        <v>0</v>
      </c>
      <c r="N41" s="179">
        <f t="shared" ca="1" si="20"/>
        <v>0</v>
      </c>
      <c r="O41" s="180">
        <f ca="1">IFERROR(__xludf.DUMMYFUNCTION("IMPORTRANGE(""https://docs.google.com/spreadsheets/d/1-uDff_7J0KD5mKrp0Vvzr7lt3OU09vwQwhkpOPPYv2Y/edit?usp=sharing"",""งบพรบ!CI41"")"),0)</f>
        <v>0</v>
      </c>
      <c r="P41" s="180">
        <f t="shared" ca="1" si="21"/>
        <v>0</v>
      </c>
      <c r="Q41" s="179">
        <f t="shared" ca="1" si="22"/>
        <v>0</v>
      </c>
      <c r="R41" s="92">
        <f ca="1">IFERROR(__xludf.DUMMYFUNCTION("IMPORTRANGE(""https://docs.google.com/spreadsheets/d/1NexK3geCPxCTO1fzNF8dPec7yZyUx3OaWkFBC9HsQOo/edit?usp=sharing"",""ยโสธร!I167"")"),0)</f>
        <v>0</v>
      </c>
      <c r="S41" s="92">
        <f ca="1">IFERROR(__xludf.DUMMYFUNCTION("IMPORTRANGE(""https://docs.google.com/spreadsheets/d/1NexK3geCPxCTO1fzNF8dPec7yZyUx3OaWkFBC9HsQOo/edit?usp=sharing"",""ยโสธร!J167"")"),0)</f>
        <v>0</v>
      </c>
      <c r="T41" s="93">
        <f t="shared" ca="1" si="24"/>
        <v>0</v>
      </c>
    </row>
    <row r="42" spans="1:20" ht="21" customHeight="1" x14ac:dyDescent="0.3">
      <c r="A42" s="84">
        <v>11</v>
      </c>
      <c r="B42" s="85" t="s">
        <v>64</v>
      </c>
      <c r="C42" s="174">
        <f t="shared" ca="1" si="15"/>
        <v>4500</v>
      </c>
      <c r="D42" s="175">
        <f t="shared" ca="1" si="28"/>
        <v>4500</v>
      </c>
      <c r="E42" s="176">
        <f ca="1">IFERROR(__xludf.DUMMYFUNCTION("IMPORTRANGE(""https://docs.google.com/spreadsheets/d/1-uDff_7J0KD5mKrp0Vvzr7lt3OU09vwQwhkpOPPYv2Y/edit?usp=sharing"",""งบพรบ!CB42"")"),0)</f>
        <v>0</v>
      </c>
      <c r="F42" s="176">
        <f ca="1">IFERROR(__xludf.DUMMYFUNCTION("IMPORTRANGE(""https://docs.google.com/spreadsheets/d/1-uDff_7J0KD5mKrp0Vvzr7lt3OU09vwQwhkpOPPYv2Y/edit?usp=sharing"",""งบพรบ!CC42"")"),4500)</f>
        <v>4500</v>
      </c>
      <c r="G42" s="176">
        <f ca="1">IFERROR(__xludf.DUMMYFUNCTION("IMPORTRANGE(""https://docs.google.com/spreadsheets/d/1-uDff_7J0KD5mKrp0Vvzr7lt3OU09vwQwhkpOPPYv2Y/edit?usp=sharing"",""งบพรบ!CD42"")"),0)</f>
        <v>0</v>
      </c>
      <c r="H42" s="176">
        <f ca="1">IFERROR(__xludf.DUMMYFUNCTION("IMPORTRANGE(""https://docs.google.com/spreadsheets/d/1-uDff_7J0KD5mKrp0Vvzr7lt3OU09vwQwhkpOPPYv2Y/edit?usp=sharing"",""งบพรบ!CF42"")"),0)</f>
        <v>0</v>
      </c>
      <c r="I42" s="176">
        <f ca="1">IFERROR(__xludf.DUMMYFUNCTION("IMPORTRANGE(""https://docs.google.com/spreadsheets/d/1-uDff_7J0KD5mKrp0Vvzr7lt3OU09vwQwhkpOPPYv2Y/edit?usp=sharing"",""งบพรบ!CG42"")"),0)</f>
        <v>0</v>
      </c>
      <c r="J42" s="176">
        <f t="shared" ca="1" si="17"/>
        <v>0</v>
      </c>
      <c r="K42" s="181">
        <f t="shared" ca="1" si="18"/>
        <v>0</v>
      </c>
      <c r="L42" s="176">
        <f ca="1">IFERROR(__xludf.DUMMYFUNCTION("IMPORTRANGE(""https://docs.google.com/spreadsheets/d/1-uDff_7J0KD5mKrp0Vvzr7lt3OU09vwQwhkpOPPYv2Y/edit?usp=sharing"",""งบพรบ!CH42"")"),0)</f>
        <v>0</v>
      </c>
      <c r="M42" s="179">
        <f t="shared" ca="1" si="19"/>
        <v>0</v>
      </c>
      <c r="N42" s="179">
        <f t="shared" ca="1" si="20"/>
        <v>0</v>
      </c>
      <c r="O42" s="180">
        <f ca="1">IFERROR(__xludf.DUMMYFUNCTION("IMPORTRANGE(""https://docs.google.com/spreadsheets/d/1-uDff_7J0KD5mKrp0Vvzr7lt3OU09vwQwhkpOPPYv2Y/edit?usp=sharing"",""งบพรบ!CI42"")"),0)</f>
        <v>0</v>
      </c>
      <c r="P42" s="180">
        <f t="shared" ca="1" si="21"/>
        <v>0</v>
      </c>
      <c r="Q42" s="179">
        <f t="shared" ca="1" si="22"/>
        <v>0</v>
      </c>
      <c r="R42" s="92">
        <f ca="1">IFERROR(__xludf.DUMMYFUNCTION("IMPORTRANGE(""https://docs.google.com/spreadsheets/d/1v_cJrbBlyqmnHPReHk44g9NrMRdENNlSy_E_c5M9fIg/edit?usp=sharing"",""ร้อยเอ็ด!I167"")"),15)</f>
        <v>15</v>
      </c>
      <c r="S42" s="92">
        <f ca="1">IFERROR(__xludf.DUMMYFUNCTION("IMPORTRANGE(""https://docs.google.com/spreadsheets/d/1v_cJrbBlyqmnHPReHk44g9NrMRdENNlSy_E_c5M9fIg/edit?usp=sharing"",""ร้อยเอ็ด!J167"")"),0)</f>
        <v>0</v>
      </c>
      <c r="T42" s="93">
        <f t="shared" ca="1" si="24"/>
        <v>0</v>
      </c>
    </row>
    <row r="43" spans="1:20" ht="21" customHeight="1" x14ac:dyDescent="0.3">
      <c r="A43" s="84">
        <v>12</v>
      </c>
      <c r="B43" s="85" t="s">
        <v>65</v>
      </c>
      <c r="C43" s="174">
        <f t="shared" ca="1" si="15"/>
        <v>0</v>
      </c>
      <c r="D43" s="175">
        <f t="shared" ca="1" si="28"/>
        <v>0</v>
      </c>
      <c r="E43" s="176">
        <f ca="1">IFERROR(__xludf.DUMMYFUNCTION("IMPORTRANGE(""https://docs.google.com/spreadsheets/d/1-uDff_7J0KD5mKrp0Vvzr7lt3OU09vwQwhkpOPPYv2Y/edit?usp=sharing"",""งบพรบ!CB43"")"),0)</f>
        <v>0</v>
      </c>
      <c r="F43" s="176">
        <f ca="1">IFERROR(__xludf.DUMMYFUNCTION("IMPORTRANGE(""https://docs.google.com/spreadsheets/d/1-uDff_7J0KD5mKrp0Vvzr7lt3OU09vwQwhkpOPPYv2Y/edit?usp=sharing"",""งบพรบ!CC43"")"),0)</f>
        <v>0</v>
      </c>
      <c r="G43" s="176">
        <f ca="1">IFERROR(__xludf.DUMMYFUNCTION("IMPORTRANGE(""https://docs.google.com/spreadsheets/d/1-uDff_7J0KD5mKrp0Vvzr7lt3OU09vwQwhkpOPPYv2Y/edit?usp=sharing"",""งบพรบ!CD43"")"),0)</f>
        <v>0</v>
      </c>
      <c r="H43" s="176">
        <f ca="1">IFERROR(__xludf.DUMMYFUNCTION("IMPORTRANGE(""https://docs.google.com/spreadsheets/d/1-uDff_7J0KD5mKrp0Vvzr7lt3OU09vwQwhkpOPPYv2Y/edit?usp=sharing"",""งบพรบ!CF43"")"),0)</f>
        <v>0</v>
      </c>
      <c r="I43" s="176">
        <f ca="1">IFERROR(__xludf.DUMMYFUNCTION("IMPORTRANGE(""https://docs.google.com/spreadsheets/d/1-uDff_7J0KD5mKrp0Vvzr7lt3OU09vwQwhkpOPPYv2Y/edit?usp=sharing"",""งบพรบ!CG43"")"),0)</f>
        <v>0</v>
      </c>
      <c r="J43" s="176">
        <f t="shared" ca="1" si="17"/>
        <v>0</v>
      </c>
      <c r="K43" s="181">
        <f t="shared" ca="1" si="18"/>
        <v>0</v>
      </c>
      <c r="L43" s="176">
        <f ca="1">IFERROR(__xludf.DUMMYFUNCTION("IMPORTRANGE(""https://docs.google.com/spreadsheets/d/1-uDff_7J0KD5mKrp0Vvzr7lt3OU09vwQwhkpOPPYv2Y/edit?usp=sharing"",""งบพรบ!CH43"")"),0)</f>
        <v>0</v>
      </c>
      <c r="M43" s="179">
        <f t="shared" ca="1" si="19"/>
        <v>0</v>
      </c>
      <c r="N43" s="179">
        <f t="shared" ca="1" si="20"/>
        <v>0</v>
      </c>
      <c r="O43" s="180">
        <f ca="1">IFERROR(__xludf.DUMMYFUNCTION("IMPORTRANGE(""https://docs.google.com/spreadsheets/d/1-uDff_7J0KD5mKrp0Vvzr7lt3OU09vwQwhkpOPPYv2Y/edit?usp=sharing"",""งบพรบ!CI43"")"),0)</f>
        <v>0</v>
      </c>
      <c r="P43" s="180">
        <f t="shared" ca="1" si="21"/>
        <v>0</v>
      </c>
      <c r="Q43" s="179">
        <f t="shared" ca="1" si="22"/>
        <v>0</v>
      </c>
      <c r="R43" s="92">
        <f ca="1">IFERROR(__xludf.DUMMYFUNCTION("IMPORTRANGE(""https://docs.google.com/spreadsheets/d/1Ul4RCpCX66NxYADU1QpwAPjOmBzW64SsT11s1wzXw_c/edit?usp=sharing"",""เลย!I167"")"),0)</f>
        <v>0</v>
      </c>
      <c r="S43" s="92">
        <f ca="1">IFERROR(__xludf.DUMMYFUNCTION("IMPORTRANGE(""https://docs.google.com/spreadsheets/d/1Ul4RCpCX66NxYADU1QpwAPjOmBzW64SsT11s1wzXw_c/edit?usp=sharing"",""เลย!J167"")"),0)</f>
        <v>0</v>
      </c>
      <c r="T43" s="93">
        <f t="shared" ca="1" si="24"/>
        <v>0</v>
      </c>
    </row>
    <row r="44" spans="1:20" ht="21" customHeight="1" x14ac:dyDescent="0.3">
      <c r="A44" s="84">
        <v>13</v>
      </c>
      <c r="B44" s="85" t="s">
        <v>66</v>
      </c>
      <c r="C44" s="174">
        <f t="shared" ca="1" si="15"/>
        <v>0</v>
      </c>
      <c r="D44" s="175">
        <f t="shared" ca="1" si="28"/>
        <v>0</v>
      </c>
      <c r="E44" s="176">
        <f ca="1">IFERROR(__xludf.DUMMYFUNCTION("IMPORTRANGE(""https://docs.google.com/spreadsheets/d/1-uDff_7J0KD5mKrp0Vvzr7lt3OU09vwQwhkpOPPYv2Y/edit?usp=sharing"",""งบพรบ!CB44"")"),0)</f>
        <v>0</v>
      </c>
      <c r="F44" s="176">
        <f ca="1">IFERROR(__xludf.DUMMYFUNCTION("IMPORTRANGE(""https://docs.google.com/spreadsheets/d/1-uDff_7J0KD5mKrp0Vvzr7lt3OU09vwQwhkpOPPYv2Y/edit?usp=sharing"",""งบพรบ!CC44"")"),0)</f>
        <v>0</v>
      </c>
      <c r="G44" s="176">
        <f ca="1">IFERROR(__xludf.DUMMYFUNCTION("IMPORTRANGE(""https://docs.google.com/spreadsheets/d/1-uDff_7J0KD5mKrp0Vvzr7lt3OU09vwQwhkpOPPYv2Y/edit?usp=sharing"",""งบพรบ!CD44"")"),0)</f>
        <v>0</v>
      </c>
      <c r="H44" s="176">
        <f ca="1">IFERROR(__xludf.DUMMYFUNCTION("IMPORTRANGE(""https://docs.google.com/spreadsheets/d/1-uDff_7J0KD5mKrp0Vvzr7lt3OU09vwQwhkpOPPYv2Y/edit?usp=sharing"",""งบพรบ!CF44"")"),0)</f>
        <v>0</v>
      </c>
      <c r="I44" s="176">
        <f ca="1">IFERROR(__xludf.DUMMYFUNCTION("IMPORTRANGE(""https://docs.google.com/spreadsheets/d/1-uDff_7J0KD5mKrp0Vvzr7lt3OU09vwQwhkpOPPYv2Y/edit?usp=sharing"",""งบพรบ!CG44"")"),0)</f>
        <v>0</v>
      </c>
      <c r="J44" s="176">
        <f t="shared" ca="1" si="17"/>
        <v>0</v>
      </c>
      <c r="K44" s="181">
        <f t="shared" ca="1" si="18"/>
        <v>0</v>
      </c>
      <c r="L44" s="176">
        <f ca="1">IFERROR(__xludf.DUMMYFUNCTION("IMPORTRANGE(""https://docs.google.com/spreadsheets/d/1-uDff_7J0KD5mKrp0Vvzr7lt3OU09vwQwhkpOPPYv2Y/edit?usp=sharing"",""งบพรบ!CH44"")"),0)</f>
        <v>0</v>
      </c>
      <c r="M44" s="179">
        <f t="shared" ca="1" si="19"/>
        <v>0</v>
      </c>
      <c r="N44" s="179">
        <f t="shared" ca="1" si="20"/>
        <v>0</v>
      </c>
      <c r="O44" s="180">
        <f ca="1">IFERROR(__xludf.DUMMYFUNCTION("IMPORTRANGE(""https://docs.google.com/spreadsheets/d/1-uDff_7J0KD5mKrp0Vvzr7lt3OU09vwQwhkpOPPYv2Y/edit?usp=sharing"",""งบพรบ!CI44"")"),0)</f>
        <v>0</v>
      </c>
      <c r="P44" s="180">
        <f t="shared" ca="1" si="21"/>
        <v>0</v>
      </c>
      <c r="Q44" s="179">
        <f t="shared" ca="1" si="22"/>
        <v>0</v>
      </c>
      <c r="R44" s="92">
        <f ca="1">IFERROR(__xludf.DUMMYFUNCTION("IMPORTRANGE(""https://docs.google.com/spreadsheets/d/1bRrNKwbHDVktQG10isr5vbWRtt5spIZPpkOSWgbT5ug/edit?usp=sharing"",""ศรีสะเกษ!I167"")"),0)</f>
        <v>0</v>
      </c>
      <c r="S44" s="92">
        <f ca="1">IFERROR(__xludf.DUMMYFUNCTION("IMPORTRANGE(""https://docs.google.com/spreadsheets/d/1bRrNKwbHDVktQG10isr5vbWRtt5spIZPpkOSWgbT5ug/edit?usp=sharing"",""ศรีสะเกษ!J167"")"),0)</f>
        <v>0</v>
      </c>
      <c r="T44" s="93">
        <f t="shared" ca="1" si="24"/>
        <v>0</v>
      </c>
    </row>
    <row r="45" spans="1:20" ht="21" customHeight="1" x14ac:dyDescent="0.3">
      <c r="A45" s="84">
        <v>14</v>
      </c>
      <c r="B45" s="85" t="s">
        <v>67</v>
      </c>
      <c r="C45" s="174">
        <f t="shared" ca="1" si="15"/>
        <v>3000</v>
      </c>
      <c r="D45" s="175">
        <f t="shared" ca="1" si="28"/>
        <v>3000</v>
      </c>
      <c r="E45" s="176">
        <f ca="1">IFERROR(__xludf.DUMMYFUNCTION("IMPORTRANGE(""https://docs.google.com/spreadsheets/d/1-uDff_7J0KD5mKrp0Vvzr7lt3OU09vwQwhkpOPPYv2Y/edit?usp=sharing"",""งบพรบ!CB45"")"),0)</f>
        <v>0</v>
      </c>
      <c r="F45" s="176">
        <f ca="1">IFERROR(__xludf.DUMMYFUNCTION("IMPORTRANGE(""https://docs.google.com/spreadsheets/d/1-uDff_7J0KD5mKrp0Vvzr7lt3OU09vwQwhkpOPPYv2Y/edit?usp=sharing"",""งบพรบ!CC45"")"),3000)</f>
        <v>3000</v>
      </c>
      <c r="G45" s="176">
        <f ca="1">IFERROR(__xludf.DUMMYFUNCTION("IMPORTRANGE(""https://docs.google.com/spreadsheets/d/1-uDff_7J0KD5mKrp0Vvzr7lt3OU09vwQwhkpOPPYv2Y/edit?usp=sharing"",""งบพรบ!CD45"")"),0)</f>
        <v>0</v>
      </c>
      <c r="H45" s="176">
        <f ca="1">IFERROR(__xludf.DUMMYFUNCTION("IMPORTRANGE(""https://docs.google.com/spreadsheets/d/1-uDff_7J0KD5mKrp0Vvzr7lt3OU09vwQwhkpOPPYv2Y/edit?usp=sharing"",""งบพรบ!CF45"")"),0)</f>
        <v>0</v>
      </c>
      <c r="I45" s="176">
        <f ca="1">IFERROR(__xludf.DUMMYFUNCTION("IMPORTRANGE(""https://docs.google.com/spreadsheets/d/1-uDff_7J0KD5mKrp0Vvzr7lt3OU09vwQwhkpOPPYv2Y/edit?usp=sharing"",""งบพรบ!CG45"")"),0)</f>
        <v>0</v>
      </c>
      <c r="J45" s="176">
        <f t="shared" ca="1" si="17"/>
        <v>0</v>
      </c>
      <c r="K45" s="181">
        <f t="shared" ca="1" si="18"/>
        <v>0</v>
      </c>
      <c r="L45" s="176">
        <f ca="1">IFERROR(__xludf.DUMMYFUNCTION("IMPORTRANGE(""https://docs.google.com/spreadsheets/d/1-uDff_7J0KD5mKrp0Vvzr7lt3OU09vwQwhkpOPPYv2Y/edit?usp=sharing"",""งบพรบ!CH45"")"),0)</f>
        <v>0</v>
      </c>
      <c r="M45" s="179">
        <f t="shared" ca="1" si="19"/>
        <v>0</v>
      </c>
      <c r="N45" s="179">
        <f t="shared" ca="1" si="20"/>
        <v>0</v>
      </c>
      <c r="O45" s="180">
        <f ca="1">IFERROR(__xludf.DUMMYFUNCTION("IMPORTRANGE(""https://docs.google.com/spreadsheets/d/1-uDff_7J0KD5mKrp0Vvzr7lt3OU09vwQwhkpOPPYv2Y/edit?usp=sharing"",""งบพรบ!CI45"")"),0)</f>
        <v>0</v>
      </c>
      <c r="P45" s="180">
        <f t="shared" ca="1" si="21"/>
        <v>0</v>
      </c>
      <c r="Q45" s="179">
        <f t="shared" ca="1" si="22"/>
        <v>0</v>
      </c>
      <c r="R45" s="92">
        <f ca="1">IFERROR(__xludf.DUMMYFUNCTION("IMPORTRANGE(""https://docs.google.com/spreadsheets/d/17P34_Ow5kFBfdQD0qspb2UuPX5zpi6WMrQzslghyvrI/edit?usp=sharing"",""สกลนคร!I167"")"),10)</f>
        <v>10</v>
      </c>
      <c r="S45" s="92">
        <f ca="1">IFERROR(__xludf.DUMMYFUNCTION("IMPORTRANGE(""https://docs.google.com/spreadsheets/d/17P34_Ow5kFBfdQD0qspb2UuPX5zpi6WMrQzslghyvrI/edit?usp=sharing"",""สกลนคร!J167"")"),0)</f>
        <v>0</v>
      </c>
      <c r="T45" s="93">
        <f t="shared" ca="1" si="24"/>
        <v>0</v>
      </c>
    </row>
    <row r="46" spans="1:20" ht="21" customHeight="1" x14ac:dyDescent="0.3">
      <c r="A46" s="84">
        <v>15</v>
      </c>
      <c r="B46" s="85" t="s">
        <v>68</v>
      </c>
      <c r="C46" s="174">
        <f t="shared" ca="1" si="15"/>
        <v>0</v>
      </c>
      <c r="D46" s="175">
        <f t="shared" ca="1" si="28"/>
        <v>0</v>
      </c>
      <c r="E46" s="176">
        <f ca="1">IFERROR(__xludf.DUMMYFUNCTION("IMPORTRANGE(""https://docs.google.com/spreadsheets/d/1-uDff_7J0KD5mKrp0Vvzr7lt3OU09vwQwhkpOPPYv2Y/edit?usp=sharing"",""งบพรบ!CB46"")"),0)</f>
        <v>0</v>
      </c>
      <c r="F46" s="176">
        <f ca="1">IFERROR(__xludf.DUMMYFUNCTION("IMPORTRANGE(""https://docs.google.com/spreadsheets/d/1-uDff_7J0KD5mKrp0Vvzr7lt3OU09vwQwhkpOPPYv2Y/edit?usp=sharing"",""งบพรบ!CC46"")"),0)</f>
        <v>0</v>
      </c>
      <c r="G46" s="176">
        <f ca="1">IFERROR(__xludf.DUMMYFUNCTION("IMPORTRANGE(""https://docs.google.com/spreadsheets/d/1-uDff_7J0KD5mKrp0Vvzr7lt3OU09vwQwhkpOPPYv2Y/edit?usp=sharing"",""งบพรบ!CD46"")"),0)</f>
        <v>0</v>
      </c>
      <c r="H46" s="176">
        <f ca="1">IFERROR(__xludf.DUMMYFUNCTION("IMPORTRANGE(""https://docs.google.com/spreadsheets/d/1-uDff_7J0KD5mKrp0Vvzr7lt3OU09vwQwhkpOPPYv2Y/edit?usp=sharing"",""งบพรบ!CF46"")"),0)</f>
        <v>0</v>
      </c>
      <c r="I46" s="176">
        <f ca="1">IFERROR(__xludf.DUMMYFUNCTION("IMPORTRANGE(""https://docs.google.com/spreadsheets/d/1-uDff_7J0KD5mKrp0Vvzr7lt3OU09vwQwhkpOPPYv2Y/edit?usp=sharing"",""งบพรบ!CG46"")"),0)</f>
        <v>0</v>
      </c>
      <c r="J46" s="176">
        <f t="shared" ca="1" si="17"/>
        <v>0</v>
      </c>
      <c r="K46" s="181">
        <f t="shared" ca="1" si="18"/>
        <v>0</v>
      </c>
      <c r="L46" s="176">
        <f ca="1">IFERROR(__xludf.DUMMYFUNCTION("IMPORTRANGE(""https://docs.google.com/spreadsheets/d/1-uDff_7J0KD5mKrp0Vvzr7lt3OU09vwQwhkpOPPYv2Y/edit?usp=sharing"",""งบพรบ!CH46"")"),0)</f>
        <v>0</v>
      </c>
      <c r="M46" s="179">
        <f t="shared" ca="1" si="19"/>
        <v>0</v>
      </c>
      <c r="N46" s="179">
        <f t="shared" ca="1" si="20"/>
        <v>0</v>
      </c>
      <c r="O46" s="180">
        <f ca="1">IFERROR(__xludf.DUMMYFUNCTION("IMPORTRANGE(""https://docs.google.com/spreadsheets/d/1-uDff_7J0KD5mKrp0Vvzr7lt3OU09vwQwhkpOPPYv2Y/edit?usp=sharing"",""งบพรบ!CI46"")"),0)</f>
        <v>0</v>
      </c>
      <c r="P46" s="180">
        <f t="shared" ca="1" si="21"/>
        <v>0</v>
      </c>
      <c r="Q46" s="179">
        <f t="shared" ca="1" si="22"/>
        <v>0</v>
      </c>
      <c r="R46" s="92">
        <f ca="1">IFERROR(__xludf.DUMMYFUNCTION("IMPORTRANGE(""https://docs.google.com/spreadsheets/d/1yswqbM3-AEpThF3ZSUa1AcmHnmRTF1vlJ1CZGcJ8YuU/edit?usp=sharing"",""สุรินทร์!I167"")"),0)</f>
        <v>0</v>
      </c>
      <c r="S46" s="92">
        <f ca="1">IFERROR(__xludf.DUMMYFUNCTION("IMPORTRANGE(""https://docs.google.com/spreadsheets/d/1yswqbM3-AEpThF3ZSUa1AcmHnmRTF1vlJ1CZGcJ8YuU/edit?usp=sharing"",""สุรินทร์!J167"")"),0)</f>
        <v>0</v>
      </c>
      <c r="T46" s="93">
        <f t="shared" ca="1" si="24"/>
        <v>0</v>
      </c>
    </row>
    <row r="47" spans="1:20" ht="21" customHeight="1" x14ac:dyDescent="0.3">
      <c r="A47" s="84">
        <v>16</v>
      </c>
      <c r="B47" s="85" t="s">
        <v>69</v>
      </c>
      <c r="C47" s="174">
        <f t="shared" ca="1" si="15"/>
        <v>0</v>
      </c>
      <c r="D47" s="175">
        <f t="shared" ca="1" si="28"/>
        <v>0</v>
      </c>
      <c r="E47" s="176">
        <f ca="1">IFERROR(__xludf.DUMMYFUNCTION("IMPORTRANGE(""https://docs.google.com/spreadsheets/d/1-uDff_7J0KD5mKrp0Vvzr7lt3OU09vwQwhkpOPPYv2Y/edit?usp=sharing"",""งบพรบ!CB47"")"),0)</f>
        <v>0</v>
      </c>
      <c r="F47" s="176">
        <f ca="1">IFERROR(__xludf.DUMMYFUNCTION("IMPORTRANGE(""https://docs.google.com/spreadsheets/d/1-uDff_7J0KD5mKrp0Vvzr7lt3OU09vwQwhkpOPPYv2Y/edit?usp=sharing"",""งบพรบ!CC47"")"),0)</f>
        <v>0</v>
      </c>
      <c r="G47" s="176">
        <f ca="1">IFERROR(__xludf.DUMMYFUNCTION("IMPORTRANGE(""https://docs.google.com/spreadsheets/d/1-uDff_7J0KD5mKrp0Vvzr7lt3OU09vwQwhkpOPPYv2Y/edit?usp=sharing"",""งบพรบ!CD47"")"),0)</f>
        <v>0</v>
      </c>
      <c r="H47" s="176">
        <f ca="1">IFERROR(__xludf.DUMMYFUNCTION("IMPORTRANGE(""https://docs.google.com/spreadsheets/d/1-uDff_7J0KD5mKrp0Vvzr7lt3OU09vwQwhkpOPPYv2Y/edit?usp=sharing"",""งบพรบ!CF47"")"),0)</f>
        <v>0</v>
      </c>
      <c r="I47" s="176">
        <f ca="1">IFERROR(__xludf.DUMMYFUNCTION("IMPORTRANGE(""https://docs.google.com/spreadsheets/d/1-uDff_7J0KD5mKrp0Vvzr7lt3OU09vwQwhkpOPPYv2Y/edit?usp=sharing"",""งบพรบ!CG47"")"),0)</f>
        <v>0</v>
      </c>
      <c r="J47" s="176">
        <f t="shared" ca="1" si="17"/>
        <v>0</v>
      </c>
      <c r="K47" s="181">
        <f t="shared" ca="1" si="18"/>
        <v>0</v>
      </c>
      <c r="L47" s="176">
        <f ca="1">IFERROR(__xludf.DUMMYFUNCTION("IMPORTRANGE(""https://docs.google.com/spreadsheets/d/1-uDff_7J0KD5mKrp0Vvzr7lt3OU09vwQwhkpOPPYv2Y/edit?usp=sharing"",""งบพรบ!CH47"")"),0)</f>
        <v>0</v>
      </c>
      <c r="M47" s="179">
        <f t="shared" ca="1" si="19"/>
        <v>0</v>
      </c>
      <c r="N47" s="179">
        <f t="shared" ca="1" si="20"/>
        <v>0</v>
      </c>
      <c r="O47" s="180">
        <f ca="1">IFERROR(__xludf.DUMMYFUNCTION("IMPORTRANGE(""https://docs.google.com/spreadsheets/d/1-uDff_7J0KD5mKrp0Vvzr7lt3OU09vwQwhkpOPPYv2Y/edit?usp=sharing"",""งบพรบ!CI47"")"),0)</f>
        <v>0</v>
      </c>
      <c r="P47" s="180">
        <f t="shared" ca="1" si="21"/>
        <v>0</v>
      </c>
      <c r="Q47" s="179">
        <f t="shared" ca="1" si="22"/>
        <v>0</v>
      </c>
      <c r="R47" s="92">
        <f ca="1">IFERROR(__xludf.DUMMYFUNCTION("IMPORTRANGE(""https://docs.google.com/spreadsheets/d/13JHU_EFbsQOUQ0JSQ3dWy1VTRosIWcDq6Nc99z2qzdc/edit?usp=sharing"",""หนองคาย!I167"")"),0)</f>
        <v>0</v>
      </c>
      <c r="S47" s="92">
        <f ca="1">IFERROR(__xludf.DUMMYFUNCTION("IMPORTRANGE(""https://docs.google.com/spreadsheets/d/13JHU_EFbsQOUQ0JSQ3dWy1VTRosIWcDq6Nc99z2qzdc/edit?usp=sharing"",""หนองคาย!J167"")"),0)</f>
        <v>0</v>
      </c>
      <c r="T47" s="93">
        <f t="shared" ca="1" si="24"/>
        <v>0</v>
      </c>
    </row>
    <row r="48" spans="1:20" ht="21" customHeight="1" x14ac:dyDescent="0.3">
      <c r="A48" s="84">
        <v>17</v>
      </c>
      <c r="B48" s="85" t="s">
        <v>70</v>
      </c>
      <c r="C48" s="174">
        <f t="shared" ca="1" si="15"/>
        <v>0</v>
      </c>
      <c r="D48" s="175">
        <f t="shared" ca="1" si="28"/>
        <v>0</v>
      </c>
      <c r="E48" s="176">
        <f ca="1">IFERROR(__xludf.DUMMYFUNCTION("IMPORTRANGE(""https://docs.google.com/spreadsheets/d/1-uDff_7J0KD5mKrp0Vvzr7lt3OU09vwQwhkpOPPYv2Y/edit?usp=sharing"",""งบพรบ!CB48"")"),0)</f>
        <v>0</v>
      </c>
      <c r="F48" s="176">
        <f ca="1">IFERROR(__xludf.DUMMYFUNCTION("IMPORTRANGE(""https://docs.google.com/spreadsheets/d/1-uDff_7J0KD5mKrp0Vvzr7lt3OU09vwQwhkpOPPYv2Y/edit?usp=sharing"",""งบพรบ!CC48"")"),0)</f>
        <v>0</v>
      </c>
      <c r="G48" s="176">
        <f ca="1">IFERROR(__xludf.DUMMYFUNCTION("IMPORTRANGE(""https://docs.google.com/spreadsheets/d/1-uDff_7J0KD5mKrp0Vvzr7lt3OU09vwQwhkpOPPYv2Y/edit?usp=sharing"",""งบพรบ!CD48"")"),0)</f>
        <v>0</v>
      </c>
      <c r="H48" s="176">
        <f ca="1">IFERROR(__xludf.DUMMYFUNCTION("IMPORTRANGE(""https://docs.google.com/spreadsheets/d/1-uDff_7J0KD5mKrp0Vvzr7lt3OU09vwQwhkpOPPYv2Y/edit?usp=sharing"",""งบพรบ!CF48"")"),0)</f>
        <v>0</v>
      </c>
      <c r="I48" s="176">
        <f ca="1">IFERROR(__xludf.DUMMYFUNCTION("IMPORTRANGE(""https://docs.google.com/spreadsheets/d/1-uDff_7J0KD5mKrp0Vvzr7lt3OU09vwQwhkpOPPYv2Y/edit?usp=sharing"",""งบพรบ!CG48"")"),0)</f>
        <v>0</v>
      </c>
      <c r="J48" s="176">
        <f t="shared" ca="1" si="17"/>
        <v>0</v>
      </c>
      <c r="K48" s="181">
        <f t="shared" ca="1" si="18"/>
        <v>0</v>
      </c>
      <c r="L48" s="176">
        <f ca="1">IFERROR(__xludf.DUMMYFUNCTION("IMPORTRANGE(""https://docs.google.com/spreadsheets/d/1-uDff_7J0KD5mKrp0Vvzr7lt3OU09vwQwhkpOPPYv2Y/edit?usp=sharing"",""งบพรบ!CH48"")"),0)</f>
        <v>0</v>
      </c>
      <c r="M48" s="179">
        <f t="shared" ca="1" si="19"/>
        <v>0</v>
      </c>
      <c r="N48" s="179">
        <f t="shared" ca="1" si="20"/>
        <v>0</v>
      </c>
      <c r="O48" s="180">
        <f ca="1">IFERROR(__xludf.DUMMYFUNCTION("IMPORTRANGE(""https://docs.google.com/spreadsheets/d/1-uDff_7J0KD5mKrp0Vvzr7lt3OU09vwQwhkpOPPYv2Y/edit?usp=sharing"",""งบพรบ!CI48"")"),0)</f>
        <v>0</v>
      </c>
      <c r="P48" s="180">
        <f t="shared" ca="1" si="21"/>
        <v>0</v>
      </c>
      <c r="Q48" s="179">
        <f t="shared" ca="1" si="22"/>
        <v>0</v>
      </c>
      <c r="R48" s="92">
        <f ca="1">IFERROR(__xludf.DUMMYFUNCTION("IMPORTRANGE(""https://docs.google.com/spreadsheets/d/1Hx73zIEgVdDZZaYSTc46Dqv64atFhpr3GelxLbaIN8A/edit?usp=sharing"",""หนองบัวลำภู!I167"")"),0)</f>
        <v>0</v>
      </c>
      <c r="S48" s="92">
        <f ca="1">IFERROR(__xludf.DUMMYFUNCTION("IMPORTRANGE(""https://docs.google.com/spreadsheets/d/1Hx73zIEgVdDZZaYSTc46Dqv64atFhpr3GelxLbaIN8A/edit?usp=sharing"",""หนองบัวลำภู!J167"")"),0)</f>
        <v>0</v>
      </c>
      <c r="T48" s="93">
        <f t="shared" ca="1" si="24"/>
        <v>0</v>
      </c>
    </row>
    <row r="49" spans="1:20" ht="21" customHeight="1" x14ac:dyDescent="0.3">
      <c r="A49" s="84">
        <v>18</v>
      </c>
      <c r="B49" s="85" t="s">
        <v>71</v>
      </c>
      <c r="C49" s="174">
        <f t="shared" ca="1" si="15"/>
        <v>0</v>
      </c>
      <c r="D49" s="175">
        <f t="shared" ca="1" si="28"/>
        <v>0</v>
      </c>
      <c r="E49" s="176">
        <f ca="1">IFERROR(__xludf.DUMMYFUNCTION("IMPORTRANGE(""https://docs.google.com/spreadsheets/d/1-uDff_7J0KD5mKrp0Vvzr7lt3OU09vwQwhkpOPPYv2Y/edit?usp=sharing"",""งบพรบ!CB49"")"),0)</f>
        <v>0</v>
      </c>
      <c r="F49" s="176">
        <f ca="1">IFERROR(__xludf.DUMMYFUNCTION("IMPORTRANGE(""https://docs.google.com/spreadsheets/d/1-uDff_7J0KD5mKrp0Vvzr7lt3OU09vwQwhkpOPPYv2Y/edit?usp=sharing"",""งบพรบ!CC49"")"),0)</f>
        <v>0</v>
      </c>
      <c r="G49" s="176">
        <f ca="1">IFERROR(__xludf.DUMMYFUNCTION("IMPORTRANGE(""https://docs.google.com/spreadsheets/d/1-uDff_7J0KD5mKrp0Vvzr7lt3OU09vwQwhkpOPPYv2Y/edit?usp=sharing"",""งบพรบ!CD49"")"),0)</f>
        <v>0</v>
      </c>
      <c r="H49" s="176">
        <f ca="1">IFERROR(__xludf.DUMMYFUNCTION("IMPORTRANGE(""https://docs.google.com/spreadsheets/d/1-uDff_7J0KD5mKrp0Vvzr7lt3OU09vwQwhkpOPPYv2Y/edit?usp=sharing"",""งบพรบ!CF49"")"),0)</f>
        <v>0</v>
      </c>
      <c r="I49" s="176">
        <f ca="1">IFERROR(__xludf.DUMMYFUNCTION("IMPORTRANGE(""https://docs.google.com/spreadsheets/d/1-uDff_7J0KD5mKrp0Vvzr7lt3OU09vwQwhkpOPPYv2Y/edit?usp=sharing"",""งบพรบ!CG49"")"),0)</f>
        <v>0</v>
      </c>
      <c r="J49" s="176">
        <f t="shared" ca="1" si="17"/>
        <v>0</v>
      </c>
      <c r="K49" s="181">
        <f t="shared" ca="1" si="18"/>
        <v>0</v>
      </c>
      <c r="L49" s="176">
        <f ca="1">IFERROR(__xludf.DUMMYFUNCTION("IMPORTRANGE(""https://docs.google.com/spreadsheets/d/1-uDff_7J0KD5mKrp0Vvzr7lt3OU09vwQwhkpOPPYv2Y/edit?usp=sharing"",""งบพรบ!CH49"")"),0)</f>
        <v>0</v>
      </c>
      <c r="M49" s="179">
        <f t="shared" ca="1" si="19"/>
        <v>0</v>
      </c>
      <c r="N49" s="179">
        <f t="shared" ca="1" si="20"/>
        <v>0</v>
      </c>
      <c r="O49" s="180">
        <f ca="1">IFERROR(__xludf.DUMMYFUNCTION("IMPORTRANGE(""https://docs.google.com/spreadsheets/d/1-uDff_7J0KD5mKrp0Vvzr7lt3OU09vwQwhkpOPPYv2Y/edit?usp=sharing"",""งบพรบ!CI49"")"),0)</f>
        <v>0</v>
      </c>
      <c r="P49" s="180">
        <f t="shared" ca="1" si="21"/>
        <v>0</v>
      </c>
      <c r="Q49" s="179">
        <f t="shared" ca="1" si="22"/>
        <v>0</v>
      </c>
      <c r="R49" s="92">
        <f ca="1">IFERROR(__xludf.DUMMYFUNCTION("IMPORTRANGE(""https://docs.google.com/spreadsheets/d/1lFxr3ctmjFN90yc-xV6jrQ9Ty8BKYVBWnAZ15wcNIJc/edit?usp=sharing"",""อำนาจเจริญ!I167"")"),0)</f>
        <v>0</v>
      </c>
      <c r="S49" s="92">
        <f ca="1">IFERROR(__xludf.DUMMYFUNCTION("IMPORTRANGE(""https://docs.google.com/spreadsheets/d/1lFxr3ctmjFN90yc-xV6jrQ9Ty8BKYVBWnAZ15wcNIJc/edit?usp=sharing"",""อำนาจเจริญ!J167"")"),0)</f>
        <v>0</v>
      </c>
      <c r="T49" s="93">
        <f t="shared" ca="1" si="24"/>
        <v>0</v>
      </c>
    </row>
    <row r="50" spans="1:20" ht="21" customHeight="1" x14ac:dyDescent="0.3">
      <c r="A50" s="84">
        <v>19</v>
      </c>
      <c r="B50" s="85" t="s">
        <v>72</v>
      </c>
      <c r="C50" s="174">
        <f t="shared" ca="1" si="15"/>
        <v>4500</v>
      </c>
      <c r="D50" s="175">
        <f t="shared" ca="1" si="28"/>
        <v>4500</v>
      </c>
      <c r="E50" s="176">
        <f ca="1">IFERROR(__xludf.DUMMYFUNCTION("IMPORTRANGE(""https://docs.google.com/spreadsheets/d/1-uDff_7J0KD5mKrp0Vvzr7lt3OU09vwQwhkpOPPYv2Y/edit?usp=sharing"",""งบพรบ!CB50"")"),0)</f>
        <v>0</v>
      </c>
      <c r="F50" s="176">
        <f ca="1">IFERROR(__xludf.DUMMYFUNCTION("IMPORTRANGE(""https://docs.google.com/spreadsheets/d/1-uDff_7J0KD5mKrp0Vvzr7lt3OU09vwQwhkpOPPYv2Y/edit?usp=sharing"",""งบพรบ!CC50"")"),4500)</f>
        <v>4500</v>
      </c>
      <c r="G50" s="176">
        <f ca="1">IFERROR(__xludf.DUMMYFUNCTION("IMPORTRANGE(""https://docs.google.com/spreadsheets/d/1-uDff_7J0KD5mKrp0Vvzr7lt3OU09vwQwhkpOPPYv2Y/edit?usp=sharing"",""งบพรบ!CD50"")"),0)</f>
        <v>0</v>
      </c>
      <c r="H50" s="176">
        <f ca="1">IFERROR(__xludf.DUMMYFUNCTION("IMPORTRANGE(""https://docs.google.com/spreadsheets/d/1-uDff_7J0KD5mKrp0Vvzr7lt3OU09vwQwhkpOPPYv2Y/edit?usp=sharing"",""งบพรบ!CF50"")"),0)</f>
        <v>0</v>
      </c>
      <c r="I50" s="176">
        <f ca="1">IFERROR(__xludf.DUMMYFUNCTION("IMPORTRANGE(""https://docs.google.com/spreadsheets/d/1-uDff_7J0KD5mKrp0Vvzr7lt3OU09vwQwhkpOPPYv2Y/edit?usp=sharing"",""งบพรบ!CG50"")"),0)</f>
        <v>0</v>
      </c>
      <c r="J50" s="176">
        <f t="shared" ca="1" si="17"/>
        <v>0</v>
      </c>
      <c r="K50" s="181">
        <f t="shared" ca="1" si="18"/>
        <v>0</v>
      </c>
      <c r="L50" s="176">
        <f ca="1">IFERROR(__xludf.DUMMYFUNCTION("IMPORTRANGE(""https://docs.google.com/spreadsheets/d/1-uDff_7J0KD5mKrp0Vvzr7lt3OU09vwQwhkpOPPYv2Y/edit?usp=sharing"",""งบพรบ!CH50"")"),0)</f>
        <v>0</v>
      </c>
      <c r="M50" s="179">
        <f t="shared" ca="1" si="19"/>
        <v>0</v>
      </c>
      <c r="N50" s="179">
        <f t="shared" ca="1" si="20"/>
        <v>0</v>
      </c>
      <c r="O50" s="180">
        <f ca="1">IFERROR(__xludf.DUMMYFUNCTION("IMPORTRANGE(""https://docs.google.com/spreadsheets/d/1-uDff_7J0KD5mKrp0Vvzr7lt3OU09vwQwhkpOPPYv2Y/edit?usp=sharing"",""งบพรบ!CI50"")"),0)</f>
        <v>0</v>
      </c>
      <c r="P50" s="180">
        <f t="shared" ca="1" si="21"/>
        <v>0</v>
      </c>
      <c r="Q50" s="179">
        <f t="shared" ca="1" si="22"/>
        <v>0</v>
      </c>
      <c r="R50" s="92">
        <f ca="1">IFERROR(__xludf.DUMMYFUNCTION("IMPORTRANGE(""https://docs.google.com/spreadsheets/d/1gF7RJpRnL-1oyjyeWxs5SFWEH7y8ahOZsQlyp2A2e-A/edit?usp=sharing"",""อุดรธานี!I167"")"),15)</f>
        <v>15</v>
      </c>
      <c r="S50" s="92">
        <f ca="1">IFERROR(__xludf.DUMMYFUNCTION("IMPORTRANGE(""https://docs.google.com/spreadsheets/d/1gF7RJpRnL-1oyjyeWxs5SFWEH7y8ahOZsQlyp2A2e-A/edit?usp=sharing"",""อุดรธานี!J167"")"),0)</f>
        <v>0</v>
      </c>
      <c r="T50" s="93">
        <f t="shared" ca="1" si="24"/>
        <v>0</v>
      </c>
    </row>
    <row r="51" spans="1:20" ht="21" customHeight="1" x14ac:dyDescent="0.3">
      <c r="A51" s="95">
        <v>20</v>
      </c>
      <c r="B51" s="96" t="s">
        <v>73</v>
      </c>
      <c r="C51" s="223">
        <f t="shared" ca="1" si="15"/>
        <v>0</v>
      </c>
      <c r="D51" s="224">
        <f t="shared" ca="1" si="28"/>
        <v>0</v>
      </c>
      <c r="E51" s="225">
        <f ca="1">IFERROR(__xludf.DUMMYFUNCTION("IMPORTRANGE(""https://docs.google.com/spreadsheets/d/1-uDff_7J0KD5mKrp0Vvzr7lt3OU09vwQwhkpOPPYv2Y/edit?usp=sharing"",""งบพรบ!CB51"")"),0)</f>
        <v>0</v>
      </c>
      <c r="F51" s="225">
        <f ca="1">IFERROR(__xludf.DUMMYFUNCTION("IMPORTRANGE(""https://docs.google.com/spreadsheets/d/1-uDff_7J0KD5mKrp0Vvzr7lt3OU09vwQwhkpOPPYv2Y/edit?usp=sharing"",""งบพรบ!CC51"")"),0)</f>
        <v>0</v>
      </c>
      <c r="G51" s="225">
        <f ca="1">IFERROR(__xludf.DUMMYFUNCTION("IMPORTRANGE(""https://docs.google.com/spreadsheets/d/1-uDff_7J0KD5mKrp0Vvzr7lt3OU09vwQwhkpOPPYv2Y/edit?usp=sharing"",""งบพรบ!CD51"")"),0)</f>
        <v>0</v>
      </c>
      <c r="H51" s="225">
        <f ca="1">IFERROR(__xludf.DUMMYFUNCTION("IMPORTRANGE(""https://docs.google.com/spreadsheets/d/1-uDff_7J0KD5mKrp0Vvzr7lt3OU09vwQwhkpOPPYv2Y/edit?usp=sharing"",""งบพรบ!CF51"")"),0)</f>
        <v>0</v>
      </c>
      <c r="I51" s="225">
        <f ca="1">IFERROR(__xludf.DUMMYFUNCTION("IMPORTRANGE(""https://docs.google.com/spreadsheets/d/1-uDff_7J0KD5mKrp0Vvzr7lt3OU09vwQwhkpOPPYv2Y/edit?usp=sharing"",""งบพรบ!CG51"")"),0)</f>
        <v>0</v>
      </c>
      <c r="J51" s="225">
        <f t="shared" ca="1" si="17"/>
        <v>0</v>
      </c>
      <c r="K51" s="226">
        <f t="shared" ca="1" si="18"/>
        <v>0</v>
      </c>
      <c r="L51" s="225">
        <f ca="1">IFERROR(__xludf.DUMMYFUNCTION("IMPORTRANGE(""https://docs.google.com/spreadsheets/d/1-uDff_7J0KD5mKrp0Vvzr7lt3OU09vwQwhkpOPPYv2Y/edit?usp=sharing"",""งบพรบ!CH51"")"),0)</f>
        <v>0</v>
      </c>
      <c r="M51" s="227">
        <f t="shared" ca="1" si="19"/>
        <v>0</v>
      </c>
      <c r="N51" s="227">
        <f t="shared" ca="1" si="20"/>
        <v>0</v>
      </c>
      <c r="O51" s="228">
        <f ca="1">IFERROR(__xludf.DUMMYFUNCTION("IMPORTRANGE(""https://docs.google.com/spreadsheets/d/1-uDff_7J0KD5mKrp0Vvzr7lt3OU09vwQwhkpOPPYv2Y/edit?usp=sharing"",""งบพรบ!CI51"")"),0)</f>
        <v>0</v>
      </c>
      <c r="P51" s="228">
        <f t="shared" ca="1" si="21"/>
        <v>0</v>
      </c>
      <c r="Q51" s="227">
        <f t="shared" ca="1" si="22"/>
        <v>0</v>
      </c>
      <c r="R51" s="103">
        <f ca="1">IFERROR(__xludf.DUMMYFUNCTION("IMPORTRANGE(""https://docs.google.com/spreadsheets/d/1kfLP0j3INXRa8bTDpcEmoWewMBV61jlFlfzczfjWIgc/edit?usp=sharing"",""อุบลราชธานี!I167"")"),0)</f>
        <v>0</v>
      </c>
      <c r="S51" s="103">
        <f ca="1">IFERROR(__xludf.DUMMYFUNCTION("IMPORTRANGE(""https://docs.google.com/spreadsheets/d/1kfLP0j3INXRa8bTDpcEmoWewMBV61jlFlfzczfjWIgc/edit?usp=sharing"",""อุบลราชธานี!J167"")"),0)</f>
        <v>0</v>
      </c>
      <c r="T51" s="104">
        <f t="shared" ca="1" si="24"/>
        <v>0</v>
      </c>
    </row>
    <row r="52" spans="1:20" ht="21" customHeight="1" x14ac:dyDescent="0.3">
      <c r="A52" s="443" t="s">
        <v>74</v>
      </c>
      <c r="B52" s="376"/>
      <c r="C52" s="229">
        <f t="shared" ca="1" si="15"/>
        <v>31500</v>
      </c>
      <c r="D52" s="229">
        <f t="shared" ref="D52:I52" ca="1" si="29">SUM(D53:D73)</f>
        <v>31500</v>
      </c>
      <c r="E52" s="229">
        <f t="shared" ca="1" si="29"/>
        <v>0</v>
      </c>
      <c r="F52" s="229">
        <f t="shared" ca="1" si="29"/>
        <v>31500</v>
      </c>
      <c r="G52" s="229">
        <f t="shared" ca="1" si="29"/>
        <v>0</v>
      </c>
      <c r="H52" s="229">
        <f t="shared" ca="1" si="29"/>
        <v>0</v>
      </c>
      <c r="I52" s="229">
        <f t="shared" ca="1" si="29"/>
        <v>0</v>
      </c>
      <c r="J52" s="229">
        <f t="shared" ca="1" si="17"/>
        <v>0</v>
      </c>
      <c r="K52" s="230">
        <f t="shared" ca="1" si="18"/>
        <v>0</v>
      </c>
      <c r="L52" s="229">
        <f ca="1">SUM(L53:L73)</f>
        <v>0</v>
      </c>
      <c r="M52" s="231">
        <f t="shared" ca="1" si="19"/>
        <v>0</v>
      </c>
      <c r="N52" s="231">
        <f t="shared" ca="1" si="20"/>
        <v>0</v>
      </c>
      <c r="O52" s="232">
        <f ca="1">SUM(O53:O73)</f>
        <v>0</v>
      </c>
      <c r="P52" s="232">
        <f t="shared" ca="1" si="21"/>
        <v>0</v>
      </c>
      <c r="Q52" s="231">
        <f t="shared" ca="1" si="22"/>
        <v>0</v>
      </c>
      <c r="R52" s="68">
        <f t="shared" ref="R52:S52" ca="1" si="30">SUM(R53:R73)</f>
        <v>105</v>
      </c>
      <c r="S52" s="68">
        <f t="shared" ca="1" si="30"/>
        <v>0</v>
      </c>
      <c r="T52" s="107">
        <f t="shared" ca="1" si="24"/>
        <v>0</v>
      </c>
    </row>
    <row r="53" spans="1:20" ht="21" customHeight="1" x14ac:dyDescent="0.3">
      <c r="A53" s="74">
        <v>1</v>
      </c>
      <c r="B53" s="75" t="s">
        <v>75</v>
      </c>
      <c r="C53" s="174">
        <f t="shared" ca="1" si="15"/>
        <v>3000</v>
      </c>
      <c r="D53" s="175">
        <f t="shared" ref="D53:D73" ca="1" si="31">+E53+F53</f>
        <v>3000</v>
      </c>
      <c r="E53" s="176">
        <f ca="1">IFERROR(__xludf.DUMMYFUNCTION("IMPORTRANGE(""https://docs.google.com/spreadsheets/d/1-uDff_7J0KD5mKrp0Vvzr7lt3OU09vwQwhkpOPPYv2Y/edit?usp=sharing"",""งบพรบ!CB53"")"),0)</f>
        <v>0</v>
      </c>
      <c r="F53" s="176">
        <f ca="1">IFERROR(__xludf.DUMMYFUNCTION("IMPORTRANGE(""https://docs.google.com/spreadsheets/d/1-uDff_7J0KD5mKrp0Vvzr7lt3OU09vwQwhkpOPPYv2Y/edit?usp=sharing"",""งบพรบ!CC53"")"),3000)</f>
        <v>3000</v>
      </c>
      <c r="G53" s="177">
        <f ca="1">IFERROR(__xludf.DUMMYFUNCTION("IMPORTRANGE(""https://docs.google.com/spreadsheets/d/1-uDff_7J0KD5mKrp0Vvzr7lt3OU09vwQwhkpOPPYv2Y/edit?usp=sharing"",""งบพรบ!CD53"")"),0)</f>
        <v>0</v>
      </c>
      <c r="H53" s="177">
        <f ca="1">IFERROR(__xludf.DUMMYFUNCTION("IMPORTRANGE(""https://docs.google.com/spreadsheets/d/1-uDff_7J0KD5mKrp0Vvzr7lt3OU09vwQwhkpOPPYv2Y/edit?usp=sharing"",""งบพรบ!CF53"")"),0)</f>
        <v>0</v>
      </c>
      <c r="I53" s="177">
        <f ca="1">IFERROR(__xludf.DUMMYFUNCTION("IMPORTRANGE(""https://docs.google.com/spreadsheets/d/1-uDff_7J0KD5mKrp0Vvzr7lt3OU09vwQwhkpOPPYv2Y/edit?usp=sharing"",""งบพรบ!CG53"")"),0)</f>
        <v>0</v>
      </c>
      <c r="J53" s="177">
        <f t="shared" ca="1" si="17"/>
        <v>0</v>
      </c>
      <c r="K53" s="178">
        <f t="shared" ca="1" si="18"/>
        <v>0</v>
      </c>
      <c r="L53" s="177">
        <f ca="1">IFERROR(__xludf.DUMMYFUNCTION("IMPORTRANGE(""https://docs.google.com/spreadsheets/d/1-uDff_7J0KD5mKrp0Vvzr7lt3OU09vwQwhkpOPPYv2Y/edit?usp=sharing"",""งบพรบ!CH53"")"),0)</f>
        <v>0</v>
      </c>
      <c r="M53" s="179">
        <f t="shared" ca="1" si="19"/>
        <v>0</v>
      </c>
      <c r="N53" s="179">
        <f t="shared" ca="1" si="20"/>
        <v>0</v>
      </c>
      <c r="O53" s="180">
        <f ca="1">IFERROR(__xludf.DUMMYFUNCTION("IMPORTRANGE(""https://docs.google.com/spreadsheets/d/1-uDff_7J0KD5mKrp0Vvzr7lt3OU09vwQwhkpOPPYv2Y/edit?usp=sharing"",""งบพรบ!CI53"")"),0)</f>
        <v>0</v>
      </c>
      <c r="P53" s="180">
        <f t="shared" ca="1" si="21"/>
        <v>0</v>
      </c>
      <c r="Q53" s="179">
        <f t="shared" ca="1" si="22"/>
        <v>0</v>
      </c>
      <c r="R53" s="79">
        <f ca="1">IFERROR(__xludf.DUMMYFUNCTION("IMPORTRANGE(""https://docs.google.com/spreadsheets/d/13wPX838HrBrQMCywv1BsuMkt4PEKTChp52zj44s2izQ/edit?usp=sharing"",""กาญจนบุรี!I167"")"),10)</f>
        <v>10</v>
      </c>
      <c r="S53" s="79">
        <f ca="1">IFERROR(__xludf.DUMMYFUNCTION("IMPORTRANGE(""https://docs.google.com/spreadsheets/d/13wPX838HrBrQMCywv1BsuMkt4PEKTChp52zj44s2izQ/edit?usp=sharing"",""กาญจนบุรี!J167"")"),0)</f>
        <v>0</v>
      </c>
      <c r="T53" s="83">
        <f t="shared" ca="1" si="24"/>
        <v>0</v>
      </c>
    </row>
    <row r="54" spans="1:20" ht="21" customHeight="1" x14ac:dyDescent="0.3">
      <c r="A54" s="84">
        <v>2</v>
      </c>
      <c r="B54" s="85" t="s">
        <v>76</v>
      </c>
      <c r="C54" s="174">
        <f t="shared" ca="1" si="15"/>
        <v>0</v>
      </c>
      <c r="D54" s="175">
        <f t="shared" ca="1" si="31"/>
        <v>0</v>
      </c>
      <c r="E54" s="176">
        <f ca="1">IFERROR(__xludf.DUMMYFUNCTION("IMPORTRANGE(""https://docs.google.com/spreadsheets/d/1-uDff_7J0KD5mKrp0Vvzr7lt3OU09vwQwhkpOPPYv2Y/edit?usp=sharing"",""งบพรบ!CB54"")"),0)</f>
        <v>0</v>
      </c>
      <c r="F54" s="176">
        <f ca="1">IFERROR(__xludf.DUMMYFUNCTION("IMPORTRANGE(""https://docs.google.com/spreadsheets/d/1-uDff_7J0KD5mKrp0Vvzr7lt3OU09vwQwhkpOPPYv2Y/edit?usp=sharing"",""งบพรบ!CC54"")"),0)</f>
        <v>0</v>
      </c>
      <c r="G54" s="176">
        <f ca="1">IFERROR(__xludf.DUMMYFUNCTION("IMPORTRANGE(""https://docs.google.com/spreadsheets/d/1-uDff_7J0KD5mKrp0Vvzr7lt3OU09vwQwhkpOPPYv2Y/edit?usp=sharing"",""งบพรบ!CD54"")"),0)</f>
        <v>0</v>
      </c>
      <c r="H54" s="176">
        <f ca="1">IFERROR(__xludf.DUMMYFUNCTION("IMPORTRANGE(""https://docs.google.com/spreadsheets/d/1-uDff_7J0KD5mKrp0Vvzr7lt3OU09vwQwhkpOPPYv2Y/edit?usp=sharing"",""งบพรบ!CF54"")"),0)</f>
        <v>0</v>
      </c>
      <c r="I54" s="176">
        <f ca="1">IFERROR(__xludf.DUMMYFUNCTION("IMPORTRANGE(""https://docs.google.com/spreadsheets/d/1-uDff_7J0KD5mKrp0Vvzr7lt3OU09vwQwhkpOPPYv2Y/edit?usp=sharing"",""งบพรบ!CG54"")"),0)</f>
        <v>0</v>
      </c>
      <c r="J54" s="176">
        <f t="shared" ca="1" si="17"/>
        <v>0</v>
      </c>
      <c r="K54" s="181">
        <f t="shared" ca="1" si="18"/>
        <v>0</v>
      </c>
      <c r="L54" s="176">
        <f ca="1">IFERROR(__xludf.DUMMYFUNCTION("IMPORTRANGE(""https://docs.google.com/spreadsheets/d/1-uDff_7J0KD5mKrp0Vvzr7lt3OU09vwQwhkpOPPYv2Y/edit?usp=sharing"",""งบพรบ!CH54"")"),0)</f>
        <v>0</v>
      </c>
      <c r="M54" s="179">
        <f t="shared" ca="1" si="19"/>
        <v>0</v>
      </c>
      <c r="N54" s="179">
        <f t="shared" ca="1" si="20"/>
        <v>0</v>
      </c>
      <c r="O54" s="180">
        <f ca="1">IFERROR(__xludf.DUMMYFUNCTION("IMPORTRANGE(""https://docs.google.com/spreadsheets/d/1-uDff_7J0KD5mKrp0Vvzr7lt3OU09vwQwhkpOPPYv2Y/edit?usp=sharing"",""งบพรบ!CI54"")"),0)</f>
        <v>0</v>
      </c>
      <c r="P54" s="180">
        <f t="shared" ca="1" si="21"/>
        <v>0</v>
      </c>
      <c r="Q54" s="179">
        <f t="shared" ca="1" si="22"/>
        <v>0</v>
      </c>
      <c r="R54" s="92">
        <f ca="1">IFERROR(__xludf.DUMMYFUNCTION("IMPORTRANGE(""https://docs.google.com/spreadsheets/d/1ddFKvqj1W1NEiWytbGlB1zMx_ykJDVtmfEQ-6-lIUBA/edit?usp=sharing"",""จันทบุรี!I167"")"),0)</f>
        <v>0</v>
      </c>
      <c r="S54" s="92">
        <f ca="1">IFERROR(__xludf.DUMMYFUNCTION("IMPORTRANGE(""https://docs.google.com/spreadsheets/d/1ddFKvqj1W1NEiWytbGlB1zMx_ykJDVtmfEQ-6-lIUBA/edit?usp=sharing"",""จันทบุรี!J167"")"),0)</f>
        <v>0</v>
      </c>
      <c r="T54" s="93">
        <f t="shared" ca="1" si="24"/>
        <v>0</v>
      </c>
    </row>
    <row r="55" spans="1:20" ht="21" customHeight="1" x14ac:dyDescent="0.3">
      <c r="A55" s="84">
        <v>3</v>
      </c>
      <c r="B55" s="85" t="s">
        <v>77</v>
      </c>
      <c r="C55" s="174">
        <f t="shared" ca="1" si="15"/>
        <v>3000</v>
      </c>
      <c r="D55" s="175">
        <f t="shared" ca="1" si="31"/>
        <v>3000</v>
      </c>
      <c r="E55" s="176">
        <f ca="1">IFERROR(__xludf.DUMMYFUNCTION("IMPORTRANGE(""https://docs.google.com/spreadsheets/d/1-uDff_7J0KD5mKrp0Vvzr7lt3OU09vwQwhkpOPPYv2Y/edit?usp=sharing"",""งบพรบ!CB55"")"),0)</f>
        <v>0</v>
      </c>
      <c r="F55" s="176">
        <f ca="1">IFERROR(__xludf.DUMMYFUNCTION("IMPORTRANGE(""https://docs.google.com/spreadsheets/d/1-uDff_7J0KD5mKrp0Vvzr7lt3OU09vwQwhkpOPPYv2Y/edit?usp=sharing"",""งบพรบ!CC55"")"),3000)</f>
        <v>3000</v>
      </c>
      <c r="G55" s="176">
        <f ca="1">IFERROR(__xludf.DUMMYFUNCTION("IMPORTRANGE(""https://docs.google.com/spreadsheets/d/1-uDff_7J0KD5mKrp0Vvzr7lt3OU09vwQwhkpOPPYv2Y/edit?usp=sharing"",""งบพรบ!CD55"")"),0)</f>
        <v>0</v>
      </c>
      <c r="H55" s="176">
        <f ca="1">IFERROR(__xludf.DUMMYFUNCTION("IMPORTRANGE(""https://docs.google.com/spreadsheets/d/1-uDff_7J0KD5mKrp0Vvzr7lt3OU09vwQwhkpOPPYv2Y/edit?usp=sharing"",""งบพรบ!CF55"")"),0)</f>
        <v>0</v>
      </c>
      <c r="I55" s="176">
        <f ca="1">IFERROR(__xludf.DUMMYFUNCTION("IMPORTRANGE(""https://docs.google.com/spreadsheets/d/1-uDff_7J0KD5mKrp0Vvzr7lt3OU09vwQwhkpOPPYv2Y/edit?usp=sharing"",""งบพรบ!CG55"")"),0)</f>
        <v>0</v>
      </c>
      <c r="J55" s="176">
        <f t="shared" ca="1" si="17"/>
        <v>0</v>
      </c>
      <c r="K55" s="181">
        <f t="shared" ca="1" si="18"/>
        <v>0</v>
      </c>
      <c r="L55" s="176">
        <f ca="1">IFERROR(__xludf.DUMMYFUNCTION("IMPORTRANGE(""https://docs.google.com/spreadsheets/d/1-uDff_7J0KD5mKrp0Vvzr7lt3OU09vwQwhkpOPPYv2Y/edit?usp=sharing"",""งบพรบ!CH55"")"),0)</f>
        <v>0</v>
      </c>
      <c r="M55" s="179">
        <f t="shared" ca="1" si="19"/>
        <v>0</v>
      </c>
      <c r="N55" s="179">
        <f t="shared" ca="1" si="20"/>
        <v>0</v>
      </c>
      <c r="O55" s="180">
        <f ca="1">IFERROR(__xludf.DUMMYFUNCTION("IMPORTRANGE(""https://docs.google.com/spreadsheets/d/1-uDff_7J0KD5mKrp0Vvzr7lt3OU09vwQwhkpOPPYv2Y/edit?usp=sharing"",""งบพรบ!CI55"")"),0)</f>
        <v>0</v>
      </c>
      <c r="P55" s="180">
        <f t="shared" ca="1" si="21"/>
        <v>0</v>
      </c>
      <c r="Q55" s="179">
        <f t="shared" ca="1" si="22"/>
        <v>0</v>
      </c>
      <c r="R55" s="92">
        <f ca="1">IFERROR(__xludf.DUMMYFUNCTION("IMPORTRANGE(""https://docs.google.com/spreadsheets/d/1T1PQvRODqOBZk8BRht_U031fIS1beLA0Ub2CEytj2q0/edit?usp=sharing"",""ฉะเชิงเทรา!I167"")"),10)</f>
        <v>10</v>
      </c>
      <c r="S55" s="92">
        <f ca="1">IFERROR(__xludf.DUMMYFUNCTION("IMPORTRANGE(""https://docs.google.com/spreadsheets/d/1T1PQvRODqOBZk8BRht_U031fIS1beLA0Ub2CEytj2q0/edit?usp=sharing"",""ฉะเชิงเทรา!J167"")"),0)</f>
        <v>0</v>
      </c>
      <c r="T55" s="93">
        <f t="shared" ca="1" si="24"/>
        <v>0</v>
      </c>
    </row>
    <row r="56" spans="1:20" ht="21" customHeight="1" x14ac:dyDescent="0.3">
      <c r="A56" s="84">
        <v>4</v>
      </c>
      <c r="B56" s="85" t="s">
        <v>78</v>
      </c>
      <c r="C56" s="174">
        <f t="shared" ca="1" si="15"/>
        <v>0</v>
      </c>
      <c r="D56" s="175">
        <f t="shared" ca="1" si="31"/>
        <v>0</v>
      </c>
      <c r="E56" s="176">
        <f ca="1">IFERROR(__xludf.DUMMYFUNCTION("IMPORTRANGE(""https://docs.google.com/spreadsheets/d/1-uDff_7J0KD5mKrp0Vvzr7lt3OU09vwQwhkpOPPYv2Y/edit?usp=sharing"",""งบพรบ!CB56"")"),0)</f>
        <v>0</v>
      </c>
      <c r="F56" s="176">
        <f ca="1">IFERROR(__xludf.DUMMYFUNCTION("IMPORTRANGE(""https://docs.google.com/spreadsheets/d/1-uDff_7J0KD5mKrp0Vvzr7lt3OU09vwQwhkpOPPYv2Y/edit?usp=sharing"",""งบพรบ!CC56"")"),0)</f>
        <v>0</v>
      </c>
      <c r="G56" s="176">
        <f ca="1">IFERROR(__xludf.DUMMYFUNCTION("IMPORTRANGE(""https://docs.google.com/spreadsheets/d/1-uDff_7J0KD5mKrp0Vvzr7lt3OU09vwQwhkpOPPYv2Y/edit?usp=sharing"",""งบพรบ!CD56"")"),0)</f>
        <v>0</v>
      </c>
      <c r="H56" s="176">
        <f ca="1">IFERROR(__xludf.DUMMYFUNCTION("IMPORTRANGE(""https://docs.google.com/spreadsheets/d/1-uDff_7J0KD5mKrp0Vvzr7lt3OU09vwQwhkpOPPYv2Y/edit?usp=sharing"",""งบพรบ!CF56"")"),0)</f>
        <v>0</v>
      </c>
      <c r="I56" s="176">
        <f ca="1">IFERROR(__xludf.DUMMYFUNCTION("IMPORTRANGE(""https://docs.google.com/spreadsheets/d/1-uDff_7J0KD5mKrp0Vvzr7lt3OU09vwQwhkpOPPYv2Y/edit?usp=sharing"",""งบพรบ!CG56"")"),0)</f>
        <v>0</v>
      </c>
      <c r="J56" s="176">
        <f t="shared" ca="1" si="17"/>
        <v>0</v>
      </c>
      <c r="K56" s="181">
        <f t="shared" ca="1" si="18"/>
        <v>0</v>
      </c>
      <c r="L56" s="176">
        <f ca="1">IFERROR(__xludf.DUMMYFUNCTION("IMPORTRANGE(""https://docs.google.com/spreadsheets/d/1-uDff_7J0KD5mKrp0Vvzr7lt3OU09vwQwhkpOPPYv2Y/edit?usp=sharing"",""งบพรบ!CH56"")"),0)</f>
        <v>0</v>
      </c>
      <c r="M56" s="179">
        <f t="shared" ca="1" si="19"/>
        <v>0</v>
      </c>
      <c r="N56" s="179">
        <f t="shared" ca="1" si="20"/>
        <v>0</v>
      </c>
      <c r="O56" s="180">
        <f ca="1">IFERROR(__xludf.DUMMYFUNCTION("IMPORTRANGE(""https://docs.google.com/spreadsheets/d/1-uDff_7J0KD5mKrp0Vvzr7lt3OU09vwQwhkpOPPYv2Y/edit?usp=sharing"",""งบพรบ!CI56"")"),0)</f>
        <v>0</v>
      </c>
      <c r="P56" s="180">
        <f t="shared" ca="1" si="21"/>
        <v>0</v>
      </c>
      <c r="Q56" s="179">
        <f t="shared" ca="1" si="22"/>
        <v>0</v>
      </c>
      <c r="R56" s="92">
        <f ca="1">IFERROR(__xludf.DUMMYFUNCTION("IMPORTRANGE(""https://docs.google.com/spreadsheets/d/11tr1B-Bhyr79v2bkwVh5h_fR-PStkgjlZtkrZpYurG0/edit?usp=sharing"",""ชลบุรี!I167"")"),0)</f>
        <v>0</v>
      </c>
      <c r="S56" s="92">
        <f ca="1">IFERROR(__xludf.DUMMYFUNCTION("IMPORTRANGE(""https://docs.google.com/spreadsheets/d/11tr1B-Bhyr79v2bkwVh5h_fR-PStkgjlZtkrZpYurG0/edit?usp=sharing"",""ชลบุรี!J167"")"),0)</f>
        <v>0</v>
      </c>
      <c r="T56" s="93">
        <f t="shared" ca="1" si="24"/>
        <v>0</v>
      </c>
    </row>
    <row r="57" spans="1:20" ht="21" customHeight="1" x14ac:dyDescent="0.3">
      <c r="A57" s="84">
        <v>5</v>
      </c>
      <c r="B57" s="85" t="s">
        <v>79</v>
      </c>
      <c r="C57" s="174">
        <f t="shared" ca="1" si="15"/>
        <v>3000</v>
      </c>
      <c r="D57" s="175">
        <f t="shared" ca="1" si="31"/>
        <v>3000</v>
      </c>
      <c r="E57" s="176">
        <f ca="1">IFERROR(__xludf.DUMMYFUNCTION("IMPORTRANGE(""https://docs.google.com/spreadsheets/d/1-uDff_7J0KD5mKrp0Vvzr7lt3OU09vwQwhkpOPPYv2Y/edit?usp=sharing"",""งบพรบ!CB57"")"),0)</f>
        <v>0</v>
      </c>
      <c r="F57" s="176">
        <f ca="1">IFERROR(__xludf.DUMMYFUNCTION("IMPORTRANGE(""https://docs.google.com/spreadsheets/d/1-uDff_7J0KD5mKrp0Vvzr7lt3OU09vwQwhkpOPPYv2Y/edit?usp=sharing"",""งบพรบ!CC57"")"),3000)</f>
        <v>3000</v>
      </c>
      <c r="G57" s="176">
        <f ca="1">IFERROR(__xludf.DUMMYFUNCTION("IMPORTRANGE(""https://docs.google.com/spreadsheets/d/1-uDff_7J0KD5mKrp0Vvzr7lt3OU09vwQwhkpOPPYv2Y/edit?usp=sharing"",""งบพรบ!CD57"")"),0)</f>
        <v>0</v>
      </c>
      <c r="H57" s="176">
        <f ca="1">IFERROR(__xludf.DUMMYFUNCTION("IMPORTRANGE(""https://docs.google.com/spreadsheets/d/1-uDff_7J0KD5mKrp0Vvzr7lt3OU09vwQwhkpOPPYv2Y/edit?usp=sharing"",""งบพรบ!CF57"")"),0)</f>
        <v>0</v>
      </c>
      <c r="I57" s="176">
        <f ca="1">IFERROR(__xludf.DUMMYFUNCTION("IMPORTRANGE(""https://docs.google.com/spreadsheets/d/1-uDff_7J0KD5mKrp0Vvzr7lt3OU09vwQwhkpOPPYv2Y/edit?usp=sharing"",""งบพรบ!CG57"")"),0)</f>
        <v>0</v>
      </c>
      <c r="J57" s="176">
        <f t="shared" ca="1" si="17"/>
        <v>0</v>
      </c>
      <c r="K57" s="181">
        <f t="shared" ca="1" si="18"/>
        <v>0</v>
      </c>
      <c r="L57" s="176">
        <f ca="1">IFERROR(__xludf.DUMMYFUNCTION("IMPORTRANGE(""https://docs.google.com/spreadsheets/d/1-uDff_7J0KD5mKrp0Vvzr7lt3OU09vwQwhkpOPPYv2Y/edit?usp=sharing"",""งบพรบ!CH57"")"),0)</f>
        <v>0</v>
      </c>
      <c r="M57" s="179">
        <f t="shared" ca="1" si="19"/>
        <v>0</v>
      </c>
      <c r="N57" s="179">
        <f t="shared" ca="1" si="20"/>
        <v>0</v>
      </c>
      <c r="O57" s="180">
        <f ca="1">IFERROR(__xludf.DUMMYFUNCTION("IMPORTRANGE(""https://docs.google.com/spreadsheets/d/1-uDff_7J0KD5mKrp0Vvzr7lt3OU09vwQwhkpOPPYv2Y/edit?usp=sharing"",""งบพรบ!CI57"")"),0)</f>
        <v>0</v>
      </c>
      <c r="P57" s="180">
        <f t="shared" ca="1" si="21"/>
        <v>0</v>
      </c>
      <c r="Q57" s="179">
        <f t="shared" ca="1" si="22"/>
        <v>0</v>
      </c>
      <c r="R57" s="92">
        <f ca="1">IFERROR(__xludf.DUMMYFUNCTION("IMPORTRANGE(""https://docs.google.com/spreadsheets/d/1hh-FVnSX0vozXhGluamEcS54Dw9_zqW0N7qJUWgJ0Sw/edit?usp=sharing"",""ชัยนาท!I167"")"),10)</f>
        <v>10</v>
      </c>
      <c r="S57" s="92">
        <f ca="1">IFERROR(__xludf.DUMMYFUNCTION("IMPORTRANGE(""https://docs.google.com/spreadsheets/d/1hh-FVnSX0vozXhGluamEcS54Dw9_zqW0N7qJUWgJ0Sw/edit?usp=sharing"",""ชัยนาท!J167"")"),0)</f>
        <v>0</v>
      </c>
      <c r="T57" s="93">
        <f t="shared" ca="1" si="24"/>
        <v>0</v>
      </c>
    </row>
    <row r="58" spans="1:20" ht="21" customHeight="1" x14ac:dyDescent="0.3">
      <c r="A58" s="84">
        <v>6</v>
      </c>
      <c r="B58" s="85" t="s">
        <v>80</v>
      </c>
      <c r="C58" s="174">
        <f t="shared" ca="1" si="15"/>
        <v>0</v>
      </c>
      <c r="D58" s="175">
        <f t="shared" ca="1" si="31"/>
        <v>0</v>
      </c>
      <c r="E58" s="176">
        <f ca="1">IFERROR(__xludf.DUMMYFUNCTION("IMPORTRANGE(""https://docs.google.com/spreadsheets/d/1-uDff_7J0KD5mKrp0Vvzr7lt3OU09vwQwhkpOPPYv2Y/edit?usp=sharing"",""งบพรบ!CB58"")"),0)</f>
        <v>0</v>
      </c>
      <c r="F58" s="176">
        <f ca="1">IFERROR(__xludf.DUMMYFUNCTION("IMPORTRANGE(""https://docs.google.com/spreadsheets/d/1-uDff_7J0KD5mKrp0Vvzr7lt3OU09vwQwhkpOPPYv2Y/edit?usp=sharing"",""งบพรบ!CC58"")"),0)</f>
        <v>0</v>
      </c>
      <c r="G58" s="176">
        <f ca="1">IFERROR(__xludf.DUMMYFUNCTION("IMPORTRANGE(""https://docs.google.com/spreadsheets/d/1-uDff_7J0KD5mKrp0Vvzr7lt3OU09vwQwhkpOPPYv2Y/edit?usp=sharing"",""งบพรบ!CD58"")"),0)</f>
        <v>0</v>
      </c>
      <c r="H58" s="176">
        <f ca="1">IFERROR(__xludf.DUMMYFUNCTION("IMPORTRANGE(""https://docs.google.com/spreadsheets/d/1-uDff_7J0KD5mKrp0Vvzr7lt3OU09vwQwhkpOPPYv2Y/edit?usp=sharing"",""งบพรบ!CF58"")"),0)</f>
        <v>0</v>
      </c>
      <c r="I58" s="176">
        <f ca="1">IFERROR(__xludf.DUMMYFUNCTION("IMPORTRANGE(""https://docs.google.com/spreadsheets/d/1-uDff_7J0KD5mKrp0Vvzr7lt3OU09vwQwhkpOPPYv2Y/edit?usp=sharing"",""งบพรบ!CG58"")"),0)</f>
        <v>0</v>
      </c>
      <c r="J58" s="176">
        <f t="shared" ca="1" si="17"/>
        <v>0</v>
      </c>
      <c r="K58" s="181">
        <f t="shared" ca="1" si="18"/>
        <v>0</v>
      </c>
      <c r="L58" s="176">
        <f ca="1">IFERROR(__xludf.DUMMYFUNCTION("IMPORTRANGE(""https://docs.google.com/spreadsheets/d/1-uDff_7J0KD5mKrp0Vvzr7lt3OU09vwQwhkpOPPYv2Y/edit?usp=sharing"",""งบพรบ!CH58"")"),0)</f>
        <v>0</v>
      </c>
      <c r="M58" s="179">
        <f t="shared" ca="1" si="19"/>
        <v>0</v>
      </c>
      <c r="N58" s="179">
        <f t="shared" ca="1" si="20"/>
        <v>0</v>
      </c>
      <c r="O58" s="180">
        <f ca="1">IFERROR(__xludf.DUMMYFUNCTION("IMPORTRANGE(""https://docs.google.com/spreadsheets/d/1-uDff_7J0KD5mKrp0Vvzr7lt3OU09vwQwhkpOPPYv2Y/edit?usp=sharing"",""งบพรบ!CI58"")"),0)</f>
        <v>0</v>
      </c>
      <c r="P58" s="180">
        <f t="shared" ca="1" si="21"/>
        <v>0</v>
      </c>
      <c r="Q58" s="179">
        <f t="shared" ca="1" si="22"/>
        <v>0</v>
      </c>
      <c r="R58" s="92">
        <f ca="1">IFERROR(__xludf.DUMMYFUNCTION("IMPORTRANGE(""https://docs.google.com/spreadsheets/d/1jkqa6GXxSacMcY1eN8AHjMNJ_7dDXMJVRLDlaFSOdPM/edit?usp=sharing"",""ตราด!I167"")"),0)</f>
        <v>0</v>
      </c>
      <c r="S58" s="92">
        <f ca="1">IFERROR(__xludf.DUMMYFUNCTION("IMPORTRANGE(""https://docs.google.com/spreadsheets/d/1jkqa6GXxSacMcY1eN8AHjMNJ_7dDXMJVRLDlaFSOdPM/edit?usp=sharing"",""ตราด!J167"")"),0)</f>
        <v>0</v>
      </c>
      <c r="T58" s="93">
        <f t="shared" ca="1" si="24"/>
        <v>0</v>
      </c>
    </row>
    <row r="59" spans="1:20" ht="21" customHeight="1" x14ac:dyDescent="0.3">
      <c r="A59" s="84">
        <v>7</v>
      </c>
      <c r="B59" s="85" t="s">
        <v>81</v>
      </c>
      <c r="C59" s="174">
        <f t="shared" ca="1" si="15"/>
        <v>0</v>
      </c>
      <c r="D59" s="175">
        <f t="shared" ca="1" si="31"/>
        <v>0</v>
      </c>
      <c r="E59" s="176">
        <f ca="1">IFERROR(__xludf.DUMMYFUNCTION("IMPORTRANGE(""https://docs.google.com/spreadsheets/d/1-uDff_7J0KD5mKrp0Vvzr7lt3OU09vwQwhkpOPPYv2Y/edit?usp=sharing"",""งบพรบ!CB59"")"),0)</f>
        <v>0</v>
      </c>
      <c r="F59" s="176">
        <f ca="1">IFERROR(__xludf.DUMMYFUNCTION("IMPORTRANGE(""https://docs.google.com/spreadsheets/d/1-uDff_7J0KD5mKrp0Vvzr7lt3OU09vwQwhkpOPPYv2Y/edit?usp=sharing"",""งบพรบ!CC59"")"),0)</f>
        <v>0</v>
      </c>
      <c r="G59" s="176">
        <f ca="1">IFERROR(__xludf.DUMMYFUNCTION("IMPORTRANGE(""https://docs.google.com/spreadsheets/d/1-uDff_7J0KD5mKrp0Vvzr7lt3OU09vwQwhkpOPPYv2Y/edit?usp=sharing"",""งบพรบ!CD59"")"),0)</f>
        <v>0</v>
      </c>
      <c r="H59" s="176">
        <f ca="1">IFERROR(__xludf.DUMMYFUNCTION("IMPORTRANGE(""https://docs.google.com/spreadsheets/d/1-uDff_7J0KD5mKrp0Vvzr7lt3OU09vwQwhkpOPPYv2Y/edit?usp=sharing"",""งบพรบ!CF59"")"),0)</f>
        <v>0</v>
      </c>
      <c r="I59" s="176">
        <f ca="1">IFERROR(__xludf.DUMMYFUNCTION("IMPORTRANGE(""https://docs.google.com/spreadsheets/d/1-uDff_7J0KD5mKrp0Vvzr7lt3OU09vwQwhkpOPPYv2Y/edit?usp=sharing"",""งบพรบ!CG59"")"),0)</f>
        <v>0</v>
      </c>
      <c r="J59" s="176">
        <f t="shared" ca="1" si="17"/>
        <v>0</v>
      </c>
      <c r="K59" s="181">
        <f t="shared" ca="1" si="18"/>
        <v>0</v>
      </c>
      <c r="L59" s="176">
        <f ca="1">IFERROR(__xludf.DUMMYFUNCTION("IMPORTRANGE(""https://docs.google.com/spreadsheets/d/1-uDff_7J0KD5mKrp0Vvzr7lt3OU09vwQwhkpOPPYv2Y/edit?usp=sharing"",""งบพรบ!CH59"")"),0)</f>
        <v>0</v>
      </c>
      <c r="M59" s="179">
        <f t="shared" ca="1" si="19"/>
        <v>0</v>
      </c>
      <c r="N59" s="179">
        <f t="shared" ca="1" si="20"/>
        <v>0</v>
      </c>
      <c r="O59" s="180">
        <f ca="1">IFERROR(__xludf.DUMMYFUNCTION("IMPORTRANGE(""https://docs.google.com/spreadsheets/d/1-uDff_7J0KD5mKrp0Vvzr7lt3OU09vwQwhkpOPPYv2Y/edit?usp=sharing"",""งบพรบ!CI59"")"),0)</f>
        <v>0</v>
      </c>
      <c r="P59" s="180">
        <f t="shared" ca="1" si="21"/>
        <v>0</v>
      </c>
      <c r="Q59" s="179">
        <f t="shared" ca="1" si="22"/>
        <v>0</v>
      </c>
      <c r="R59" s="92">
        <f ca="1">IFERROR(__xludf.DUMMYFUNCTION("IMPORTRANGE(""https://docs.google.com/spreadsheets/d/18hSgUJ3VwClqi_qtULmmW3cLr0oe3OKaSYoKzdpTsYQ/edit?usp=sharing"",""นครนายก!I167"")"),0)</f>
        <v>0</v>
      </c>
      <c r="S59" s="92">
        <f ca="1">IFERROR(__xludf.DUMMYFUNCTION("IMPORTRANGE(""https://docs.google.com/spreadsheets/d/18hSgUJ3VwClqi_qtULmmW3cLr0oe3OKaSYoKzdpTsYQ/edit?usp=sharing"",""นครนายก!J167"")"),0)</f>
        <v>0</v>
      </c>
      <c r="T59" s="93">
        <f t="shared" ca="1" si="24"/>
        <v>0</v>
      </c>
    </row>
    <row r="60" spans="1:20" ht="21" customHeight="1" x14ac:dyDescent="0.3">
      <c r="A60" s="84">
        <v>8</v>
      </c>
      <c r="B60" s="85" t="s">
        <v>82</v>
      </c>
      <c r="C60" s="174">
        <f t="shared" ca="1" si="15"/>
        <v>0</v>
      </c>
      <c r="D60" s="175">
        <f t="shared" ca="1" si="31"/>
        <v>0</v>
      </c>
      <c r="E60" s="176">
        <f ca="1">IFERROR(__xludf.DUMMYFUNCTION("IMPORTRANGE(""https://docs.google.com/spreadsheets/d/1-uDff_7J0KD5mKrp0Vvzr7lt3OU09vwQwhkpOPPYv2Y/edit?usp=sharing"",""งบพรบ!CB60"")"),0)</f>
        <v>0</v>
      </c>
      <c r="F60" s="176">
        <f ca="1">IFERROR(__xludf.DUMMYFUNCTION("IMPORTRANGE(""https://docs.google.com/spreadsheets/d/1-uDff_7J0KD5mKrp0Vvzr7lt3OU09vwQwhkpOPPYv2Y/edit?usp=sharing"",""งบพรบ!CC60"")"),0)</f>
        <v>0</v>
      </c>
      <c r="G60" s="176">
        <f ca="1">IFERROR(__xludf.DUMMYFUNCTION("IMPORTRANGE(""https://docs.google.com/spreadsheets/d/1-uDff_7J0KD5mKrp0Vvzr7lt3OU09vwQwhkpOPPYv2Y/edit?usp=sharing"",""งบพรบ!CD60"")"),0)</f>
        <v>0</v>
      </c>
      <c r="H60" s="176">
        <f ca="1">IFERROR(__xludf.DUMMYFUNCTION("IMPORTRANGE(""https://docs.google.com/spreadsheets/d/1-uDff_7J0KD5mKrp0Vvzr7lt3OU09vwQwhkpOPPYv2Y/edit?usp=sharing"",""งบพรบ!CF60"")"),0)</f>
        <v>0</v>
      </c>
      <c r="I60" s="176">
        <f ca="1">IFERROR(__xludf.DUMMYFUNCTION("IMPORTRANGE(""https://docs.google.com/spreadsheets/d/1-uDff_7J0KD5mKrp0Vvzr7lt3OU09vwQwhkpOPPYv2Y/edit?usp=sharing"",""งบพรบ!CG60"")"),0)</f>
        <v>0</v>
      </c>
      <c r="J60" s="176">
        <f t="shared" ca="1" si="17"/>
        <v>0</v>
      </c>
      <c r="K60" s="181">
        <f t="shared" ca="1" si="18"/>
        <v>0</v>
      </c>
      <c r="L60" s="176">
        <f ca="1">IFERROR(__xludf.DUMMYFUNCTION("IMPORTRANGE(""https://docs.google.com/spreadsheets/d/1-uDff_7J0KD5mKrp0Vvzr7lt3OU09vwQwhkpOPPYv2Y/edit?usp=sharing"",""งบพรบ!CH60"")"),0)</f>
        <v>0</v>
      </c>
      <c r="M60" s="179">
        <f t="shared" ca="1" si="19"/>
        <v>0</v>
      </c>
      <c r="N60" s="179">
        <f t="shared" ca="1" si="20"/>
        <v>0</v>
      </c>
      <c r="O60" s="180">
        <f ca="1">IFERROR(__xludf.DUMMYFUNCTION("IMPORTRANGE(""https://docs.google.com/spreadsheets/d/1-uDff_7J0KD5mKrp0Vvzr7lt3OU09vwQwhkpOPPYv2Y/edit?usp=sharing"",""งบพรบ!CI60"")"),0)</f>
        <v>0</v>
      </c>
      <c r="P60" s="180">
        <f t="shared" ca="1" si="21"/>
        <v>0</v>
      </c>
      <c r="Q60" s="179">
        <f t="shared" ca="1" si="22"/>
        <v>0</v>
      </c>
      <c r="R60" s="92">
        <f ca="1">IFERROR(__xludf.DUMMYFUNCTION("IMPORTRANGE(""https://docs.google.com/spreadsheets/d/1YTZo6WM2dQ6Ix6FSdnL5P7uVnVKu40sxZu975tgG10E/edit?usp=sharing"",""นครปฐม!I167"")"),0)</f>
        <v>0</v>
      </c>
      <c r="S60" s="92">
        <f ca="1">IFERROR(__xludf.DUMMYFUNCTION("IMPORTRANGE(""https://docs.google.com/spreadsheets/d/1YTZo6WM2dQ6Ix6FSdnL5P7uVnVKu40sxZu975tgG10E/edit?usp=sharing"",""นครปฐม!J167"")"),0)</f>
        <v>0</v>
      </c>
      <c r="T60" s="93">
        <f t="shared" ca="1" si="24"/>
        <v>0</v>
      </c>
    </row>
    <row r="61" spans="1:20" ht="21" customHeight="1" x14ac:dyDescent="0.3">
      <c r="A61" s="84">
        <v>9</v>
      </c>
      <c r="B61" s="85" t="s">
        <v>83</v>
      </c>
      <c r="C61" s="174">
        <f t="shared" ca="1" si="15"/>
        <v>0</v>
      </c>
      <c r="D61" s="175">
        <f t="shared" ca="1" si="31"/>
        <v>0</v>
      </c>
      <c r="E61" s="176">
        <f ca="1">IFERROR(__xludf.DUMMYFUNCTION("IMPORTRANGE(""https://docs.google.com/spreadsheets/d/1-uDff_7J0KD5mKrp0Vvzr7lt3OU09vwQwhkpOPPYv2Y/edit?usp=sharing"",""งบพรบ!CB61"")"),0)</f>
        <v>0</v>
      </c>
      <c r="F61" s="176">
        <f ca="1">IFERROR(__xludf.DUMMYFUNCTION("IMPORTRANGE(""https://docs.google.com/spreadsheets/d/1-uDff_7J0KD5mKrp0Vvzr7lt3OU09vwQwhkpOPPYv2Y/edit?usp=sharing"",""งบพรบ!CC61"")"),0)</f>
        <v>0</v>
      </c>
      <c r="G61" s="176">
        <f ca="1">IFERROR(__xludf.DUMMYFUNCTION("IMPORTRANGE(""https://docs.google.com/spreadsheets/d/1-uDff_7J0KD5mKrp0Vvzr7lt3OU09vwQwhkpOPPYv2Y/edit?usp=sharing"",""งบพรบ!CD61"")"),0)</f>
        <v>0</v>
      </c>
      <c r="H61" s="176">
        <f ca="1">IFERROR(__xludf.DUMMYFUNCTION("IMPORTRANGE(""https://docs.google.com/spreadsheets/d/1-uDff_7J0KD5mKrp0Vvzr7lt3OU09vwQwhkpOPPYv2Y/edit?usp=sharing"",""งบพรบ!CF61"")"),0)</f>
        <v>0</v>
      </c>
      <c r="I61" s="176">
        <f ca="1">IFERROR(__xludf.DUMMYFUNCTION("IMPORTRANGE(""https://docs.google.com/spreadsheets/d/1-uDff_7J0KD5mKrp0Vvzr7lt3OU09vwQwhkpOPPYv2Y/edit?usp=sharing"",""งบพรบ!CG61"")"),0)</f>
        <v>0</v>
      </c>
      <c r="J61" s="176">
        <f t="shared" ca="1" si="17"/>
        <v>0</v>
      </c>
      <c r="K61" s="181">
        <f t="shared" ca="1" si="18"/>
        <v>0</v>
      </c>
      <c r="L61" s="176">
        <f ca="1">IFERROR(__xludf.DUMMYFUNCTION("IMPORTRANGE(""https://docs.google.com/spreadsheets/d/1-uDff_7J0KD5mKrp0Vvzr7lt3OU09vwQwhkpOPPYv2Y/edit?usp=sharing"",""งบพรบ!CH61"")"),0)</f>
        <v>0</v>
      </c>
      <c r="M61" s="179">
        <f t="shared" ca="1" si="19"/>
        <v>0</v>
      </c>
      <c r="N61" s="179">
        <f t="shared" ca="1" si="20"/>
        <v>0</v>
      </c>
      <c r="O61" s="180">
        <f ca="1">IFERROR(__xludf.DUMMYFUNCTION("IMPORTRANGE(""https://docs.google.com/spreadsheets/d/1-uDff_7J0KD5mKrp0Vvzr7lt3OU09vwQwhkpOPPYv2Y/edit?usp=sharing"",""งบพรบ!CI61"")"),0)</f>
        <v>0</v>
      </c>
      <c r="P61" s="180">
        <f t="shared" ca="1" si="21"/>
        <v>0</v>
      </c>
      <c r="Q61" s="179">
        <f t="shared" ca="1" si="22"/>
        <v>0</v>
      </c>
      <c r="R61" s="92">
        <f ca="1">IFERROR(__xludf.DUMMYFUNCTION("IMPORTRANGE(""https://docs.google.com/spreadsheets/d/1OYoGg4WDg5RIzwGeB10padOxJF9E_Vljuvvct_M7RDo/edit?usp=sharing"",""ปทุมธานี!I167"")"),0)</f>
        <v>0</v>
      </c>
      <c r="S61" s="92">
        <f ca="1">IFERROR(__xludf.DUMMYFUNCTION("IMPORTRANGE(""https://docs.google.com/spreadsheets/d/1OYoGg4WDg5RIzwGeB10padOxJF9E_Vljuvvct_M7RDo/edit?usp=sharing"",""ปทุมธานี!J167"")"),0)</f>
        <v>0</v>
      </c>
      <c r="T61" s="93">
        <f t="shared" ca="1" si="24"/>
        <v>0</v>
      </c>
    </row>
    <row r="62" spans="1:20" ht="21" customHeight="1" x14ac:dyDescent="0.3">
      <c r="A62" s="84">
        <v>10</v>
      </c>
      <c r="B62" s="85" t="s">
        <v>84</v>
      </c>
      <c r="C62" s="174">
        <f t="shared" ca="1" si="15"/>
        <v>3000</v>
      </c>
      <c r="D62" s="175">
        <f t="shared" ca="1" si="31"/>
        <v>3000</v>
      </c>
      <c r="E62" s="176">
        <f ca="1">IFERROR(__xludf.DUMMYFUNCTION("IMPORTRANGE(""https://docs.google.com/spreadsheets/d/1-uDff_7J0KD5mKrp0Vvzr7lt3OU09vwQwhkpOPPYv2Y/edit?usp=sharing"",""งบพรบ!CB62"")"),0)</f>
        <v>0</v>
      </c>
      <c r="F62" s="176">
        <f ca="1">IFERROR(__xludf.DUMMYFUNCTION("IMPORTRANGE(""https://docs.google.com/spreadsheets/d/1-uDff_7J0KD5mKrp0Vvzr7lt3OU09vwQwhkpOPPYv2Y/edit?usp=sharing"",""งบพรบ!CC62"")"),3000)</f>
        <v>3000</v>
      </c>
      <c r="G62" s="176">
        <f ca="1">IFERROR(__xludf.DUMMYFUNCTION("IMPORTRANGE(""https://docs.google.com/spreadsheets/d/1-uDff_7J0KD5mKrp0Vvzr7lt3OU09vwQwhkpOPPYv2Y/edit?usp=sharing"",""งบพรบ!CD62"")"),0)</f>
        <v>0</v>
      </c>
      <c r="H62" s="176">
        <f ca="1">IFERROR(__xludf.DUMMYFUNCTION("IMPORTRANGE(""https://docs.google.com/spreadsheets/d/1-uDff_7J0KD5mKrp0Vvzr7lt3OU09vwQwhkpOPPYv2Y/edit?usp=sharing"",""งบพรบ!CF62"")"),0)</f>
        <v>0</v>
      </c>
      <c r="I62" s="176">
        <f ca="1">IFERROR(__xludf.DUMMYFUNCTION("IMPORTRANGE(""https://docs.google.com/spreadsheets/d/1-uDff_7J0KD5mKrp0Vvzr7lt3OU09vwQwhkpOPPYv2Y/edit?usp=sharing"",""งบพรบ!CG62"")"),0)</f>
        <v>0</v>
      </c>
      <c r="J62" s="176">
        <f t="shared" ca="1" si="17"/>
        <v>0</v>
      </c>
      <c r="K62" s="181">
        <f t="shared" ca="1" si="18"/>
        <v>0</v>
      </c>
      <c r="L62" s="176">
        <f ca="1">IFERROR(__xludf.DUMMYFUNCTION("IMPORTRANGE(""https://docs.google.com/spreadsheets/d/1-uDff_7J0KD5mKrp0Vvzr7lt3OU09vwQwhkpOPPYv2Y/edit?usp=sharing"",""งบพรบ!CH62"")"),0)</f>
        <v>0</v>
      </c>
      <c r="M62" s="179">
        <f t="shared" ca="1" si="19"/>
        <v>0</v>
      </c>
      <c r="N62" s="179">
        <f t="shared" ca="1" si="20"/>
        <v>0</v>
      </c>
      <c r="O62" s="180">
        <f ca="1">IFERROR(__xludf.DUMMYFUNCTION("IMPORTRANGE(""https://docs.google.com/spreadsheets/d/1-uDff_7J0KD5mKrp0Vvzr7lt3OU09vwQwhkpOPPYv2Y/edit?usp=sharing"",""งบพรบ!CI62"")"),0)</f>
        <v>0</v>
      </c>
      <c r="P62" s="180">
        <f t="shared" ca="1" si="21"/>
        <v>0</v>
      </c>
      <c r="Q62" s="179">
        <f t="shared" ca="1" si="22"/>
        <v>0</v>
      </c>
      <c r="R62" s="92">
        <f ca="1">IFERROR(__xludf.DUMMYFUNCTION("IMPORTRANGE(""https://docs.google.com/spreadsheets/d/1GbCIE4D4wk9FUozzqk7SxfDMxDVBwVmI5zcaVUSzKAc/edit?usp=sharing"",""ประจวบคีรีขันธ์!I167"")"),10)</f>
        <v>10</v>
      </c>
      <c r="S62" s="92">
        <f ca="1">IFERROR(__xludf.DUMMYFUNCTION("IMPORTRANGE(""https://docs.google.com/spreadsheets/d/1GbCIE4D4wk9FUozzqk7SxfDMxDVBwVmI5zcaVUSzKAc/edit?usp=sharing"",""ประจวบคีรีขันธ์!J167"")"),0)</f>
        <v>0</v>
      </c>
      <c r="T62" s="93">
        <f t="shared" ca="1" si="24"/>
        <v>0</v>
      </c>
    </row>
    <row r="63" spans="1:20" ht="21" customHeight="1" x14ac:dyDescent="0.3">
      <c r="A63" s="84">
        <v>11</v>
      </c>
      <c r="B63" s="85" t="s">
        <v>85</v>
      </c>
      <c r="C63" s="174">
        <f t="shared" ca="1" si="15"/>
        <v>0</v>
      </c>
      <c r="D63" s="175">
        <f t="shared" ca="1" si="31"/>
        <v>0</v>
      </c>
      <c r="E63" s="176">
        <f ca="1">IFERROR(__xludf.DUMMYFUNCTION("IMPORTRANGE(""https://docs.google.com/spreadsheets/d/1-uDff_7J0KD5mKrp0Vvzr7lt3OU09vwQwhkpOPPYv2Y/edit?usp=sharing"",""งบพรบ!CB63"")"),0)</f>
        <v>0</v>
      </c>
      <c r="F63" s="176">
        <f ca="1">IFERROR(__xludf.DUMMYFUNCTION("IMPORTRANGE(""https://docs.google.com/spreadsheets/d/1-uDff_7J0KD5mKrp0Vvzr7lt3OU09vwQwhkpOPPYv2Y/edit?usp=sharing"",""งบพรบ!CC63"")"),0)</f>
        <v>0</v>
      </c>
      <c r="G63" s="176">
        <f ca="1">IFERROR(__xludf.DUMMYFUNCTION("IMPORTRANGE(""https://docs.google.com/spreadsheets/d/1-uDff_7J0KD5mKrp0Vvzr7lt3OU09vwQwhkpOPPYv2Y/edit?usp=sharing"",""งบพรบ!CD63"")"),0)</f>
        <v>0</v>
      </c>
      <c r="H63" s="176">
        <f ca="1">IFERROR(__xludf.DUMMYFUNCTION("IMPORTRANGE(""https://docs.google.com/spreadsheets/d/1-uDff_7J0KD5mKrp0Vvzr7lt3OU09vwQwhkpOPPYv2Y/edit?usp=sharing"",""งบพรบ!CF63"")"),0)</f>
        <v>0</v>
      </c>
      <c r="I63" s="176">
        <f ca="1">IFERROR(__xludf.DUMMYFUNCTION("IMPORTRANGE(""https://docs.google.com/spreadsheets/d/1-uDff_7J0KD5mKrp0Vvzr7lt3OU09vwQwhkpOPPYv2Y/edit?usp=sharing"",""งบพรบ!CG63"")"),0)</f>
        <v>0</v>
      </c>
      <c r="J63" s="176">
        <f t="shared" ca="1" si="17"/>
        <v>0</v>
      </c>
      <c r="K63" s="181">
        <f t="shared" ca="1" si="18"/>
        <v>0</v>
      </c>
      <c r="L63" s="176">
        <f ca="1">IFERROR(__xludf.DUMMYFUNCTION("IMPORTRANGE(""https://docs.google.com/spreadsheets/d/1-uDff_7J0KD5mKrp0Vvzr7lt3OU09vwQwhkpOPPYv2Y/edit?usp=sharing"",""งบพรบ!CH63"")"),0)</f>
        <v>0</v>
      </c>
      <c r="M63" s="179">
        <f t="shared" ca="1" si="19"/>
        <v>0</v>
      </c>
      <c r="N63" s="179">
        <f t="shared" ca="1" si="20"/>
        <v>0</v>
      </c>
      <c r="O63" s="180">
        <f ca="1">IFERROR(__xludf.DUMMYFUNCTION("IMPORTRANGE(""https://docs.google.com/spreadsheets/d/1-uDff_7J0KD5mKrp0Vvzr7lt3OU09vwQwhkpOPPYv2Y/edit?usp=sharing"",""งบพรบ!CI63"")"),0)</f>
        <v>0</v>
      </c>
      <c r="P63" s="180">
        <f t="shared" ca="1" si="21"/>
        <v>0</v>
      </c>
      <c r="Q63" s="179">
        <f t="shared" ca="1" si="22"/>
        <v>0</v>
      </c>
      <c r="R63" s="92">
        <f ca="1">IFERROR(__xludf.DUMMYFUNCTION("IMPORTRANGE(""https://docs.google.com/spreadsheets/d/1vVf6wykvW_lAyu7Yo9L4hUTqHqIeP_qcVuxCtosJEbg/edit?usp=sharing"",""ปราจีนบุรี!I167"")"),0)</f>
        <v>0</v>
      </c>
      <c r="S63" s="92">
        <f ca="1">IFERROR(__xludf.DUMMYFUNCTION("IMPORTRANGE(""https://docs.google.com/spreadsheets/d/1vVf6wykvW_lAyu7Yo9L4hUTqHqIeP_qcVuxCtosJEbg/edit?usp=sharing"",""ปราจีนบุรี!J167"")"),0)</f>
        <v>0</v>
      </c>
      <c r="T63" s="93">
        <f t="shared" ca="1" si="24"/>
        <v>0</v>
      </c>
    </row>
    <row r="64" spans="1:20" ht="21" customHeight="1" x14ac:dyDescent="0.3">
      <c r="A64" s="84">
        <v>12</v>
      </c>
      <c r="B64" s="85" t="s">
        <v>86</v>
      </c>
      <c r="C64" s="174">
        <f t="shared" ca="1" si="15"/>
        <v>3000</v>
      </c>
      <c r="D64" s="175">
        <f t="shared" ca="1" si="31"/>
        <v>3000</v>
      </c>
      <c r="E64" s="176">
        <f ca="1">IFERROR(__xludf.DUMMYFUNCTION("IMPORTRANGE(""https://docs.google.com/spreadsheets/d/1-uDff_7J0KD5mKrp0Vvzr7lt3OU09vwQwhkpOPPYv2Y/edit?usp=sharing"",""งบพรบ!CB64"")"),0)</f>
        <v>0</v>
      </c>
      <c r="F64" s="176">
        <f ca="1">IFERROR(__xludf.DUMMYFUNCTION("IMPORTRANGE(""https://docs.google.com/spreadsheets/d/1-uDff_7J0KD5mKrp0Vvzr7lt3OU09vwQwhkpOPPYv2Y/edit?usp=sharing"",""งบพรบ!CC64"")"),3000)</f>
        <v>3000</v>
      </c>
      <c r="G64" s="176">
        <f ca="1">IFERROR(__xludf.DUMMYFUNCTION("IMPORTRANGE(""https://docs.google.com/spreadsheets/d/1-uDff_7J0KD5mKrp0Vvzr7lt3OU09vwQwhkpOPPYv2Y/edit?usp=sharing"",""งบพรบ!CD64"")"),0)</f>
        <v>0</v>
      </c>
      <c r="H64" s="176">
        <f ca="1">IFERROR(__xludf.DUMMYFUNCTION("IMPORTRANGE(""https://docs.google.com/spreadsheets/d/1-uDff_7J0KD5mKrp0Vvzr7lt3OU09vwQwhkpOPPYv2Y/edit?usp=sharing"",""งบพรบ!CF64"")"),0)</f>
        <v>0</v>
      </c>
      <c r="I64" s="176">
        <f ca="1">IFERROR(__xludf.DUMMYFUNCTION("IMPORTRANGE(""https://docs.google.com/spreadsheets/d/1-uDff_7J0KD5mKrp0Vvzr7lt3OU09vwQwhkpOPPYv2Y/edit?usp=sharing"",""งบพรบ!CG64"")"),0)</f>
        <v>0</v>
      </c>
      <c r="J64" s="176">
        <f t="shared" ca="1" si="17"/>
        <v>0</v>
      </c>
      <c r="K64" s="181">
        <f t="shared" ca="1" si="18"/>
        <v>0</v>
      </c>
      <c r="L64" s="176">
        <f ca="1">IFERROR(__xludf.DUMMYFUNCTION("IMPORTRANGE(""https://docs.google.com/spreadsheets/d/1-uDff_7J0KD5mKrp0Vvzr7lt3OU09vwQwhkpOPPYv2Y/edit?usp=sharing"",""งบพรบ!CH64"")"),0)</f>
        <v>0</v>
      </c>
      <c r="M64" s="179">
        <f t="shared" ca="1" si="19"/>
        <v>0</v>
      </c>
      <c r="N64" s="179">
        <f t="shared" ca="1" si="20"/>
        <v>0</v>
      </c>
      <c r="O64" s="180">
        <f ca="1">IFERROR(__xludf.DUMMYFUNCTION("IMPORTRANGE(""https://docs.google.com/spreadsheets/d/1-uDff_7J0KD5mKrp0Vvzr7lt3OU09vwQwhkpOPPYv2Y/edit?usp=sharing"",""งบพรบ!CI64"")"),0)</f>
        <v>0</v>
      </c>
      <c r="P64" s="180">
        <f t="shared" ca="1" si="21"/>
        <v>0</v>
      </c>
      <c r="Q64" s="179">
        <f t="shared" ca="1" si="22"/>
        <v>0</v>
      </c>
      <c r="R64" s="92">
        <f ca="1">IFERROR(__xludf.DUMMYFUNCTION("IMPORTRANGE(""https://docs.google.com/spreadsheets/d/1BIDqLLg5jk3v59G8NlR8rk5xfQDKne0sAvZHSj7TI6I/edit?usp=sharing"",""พระนครศรีอยุธยา!I167"")"),10)</f>
        <v>10</v>
      </c>
      <c r="S64" s="92">
        <f ca="1">IFERROR(__xludf.DUMMYFUNCTION("IMPORTRANGE(""https://docs.google.com/spreadsheets/d/1BIDqLLg5jk3v59G8NlR8rk5xfQDKne0sAvZHSj7TI6I/edit?usp=sharing"",""พระนครศรีอยุธยา!J167"")"),0)</f>
        <v>0</v>
      </c>
      <c r="T64" s="93">
        <f t="shared" ca="1" si="24"/>
        <v>0</v>
      </c>
    </row>
    <row r="65" spans="1:20" ht="21" customHeight="1" x14ac:dyDescent="0.3">
      <c r="A65" s="84">
        <v>13</v>
      </c>
      <c r="B65" s="85" t="s">
        <v>87</v>
      </c>
      <c r="C65" s="174">
        <f t="shared" ca="1" si="15"/>
        <v>3000</v>
      </c>
      <c r="D65" s="175">
        <f t="shared" ca="1" si="31"/>
        <v>3000</v>
      </c>
      <c r="E65" s="176">
        <f ca="1">IFERROR(__xludf.DUMMYFUNCTION("IMPORTRANGE(""https://docs.google.com/spreadsheets/d/1-uDff_7J0KD5mKrp0Vvzr7lt3OU09vwQwhkpOPPYv2Y/edit?usp=sharing"",""งบพรบ!CB65"")"),0)</f>
        <v>0</v>
      </c>
      <c r="F65" s="176">
        <f ca="1">IFERROR(__xludf.DUMMYFUNCTION("IMPORTRANGE(""https://docs.google.com/spreadsheets/d/1-uDff_7J0KD5mKrp0Vvzr7lt3OU09vwQwhkpOPPYv2Y/edit?usp=sharing"",""งบพรบ!CC65"")"),3000)</f>
        <v>3000</v>
      </c>
      <c r="G65" s="176">
        <f ca="1">IFERROR(__xludf.DUMMYFUNCTION("IMPORTRANGE(""https://docs.google.com/spreadsheets/d/1-uDff_7J0KD5mKrp0Vvzr7lt3OU09vwQwhkpOPPYv2Y/edit?usp=sharing"",""งบพรบ!CD65"")"),0)</f>
        <v>0</v>
      </c>
      <c r="H65" s="176">
        <f ca="1">IFERROR(__xludf.DUMMYFUNCTION("IMPORTRANGE(""https://docs.google.com/spreadsheets/d/1-uDff_7J0KD5mKrp0Vvzr7lt3OU09vwQwhkpOPPYv2Y/edit?usp=sharing"",""งบพรบ!CF65"")"),0)</f>
        <v>0</v>
      </c>
      <c r="I65" s="176">
        <f ca="1">IFERROR(__xludf.DUMMYFUNCTION("IMPORTRANGE(""https://docs.google.com/spreadsheets/d/1-uDff_7J0KD5mKrp0Vvzr7lt3OU09vwQwhkpOPPYv2Y/edit?usp=sharing"",""งบพรบ!CG65"")"),0)</f>
        <v>0</v>
      </c>
      <c r="J65" s="176">
        <f t="shared" ca="1" si="17"/>
        <v>0</v>
      </c>
      <c r="K65" s="181">
        <f t="shared" ca="1" si="18"/>
        <v>0</v>
      </c>
      <c r="L65" s="176">
        <f ca="1">IFERROR(__xludf.DUMMYFUNCTION("IMPORTRANGE(""https://docs.google.com/spreadsheets/d/1-uDff_7J0KD5mKrp0Vvzr7lt3OU09vwQwhkpOPPYv2Y/edit?usp=sharing"",""งบพรบ!CH65"")"),0)</f>
        <v>0</v>
      </c>
      <c r="M65" s="179">
        <f t="shared" ca="1" si="19"/>
        <v>0</v>
      </c>
      <c r="N65" s="179">
        <f t="shared" ca="1" si="20"/>
        <v>0</v>
      </c>
      <c r="O65" s="180">
        <f ca="1">IFERROR(__xludf.DUMMYFUNCTION("IMPORTRANGE(""https://docs.google.com/spreadsheets/d/1-uDff_7J0KD5mKrp0Vvzr7lt3OU09vwQwhkpOPPYv2Y/edit?usp=sharing"",""งบพรบ!CI65"")"),0)</f>
        <v>0</v>
      </c>
      <c r="P65" s="180">
        <f t="shared" ca="1" si="21"/>
        <v>0</v>
      </c>
      <c r="Q65" s="179">
        <f t="shared" ca="1" si="22"/>
        <v>0</v>
      </c>
      <c r="R65" s="92">
        <f ca="1">IFERROR(__xludf.DUMMYFUNCTION("IMPORTRANGE(""https://docs.google.com/spreadsheets/d/1YXvxf8Yu6_rV4hTBrwMqAcAnv6DfhUxh5emyM3CJp_w/edit?usp=sharing"",""เพชรบุรี!I167"")"),10)</f>
        <v>10</v>
      </c>
      <c r="S65" s="92">
        <f ca="1">IFERROR(__xludf.DUMMYFUNCTION("IMPORTRANGE(""https://docs.google.com/spreadsheets/d/1YXvxf8Yu6_rV4hTBrwMqAcAnv6DfhUxh5emyM3CJp_w/edit?usp=sharing"",""เพชรบุรี!J167"")"),0)</f>
        <v>0</v>
      </c>
      <c r="T65" s="93">
        <f t="shared" ca="1" si="24"/>
        <v>0</v>
      </c>
    </row>
    <row r="66" spans="1:20" ht="21" customHeight="1" x14ac:dyDescent="0.3">
      <c r="A66" s="84">
        <v>14</v>
      </c>
      <c r="B66" s="85" t="s">
        <v>88</v>
      </c>
      <c r="C66" s="174">
        <f t="shared" ca="1" si="15"/>
        <v>0</v>
      </c>
      <c r="D66" s="175">
        <f t="shared" ca="1" si="31"/>
        <v>0</v>
      </c>
      <c r="E66" s="176">
        <f ca="1">IFERROR(__xludf.DUMMYFUNCTION("IMPORTRANGE(""https://docs.google.com/spreadsheets/d/1-uDff_7J0KD5mKrp0Vvzr7lt3OU09vwQwhkpOPPYv2Y/edit?usp=sharing"",""งบพรบ!CB66"")"),0)</f>
        <v>0</v>
      </c>
      <c r="F66" s="176">
        <f ca="1">IFERROR(__xludf.DUMMYFUNCTION("IMPORTRANGE(""https://docs.google.com/spreadsheets/d/1-uDff_7J0KD5mKrp0Vvzr7lt3OU09vwQwhkpOPPYv2Y/edit?usp=sharing"",""งบพรบ!CC66"")"),0)</f>
        <v>0</v>
      </c>
      <c r="G66" s="176">
        <f ca="1">IFERROR(__xludf.DUMMYFUNCTION("IMPORTRANGE(""https://docs.google.com/spreadsheets/d/1-uDff_7J0KD5mKrp0Vvzr7lt3OU09vwQwhkpOPPYv2Y/edit?usp=sharing"",""งบพรบ!CD66"")"),0)</f>
        <v>0</v>
      </c>
      <c r="H66" s="176">
        <f ca="1">IFERROR(__xludf.DUMMYFUNCTION("IMPORTRANGE(""https://docs.google.com/spreadsheets/d/1-uDff_7J0KD5mKrp0Vvzr7lt3OU09vwQwhkpOPPYv2Y/edit?usp=sharing"",""งบพรบ!CF66"")"),0)</f>
        <v>0</v>
      </c>
      <c r="I66" s="176">
        <f ca="1">IFERROR(__xludf.DUMMYFUNCTION("IMPORTRANGE(""https://docs.google.com/spreadsheets/d/1-uDff_7J0KD5mKrp0Vvzr7lt3OU09vwQwhkpOPPYv2Y/edit?usp=sharing"",""งบพรบ!CG66"")"),0)</f>
        <v>0</v>
      </c>
      <c r="J66" s="176">
        <f t="shared" ca="1" si="17"/>
        <v>0</v>
      </c>
      <c r="K66" s="181">
        <f t="shared" ca="1" si="18"/>
        <v>0</v>
      </c>
      <c r="L66" s="176">
        <f ca="1">IFERROR(__xludf.DUMMYFUNCTION("IMPORTRANGE(""https://docs.google.com/spreadsheets/d/1-uDff_7J0KD5mKrp0Vvzr7lt3OU09vwQwhkpOPPYv2Y/edit?usp=sharing"",""งบพรบ!CH66"")"),0)</f>
        <v>0</v>
      </c>
      <c r="M66" s="179">
        <f t="shared" ca="1" si="19"/>
        <v>0</v>
      </c>
      <c r="N66" s="179">
        <f t="shared" ca="1" si="20"/>
        <v>0</v>
      </c>
      <c r="O66" s="180">
        <f ca="1">IFERROR(__xludf.DUMMYFUNCTION("IMPORTRANGE(""https://docs.google.com/spreadsheets/d/1-uDff_7J0KD5mKrp0Vvzr7lt3OU09vwQwhkpOPPYv2Y/edit?usp=sharing"",""งบพรบ!CI66"")"),0)</f>
        <v>0</v>
      </c>
      <c r="P66" s="180">
        <f t="shared" ca="1" si="21"/>
        <v>0</v>
      </c>
      <c r="Q66" s="179">
        <f t="shared" ca="1" si="22"/>
        <v>0</v>
      </c>
      <c r="R66" s="92">
        <f ca="1">IFERROR(__xludf.DUMMYFUNCTION("IMPORTRANGE(""https://docs.google.com/spreadsheets/d/19KBlQQs7uwvsao6t2n-KvW3Ax8J8uRRfZPq1zPbXgKc/edit?usp=sharing"",""ระยอง!I167"")"),0)</f>
        <v>0</v>
      </c>
      <c r="S66" s="92">
        <f ca="1">IFERROR(__xludf.DUMMYFUNCTION("IMPORTRANGE(""https://docs.google.com/spreadsheets/d/19KBlQQs7uwvsao6t2n-KvW3Ax8J8uRRfZPq1zPbXgKc/edit?usp=sharing"",""ระยอง!J167"")"),0)</f>
        <v>0</v>
      </c>
      <c r="T66" s="93">
        <f t="shared" ca="1" si="24"/>
        <v>0</v>
      </c>
    </row>
    <row r="67" spans="1:20" ht="21" customHeight="1" x14ac:dyDescent="0.3">
      <c r="A67" s="84">
        <v>15</v>
      </c>
      <c r="B67" s="85" t="s">
        <v>89</v>
      </c>
      <c r="C67" s="174">
        <f t="shared" ca="1" si="15"/>
        <v>3000</v>
      </c>
      <c r="D67" s="175">
        <f t="shared" ca="1" si="31"/>
        <v>3000</v>
      </c>
      <c r="E67" s="176">
        <f ca="1">IFERROR(__xludf.DUMMYFUNCTION("IMPORTRANGE(""https://docs.google.com/spreadsheets/d/1-uDff_7J0KD5mKrp0Vvzr7lt3OU09vwQwhkpOPPYv2Y/edit?usp=sharing"",""งบพรบ!CB67"")"),0)</f>
        <v>0</v>
      </c>
      <c r="F67" s="176">
        <f ca="1">IFERROR(__xludf.DUMMYFUNCTION("IMPORTRANGE(""https://docs.google.com/spreadsheets/d/1-uDff_7J0KD5mKrp0Vvzr7lt3OU09vwQwhkpOPPYv2Y/edit?usp=sharing"",""งบพรบ!CC67"")"),3000)</f>
        <v>3000</v>
      </c>
      <c r="G67" s="176">
        <f ca="1">IFERROR(__xludf.DUMMYFUNCTION("IMPORTRANGE(""https://docs.google.com/spreadsheets/d/1-uDff_7J0KD5mKrp0Vvzr7lt3OU09vwQwhkpOPPYv2Y/edit?usp=sharing"",""งบพรบ!CD67"")"),0)</f>
        <v>0</v>
      </c>
      <c r="H67" s="176">
        <f ca="1">IFERROR(__xludf.DUMMYFUNCTION("IMPORTRANGE(""https://docs.google.com/spreadsheets/d/1-uDff_7J0KD5mKrp0Vvzr7lt3OU09vwQwhkpOPPYv2Y/edit?usp=sharing"",""งบพรบ!CF67"")"),0)</f>
        <v>0</v>
      </c>
      <c r="I67" s="176">
        <f ca="1">IFERROR(__xludf.DUMMYFUNCTION("IMPORTRANGE(""https://docs.google.com/spreadsheets/d/1-uDff_7J0KD5mKrp0Vvzr7lt3OU09vwQwhkpOPPYv2Y/edit?usp=sharing"",""งบพรบ!CG67"")"),0)</f>
        <v>0</v>
      </c>
      <c r="J67" s="176">
        <f t="shared" ca="1" si="17"/>
        <v>0</v>
      </c>
      <c r="K67" s="181">
        <f t="shared" ca="1" si="18"/>
        <v>0</v>
      </c>
      <c r="L67" s="176">
        <f ca="1">IFERROR(__xludf.DUMMYFUNCTION("IMPORTRANGE(""https://docs.google.com/spreadsheets/d/1-uDff_7J0KD5mKrp0Vvzr7lt3OU09vwQwhkpOPPYv2Y/edit?usp=sharing"",""งบพรบ!CH67"")"),0)</f>
        <v>0</v>
      </c>
      <c r="M67" s="179">
        <f t="shared" ca="1" si="19"/>
        <v>0</v>
      </c>
      <c r="N67" s="179">
        <f t="shared" ca="1" si="20"/>
        <v>0</v>
      </c>
      <c r="O67" s="180">
        <f ca="1">IFERROR(__xludf.DUMMYFUNCTION("IMPORTRANGE(""https://docs.google.com/spreadsheets/d/1-uDff_7J0KD5mKrp0Vvzr7lt3OU09vwQwhkpOPPYv2Y/edit?usp=sharing"",""งบพรบ!CI67"")"),0)</f>
        <v>0</v>
      </c>
      <c r="P67" s="180">
        <f t="shared" ca="1" si="21"/>
        <v>0</v>
      </c>
      <c r="Q67" s="179">
        <f t="shared" ca="1" si="22"/>
        <v>0</v>
      </c>
      <c r="R67" s="92">
        <f ca="1">IFERROR(__xludf.DUMMYFUNCTION("IMPORTRANGE(""https://docs.google.com/spreadsheets/d/1jQ6P4QcrGM89YfqcC_PxOHGCMq5ezhucwJd8ci-NHng/edit?usp=sharing"",""ราชบุรี!I167"")"),10)</f>
        <v>10</v>
      </c>
      <c r="S67" s="92">
        <f ca="1">IFERROR(__xludf.DUMMYFUNCTION("IMPORTRANGE(""https://docs.google.com/spreadsheets/d/1jQ6P4QcrGM89YfqcC_PxOHGCMq5ezhucwJd8ci-NHng/edit?usp=sharing"",""ราชบุรี!J167"")"),0)</f>
        <v>0</v>
      </c>
      <c r="T67" s="93">
        <f t="shared" ca="1" si="24"/>
        <v>0</v>
      </c>
    </row>
    <row r="68" spans="1:20" ht="24" customHeight="1" x14ac:dyDescent="0.3">
      <c r="A68" s="84">
        <v>16</v>
      </c>
      <c r="B68" s="85" t="s">
        <v>90</v>
      </c>
      <c r="C68" s="174">
        <f t="shared" ca="1" si="15"/>
        <v>3000</v>
      </c>
      <c r="D68" s="175">
        <f t="shared" ca="1" si="31"/>
        <v>3000</v>
      </c>
      <c r="E68" s="176">
        <f ca="1">IFERROR(__xludf.DUMMYFUNCTION("IMPORTRANGE(""https://docs.google.com/spreadsheets/d/1-uDff_7J0KD5mKrp0Vvzr7lt3OU09vwQwhkpOPPYv2Y/edit?usp=sharing"",""งบพรบ!CB68"")"),0)</f>
        <v>0</v>
      </c>
      <c r="F68" s="176">
        <f ca="1">IFERROR(__xludf.DUMMYFUNCTION("IMPORTRANGE(""https://docs.google.com/spreadsheets/d/1-uDff_7J0KD5mKrp0Vvzr7lt3OU09vwQwhkpOPPYv2Y/edit?usp=sharing"",""งบพรบ!CC68"")"),3000)</f>
        <v>3000</v>
      </c>
      <c r="G68" s="176">
        <f ca="1">IFERROR(__xludf.DUMMYFUNCTION("IMPORTRANGE(""https://docs.google.com/spreadsheets/d/1-uDff_7J0KD5mKrp0Vvzr7lt3OU09vwQwhkpOPPYv2Y/edit?usp=sharing"",""งบพรบ!CD68"")"),0)</f>
        <v>0</v>
      </c>
      <c r="H68" s="176">
        <f ca="1">IFERROR(__xludf.DUMMYFUNCTION("IMPORTRANGE(""https://docs.google.com/spreadsheets/d/1-uDff_7J0KD5mKrp0Vvzr7lt3OU09vwQwhkpOPPYv2Y/edit?usp=sharing"",""งบพรบ!CF68"")"),0)</f>
        <v>0</v>
      </c>
      <c r="I68" s="176">
        <f ca="1">IFERROR(__xludf.DUMMYFUNCTION("IMPORTRANGE(""https://docs.google.com/spreadsheets/d/1-uDff_7J0KD5mKrp0Vvzr7lt3OU09vwQwhkpOPPYv2Y/edit?usp=sharing"",""งบพรบ!CG68"")"),0)</f>
        <v>0</v>
      </c>
      <c r="J68" s="176">
        <f t="shared" ca="1" si="17"/>
        <v>0</v>
      </c>
      <c r="K68" s="181">
        <f t="shared" ca="1" si="18"/>
        <v>0</v>
      </c>
      <c r="L68" s="176">
        <f ca="1">IFERROR(__xludf.DUMMYFUNCTION("IMPORTRANGE(""https://docs.google.com/spreadsheets/d/1-uDff_7J0KD5mKrp0Vvzr7lt3OU09vwQwhkpOPPYv2Y/edit?usp=sharing"",""งบพรบ!CH68"")"),0)</f>
        <v>0</v>
      </c>
      <c r="M68" s="179">
        <f t="shared" ca="1" si="19"/>
        <v>0</v>
      </c>
      <c r="N68" s="179">
        <f t="shared" ca="1" si="20"/>
        <v>0</v>
      </c>
      <c r="O68" s="180">
        <f ca="1">IFERROR(__xludf.DUMMYFUNCTION("IMPORTRANGE(""https://docs.google.com/spreadsheets/d/1-uDff_7J0KD5mKrp0Vvzr7lt3OU09vwQwhkpOPPYv2Y/edit?usp=sharing"",""งบพรบ!CI68"")"),0)</f>
        <v>0</v>
      </c>
      <c r="P68" s="180">
        <f t="shared" ca="1" si="21"/>
        <v>0</v>
      </c>
      <c r="Q68" s="179">
        <f t="shared" ca="1" si="22"/>
        <v>0</v>
      </c>
      <c r="R68" s="92">
        <f ca="1">IFERROR(__xludf.DUMMYFUNCTION("IMPORTRANGE(""https://docs.google.com/spreadsheets/d/1lufeA2cfFqM-elVq2hznhDzC6Pr7wkJ9ZG_sYNGCMCU/edit?usp=sharing"",""ลพบุรี!I167"")"),10)</f>
        <v>10</v>
      </c>
      <c r="S68" s="92">
        <f ca="1">IFERROR(__xludf.DUMMYFUNCTION("IMPORTRANGE(""https://docs.google.com/spreadsheets/d/1lufeA2cfFqM-elVq2hznhDzC6Pr7wkJ9ZG_sYNGCMCU/edit?usp=sharing"",""ลพบุรี!J167"")"),0)</f>
        <v>0</v>
      </c>
      <c r="T68" s="93">
        <f t="shared" ca="1" si="24"/>
        <v>0</v>
      </c>
    </row>
    <row r="69" spans="1:20" ht="21" customHeight="1" x14ac:dyDescent="0.3">
      <c r="A69" s="84">
        <v>17</v>
      </c>
      <c r="B69" s="85" t="s">
        <v>91</v>
      </c>
      <c r="C69" s="174">
        <f t="shared" ca="1" si="15"/>
        <v>0</v>
      </c>
      <c r="D69" s="175">
        <f t="shared" ca="1" si="31"/>
        <v>0</v>
      </c>
      <c r="E69" s="176">
        <f ca="1">IFERROR(__xludf.DUMMYFUNCTION("IMPORTRANGE(""https://docs.google.com/spreadsheets/d/1-uDff_7J0KD5mKrp0Vvzr7lt3OU09vwQwhkpOPPYv2Y/edit?usp=sharing"",""งบพรบ!CB69"")"),0)</f>
        <v>0</v>
      </c>
      <c r="F69" s="176">
        <f ca="1">IFERROR(__xludf.DUMMYFUNCTION("IMPORTRANGE(""https://docs.google.com/spreadsheets/d/1-uDff_7J0KD5mKrp0Vvzr7lt3OU09vwQwhkpOPPYv2Y/edit?usp=sharing"",""งบพรบ!CC69"")"),0)</f>
        <v>0</v>
      </c>
      <c r="G69" s="176">
        <f ca="1">IFERROR(__xludf.DUMMYFUNCTION("IMPORTRANGE(""https://docs.google.com/spreadsheets/d/1-uDff_7J0KD5mKrp0Vvzr7lt3OU09vwQwhkpOPPYv2Y/edit?usp=sharing"",""งบพรบ!CD69"")"),0)</f>
        <v>0</v>
      </c>
      <c r="H69" s="176">
        <f ca="1">IFERROR(__xludf.DUMMYFUNCTION("IMPORTRANGE(""https://docs.google.com/spreadsheets/d/1-uDff_7J0KD5mKrp0Vvzr7lt3OU09vwQwhkpOPPYv2Y/edit?usp=sharing"",""งบพรบ!CF69"")"),0)</f>
        <v>0</v>
      </c>
      <c r="I69" s="176">
        <f ca="1">IFERROR(__xludf.DUMMYFUNCTION("IMPORTRANGE(""https://docs.google.com/spreadsheets/d/1-uDff_7J0KD5mKrp0Vvzr7lt3OU09vwQwhkpOPPYv2Y/edit?usp=sharing"",""งบพรบ!CG69"")"),0)</f>
        <v>0</v>
      </c>
      <c r="J69" s="176">
        <f t="shared" ca="1" si="17"/>
        <v>0</v>
      </c>
      <c r="K69" s="181">
        <f t="shared" ca="1" si="18"/>
        <v>0</v>
      </c>
      <c r="L69" s="176">
        <f ca="1">IFERROR(__xludf.DUMMYFUNCTION("IMPORTRANGE(""https://docs.google.com/spreadsheets/d/1-uDff_7J0KD5mKrp0Vvzr7lt3OU09vwQwhkpOPPYv2Y/edit?usp=sharing"",""งบพรบ!CH69"")"),0)</f>
        <v>0</v>
      </c>
      <c r="M69" s="179">
        <f t="shared" ca="1" si="19"/>
        <v>0</v>
      </c>
      <c r="N69" s="179">
        <f t="shared" ca="1" si="20"/>
        <v>0</v>
      </c>
      <c r="O69" s="180">
        <f ca="1">IFERROR(__xludf.DUMMYFUNCTION("IMPORTRANGE(""https://docs.google.com/spreadsheets/d/1-uDff_7J0KD5mKrp0Vvzr7lt3OU09vwQwhkpOPPYv2Y/edit?usp=sharing"",""งบพรบ!CI69"")"),0)</f>
        <v>0</v>
      </c>
      <c r="P69" s="180">
        <f t="shared" ca="1" si="21"/>
        <v>0</v>
      </c>
      <c r="Q69" s="179">
        <f t="shared" ca="1" si="22"/>
        <v>0</v>
      </c>
      <c r="R69" s="92">
        <f ca="1">IFERROR(__xludf.DUMMYFUNCTION("IMPORTRANGE(""https://docs.google.com/spreadsheets/d/10oOiF7loTyfsTkbd4MpaIm0HQ9SwB7IYHdIUvt-U1Uc/edit?usp=sharing"",""สระแก้ว!I167"")"),0)</f>
        <v>0</v>
      </c>
      <c r="S69" s="92">
        <f ca="1">IFERROR(__xludf.DUMMYFUNCTION("IMPORTRANGE(""https://docs.google.com/spreadsheets/d/10oOiF7loTyfsTkbd4MpaIm0HQ9SwB7IYHdIUvt-U1Uc/edit?usp=sharing"",""สระแก้ว!J167"")"),0)</f>
        <v>0</v>
      </c>
      <c r="T69" s="93">
        <f t="shared" ca="1" si="24"/>
        <v>0</v>
      </c>
    </row>
    <row r="70" spans="1:20" ht="21" customHeight="1" x14ac:dyDescent="0.3">
      <c r="A70" s="84">
        <v>18</v>
      </c>
      <c r="B70" s="85" t="s">
        <v>92</v>
      </c>
      <c r="C70" s="174">
        <f t="shared" ca="1" si="15"/>
        <v>4500</v>
      </c>
      <c r="D70" s="175">
        <f t="shared" ca="1" si="31"/>
        <v>4500</v>
      </c>
      <c r="E70" s="176">
        <f ca="1">IFERROR(__xludf.DUMMYFUNCTION("IMPORTRANGE(""https://docs.google.com/spreadsheets/d/1-uDff_7J0KD5mKrp0Vvzr7lt3OU09vwQwhkpOPPYv2Y/edit?usp=sharing"",""งบพรบ!CB70"")"),0)</f>
        <v>0</v>
      </c>
      <c r="F70" s="176">
        <f ca="1">IFERROR(__xludf.DUMMYFUNCTION("IMPORTRANGE(""https://docs.google.com/spreadsheets/d/1-uDff_7J0KD5mKrp0Vvzr7lt3OU09vwQwhkpOPPYv2Y/edit?usp=sharing"",""งบพรบ!CC70"")"),4500)</f>
        <v>4500</v>
      </c>
      <c r="G70" s="176">
        <f ca="1">IFERROR(__xludf.DUMMYFUNCTION("IMPORTRANGE(""https://docs.google.com/spreadsheets/d/1-uDff_7J0KD5mKrp0Vvzr7lt3OU09vwQwhkpOPPYv2Y/edit?usp=sharing"",""งบพรบ!CD70"")"),0)</f>
        <v>0</v>
      </c>
      <c r="H70" s="176">
        <f ca="1">IFERROR(__xludf.DUMMYFUNCTION("IMPORTRANGE(""https://docs.google.com/spreadsheets/d/1-uDff_7J0KD5mKrp0Vvzr7lt3OU09vwQwhkpOPPYv2Y/edit?usp=sharing"",""งบพรบ!CF70"")"),0)</f>
        <v>0</v>
      </c>
      <c r="I70" s="176">
        <f ca="1">IFERROR(__xludf.DUMMYFUNCTION("IMPORTRANGE(""https://docs.google.com/spreadsheets/d/1-uDff_7J0KD5mKrp0Vvzr7lt3OU09vwQwhkpOPPYv2Y/edit?usp=sharing"",""งบพรบ!CG70"")"),0)</f>
        <v>0</v>
      </c>
      <c r="J70" s="176">
        <f t="shared" ca="1" si="17"/>
        <v>0</v>
      </c>
      <c r="K70" s="181">
        <f t="shared" ca="1" si="18"/>
        <v>0</v>
      </c>
      <c r="L70" s="176">
        <f ca="1">IFERROR(__xludf.DUMMYFUNCTION("IMPORTRANGE(""https://docs.google.com/spreadsheets/d/1-uDff_7J0KD5mKrp0Vvzr7lt3OU09vwQwhkpOPPYv2Y/edit?usp=sharing"",""งบพรบ!CH70"")"),0)</f>
        <v>0</v>
      </c>
      <c r="M70" s="179">
        <f t="shared" ca="1" si="19"/>
        <v>0</v>
      </c>
      <c r="N70" s="179">
        <f t="shared" ca="1" si="20"/>
        <v>0</v>
      </c>
      <c r="O70" s="180">
        <f ca="1">IFERROR(__xludf.DUMMYFUNCTION("IMPORTRANGE(""https://docs.google.com/spreadsheets/d/1-uDff_7J0KD5mKrp0Vvzr7lt3OU09vwQwhkpOPPYv2Y/edit?usp=sharing"",""งบพรบ!CI70"")"),0)</f>
        <v>0</v>
      </c>
      <c r="P70" s="180">
        <f t="shared" ca="1" si="21"/>
        <v>0</v>
      </c>
      <c r="Q70" s="179">
        <f t="shared" ca="1" si="22"/>
        <v>0</v>
      </c>
      <c r="R70" s="92">
        <f ca="1">IFERROR(__xludf.DUMMYFUNCTION("IMPORTRANGE(""https://docs.google.com/spreadsheets/d/1xmPlrr1QbdSIKvl1dWUl9K4PjAfSL9oeMr_37QVzcxc/edit?usp=sharing"",""สระบุรี!I167"")"),15)</f>
        <v>15</v>
      </c>
      <c r="S70" s="92">
        <f ca="1">IFERROR(__xludf.DUMMYFUNCTION("IMPORTRANGE(""https://docs.google.com/spreadsheets/d/1xmPlrr1QbdSIKvl1dWUl9K4PjAfSL9oeMr_37QVzcxc/edit?usp=sharing"",""สระบุรี!J167"")"),0)</f>
        <v>0</v>
      </c>
      <c r="T70" s="93">
        <f t="shared" ca="1" si="24"/>
        <v>0</v>
      </c>
    </row>
    <row r="71" spans="1:20" ht="21" customHeight="1" x14ac:dyDescent="0.3">
      <c r="A71" s="84">
        <v>19</v>
      </c>
      <c r="B71" s="85" t="s">
        <v>93</v>
      </c>
      <c r="C71" s="174">
        <f t="shared" ca="1" si="15"/>
        <v>0</v>
      </c>
      <c r="D71" s="175">
        <f t="shared" ca="1" si="31"/>
        <v>0</v>
      </c>
      <c r="E71" s="176">
        <f ca="1">IFERROR(__xludf.DUMMYFUNCTION("IMPORTRANGE(""https://docs.google.com/spreadsheets/d/1-uDff_7J0KD5mKrp0Vvzr7lt3OU09vwQwhkpOPPYv2Y/edit?usp=sharing"",""งบพรบ!CB71"")"),0)</f>
        <v>0</v>
      </c>
      <c r="F71" s="176">
        <f ca="1">IFERROR(__xludf.DUMMYFUNCTION("IMPORTRANGE(""https://docs.google.com/spreadsheets/d/1-uDff_7J0KD5mKrp0Vvzr7lt3OU09vwQwhkpOPPYv2Y/edit?usp=sharing"",""งบพรบ!CC71"")"),0)</f>
        <v>0</v>
      </c>
      <c r="G71" s="176">
        <f ca="1">IFERROR(__xludf.DUMMYFUNCTION("IMPORTRANGE(""https://docs.google.com/spreadsheets/d/1-uDff_7J0KD5mKrp0Vvzr7lt3OU09vwQwhkpOPPYv2Y/edit?usp=sharing"",""งบพรบ!CD71"")"),0)</f>
        <v>0</v>
      </c>
      <c r="H71" s="176">
        <f ca="1">IFERROR(__xludf.DUMMYFUNCTION("IMPORTRANGE(""https://docs.google.com/spreadsheets/d/1-uDff_7J0KD5mKrp0Vvzr7lt3OU09vwQwhkpOPPYv2Y/edit?usp=sharing"",""งบพรบ!CF71"")"),0)</f>
        <v>0</v>
      </c>
      <c r="I71" s="176">
        <f ca="1">IFERROR(__xludf.DUMMYFUNCTION("IMPORTRANGE(""https://docs.google.com/spreadsheets/d/1-uDff_7J0KD5mKrp0Vvzr7lt3OU09vwQwhkpOPPYv2Y/edit?usp=sharing"",""งบพรบ!CG71"")"),0)</f>
        <v>0</v>
      </c>
      <c r="J71" s="176">
        <f t="shared" ca="1" si="17"/>
        <v>0</v>
      </c>
      <c r="K71" s="181">
        <f t="shared" ca="1" si="18"/>
        <v>0</v>
      </c>
      <c r="L71" s="176">
        <f ca="1">IFERROR(__xludf.DUMMYFUNCTION("IMPORTRANGE(""https://docs.google.com/spreadsheets/d/1-uDff_7J0KD5mKrp0Vvzr7lt3OU09vwQwhkpOPPYv2Y/edit?usp=sharing"",""งบพรบ!CH71"")"),0)</f>
        <v>0</v>
      </c>
      <c r="M71" s="179">
        <f t="shared" ca="1" si="19"/>
        <v>0</v>
      </c>
      <c r="N71" s="179">
        <f t="shared" ca="1" si="20"/>
        <v>0</v>
      </c>
      <c r="O71" s="180">
        <f ca="1">IFERROR(__xludf.DUMMYFUNCTION("IMPORTRANGE(""https://docs.google.com/spreadsheets/d/1-uDff_7J0KD5mKrp0Vvzr7lt3OU09vwQwhkpOPPYv2Y/edit?usp=sharing"",""งบพรบ!CI71"")"),0)</f>
        <v>0</v>
      </c>
      <c r="P71" s="180">
        <f t="shared" ca="1" si="21"/>
        <v>0</v>
      </c>
      <c r="Q71" s="179">
        <f t="shared" ca="1" si="22"/>
        <v>0</v>
      </c>
      <c r="R71" s="92">
        <f ca="1">IFERROR(__xludf.DUMMYFUNCTION("IMPORTRANGE(""https://docs.google.com/spreadsheets/d/1j51vR6CYVGhABJpv6tkstgok82RLpXieLzW1yOY5rHw/edit?usp=sharing"",""สิงห์บุรี!I167"")"),0)</f>
        <v>0</v>
      </c>
      <c r="S71" s="92">
        <f ca="1">IFERROR(__xludf.DUMMYFUNCTION("IMPORTRANGE(""https://docs.google.com/spreadsheets/d/1j51vR6CYVGhABJpv6tkstgok82RLpXieLzW1yOY5rHw/edit?usp=sharing"",""สิงห์บุรี!J167"")"),0)</f>
        <v>0</v>
      </c>
      <c r="T71" s="93">
        <f t="shared" ca="1" si="24"/>
        <v>0</v>
      </c>
    </row>
    <row r="72" spans="1:20" ht="21" customHeight="1" x14ac:dyDescent="0.3">
      <c r="A72" s="84">
        <v>20</v>
      </c>
      <c r="B72" s="85" t="s">
        <v>94</v>
      </c>
      <c r="C72" s="174">
        <f t="shared" ca="1" si="15"/>
        <v>3000</v>
      </c>
      <c r="D72" s="175">
        <f t="shared" ca="1" si="31"/>
        <v>3000</v>
      </c>
      <c r="E72" s="176">
        <f ca="1">IFERROR(__xludf.DUMMYFUNCTION("IMPORTRANGE(""https://docs.google.com/spreadsheets/d/1-uDff_7J0KD5mKrp0Vvzr7lt3OU09vwQwhkpOPPYv2Y/edit?usp=sharing"",""งบพรบ!CB72"")"),0)</f>
        <v>0</v>
      </c>
      <c r="F72" s="176">
        <f ca="1">IFERROR(__xludf.DUMMYFUNCTION("IMPORTRANGE(""https://docs.google.com/spreadsheets/d/1-uDff_7J0KD5mKrp0Vvzr7lt3OU09vwQwhkpOPPYv2Y/edit?usp=sharing"",""งบพรบ!CC72"")"),3000)</f>
        <v>3000</v>
      </c>
      <c r="G72" s="176">
        <f ca="1">IFERROR(__xludf.DUMMYFUNCTION("IMPORTRANGE(""https://docs.google.com/spreadsheets/d/1-uDff_7J0KD5mKrp0Vvzr7lt3OU09vwQwhkpOPPYv2Y/edit?usp=sharing"",""งบพรบ!CD72"")"),0)</f>
        <v>0</v>
      </c>
      <c r="H72" s="176">
        <f ca="1">IFERROR(__xludf.DUMMYFUNCTION("IMPORTRANGE(""https://docs.google.com/spreadsheets/d/1-uDff_7J0KD5mKrp0Vvzr7lt3OU09vwQwhkpOPPYv2Y/edit?usp=sharing"",""งบพรบ!CF72"")"),0)</f>
        <v>0</v>
      </c>
      <c r="I72" s="176">
        <f ca="1">IFERROR(__xludf.DUMMYFUNCTION("IMPORTRANGE(""https://docs.google.com/spreadsheets/d/1-uDff_7J0KD5mKrp0Vvzr7lt3OU09vwQwhkpOPPYv2Y/edit?usp=sharing"",""งบพรบ!CG72"")"),0)</f>
        <v>0</v>
      </c>
      <c r="J72" s="176">
        <f t="shared" ca="1" si="17"/>
        <v>0</v>
      </c>
      <c r="K72" s="181">
        <f t="shared" ca="1" si="18"/>
        <v>0</v>
      </c>
      <c r="L72" s="176">
        <f ca="1">IFERROR(__xludf.DUMMYFUNCTION("IMPORTRANGE(""https://docs.google.com/spreadsheets/d/1-uDff_7J0KD5mKrp0Vvzr7lt3OU09vwQwhkpOPPYv2Y/edit?usp=sharing"",""งบพรบ!CH72"")"),0)</f>
        <v>0</v>
      </c>
      <c r="M72" s="179">
        <f t="shared" ca="1" si="19"/>
        <v>0</v>
      </c>
      <c r="N72" s="179">
        <f t="shared" ca="1" si="20"/>
        <v>0</v>
      </c>
      <c r="O72" s="180">
        <f ca="1">IFERROR(__xludf.DUMMYFUNCTION("IMPORTRANGE(""https://docs.google.com/spreadsheets/d/1-uDff_7J0KD5mKrp0Vvzr7lt3OU09vwQwhkpOPPYv2Y/edit?usp=sharing"",""งบพรบ!CI72"")"),0)</f>
        <v>0</v>
      </c>
      <c r="P72" s="180">
        <f t="shared" ca="1" si="21"/>
        <v>0</v>
      </c>
      <c r="Q72" s="179">
        <f t="shared" ca="1" si="22"/>
        <v>0</v>
      </c>
      <c r="R72" s="92">
        <f ca="1">IFERROR(__xludf.DUMMYFUNCTION("IMPORTRANGE(""https://docs.google.com/spreadsheets/d/1H1EalTWKUSzO4Z1-1CwzoDUaVffgrThEBe2sl74kKG0/edit?usp=sharing"",""สุพรรณบุรี!I167"")"),10)</f>
        <v>10</v>
      </c>
      <c r="S72" s="92">
        <f ca="1">IFERROR(__xludf.DUMMYFUNCTION("IMPORTRANGE(""https://docs.google.com/spreadsheets/d/1H1EalTWKUSzO4Z1-1CwzoDUaVffgrThEBe2sl74kKG0/edit?usp=sharing"",""สุพรรณบุรี!J167"")"),0)</f>
        <v>0</v>
      </c>
      <c r="T72" s="93">
        <f t="shared" ca="1" si="24"/>
        <v>0</v>
      </c>
    </row>
    <row r="73" spans="1:20" ht="21" customHeight="1" x14ac:dyDescent="0.3">
      <c r="A73" s="95">
        <v>21</v>
      </c>
      <c r="B73" s="96" t="s">
        <v>95</v>
      </c>
      <c r="C73" s="184">
        <f t="shared" ca="1" si="15"/>
        <v>0</v>
      </c>
      <c r="D73" s="185">
        <f t="shared" ca="1" si="31"/>
        <v>0</v>
      </c>
      <c r="E73" s="186">
        <f ca="1">IFERROR(__xludf.DUMMYFUNCTION("IMPORTRANGE(""https://docs.google.com/spreadsheets/d/1-uDff_7J0KD5mKrp0Vvzr7lt3OU09vwQwhkpOPPYv2Y/edit?usp=sharing"",""งบพรบ!CB73"")"),0)</f>
        <v>0</v>
      </c>
      <c r="F73" s="186">
        <f ca="1">IFERROR(__xludf.DUMMYFUNCTION("IMPORTRANGE(""https://docs.google.com/spreadsheets/d/1-uDff_7J0KD5mKrp0Vvzr7lt3OU09vwQwhkpOPPYv2Y/edit?usp=sharing"",""งบพรบ!CC73"")"),0)</f>
        <v>0</v>
      </c>
      <c r="G73" s="186">
        <f ca="1">IFERROR(__xludf.DUMMYFUNCTION("IMPORTRANGE(""https://docs.google.com/spreadsheets/d/1-uDff_7J0KD5mKrp0Vvzr7lt3OU09vwQwhkpOPPYv2Y/edit?usp=sharing"",""งบพรบ!CD73"")"),0)</f>
        <v>0</v>
      </c>
      <c r="H73" s="186">
        <f ca="1">IFERROR(__xludf.DUMMYFUNCTION("IMPORTRANGE(""https://docs.google.com/spreadsheets/d/1-uDff_7J0KD5mKrp0Vvzr7lt3OU09vwQwhkpOPPYv2Y/edit?usp=sharing"",""งบพรบ!CF73"")"),0)</f>
        <v>0</v>
      </c>
      <c r="I73" s="186">
        <f ca="1">IFERROR(__xludf.DUMMYFUNCTION("IMPORTRANGE(""https://docs.google.com/spreadsheets/d/1-uDff_7J0KD5mKrp0Vvzr7lt3OU09vwQwhkpOPPYv2Y/edit?usp=sharing"",""งบพรบ!CG73"")"),0)</f>
        <v>0</v>
      </c>
      <c r="J73" s="186">
        <f t="shared" ca="1" si="17"/>
        <v>0</v>
      </c>
      <c r="K73" s="187">
        <f t="shared" ca="1" si="18"/>
        <v>0</v>
      </c>
      <c r="L73" s="186">
        <f ca="1">IFERROR(__xludf.DUMMYFUNCTION("IMPORTRANGE(""https://docs.google.com/spreadsheets/d/1-uDff_7J0KD5mKrp0Vvzr7lt3OU09vwQwhkpOPPYv2Y/edit?usp=sharing"",""งบพรบ!CH73"")"),0)</f>
        <v>0</v>
      </c>
      <c r="M73" s="188">
        <f t="shared" ca="1" si="19"/>
        <v>0</v>
      </c>
      <c r="N73" s="188">
        <f t="shared" ca="1" si="20"/>
        <v>0</v>
      </c>
      <c r="O73" s="189">
        <f ca="1">IFERROR(__xludf.DUMMYFUNCTION("IMPORTRANGE(""https://docs.google.com/spreadsheets/d/1-uDff_7J0KD5mKrp0Vvzr7lt3OU09vwQwhkpOPPYv2Y/edit?usp=sharing"",""งบพรบ!CI73"")"),0)</f>
        <v>0</v>
      </c>
      <c r="P73" s="189">
        <f t="shared" ca="1" si="21"/>
        <v>0</v>
      </c>
      <c r="Q73" s="188">
        <f t="shared" ca="1" si="22"/>
        <v>0</v>
      </c>
      <c r="R73" s="103">
        <f ca="1">IFERROR(__xludf.DUMMYFUNCTION("IMPORTRANGE(""https://docs.google.com/spreadsheets/d/1BmIruG_sIrJLYao_Pdr7zVArWsfoBt2692TMi6x_854/edit?usp=sharing"",""อ่างทอง!I167"")"),0)</f>
        <v>0</v>
      </c>
      <c r="S73" s="103">
        <f ca="1">IFERROR(__xludf.DUMMYFUNCTION("IMPORTRANGE(""https://docs.google.com/spreadsheets/d/1BmIruG_sIrJLYao_Pdr7zVArWsfoBt2692TMi6x_854/edit?usp=sharing"",""อ่างทอง!J167"")"),0)</f>
        <v>0</v>
      </c>
      <c r="T73" s="104">
        <f t="shared" ca="1" si="24"/>
        <v>0</v>
      </c>
    </row>
    <row r="74" spans="1:20" ht="21" customHeight="1" x14ac:dyDescent="0.3">
      <c r="A74" s="394" t="s">
        <v>96</v>
      </c>
      <c r="B74" s="374"/>
      <c r="C74" s="154">
        <f t="shared" ca="1" si="15"/>
        <v>6000</v>
      </c>
      <c r="D74" s="154">
        <f t="shared" ref="D74:I74" ca="1" si="32">SUM(D75:D88)</f>
        <v>6000</v>
      </c>
      <c r="E74" s="154">
        <f t="shared" ca="1" si="32"/>
        <v>0</v>
      </c>
      <c r="F74" s="154">
        <f t="shared" ca="1" si="32"/>
        <v>6000</v>
      </c>
      <c r="G74" s="154">
        <f t="shared" ca="1" si="32"/>
        <v>0</v>
      </c>
      <c r="H74" s="154">
        <f t="shared" ca="1" si="32"/>
        <v>0</v>
      </c>
      <c r="I74" s="154">
        <f t="shared" ca="1" si="32"/>
        <v>0</v>
      </c>
      <c r="J74" s="154">
        <f t="shared" ca="1" si="17"/>
        <v>0</v>
      </c>
      <c r="K74" s="155">
        <f t="shared" ca="1" si="18"/>
        <v>0</v>
      </c>
      <c r="L74" s="154">
        <f ca="1">SUM(L75:L88)</f>
        <v>0</v>
      </c>
      <c r="M74" s="156">
        <f t="shared" ca="1" si="19"/>
        <v>0</v>
      </c>
      <c r="N74" s="156">
        <f t="shared" ca="1" si="20"/>
        <v>0</v>
      </c>
      <c r="O74" s="157">
        <f ca="1">SUM(O75:O88)</f>
        <v>0</v>
      </c>
      <c r="P74" s="157">
        <f t="shared" ca="1" si="21"/>
        <v>0</v>
      </c>
      <c r="Q74" s="156">
        <f t="shared" ca="1" si="22"/>
        <v>0</v>
      </c>
      <c r="R74" s="68">
        <f t="shared" ref="R74:S74" ca="1" si="33">SUM(R75:R88)</f>
        <v>20</v>
      </c>
      <c r="S74" s="68">
        <f t="shared" ca="1" si="33"/>
        <v>0</v>
      </c>
      <c r="T74" s="107">
        <f t="shared" ca="1" si="24"/>
        <v>0</v>
      </c>
    </row>
    <row r="75" spans="1:20" ht="21" customHeight="1" x14ac:dyDescent="0.3">
      <c r="A75" s="74">
        <v>1</v>
      </c>
      <c r="B75" s="75" t="s">
        <v>97</v>
      </c>
      <c r="C75" s="174">
        <f t="shared" ca="1" si="15"/>
        <v>0</v>
      </c>
      <c r="D75" s="175">
        <f t="shared" ref="D75:D88" ca="1" si="34">+E75+F75</f>
        <v>0</v>
      </c>
      <c r="E75" s="176">
        <f ca="1">IFERROR(__xludf.DUMMYFUNCTION("IMPORTRANGE(""https://docs.google.com/spreadsheets/d/1-uDff_7J0KD5mKrp0Vvzr7lt3OU09vwQwhkpOPPYv2Y/edit?usp=sharing"",""งบพรบ!CB75"")"),0)</f>
        <v>0</v>
      </c>
      <c r="F75" s="176">
        <f ca="1">IFERROR(__xludf.DUMMYFUNCTION("IMPORTRANGE(""https://docs.google.com/spreadsheets/d/1-uDff_7J0KD5mKrp0Vvzr7lt3OU09vwQwhkpOPPYv2Y/edit?usp=sharing"",""งบพรบ!CC75"")"),0)</f>
        <v>0</v>
      </c>
      <c r="G75" s="176">
        <f ca="1">IFERROR(__xludf.DUMMYFUNCTION("IMPORTRANGE(""https://docs.google.com/spreadsheets/d/1-uDff_7J0KD5mKrp0Vvzr7lt3OU09vwQwhkpOPPYv2Y/edit?usp=sharing"",""งบพรบ!CD75"")"),0)</f>
        <v>0</v>
      </c>
      <c r="H75" s="176">
        <f ca="1">IFERROR(__xludf.DUMMYFUNCTION("IMPORTRANGE(""https://docs.google.com/spreadsheets/d/1-uDff_7J0KD5mKrp0Vvzr7lt3OU09vwQwhkpOPPYv2Y/edit?usp=sharing"",""งบพรบ!CF75"")"),0)</f>
        <v>0</v>
      </c>
      <c r="I75" s="176">
        <f ca="1">IFERROR(__xludf.DUMMYFUNCTION("IMPORTRANGE(""https://docs.google.com/spreadsheets/d/1-uDff_7J0KD5mKrp0Vvzr7lt3OU09vwQwhkpOPPYv2Y/edit?usp=sharing"",""งบพรบ!CG75"")"),0)</f>
        <v>0</v>
      </c>
      <c r="J75" s="176">
        <f t="shared" ca="1" si="17"/>
        <v>0</v>
      </c>
      <c r="K75" s="181">
        <f t="shared" ca="1" si="18"/>
        <v>0</v>
      </c>
      <c r="L75" s="176">
        <f ca="1">IFERROR(__xludf.DUMMYFUNCTION("IMPORTRANGE(""https://docs.google.com/spreadsheets/d/1-uDff_7J0KD5mKrp0Vvzr7lt3OU09vwQwhkpOPPYv2Y/edit?usp=sharing"",""งบพรบ!CH75"")"),0)</f>
        <v>0</v>
      </c>
      <c r="M75" s="179">
        <f t="shared" ca="1" si="19"/>
        <v>0</v>
      </c>
      <c r="N75" s="179">
        <f t="shared" ca="1" si="20"/>
        <v>0</v>
      </c>
      <c r="O75" s="180">
        <f ca="1">IFERROR(__xludf.DUMMYFUNCTION("IMPORTRANGE(""https://docs.google.com/spreadsheets/d/1-uDff_7J0KD5mKrp0Vvzr7lt3OU09vwQwhkpOPPYv2Y/edit?usp=sharing"",""งบพรบ!CI75"")"),0)</f>
        <v>0</v>
      </c>
      <c r="P75" s="180">
        <f t="shared" ca="1" si="21"/>
        <v>0</v>
      </c>
      <c r="Q75" s="179">
        <f t="shared" ca="1" si="22"/>
        <v>0</v>
      </c>
      <c r="R75" s="79">
        <f ca="1">IFERROR(__xludf.DUMMYFUNCTION("IMPORTRANGE(""https://docs.google.com/spreadsheets/d/1kKUcYdkIfrgTSj8iHHHB2MD2FAtwyyocFgqGQn6ADyI/edit?usp=sharing"",""กระบี่!I167"")"),0)</f>
        <v>0</v>
      </c>
      <c r="S75" s="79">
        <f ca="1">IFERROR(__xludf.DUMMYFUNCTION("IMPORTRANGE(""https://docs.google.com/spreadsheets/d/1kKUcYdkIfrgTSj8iHHHB2MD2FAtwyyocFgqGQn6ADyI/edit?usp=sharing"",""กระบี่!J167"")"),0)</f>
        <v>0</v>
      </c>
      <c r="T75" s="83">
        <f t="shared" ca="1" si="24"/>
        <v>0</v>
      </c>
    </row>
    <row r="76" spans="1:20" ht="21" customHeight="1" x14ac:dyDescent="0.3">
      <c r="A76" s="84">
        <v>2</v>
      </c>
      <c r="B76" s="85" t="s">
        <v>98</v>
      </c>
      <c r="C76" s="174">
        <f t="shared" ca="1" si="15"/>
        <v>3000</v>
      </c>
      <c r="D76" s="175">
        <f t="shared" ca="1" si="34"/>
        <v>3000</v>
      </c>
      <c r="E76" s="176">
        <f ca="1">IFERROR(__xludf.DUMMYFUNCTION("IMPORTRANGE(""https://docs.google.com/spreadsheets/d/1-uDff_7J0KD5mKrp0Vvzr7lt3OU09vwQwhkpOPPYv2Y/edit?usp=sharing"",""งบพรบ!CB76"")"),0)</f>
        <v>0</v>
      </c>
      <c r="F76" s="176">
        <f ca="1">IFERROR(__xludf.DUMMYFUNCTION("IMPORTRANGE(""https://docs.google.com/spreadsheets/d/1-uDff_7J0KD5mKrp0Vvzr7lt3OU09vwQwhkpOPPYv2Y/edit?usp=sharing"",""งบพรบ!CC76"")"),3000)</f>
        <v>3000</v>
      </c>
      <c r="G76" s="176">
        <f ca="1">IFERROR(__xludf.DUMMYFUNCTION("IMPORTRANGE(""https://docs.google.com/spreadsheets/d/1-uDff_7J0KD5mKrp0Vvzr7lt3OU09vwQwhkpOPPYv2Y/edit?usp=sharing"",""งบพรบ!CD76"")"),0)</f>
        <v>0</v>
      </c>
      <c r="H76" s="176">
        <f ca="1">IFERROR(__xludf.DUMMYFUNCTION("IMPORTRANGE(""https://docs.google.com/spreadsheets/d/1-uDff_7J0KD5mKrp0Vvzr7lt3OU09vwQwhkpOPPYv2Y/edit?usp=sharing"",""งบพรบ!CF76"")"),0)</f>
        <v>0</v>
      </c>
      <c r="I76" s="176">
        <f ca="1">IFERROR(__xludf.DUMMYFUNCTION("IMPORTRANGE(""https://docs.google.com/spreadsheets/d/1-uDff_7J0KD5mKrp0Vvzr7lt3OU09vwQwhkpOPPYv2Y/edit?usp=sharing"",""งบพรบ!CG76"")"),0)</f>
        <v>0</v>
      </c>
      <c r="J76" s="176">
        <f t="shared" ca="1" si="17"/>
        <v>0</v>
      </c>
      <c r="K76" s="181">
        <f t="shared" ca="1" si="18"/>
        <v>0</v>
      </c>
      <c r="L76" s="176">
        <f ca="1">IFERROR(__xludf.DUMMYFUNCTION("IMPORTRANGE(""https://docs.google.com/spreadsheets/d/1-uDff_7J0KD5mKrp0Vvzr7lt3OU09vwQwhkpOPPYv2Y/edit?usp=sharing"",""งบพรบ!CH76"")"),0)</f>
        <v>0</v>
      </c>
      <c r="M76" s="179">
        <f t="shared" ca="1" si="19"/>
        <v>0</v>
      </c>
      <c r="N76" s="179">
        <f t="shared" ca="1" si="20"/>
        <v>0</v>
      </c>
      <c r="O76" s="180">
        <f ca="1">IFERROR(__xludf.DUMMYFUNCTION("IMPORTRANGE(""https://docs.google.com/spreadsheets/d/1-uDff_7J0KD5mKrp0Vvzr7lt3OU09vwQwhkpOPPYv2Y/edit?usp=sharing"",""งบพรบ!CI76"")"),0)</f>
        <v>0</v>
      </c>
      <c r="P76" s="180">
        <f t="shared" ca="1" si="21"/>
        <v>0</v>
      </c>
      <c r="Q76" s="179">
        <f t="shared" ca="1" si="22"/>
        <v>0</v>
      </c>
      <c r="R76" s="92">
        <f ca="1">IFERROR(__xludf.DUMMYFUNCTION("IMPORTRANGE(""https://docs.google.com/spreadsheets/d/1GwtLaSlNZkLk7iDqcyZz22giiy40b_usZZBXYciEN1U/edit?usp=sharing"",""ชุมพร!I167"")"),10)</f>
        <v>10</v>
      </c>
      <c r="S76" s="92">
        <f ca="1">IFERROR(__xludf.DUMMYFUNCTION("IMPORTRANGE(""https://docs.google.com/spreadsheets/d/1GwtLaSlNZkLk7iDqcyZz22giiy40b_usZZBXYciEN1U/edit?usp=sharing"",""ชุมพร!J167"")"),0)</f>
        <v>0</v>
      </c>
      <c r="T76" s="93">
        <f t="shared" ca="1" si="24"/>
        <v>0</v>
      </c>
    </row>
    <row r="77" spans="1:20" ht="21" customHeight="1" x14ac:dyDescent="0.3">
      <c r="A77" s="84">
        <v>3</v>
      </c>
      <c r="B77" s="85" t="s">
        <v>99</v>
      </c>
      <c r="C77" s="174">
        <f t="shared" ca="1" si="15"/>
        <v>0</v>
      </c>
      <c r="D77" s="175">
        <f t="shared" ca="1" si="34"/>
        <v>0</v>
      </c>
      <c r="E77" s="176">
        <f ca="1">IFERROR(__xludf.DUMMYFUNCTION("IMPORTRANGE(""https://docs.google.com/spreadsheets/d/1-uDff_7J0KD5mKrp0Vvzr7lt3OU09vwQwhkpOPPYv2Y/edit?usp=sharing"",""งบพรบ!CB77"")"),0)</f>
        <v>0</v>
      </c>
      <c r="F77" s="176">
        <f ca="1">IFERROR(__xludf.DUMMYFUNCTION("IMPORTRANGE(""https://docs.google.com/spreadsheets/d/1-uDff_7J0KD5mKrp0Vvzr7lt3OU09vwQwhkpOPPYv2Y/edit?usp=sharing"",""งบพรบ!CC77"")"),0)</f>
        <v>0</v>
      </c>
      <c r="G77" s="176">
        <f ca="1">IFERROR(__xludf.DUMMYFUNCTION("IMPORTRANGE(""https://docs.google.com/spreadsheets/d/1-uDff_7J0KD5mKrp0Vvzr7lt3OU09vwQwhkpOPPYv2Y/edit?usp=sharing"",""งบพรบ!CD77"")"),0)</f>
        <v>0</v>
      </c>
      <c r="H77" s="176">
        <f ca="1">IFERROR(__xludf.DUMMYFUNCTION("IMPORTRANGE(""https://docs.google.com/spreadsheets/d/1-uDff_7J0KD5mKrp0Vvzr7lt3OU09vwQwhkpOPPYv2Y/edit?usp=sharing"",""งบพรบ!CF77"")"),0)</f>
        <v>0</v>
      </c>
      <c r="I77" s="176">
        <f ca="1">IFERROR(__xludf.DUMMYFUNCTION("IMPORTRANGE(""https://docs.google.com/spreadsheets/d/1-uDff_7J0KD5mKrp0Vvzr7lt3OU09vwQwhkpOPPYv2Y/edit?usp=sharing"",""งบพรบ!CG77"")"),0)</f>
        <v>0</v>
      </c>
      <c r="J77" s="176">
        <f t="shared" ca="1" si="17"/>
        <v>0</v>
      </c>
      <c r="K77" s="181">
        <f t="shared" ca="1" si="18"/>
        <v>0</v>
      </c>
      <c r="L77" s="176">
        <f ca="1">IFERROR(__xludf.DUMMYFUNCTION("IMPORTRANGE(""https://docs.google.com/spreadsheets/d/1-uDff_7J0KD5mKrp0Vvzr7lt3OU09vwQwhkpOPPYv2Y/edit?usp=sharing"",""งบพรบ!CH77"")"),0)</f>
        <v>0</v>
      </c>
      <c r="M77" s="179">
        <f t="shared" ca="1" si="19"/>
        <v>0</v>
      </c>
      <c r="N77" s="179">
        <f t="shared" ca="1" si="20"/>
        <v>0</v>
      </c>
      <c r="O77" s="180">
        <f ca="1">IFERROR(__xludf.DUMMYFUNCTION("IMPORTRANGE(""https://docs.google.com/spreadsheets/d/1-uDff_7J0KD5mKrp0Vvzr7lt3OU09vwQwhkpOPPYv2Y/edit?usp=sharing"",""งบพรบ!CI77"")"),0)</f>
        <v>0</v>
      </c>
      <c r="P77" s="180">
        <f t="shared" ca="1" si="21"/>
        <v>0</v>
      </c>
      <c r="Q77" s="179">
        <f t="shared" ca="1" si="22"/>
        <v>0</v>
      </c>
      <c r="R77" s="92">
        <f ca="1">IFERROR(__xludf.DUMMYFUNCTION("IMPORTRANGE(""https://docs.google.com/spreadsheets/d/16pAz3pOhQEZBhvFNMa5KGgZS6iKWpsKX0pg6tQmwFpo/edit?usp=sharing"",""ตรัง!I167"")"),0)</f>
        <v>0</v>
      </c>
      <c r="S77" s="92">
        <f ca="1">IFERROR(__xludf.DUMMYFUNCTION("IMPORTRANGE(""https://docs.google.com/spreadsheets/d/16pAz3pOhQEZBhvFNMa5KGgZS6iKWpsKX0pg6tQmwFpo/edit?usp=sharing"",""ตรัง!J167"")"),0)</f>
        <v>0</v>
      </c>
      <c r="T77" s="93">
        <f t="shared" ca="1" si="24"/>
        <v>0</v>
      </c>
    </row>
    <row r="78" spans="1:20" ht="21" customHeight="1" x14ac:dyDescent="0.3">
      <c r="A78" s="84">
        <v>4</v>
      </c>
      <c r="B78" s="85" t="s">
        <v>100</v>
      </c>
      <c r="C78" s="174">
        <f t="shared" ca="1" si="15"/>
        <v>0</v>
      </c>
      <c r="D78" s="175">
        <f t="shared" ca="1" si="34"/>
        <v>0</v>
      </c>
      <c r="E78" s="176">
        <f ca="1">IFERROR(__xludf.DUMMYFUNCTION("IMPORTRANGE(""https://docs.google.com/spreadsheets/d/1-uDff_7J0KD5mKrp0Vvzr7lt3OU09vwQwhkpOPPYv2Y/edit?usp=sharing"",""งบพรบ!CB78"")"),0)</f>
        <v>0</v>
      </c>
      <c r="F78" s="176">
        <f ca="1">IFERROR(__xludf.DUMMYFUNCTION("IMPORTRANGE(""https://docs.google.com/spreadsheets/d/1-uDff_7J0KD5mKrp0Vvzr7lt3OU09vwQwhkpOPPYv2Y/edit?usp=sharing"",""งบพรบ!CC78"")"),0)</f>
        <v>0</v>
      </c>
      <c r="G78" s="176">
        <f ca="1">IFERROR(__xludf.DUMMYFUNCTION("IMPORTRANGE(""https://docs.google.com/spreadsheets/d/1-uDff_7J0KD5mKrp0Vvzr7lt3OU09vwQwhkpOPPYv2Y/edit?usp=sharing"",""งบพรบ!CD78"")"),0)</f>
        <v>0</v>
      </c>
      <c r="H78" s="176">
        <f ca="1">IFERROR(__xludf.DUMMYFUNCTION("IMPORTRANGE(""https://docs.google.com/spreadsheets/d/1-uDff_7J0KD5mKrp0Vvzr7lt3OU09vwQwhkpOPPYv2Y/edit?usp=sharing"",""งบพรบ!CF78"")"),0)</f>
        <v>0</v>
      </c>
      <c r="I78" s="176">
        <f ca="1">IFERROR(__xludf.DUMMYFUNCTION("IMPORTRANGE(""https://docs.google.com/spreadsheets/d/1-uDff_7J0KD5mKrp0Vvzr7lt3OU09vwQwhkpOPPYv2Y/edit?usp=sharing"",""งบพรบ!CG78"")"),0)</f>
        <v>0</v>
      </c>
      <c r="J78" s="176">
        <f t="shared" ca="1" si="17"/>
        <v>0</v>
      </c>
      <c r="K78" s="181">
        <f t="shared" ca="1" si="18"/>
        <v>0</v>
      </c>
      <c r="L78" s="176">
        <f ca="1">IFERROR(__xludf.DUMMYFUNCTION("IMPORTRANGE(""https://docs.google.com/spreadsheets/d/1-uDff_7J0KD5mKrp0Vvzr7lt3OU09vwQwhkpOPPYv2Y/edit?usp=sharing"",""งบพรบ!CH78"")"),0)</f>
        <v>0</v>
      </c>
      <c r="M78" s="179">
        <f t="shared" ca="1" si="19"/>
        <v>0</v>
      </c>
      <c r="N78" s="179">
        <f t="shared" ca="1" si="20"/>
        <v>0</v>
      </c>
      <c r="O78" s="180">
        <f ca="1">IFERROR(__xludf.DUMMYFUNCTION("IMPORTRANGE(""https://docs.google.com/spreadsheets/d/1-uDff_7J0KD5mKrp0Vvzr7lt3OU09vwQwhkpOPPYv2Y/edit?usp=sharing"",""งบพรบ!CI78"")"),0)</f>
        <v>0</v>
      </c>
      <c r="P78" s="180">
        <f t="shared" ca="1" si="21"/>
        <v>0</v>
      </c>
      <c r="Q78" s="179">
        <f t="shared" ca="1" si="22"/>
        <v>0</v>
      </c>
      <c r="R78" s="92">
        <f ca="1">IFERROR(__xludf.DUMMYFUNCTION("IMPORTRANGE(""https://docs.google.com/spreadsheets/d/1Dj4jcHCTV9JXKCaMoheSXS52JE63kDKyG7bPXnFogHk/edit?usp=sharing"",""นครศรีธรรมราช!I167"")"),0)</f>
        <v>0</v>
      </c>
      <c r="S78" s="92">
        <f ca="1">IFERROR(__xludf.DUMMYFUNCTION("IMPORTRANGE(""https://docs.google.com/spreadsheets/d/1Dj4jcHCTV9JXKCaMoheSXS52JE63kDKyG7bPXnFogHk/edit?usp=sharing"",""นครศรีธรรมราช!J167"")"),0)</f>
        <v>0</v>
      </c>
      <c r="T78" s="93">
        <f t="shared" ca="1" si="24"/>
        <v>0</v>
      </c>
    </row>
    <row r="79" spans="1:20" ht="21" customHeight="1" x14ac:dyDescent="0.3">
      <c r="A79" s="84">
        <v>5</v>
      </c>
      <c r="B79" s="85" t="s">
        <v>101</v>
      </c>
      <c r="C79" s="174">
        <f t="shared" ca="1" si="15"/>
        <v>0</v>
      </c>
      <c r="D79" s="175">
        <f t="shared" ca="1" si="34"/>
        <v>0</v>
      </c>
      <c r="E79" s="176">
        <f ca="1">IFERROR(__xludf.DUMMYFUNCTION("IMPORTRANGE(""https://docs.google.com/spreadsheets/d/1-uDff_7J0KD5mKrp0Vvzr7lt3OU09vwQwhkpOPPYv2Y/edit?usp=sharing"",""งบพรบ!CB79"")"),0)</f>
        <v>0</v>
      </c>
      <c r="F79" s="176">
        <f ca="1">IFERROR(__xludf.DUMMYFUNCTION("IMPORTRANGE(""https://docs.google.com/spreadsheets/d/1-uDff_7J0KD5mKrp0Vvzr7lt3OU09vwQwhkpOPPYv2Y/edit?usp=sharing"",""งบพรบ!CC79"")"),0)</f>
        <v>0</v>
      </c>
      <c r="G79" s="176">
        <f ca="1">IFERROR(__xludf.DUMMYFUNCTION("IMPORTRANGE(""https://docs.google.com/spreadsheets/d/1-uDff_7J0KD5mKrp0Vvzr7lt3OU09vwQwhkpOPPYv2Y/edit?usp=sharing"",""งบพรบ!CD79"")"),0)</f>
        <v>0</v>
      </c>
      <c r="H79" s="176">
        <f ca="1">IFERROR(__xludf.DUMMYFUNCTION("IMPORTRANGE(""https://docs.google.com/spreadsheets/d/1-uDff_7J0KD5mKrp0Vvzr7lt3OU09vwQwhkpOPPYv2Y/edit?usp=sharing"",""งบพรบ!CF79"")"),0)</f>
        <v>0</v>
      </c>
      <c r="I79" s="176">
        <f ca="1">IFERROR(__xludf.DUMMYFUNCTION("IMPORTRANGE(""https://docs.google.com/spreadsheets/d/1-uDff_7J0KD5mKrp0Vvzr7lt3OU09vwQwhkpOPPYv2Y/edit?usp=sharing"",""งบพรบ!CG79"")"),0)</f>
        <v>0</v>
      </c>
      <c r="J79" s="176">
        <f t="shared" ca="1" si="17"/>
        <v>0</v>
      </c>
      <c r="K79" s="181">
        <f t="shared" ca="1" si="18"/>
        <v>0</v>
      </c>
      <c r="L79" s="176">
        <f ca="1">IFERROR(__xludf.DUMMYFUNCTION("IMPORTRANGE(""https://docs.google.com/spreadsheets/d/1-uDff_7J0KD5mKrp0Vvzr7lt3OU09vwQwhkpOPPYv2Y/edit?usp=sharing"",""งบพรบ!CH79"")"),0)</f>
        <v>0</v>
      </c>
      <c r="M79" s="179">
        <f t="shared" ca="1" si="19"/>
        <v>0</v>
      </c>
      <c r="N79" s="179">
        <f t="shared" ca="1" si="20"/>
        <v>0</v>
      </c>
      <c r="O79" s="180">
        <f ca="1">IFERROR(__xludf.DUMMYFUNCTION("IMPORTRANGE(""https://docs.google.com/spreadsheets/d/1-uDff_7J0KD5mKrp0Vvzr7lt3OU09vwQwhkpOPPYv2Y/edit?usp=sharing"",""งบพรบ!CI79"")"),0)</f>
        <v>0</v>
      </c>
      <c r="P79" s="180">
        <f t="shared" ca="1" si="21"/>
        <v>0</v>
      </c>
      <c r="Q79" s="179">
        <f t="shared" ca="1" si="22"/>
        <v>0</v>
      </c>
      <c r="R79" s="92">
        <f ca="1">IFERROR(__xludf.DUMMYFUNCTION("IMPORTRANGE(""https://docs.google.com/spreadsheets/d/1iodCdmuK2GR3jzUwk8tpccY2JHQQA-87DLOtJP-ooyU/edit?usp=sharing"",""นราธิวาส!I167"")"),0)</f>
        <v>0</v>
      </c>
      <c r="S79" s="92">
        <f ca="1">IFERROR(__xludf.DUMMYFUNCTION("IMPORTRANGE(""https://docs.google.com/spreadsheets/d/1iodCdmuK2GR3jzUwk8tpccY2JHQQA-87DLOtJP-ooyU/edit?usp=sharing"",""นราธิวาส!J167"")"),0)</f>
        <v>0</v>
      </c>
      <c r="T79" s="93">
        <f t="shared" ca="1" si="24"/>
        <v>0</v>
      </c>
    </row>
    <row r="80" spans="1:20" ht="21" customHeight="1" x14ac:dyDescent="0.3">
      <c r="A80" s="84">
        <v>6</v>
      </c>
      <c r="B80" s="85" t="s">
        <v>102</v>
      </c>
      <c r="C80" s="174">
        <f t="shared" ca="1" si="15"/>
        <v>0</v>
      </c>
      <c r="D80" s="175">
        <f t="shared" ca="1" si="34"/>
        <v>0</v>
      </c>
      <c r="E80" s="176">
        <f ca="1">IFERROR(__xludf.DUMMYFUNCTION("IMPORTRANGE(""https://docs.google.com/spreadsheets/d/1-uDff_7J0KD5mKrp0Vvzr7lt3OU09vwQwhkpOPPYv2Y/edit?usp=sharing"",""งบพรบ!CB80"")"),0)</f>
        <v>0</v>
      </c>
      <c r="F80" s="176">
        <f ca="1">IFERROR(__xludf.DUMMYFUNCTION("IMPORTRANGE(""https://docs.google.com/spreadsheets/d/1-uDff_7J0KD5mKrp0Vvzr7lt3OU09vwQwhkpOPPYv2Y/edit?usp=sharing"",""งบพรบ!CC80"")"),0)</f>
        <v>0</v>
      </c>
      <c r="G80" s="176">
        <f ca="1">IFERROR(__xludf.DUMMYFUNCTION("IMPORTRANGE(""https://docs.google.com/spreadsheets/d/1-uDff_7J0KD5mKrp0Vvzr7lt3OU09vwQwhkpOPPYv2Y/edit?usp=sharing"",""งบพรบ!CD80"")"),0)</f>
        <v>0</v>
      </c>
      <c r="H80" s="176">
        <f ca="1">IFERROR(__xludf.DUMMYFUNCTION("IMPORTRANGE(""https://docs.google.com/spreadsheets/d/1-uDff_7J0KD5mKrp0Vvzr7lt3OU09vwQwhkpOPPYv2Y/edit?usp=sharing"",""งบพรบ!CF80"")"),0)</f>
        <v>0</v>
      </c>
      <c r="I80" s="176">
        <f ca="1">IFERROR(__xludf.DUMMYFUNCTION("IMPORTRANGE(""https://docs.google.com/spreadsheets/d/1-uDff_7J0KD5mKrp0Vvzr7lt3OU09vwQwhkpOPPYv2Y/edit?usp=sharing"",""งบพรบ!CG80"")"),0)</f>
        <v>0</v>
      </c>
      <c r="J80" s="176">
        <f t="shared" ca="1" si="17"/>
        <v>0</v>
      </c>
      <c r="K80" s="181">
        <f t="shared" ca="1" si="18"/>
        <v>0</v>
      </c>
      <c r="L80" s="176">
        <f ca="1">IFERROR(__xludf.DUMMYFUNCTION("IMPORTRANGE(""https://docs.google.com/spreadsheets/d/1-uDff_7J0KD5mKrp0Vvzr7lt3OU09vwQwhkpOPPYv2Y/edit?usp=sharing"",""งบพรบ!CH80"")"),0)</f>
        <v>0</v>
      </c>
      <c r="M80" s="179">
        <f t="shared" ca="1" si="19"/>
        <v>0</v>
      </c>
      <c r="N80" s="179">
        <f t="shared" ca="1" si="20"/>
        <v>0</v>
      </c>
      <c r="O80" s="180">
        <f ca="1">IFERROR(__xludf.DUMMYFUNCTION("IMPORTRANGE(""https://docs.google.com/spreadsheets/d/1-uDff_7J0KD5mKrp0Vvzr7lt3OU09vwQwhkpOPPYv2Y/edit?usp=sharing"",""งบพรบ!CI80"")"),0)</f>
        <v>0</v>
      </c>
      <c r="P80" s="180">
        <f t="shared" ca="1" si="21"/>
        <v>0</v>
      </c>
      <c r="Q80" s="179">
        <f t="shared" ca="1" si="22"/>
        <v>0</v>
      </c>
      <c r="R80" s="92">
        <f ca="1">IFERROR(__xludf.DUMMYFUNCTION("IMPORTRANGE(""https://docs.google.com/spreadsheets/d/1SDNX3JhDdYRuIOsj0Wh2M-Qa_eaXl0NbWmhAOTbfQAs/edit?usp=sharing"",""ปัตตานี!I167"")"),0)</f>
        <v>0</v>
      </c>
      <c r="S80" s="92">
        <f ca="1">IFERROR(__xludf.DUMMYFUNCTION("IMPORTRANGE(""https://docs.google.com/spreadsheets/d/1SDNX3JhDdYRuIOsj0Wh2M-Qa_eaXl0NbWmhAOTbfQAs/edit?usp=sharing"",""ปัตตานี!J167"")"),0)</f>
        <v>0</v>
      </c>
      <c r="T80" s="93">
        <f t="shared" ca="1" si="24"/>
        <v>0</v>
      </c>
    </row>
    <row r="81" spans="1:20" ht="21" customHeight="1" x14ac:dyDescent="0.3">
      <c r="A81" s="84">
        <v>7</v>
      </c>
      <c r="B81" s="85" t="s">
        <v>103</v>
      </c>
      <c r="C81" s="174">
        <f t="shared" ca="1" si="15"/>
        <v>0</v>
      </c>
      <c r="D81" s="175">
        <f t="shared" ca="1" si="34"/>
        <v>0</v>
      </c>
      <c r="E81" s="176">
        <f ca="1">IFERROR(__xludf.DUMMYFUNCTION("IMPORTRANGE(""https://docs.google.com/spreadsheets/d/1-uDff_7J0KD5mKrp0Vvzr7lt3OU09vwQwhkpOPPYv2Y/edit?usp=sharing"",""งบพรบ!CB81"")"),0)</f>
        <v>0</v>
      </c>
      <c r="F81" s="176">
        <f ca="1">IFERROR(__xludf.DUMMYFUNCTION("IMPORTRANGE(""https://docs.google.com/spreadsheets/d/1-uDff_7J0KD5mKrp0Vvzr7lt3OU09vwQwhkpOPPYv2Y/edit?usp=sharing"",""งบพรบ!CC81"")"),0)</f>
        <v>0</v>
      </c>
      <c r="G81" s="176">
        <f ca="1">IFERROR(__xludf.DUMMYFUNCTION("IMPORTRANGE(""https://docs.google.com/spreadsheets/d/1-uDff_7J0KD5mKrp0Vvzr7lt3OU09vwQwhkpOPPYv2Y/edit?usp=sharing"",""งบพรบ!CD81"")"),0)</f>
        <v>0</v>
      </c>
      <c r="H81" s="176">
        <f ca="1">IFERROR(__xludf.DUMMYFUNCTION("IMPORTRANGE(""https://docs.google.com/spreadsheets/d/1-uDff_7J0KD5mKrp0Vvzr7lt3OU09vwQwhkpOPPYv2Y/edit?usp=sharing"",""งบพรบ!CF81"")"),0)</f>
        <v>0</v>
      </c>
      <c r="I81" s="176">
        <f ca="1">IFERROR(__xludf.DUMMYFUNCTION("IMPORTRANGE(""https://docs.google.com/spreadsheets/d/1-uDff_7J0KD5mKrp0Vvzr7lt3OU09vwQwhkpOPPYv2Y/edit?usp=sharing"",""งบพรบ!CG81"")"),0)</f>
        <v>0</v>
      </c>
      <c r="J81" s="176">
        <f t="shared" ca="1" si="17"/>
        <v>0</v>
      </c>
      <c r="K81" s="181">
        <f t="shared" ca="1" si="18"/>
        <v>0</v>
      </c>
      <c r="L81" s="176">
        <f ca="1">IFERROR(__xludf.DUMMYFUNCTION("IMPORTRANGE(""https://docs.google.com/spreadsheets/d/1-uDff_7J0KD5mKrp0Vvzr7lt3OU09vwQwhkpOPPYv2Y/edit?usp=sharing"",""งบพรบ!CH81"")"),0)</f>
        <v>0</v>
      </c>
      <c r="M81" s="179">
        <f t="shared" ca="1" si="19"/>
        <v>0</v>
      </c>
      <c r="N81" s="179">
        <f t="shared" ca="1" si="20"/>
        <v>0</v>
      </c>
      <c r="O81" s="180">
        <f ca="1">IFERROR(__xludf.DUMMYFUNCTION("IMPORTRANGE(""https://docs.google.com/spreadsheets/d/1-uDff_7J0KD5mKrp0Vvzr7lt3OU09vwQwhkpOPPYv2Y/edit?usp=sharing"",""งบพรบ!CI81"")"),0)</f>
        <v>0</v>
      </c>
      <c r="P81" s="180">
        <f t="shared" ca="1" si="21"/>
        <v>0</v>
      </c>
      <c r="Q81" s="179">
        <f t="shared" ca="1" si="22"/>
        <v>0</v>
      </c>
      <c r="R81" s="92">
        <f ca="1">IFERROR(__xludf.DUMMYFUNCTION("IMPORTRANGE(""https://docs.google.com/spreadsheets/d/16JDLGguT8s5DsGCND1KcwHP_AWR_zDMTqLHPLJUKhaU/edit?usp=sharing"",""พังงา!I167"")"),0)</f>
        <v>0</v>
      </c>
      <c r="S81" s="92">
        <f ca="1">IFERROR(__xludf.DUMMYFUNCTION("IMPORTRANGE(""https://docs.google.com/spreadsheets/d/16JDLGguT8s5DsGCND1KcwHP_AWR_zDMTqLHPLJUKhaU/edit?usp=sharing"",""พังงา!J167"")"),0)</f>
        <v>0</v>
      </c>
      <c r="T81" s="93">
        <f t="shared" ca="1" si="24"/>
        <v>0</v>
      </c>
    </row>
    <row r="82" spans="1:20" ht="21" customHeight="1" x14ac:dyDescent="0.3">
      <c r="A82" s="84">
        <v>8</v>
      </c>
      <c r="B82" s="85" t="s">
        <v>104</v>
      </c>
      <c r="C82" s="174">
        <f t="shared" ca="1" si="15"/>
        <v>0</v>
      </c>
      <c r="D82" s="175">
        <f t="shared" ca="1" si="34"/>
        <v>0</v>
      </c>
      <c r="E82" s="176">
        <f ca="1">IFERROR(__xludf.DUMMYFUNCTION("IMPORTRANGE(""https://docs.google.com/spreadsheets/d/1-uDff_7J0KD5mKrp0Vvzr7lt3OU09vwQwhkpOPPYv2Y/edit?usp=sharing"",""งบพรบ!CB82"")"),0)</f>
        <v>0</v>
      </c>
      <c r="F82" s="176">
        <f ca="1">IFERROR(__xludf.DUMMYFUNCTION("IMPORTRANGE(""https://docs.google.com/spreadsheets/d/1-uDff_7J0KD5mKrp0Vvzr7lt3OU09vwQwhkpOPPYv2Y/edit?usp=sharing"",""งบพรบ!CC82"")"),0)</f>
        <v>0</v>
      </c>
      <c r="G82" s="176">
        <f ca="1">IFERROR(__xludf.DUMMYFUNCTION("IMPORTRANGE(""https://docs.google.com/spreadsheets/d/1-uDff_7J0KD5mKrp0Vvzr7lt3OU09vwQwhkpOPPYv2Y/edit?usp=sharing"",""งบพรบ!CD82"")"),0)</f>
        <v>0</v>
      </c>
      <c r="H82" s="176">
        <f ca="1">IFERROR(__xludf.DUMMYFUNCTION("IMPORTRANGE(""https://docs.google.com/spreadsheets/d/1-uDff_7J0KD5mKrp0Vvzr7lt3OU09vwQwhkpOPPYv2Y/edit?usp=sharing"",""งบพรบ!CF82"")"),0)</f>
        <v>0</v>
      </c>
      <c r="I82" s="176">
        <f ca="1">IFERROR(__xludf.DUMMYFUNCTION("IMPORTRANGE(""https://docs.google.com/spreadsheets/d/1-uDff_7J0KD5mKrp0Vvzr7lt3OU09vwQwhkpOPPYv2Y/edit?usp=sharing"",""งบพรบ!CG82"")"),0)</f>
        <v>0</v>
      </c>
      <c r="J82" s="176">
        <f t="shared" ca="1" si="17"/>
        <v>0</v>
      </c>
      <c r="K82" s="181">
        <f t="shared" ca="1" si="18"/>
        <v>0</v>
      </c>
      <c r="L82" s="176">
        <f ca="1">IFERROR(__xludf.DUMMYFUNCTION("IMPORTRANGE(""https://docs.google.com/spreadsheets/d/1-uDff_7J0KD5mKrp0Vvzr7lt3OU09vwQwhkpOPPYv2Y/edit?usp=sharing"",""งบพรบ!CH82"")"),0)</f>
        <v>0</v>
      </c>
      <c r="M82" s="179">
        <f t="shared" ca="1" si="19"/>
        <v>0</v>
      </c>
      <c r="N82" s="179">
        <f t="shared" ca="1" si="20"/>
        <v>0</v>
      </c>
      <c r="O82" s="180">
        <f ca="1">IFERROR(__xludf.DUMMYFUNCTION("IMPORTRANGE(""https://docs.google.com/spreadsheets/d/1-uDff_7J0KD5mKrp0Vvzr7lt3OU09vwQwhkpOPPYv2Y/edit?usp=sharing"",""งบพรบ!CI82"")"),0)</f>
        <v>0</v>
      </c>
      <c r="P82" s="180">
        <f t="shared" ca="1" si="21"/>
        <v>0</v>
      </c>
      <c r="Q82" s="179">
        <f t="shared" ca="1" si="22"/>
        <v>0</v>
      </c>
      <c r="R82" s="92">
        <f ca="1">IFERROR(__xludf.DUMMYFUNCTION("IMPORTRANGE(""https://docs.google.com/spreadsheets/d/17ht0gPKzzT3PObBL1XJkeRmntBXI7wGjpLV7QorqlTk/edit?usp=sharing"",""พัทลุง!I167"")"),0)</f>
        <v>0</v>
      </c>
      <c r="S82" s="92">
        <f ca="1">IFERROR(__xludf.DUMMYFUNCTION("IMPORTRANGE(""https://docs.google.com/spreadsheets/d/17ht0gPKzzT3PObBL1XJkeRmntBXI7wGjpLV7QorqlTk/edit?usp=sharing"",""พัทลุง!J167"")"),0)</f>
        <v>0</v>
      </c>
      <c r="T82" s="93">
        <f t="shared" ca="1" si="24"/>
        <v>0</v>
      </c>
    </row>
    <row r="83" spans="1:20" ht="21" customHeight="1" x14ac:dyDescent="0.3">
      <c r="A83" s="84">
        <v>9</v>
      </c>
      <c r="B83" s="85" t="s">
        <v>105</v>
      </c>
      <c r="C83" s="174">
        <f t="shared" ca="1" si="15"/>
        <v>0</v>
      </c>
      <c r="D83" s="175">
        <f t="shared" ca="1" si="34"/>
        <v>0</v>
      </c>
      <c r="E83" s="176">
        <f ca="1">IFERROR(__xludf.DUMMYFUNCTION("IMPORTRANGE(""https://docs.google.com/spreadsheets/d/1-uDff_7J0KD5mKrp0Vvzr7lt3OU09vwQwhkpOPPYv2Y/edit?usp=sharing"",""งบพรบ!CB83"")"),0)</f>
        <v>0</v>
      </c>
      <c r="F83" s="176">
        <f ca="1">IFERROR(__xludf.DUMMYFUNCTION("IMPORTRANGE(""https://docs.google.com/spreadsheets/d/1-uDff_7J0KD5mKrp0Vvzr7lt3OU09vwQwhkpOPPYv2Y/edit?usp=sharing"",""งบพรบ!CC83"")"),0)</f>
        <v>0</v>
      </c>
      <c r="G83" s="176">
        <f ca="1">IFERROR(__xludf.DUMMYFUNCTION("IMPORTRANGE(""https://docs.google.com/spreadsheets/d/1-uDff_7J0KD5mKrp0Vvzr7lt3OU09vwQwhkpOPPYv2Y/edit?usp=sharing"",""งบพรบ!CD83"")"),0)</f>
        <v>0</v>
      </c>
      <c r="H83" s="176">
        <f ca="1">IFERROR(__xludf.DUMMYFUNCTION("IMPORTRANGE(""https://docs.google.com/spreadsheets/d/1-uDff_7J0KD5mKrp0Vvzr7lt3OU09vwQwhkpOPPYv2Y/edit?usp=sharing"",""งบพรบ!CF83"")"),0)</f>
        <v>0</v>
      </c>
      <c r="I83" s="176">
        <f ca="1">IFERROR(__xludf.DUMMYFUNCTION("IMPORTRANGE(""https://docs.google.com/spreadsheets/d/1-uDff_7J0KD5mKrp0Vvzr7lt3OU09vwQwhkpOPPYv2Y/edit?usp=sharing"",""งบพรบ!CG83"")"),0)</f>
        <v>0</v>
      </c>
      <c r="J83" s="176">
        <f t="shared" ca="1" si="17"/>
        <v>0</v>
      </c>
      <c r="K83" s="181">
        <f t="shared" ca="1" si="18"/>
        <v>0</v>
      </c>
      <c r="L83" s="176">
        <f ca="1">IFERROR(__xludf.DUMMYFUNCTION("IMPORTRANGE(""https://docs.google.com/spreadsheets/d/1-uDff_7J0KD5mKrp0Vvzr7lt3OU09vwQwhkpOPPYv2Y/edit?usp=sharing"",""งบพรบ!CH83"")"),0)</f>
        <v>0</v>
      </c>
      <c r="M83" s="179">
        <f t="shared" ca="1" si="19"/>
        <v>0</v>
      </c>
      <c r="N83" s="179">
        <f t="shared" ca="1" si="20"/>
        <v>0</v>
      </c>
      <c r="O83" s="180">
        <f ca="1">IFERROR(__xludf.DUMMYFUNCTION("IMPORTRANGE(""https://docs.google.com/spreadsheets/d/1-uDff_7J0KD5mKrp0Vvzr7lt3OU09vwQwhkpOPPYv2Y/edit?usp=sharing"",""งบพรบ!CI83"")"),0)</f>
        <v>0</v>
      </c>
      <c r="P83" s="180">
        <f t="shared" ca="1" si="21"/>
        <v>0</v>
      </c>
      <c r="Q83" s="179">
        <f t="shared" ca="1" si="22"/>
        <v>0</v>
      </c>
      <c r="R83" s="92">
        <f ca="1">IFERROR(__xludf.DUMMYFUNCTION("IMPORTRANGE(""https://docs.google.com/spreadsheets/d/1rd4qoM1q_hsgaolqNGfrim9gbsoLxQsda4-vOz5x_BM/edit?usp=sharing"",""ภูเก็ต!I167"")"),0)</f>
        <v>0</v>
      </c>
      <c r="S83" s="92">
        <f ca="1">IFERROR(__xludf.DUMMYFUNCTION("IMPORTRANGE(""https://docs.google.com/spreadsheets/d/1rd4qoM1q_hsgaolqNGfrim9gbsoLxQsda4-vOz5x_BM/edit?usp=sharing"",""ภูเก็ต!J167"")"),0)</f>
        <v>0</v>
      </c>
      <c r="T83" s="93">
        <f t="shared" ca="1" si="24"/>
        <v>0</v>
      </c>
    </row>
    <row r="84" spans="1:20" ht="21" customHeight="1" x14ac:dyDescent="0.3">
      <c r="A84" s="84">
        <v>10</v>
      </c>
      <c r="B84" s="85" t="s">
        <v>106</v>
      </c>
      <c r="C84" s="174">
        <f t="shared" ca="1" si="15"/>
        <v>0</v>
      </c>
      <c r="D84" s="175">
        <f t="shared" ca="1" si="34"/>
        <v>0</v>
      </c>
      <c r="E84" s="176">
        <f ca="1">IFERROR(__xludf.DUMMYFUNCTION("IMPORTRANGE(""https://docs.google.com/spreadsheets/d/1-uDff_7J0KD5mKrp0Vvzr7lt3OU09vwQwhkpOPPYv2Y/edit?usp=sharing"",""งบพรบ!CB84"")"),0)</f>
        <v>0</v>
      </c>
      <c r="F84" s="176">
        <f ca="1">IFERROR(__xludf.DUMMYFUNCTION("IMPORTRANGE(""https://docs.google.com/spreadsheets/d/1-uDff_7J0KD5mKrp0Vvzr7lt3OU09vwQwhkpOPPYv2Y/edit?usp=sharing"",""งบพรบ!CC84"")"),0)</f>
        <v>0</v>
      </c>
      <c r="G84" s="176">
        <f ca="1">IFERROR(__xludf.DUMMYFUNCTION("IMPORTRANGE(""https://docs.google.com/spreadsheets/d/1-uDff_7J0KD5mKrp0Vvzr7lt3OU09vwQwhkpOPPYv2Y/edit?usp=sharing"",""งบพรบ!CD84"")"),0)</f>
        <v>0</v>
      </c>
      <c r="H84" s="176">
        <f ca="1">IFERROR(__xludf.DUMMYFUNCTION("IMPORTRANGE(""https://docs.google.com/spreadsheets/d/1-uDff_7J0KD5mKrp0Vvzr7lt3OU09vwQwhkpOPPYv2Y/edit?usp=sharing"",""งบพรบ!CF84"")"),0)</f>
        <v>0</v>
      </c>
      <c r="I84" s="176">
        <f ca="1">IFERROR(__xludf.DUMMYFUNCTION("IMPORTRANGE(""https://docs.google.com/spreadsheets/d/1-uDff_7J0KD5mKrp0Vvzr7lt3OU09vwQwhkpOPPYv2Y/edit?usp=sharing"",""งบพรบ!CG84"")"),0)</f>
        <v>0</v>
      </c>
      <c r="J84" s="176">
        <f t="shared" ca="1" si="17"/>
        <v>0</v>
      </c>
      <c r="K84" s="181">
        <f t="shared" ca="1" si="18"/>
        <v>0</v>
      </c>
      <c r="L84" s="176">
        <f ca="1">IFERROR(__xludf.DUMMYFUNCTION("IMPORTRANGE(""https://docs.google.com/spreadsheets/d/1-uDff_7J0KD5mKrp0Vvzr7lt3OU09vwQwhkpOPPYv2Y/edit?usp=sharing"",""งบพรบ!CH84"")"),0)</f>
        <v>0</v>
      </c>
      <c r="M84" s="179">
        <f t="shared" ca="1" si="19"/>
        <v>0</v>
      </c>
      <c r="N84" s="179">
        <f t="shared" ca="1" si="20"/>
        <v>0</v>
      </c>
      <c r="O84" s="180">
        <f ca="1">IFERROR(__xludf.DUMMYFUNCTION("IMPORTRANGE(""https://docs.google.com/spreadsheets/d/1-uDff_7J0KD5mKrp0Vvzr7lt3OU09vwQwhkpOPPYv2Y/edit?usp=sharing"",""งบพรบ!CI84"")"),0)</f>
        <v>0</v>
      </c>
      <c r="P84" s="180">
        <f t="shared" ca="1" si="21"/>
        <v>0</v>
      </c>
      <c r="Q84" s="179">
        <f t="shared" ca="1" si="22"/>
        <v>0</v>
      </c>
      <c r="R84" s="92">
        <f ca="1">IFERROR(__xludf.DUMMYFUNCTION("IMPORTRANGE(""https://docs.google.com/spreadsheets/d/1woKwKjgoLssDvPcPeVyezB5izizAn4X1JDrys69n6xI/edit?usp=sharing"",""ยะลา!I167"")"),0)</f>
        <v>0</v>
      </c>
      <c r="S84" s="92">
        <f ca="1">IFERROR(__xludf.DUMMYFUNCTION("IMPORTRANGE(""https://docs.google.com/spreadsheets/d/1woKwKjgoLssDvPcPeVyezB5izizAn4X1JDrys69n6xI/edit?usp=sharing"",""ยะลา!J167"")"),0)</f>
        <v>0</v>
      </c>
      <c r="T84" s="93">
        <f t="shared" ca="1" si="24"/>
        <v>0</v>
      </c>
    </row>
    <row r="85" spans="1:20" ht="21" customHeight="1" x14ac:dyDescent="0.3">
      <c r="A85" s="84">
        <v>11</v>
      </c>
      <c r="B85" s="85" t="s">
        <v>107</v>
      </c>
      <c r="C85" s="174">
        <f t="shared" ca="1" si="15"/>
        <v>0</v>
      </c>
      <c r="D85" s="175">
        <f t="shared" ca="1" si="34"/>
        <v>0</v>
      </c>
      <c r="E85" s="176">
        <f ca="1">IFERROR(__xludf.DUMMYFUNCTION("IMPORTRANGE(""https://docs.google.com/spreadsheets/d/1-uDff_7J0KD5mKrp0Vvzr7lt3OU09vwQwhkpOPPYv2Y/edit?usp=sharing"",""งบพรบ!CB85"")"),0)</f>
        <v>0</v>
      </c>
      <c r="F85" s="176">
        <f ca="1">IFERROR(__xludf.DUMMYFUNCTION("IMPORTRANGE(""https://docs.google.com/spreadsheets/d/1-uDff_7J0KD5mKrp0Vvzr7lt3OU09vwQwhkpOPPYv2Y/edit?usp=sharing"",""งบพรบ!CC85"")"),0)</f>
        <v>0</v>
      </c>
      <c r="G85" s="176">
        <f ca="1">IFERROR(__xludf.DUMMYFUNCTION("IMPORTRANGE(""https://docs.google.com/spreadsheets/d/1-uDff_7J0KD5mKrp0Vvzr7lt3OU09vwQwhkpOPPYv2Y/edit?usp=sharing"",""งบพรบ!CD85"")"),0)</f>
        <v>0</v>
      </c>
      <c r="H85" s="176">
        <f ca="1">IFERROR(__xludf.DUMMYFUNCTION("IMPORTRANGE(""https://docs.google.com/spreadsheets/d/1-uDff_7J0KD5mKrp0Vvzr7lt3OU09vwQwhkpOPPYv2Y/edit?usp=sharing"",""งบพรบ!CF85"")"),0)</f>
        <v>0</v>
      </c>
      <c r="I85" s="176">
        <f ca="1">IFERROR(__xludf.DUMMYFUNCTION("IMPORTRANGE(""https://docs.google.com/spreadsheets/d/1-uDff_7J0KD5mKrp0Vvzr7lt3OU09vwQwhkpOPPYv2Y/edit?usp=sharing"",""งบพรบ!CG85"")"),0)</f>
        <v>0</v>
      </c>
      <c r="J85" s="176">
        <f t="shared" ca="1" si="17"/>
        <v>0</v>
      </c>
      <c r="K85" s="181">
        <f t="shared" ca="1" si="18"/>
        <v>0</v>
      </c>
      <c r="L85" s="176">
        <f ca="1">IFERROR(__xludf.DUMMYFUNCTION("IMPORTRANGE(""https://docs.google.com/spreadsheets/d/1-uDff_7J0KD5mKrp0Vvzr7lt3OU09vwQwhkpOPPYv2Y/edit?usp=sharing"",""งบพรบ!CH85"")"),0)</f>
        <v>0</v>
      </c>
      <c r="M85" s="179">
        <f t="shared" ca="1" si="19"/>
        <v>0</v>
      </c>
      <c r="N85" s="179">
        <f t="shared" ca="1" si="20"/>
        <v>0</v>
      </c>
      <c r="O85" s="180">
        <f ca="1">IFERROR(__xludf.DUMMYFUNCTION("IMPORTRANGE(""https://docs.google.com/spreadsheets/d/1-uDff_7J0KD5mKrp0Vvzr7lt3OU09vwQwhkpOPPYv2Y/edit?usp=sharing"",""งบพรบ!CI85"")"),0)</f>
        <v>0</v>
      </c>
      <c r="P85" s="180">
        <f t="shared" ca="1" si="21"/>
        <v>0</v>
      </c>
      <c r="Q85" s="179">
        <f t="shared" ca="1" si="22"/>
        <v>0</v>
      </c>
      <c r="R85" s="92">
        <f ca="1">IFERROR(__xludf.DUMMYFUNCTION("IMPORTRANGE(""https://docs.google.com/spreadsheets/d/1qfrKjzMhm2HJfxQ-qVlJlJQ25Hne1d0khsySbZyGtPA/edit?usp=sharing"",""ระนอง!I167"")"),0)</f>
        <v>0</v>
      </c>
      <c r="S85" s="92">
        <f ca="1">IFERROR(__xludf.DUMMYFUNCTION("IMPORTRANGE(""https://docs.google.com/spreadsheets/d/1qfrKjzMhm2HJfxQ-qVlJlJQ25Hne1d0khsySbZyGtPA/edit?usp=sharing"",""ระนอง!J167"")"),0)</f>
        <v>0</v>
      </c>
      <c r="T85" s="93">
        <f t="shared" ca="1" si="24"/>
        <v>0</v>
      </c>
    </row>
    <row r="86" spans="1:20" ht="24" customHeight="1" x14ac:dyDescent="0.3">
      <c r="A86" s="84">
        <v>12</v>
      </c>
      <c r="B86" s="85" t="s">
        <v>108</v>
      </c>
      <c r="C86" s="174">
        <f t="shared" ca="1" si="15"/>
        <v>0</v>
      </c>
      <c r="D86" s="175">
        <f t="shared" ca="1" si="34"/>
        <v>0</v>
      </c>
      <c r="E86" s="176">
        <f ca="1">IFERROR(__xludf.DUMMYFUNCTION("IMPORTRANGE(""https://docs.google.com/spreadsheets/d/1-uDff_7J0KD5mKrp0Vvzr7lt3OU09vwQwhkpOPPYv2Y/edit?usp=sharing"",""งบพรบ!CB86"")"),0)</f>
        <v>0</v>
      </c>
      <c r="F86" s="176">
        <f ca="1">IFERROR(__xludf.DUMMYFUNCTION("IMPORTRANGE(""https://docs.google.com/spreadsheets/d/1-uDff_7J0KD5mKrp0Vvzr7lt3OU09vwQwhkpOPPYv2Y/edit?usp=sharing"",""งบพรบ!CC86"")"),0)</f>
        <v>0</v>
      </c>
      <c r="G86" s="176">
        <f ca="1">IFERROR(__xludf.DUMMYFUNCTION("IMPORTRANGE(""https://docs.google.com/spreadsheets/d/1-uDff_7J0KD5mKrp0Vvzr7lt3OU09vwQwhkpOPPYv2Y/edit?usp=sharing"",""งบพรบ!CD86"")"),0)</f>
        <v>0</v>
      </c>
      <c r="H86" s="176">
        <f ca="1">IFERROR(__xludf.DUMMYFUNCTION("IMPORTRANGE(""https://docs.google.com/spreadsheets/d/1-uDff_7J0KD5mKrp0Vvzr7lt3OU09vwQwhkpOPPYv2Y/edit?usp=sharing"",""งบพรบ!CF86"")"),0)</f>
        <v>0</v>
      </c>
      <c r="I86" s="176">
        <f ca="1">IFERROR(__xludf.DUMMYFUNCTION("IMPORTRANGE(""https://docs.google.com/spreadsheets/d/1-uDff_7J0KD5mKrp0Vvzr7lt3OU09vwQwhkpOPPYv2Y/edit?usp=sharing"",""งบพรบ!CG86"")"),0)</f>
        <v>0</v>
      </c>
      <c r="J86" s="176">
        <f t="shared" ca="1" si="17"/>
        <v>0</v>
      </c>
      <c r="K86" s="181">
        <f t="shared" ca="1" si="18"/>
        <v>0</v>
      </c>
      <c r="L86" s="176">
        <f ca="1">IFERROR(__xludf.DUMMYFUNCTION("IMPORTRANGE(""https://docs.google.com/spreadsheets/d/1-uDff_7J0KD5mKrp0Vvzr7lt3OU09vwQwhkpOPPYv2Y/edit?usp=sharing"",""งบพรบ!CH86"")"),0)</f>
        <v>0</v>
      </c>
      <c r="M86" s="179">
        <f t="shared" ca="1" si="19"/>
        <v>0</v>
      </c>
      <c r="N86" s="179">
        <f t="shared" ca="1" si="20"/>
        <v>0</v>
      </c>
      <c r="O86" s="180">
        <f ca="1">IFERROR(__xludf.DUMMYFUNCTION("IMPORTRANGE(""https://docs.google.com/spreadsheets/d/1-uDff_7J0KD5mKrp0Vvzr7lt3OU09vwQwhkpOPPYv2Y/edit?usp=sharing"",""งบพรบ!CI86"")"),0)</f>
        <v>0</v>
      </c>
      <c r="P86" s="180">
        <f t="shared" ca="1" si="21"/>
        <v>0</v>
      </c>
      <c r="Q86" s="179">
        <f t="shared" ca="1" si="22"/>
        <v>0</v>
      </c>
      <c r="R86" s="92">
        <f ca="1">IFERROR(__xludf.DUMMYFUNCTION("IMPORTRANGE(""https://docs.google.com/spreadsheets/d/1IbSCnFOKpZsnFogBHJnL_isstZVaOMnFiIN0fGTPZZw/edit?usp=sharing"",""สงขลา!I167"")"),0)</f>
        <v>0</v>
      </c>
      <c r="S86" s="92">
        <f ca="1">IFERROR(__xludf.DUMMYFUNCTION("IMPORTRANGE(""https://docs.google.com/spreadsheets/d/1IbSCnFOKpZsnFogBHJnL_isstZVaOMnFiIN0fGTPZZw/edit?usp=sharing"",""สงขลา!J167"")"),0)</f>
        <v>0</v>
      </c>
      <c r="T86" s="93">
        <f t="shared" ca="1" si="24"/>
        <v>0</v>
      </c>
    </row>
    <row r="87" spans="1:20" ht="24" customHeight="1" x14ac:dyDescent="0.3">
      <c r="A87" s="84">
        <v>13</v>
      </c>
      <c r="B87" s="85" t="s">
        <v>109</v>
      </c>
      <c r="C87" s="174">
        <f t="shared" ca="1" si="15"/>
        <v>0</v>
      </c>
      <c r="D87" s="175">
        <f t="shared" ca="1" si="34"/>
        <v>0</v>
      </c>
      <c r="E87" s="176">
        <f ca="1">IFERROR(__xludf.DUMMYFUNCTION("IMPORTRANGE(""https://docs.google.com/spreadsheets/d/1-uDff_7J0KD5mKrp0Vvzr7lt3OU09vwQwhkpOPPYv2Y/edit?usp=sharing"",""งบพรบ!CB87"")"),0)</f>
        <v>0</v>
      </c>
      <c r="F87" s="176">
        <f ca="1">IFERROR(__xludf.DUMMYFUNCTION("IMPORTRANGE(""https://docs.google.com/spreadsheets/d/1-uDff_7J0KD5mKrp0Vvzr7lt3OU09vwQwhkpOPPYv2Y/edit?usp=sharing"",""งบพรบ!CC87"")"),0)</f>
        <v>0</v>
      </c>
      <c r="G87" s="176">
        <f ca="1">IFERROR(__xludf.DUMMYFUNCTION("IMPORTRANGE(""https://docs.google.com/spreadsheets/d/1-uDff_7J0KD5mKrp0Vvzr7lt3OU09vwQwhkpOPPYv2Y/edit?usp=sharing"",""งบพรบ!CD87"")"),0)</f>
        <v>0</v>
      </c>
      <c r="H87" s="176">
        <f ca="1">IFERROR(__xludf.DUMMYFUNCTION("IMPORTRANGE(""https://docs.google.com/spreadsheets/d/1-uDff_7J0KD5mKrp0Vvzr7lt3OU09vwQwhkpOPPYv2Y/edit?usp=sharing"",""งบพรบ!CF87"")"),0)</f>
        <v>0</v>
      </c>
      <c r="I87" s="176">
        <f ca="1">IFERROR(__xludf.DUMMYFUNCTION("IMPORTRANGE(""https://docs.google.com/spreadsheets/d/1-uDff_7J0KD5mKrp0Vvzr7lt3OU09vwQwhkpOPPYv2Y/edit?usp=sharing"",""งบพรบ!CG87"")"),0)</f>
        <v>0</v>
      </c>
      <c r="J87" s="176">
        <f t="shared" ca="1" si="17"/>
        <v>0</v>
      </c>
      <c r="K87" s="181">
        <f t="shared" ca="1" si="18"/>
        <v>0</v>
      </c>
      <c r="L87" s="176">
        <f ca="1">IFERROR(__xludf.DUMMYFUNCTION("IMPORTRANGE(""https://docs.google.com/spreadsheets/d/1-uDff_7J0KD5mKrp0Vvzr7lt3OU09vwQwhkpOPPYv2Y/edit?usp=sharing"",""งบพรบ!CH87"")"),0)</f>
        <v>0</v>
      </c>
      <c r="M87" s="179">
        <f t="shared" ca="1" si="19"/>
        <v>0</v>
      </c>
      <c r="N87" s="179">
        <f t="shared" ca="1" si="20"/>
        <v>0</v>
      </c>
      <c r="O87" s="180">
        <f ca="1">IFERROR(__xludf.DUMMYFUNCTION("IMPORTRANGE(""https://docs.google.com/spreadsheets/d/1-uDff_7J0KD5mKrp0Vvzr7lt3OU09vwQwhkpOPPYv2Y/edit?usp=sharing"",""งบพรบ!CI87"")"),0)</f>
        <v>0</v>
      </c>
      <c r="P87" s="180">
        <f t="shared" ca="1" si="21"/>
        <v>0</v>
      </c>
      <c r="Q87" s="179">
        <f t="shared" ca="1" si="22"/>
        <v>0</v>
      </c>
      <c r="R87" s="92">
        <f ca="1">IFERROR(__xludf.DUMMYFUNCTION("IMPORTRANGE(""https://docs.google.com/spreadsheets/d/1q9nWasZJ-K8bFGvbE9n0qSRuKGA4Toe3Y89cKCiVtCU/edit?usp=sharing"",""สตูล!I167"")"),0)</f>
        <v>0</v>
      </c>
      <c r="S87" s="92">
        <f ca="1">IFERROR(__xludf.DUMMYFUNCTION("IMPORTRANGE(""https://docs.google.com/spreadsheets/d/1q9nWasZJ-K8bFGvbE9n0qSRuKGA4Toe3Y89cKCiVtCU/edit?usp=sharing"",""สตูล!J167"")"),0)</f>
        <v>0</v>
      </c>
      <c r="T87" s="93">
        <f t="shared" ca="1" si="24"/>
        <v>0</v>
      </c>
    </row>
    <row r="88" spans="1:20" ht="24" customHeight="1" x14ac:dyDescent="0.3">
      <c r="A88" s="95">
        <v>14</v>
      </c>
      <c r="B88" s="96" t="s">
        <v>110</v>
      </c>
      <c r="C88" s="184">
        <f t="shared" ca="1" si="15"/>
        <v>3000</v>
      </c>
      <c r="D88" s="185">
        <f t="shared" ca="1" si="34"/>
        <v>3000</v>
      </c>
      <c r="E88" s="186">
        <f ca="1">IFERROR(__xludf.DUMMYFUNCTION("IMPORTRANGE(""https://docs.google.com/spreadsheets/d/1-uDff_7J0KD5mKrp0Vvzr7lt3OU09vwQwhkpOPPYv2Y/edit?usp=sharing"",""งบพรบ!CB88"")"),0)</f>
        <v>0</v>
      </c>
      <c r="F88" s="186">
        <f ca="1">IFERROR(__xludf.DUMMYFUNCTION("IMPORTRANGE(""https://docs.google.com/spreadsheets/d/1-uDff_7J0KD5mKrp0Vvzr7lt3OU09vwQwhkpOPPYv2Y/edit?usp=sharing"",""งบพรบ!CC88"")"),3000)</f>
        <v>3000</v>
      </c>
      <c r="G88" s="186">
        <f ca="1">IFERROR(__xludf.DUMMYFUNCTION("IMPORTRANGE(""https://docs.google.com/spreadsheets/d/1-uDff_7J0KD5mKrp0Vvzr7lt3OU09vwQwhkpOPPYv2Y/edit?usp=sharing"",""งบพรบ!CD88"")"),0)</f>
        <v>0</v>
      </c>
      <c r="H88" s="186">
        <f ca="1">IFERROR(__xludf.DUMMYFUNCTION("IMPORTRANGE(""https://docs.google.com/spreadsheets/d/1-uDff_7J0KD5mKrp0Vvzr7lt3OU09vwQwhkpOPPYv2Y/edit?usp=sharing"",""งบพรบ!CF88"")"),0)</f>
        <v>0</v>
      </c>
      <c r="I88" s="186">
        <f ca="1">IFERROR(__xludf.DUMMYFUNCTION("IMPORTRANGE(""https://docs.google.com/spreadsheets/d/1-uDff_7J0KD5mKrp0Vvzr7lt3OU09vwQwhkpOPPYv2Y/edit?usp=sharing"",""งบพรบ!CG88"")"),0)</f>
        <v>0</v>
      </c>
      <c r="J88" s="186">
        <f t="shared" ca="1" si="17"/>
        <v>0</v>
      </c>
      <c r="K88" s="187">
        <f t="shared" ca="1" si="18"/>
        <v>0</v>
      </c>
      <c r="L88" s="186">
        <f ca="1">IFERROR(__xludf.DUMMYFUNCTION("IMPORTRANGE(""https://docs.google.com/spreadsheets/d/1-uDff_7J0KD5mKrp0Vvzr7lt3OU09vwQwhkpOPPYv2Y/edit?usp=sharing"",""งบพรบ!CH88"")"),0)</f>
        <v>0</v>
      </c>
      <c r="M88" s="188">
        <f t="shared" ca="1" si="19"/>
        <v>0</v>
      </c>
      <c r="N88" s="188">
        <f t="shared" ca="1" si="20"/>
        <v>0</v>
      </c>
      <c r="O88" s="189">
        <f ca="1">IFERROR(__xludf.DUMMYFUNCTION("IMPORTRANGE(""https://docs.google.com/spreadsheets/d/1-uDff_7J0KD5mKrp0Vvzr7lt3OU09vwQwhkpOPPYv2Y/edit?usp=sharing"",""งบพรบ!CI88"")"),0)</f>
        <v>0</v>
      </c>
      <c r="P88" s="189">
        <f t="shared" ca="1" si="21"/>
        <v>0</v>
      </c>
      <c r="Q88" s="188">
        <f t="shared" ca="1" si="22"/>
        <v>0</v>
      </c>
      <c r="R88" s="103">
        <f ca="1">IFERROR(__xludf.DUMMYFUNCTION("IMPORTRANGE(""https://docs.google.com/spreadsheets/d/18T20gbkS_WBjdscyTOV05cvq_JqvqQ17C81mpxf7Ncs/edit?usp=sharing"",""สุราษฎร์ธานี!I167"")"),10)</f>
        <v>10</v>
      </c>
      <c r="S88" s="103">
        <f ca="1">IFERROR(__xludf.DUMMYFUNCTION("IMPORTRANGE(""https://docs.google.com/spreadsheets/d/18T20gbkS_WBjdscyTOV05cvq_JqvqQ17C81mpxf7Ncs/edit?usp=sharing"",""สุราษฎร์ธานี!J167"")"),0)</f>
        <v>0</v>
      </c>
      <c r="T88" s="104">
        <f t="shared" ca="1" si="24"/>
        <v>0</v>
      </c>
    </row>
    <row r="89" spans="1:20" ht="21" customHeight="1" x14ac:dyDescent="0.3">
      <c r="A89" s="424" t="s">
        <v>111</v>
      </c>
      <c r="B89" s="422"/>
      <c r="C89" s="47">
        <f t="shared" ref="C89:Q89" ca="1" si="35">SUM(C90:C106)</f>
        <v>3309600</v>
      </c>
      <c r="D89" s="46">
        <f t="shared" ca="1" si="35"/>
        <v>3309600</v>
      </c>
      <c r="E89" s="46">
        <f t="shared" ca="1" si="35"/>
        <v>1533900</v>
      </c>
      <c r="F89" s="46">
        <f t="shared" ca="1" si="35"/>
        <v>1775700</v>
      </c>
      <c r="G89" s="46">
        <f t="shared" ca="1" si="35"/>
        <v>0</v>
      </c>
      <c r="H89" s="46">
        <f t="shared" ca="1" si="35"/>
        <v>2663500</v>
      </c>
      <c r="I89" s="46">
        <f t="shared" ca="1" si="35"/>
        <v>0</v>
      </c>
      <c r="J89" s="46">
        <f t="shared" ca="1" si="35"/>
        <v>221740.16</v>
      </c>
      <c r="K89" s="48">
        <f t="shared" ca="1" si="35"/>
        <v>10.868017448414449</v>
      </c>
      <c r="L89" s="46">
        <f t="shared" ca="1" si="35"/>
        <v>221740.16</v>
      </c>
      <c r="M89" s="48">
        <f t="shared" ca="1" si="35"/>
        <v>10.868017448414449</v>
      </c>
      <c r="N89" s="48">
        <f t="shared" ca="1" si="35"/>
        <v>13.407108047644961</v>
      </c>
      <c r="O89" s="46">
        <f t="shared" ca="1" si="35"/>
        <v>0</v>
      </c>
      <c r="P89" s="46">
        <f t="shared" ca="1" si="35"/>
        <v>0</v>
      </c>
      <c r="Q89" s="46">
        <f t="shared" ca="1" si="35"/>
        <v>0</v>
      </c>
      <c r="R89" s="46"/>
      <c r="S89" s="46"/>
      <c r="T89" s="49"/>
    </row>
    <row r="90" spans="1:20" ht="24" customHeight="1" x14ac:dyDescent="0.3">
      <c r="A90" s="192"/>
      <c r="B90" s="114" t="s">
        <v>112</v>
      </c>
      <c r="C90" s="193">
        <f t="shared" ref="C90:C106" ca="1" si="36">D90+G90</f>
        <v>0</v>
      </c>
      <c r="D90" s="194">
        <f t="shared" ref="D90:D106" ca="1" si="37">+E90+F90</f>
        <v>0</v>
      </c>
      <c r="E90" s="78">
        <f ca="1">IFERROR(__xludf.DUMMYFUNCTION("IMPORTRANGE(""https://docs.google.com/spreadsheets/d/1-uDff_7J0KD5mKrp0Vvzr7lt3OU09vwQwhkpOPPYv2Y/edit?usp=sharing"",""งบพรบ!CB90"")"),0)</f>
        <v>0</v>
      </c>
      <c r="F90" s="78">
        <f ca="1">IFERROR(__xludf.DUMMYFUNCTION("IMPORTRANGE(""https://docs.google.com/spreadsheets/d/1-uDff_7J0KD5mKrp0Vvzr7lt3OU09vwQwhkpOPPYv2Y/edit?usp=sharing"",""งบพรบ!CC90"")"),0)</f>
        <v>0</v>
      </c>
      <c r="G90" s="78">
        <f ca="1">IFERROR(__xludf.DUMMYFUNCTION("IMPORTRANGE(""https://docs.google.com/spreadsheets/d/1-uDff_7J0KD5mKrp0Vvzr7lt3OU09vwQwhkpOPPYv2Y/edit?usp=sharing"",""งบพรบ!CD90"")"),0)</f>
        <v>0</v>
      </c>
      <c r="H90" s="78">
        <f ca="1">IFERROR(__xludf.DUMMYFUNCTION("IMPORTRANGE(""https://docs.google.com/spreadsheets/d/1-uDff_7J0KD5mKrp0Vvzr7lt3OU09vwQwhkpOPPYv2Y/edit?usp=sharing"",""งบพรบ!CF90"")"),0)</f>
        <v>0</v>
      </c>
      <c r="I90" s="78">
        <f ca="1">IFERROR(__xludf.DUMMYFUNCTION("IMPORTRANGE(""https://docs.google.com/spreadsheets/d/1-uDff_7J0KD5mKrp0Vvzr7lt3OU09vwQwhkpOPPYv2Y/edit?usp=sharing"",""งบพรบ!CG90"")"),0)</f>
        <v>0</v>
      </c>
      <c r="J90" s="78">
        <f t="shared" ref="J90:J106" ca="1" si="38">L90+O90</f>
        <v>0</v>
      </c>
      <c r="K90" s="115">
        <f t="shared" ref="K90:K106" ca="1" si="39">IF(C90&gt;0,J90*100/C90,0)</f>
        <v>0</v>
      </c>
      <c r="L90" s="78">
        <f ca="1">IFERROR(__xludf.DUMMYFUNCTION("IMPORTRANGE(""https://docs.google.com/spreadsheets/d/1-uDff_7J0KD5mKrp0Vvzr7lt3OU09vwQwhkpOPPYv2Y/edit?usp=sharing"",""งบพรบ!CH90"")"),0)</f>
        <v>0</v>
      </c>
      <c r="M90" s="81">
        <f t="shared" ref="M90:M106" ca="1" si="40">IF(D90&gt;0,L90*100/D90,0)</f>
        <v>0</v>
      </c>
      <c r="N90" s="81">
        <f t="shared" ref="N90:N106" ca="1" si="41">IF(H90&gt;0,L90*100/H90,0)</f>
        <v>0</v>
      </c>
      <c r="O90" s="82">
        <f ca="1">IFERROR(__xludf.DUMMYFUNCTION("IMPORTRANGE(""https://docs.google.com/spreadsheets/d/1-uDff_7J0KD5mKrp0Vvzr7lt3OU09vwQwhkpOPPYv2Y/edit?usp=sharing"",""งบพรบ!CI90"")"),0)</f>
        <v>0</v>
      </c>
      <c r="P90" s="82">
        <f t="shared" ref="P90:P106" ca="1" si="42">IF(G90&gt;0,O90*100/G90,0)</f>
        <v>0</v>
      </c>
      <c r="Q90" s="81">
        <f t="shared" ref="Q90:Q106" ca="1" si="43">IF(I90&gt;0,O90*100/I90,0)</f>
        <v>0</v>
      </c>
      <c r="R90" s="78"/>
      <c r="S90" s="78"/>
      <c r="T90" s="81"/>
    </row>
    <row r="91" spans="1:20" ht="24" customHeight="1" x14ac:dyDescent="0.3">
      <c r="A91" s="196"/>
      <c r="B91" s="117" t="s">
        <v>113</v>
      </c>
      <c r="C91" s="197">
        <f t="shared" ca="1" si="36"/>
        <v>0</v>
      </c>
      <c r="D91" s="198">
        <f t="shared" ca="1" si="37"/>
        <v>0</v>
      </c>
      <c r="E91" s="88">
        <f ca="1">IFERROR(__xludf.DUMMYFUNCTION("IMPORTRANGE(""https://docs.google.com/spreadsheets/d/1-uDff_7J0KD5mKrp0Vvzr7lt3OU09vwQwhkpOPPYv2Y/edit?usp=sharing"",""งบพรบ!CB91"")"),0)</f>
        <v>0</v>
      </c>
      <c r="F91" s="88">
        <f ca="1">IFERROR(__xludf.DUMMYFUNCTION("IMPORTRANGE(""https://docs.google.com/spreadsheets/d/1-uDff_7J0KD5mKrp0Vvzr7lt3OU09vwQwhkpOPPYv2Y/edit?usp=sharing"",""งบพรบ!CC91"")"),0)</f>
        <v>0</v>
      </c>
      <c r="G91" s="88">
        <f ca="1">IFERROR(__xludf.DUMMYFUNCTION("IMPORTRANGE(""https://docs.google.com/spreadsheets/d/1-uDff_7J0KD5mKrp0Vvzr7lt3OU09vwQwhkpOPPYv2Y/edit?usp=sharing"",""งบพรบ!CD91"")"),0)</f>
        <v>0</v>
      </c>
      <c r="H91" s="88">
        <f ca="1">IFERROR(__xludf.DUMMYFUNCTION("IMPORTRANGE(""https://docs.google.com/spreadsheets/d/1-uDff_7J0KD5mKrp0Vvzr7lt3OU09vwQwhkpOPPYv2Y/edit?usp=sharing"",""งบพรบ!CF91"")"),0)</f>
        <v>0</v>
      </c>
      <c r="I91" s="88">
        <f ca="1">IFERROR(__xludf.DUMMYFUNCTION("IMPORTRANGE(""https://docs.google.com/spreadsheets/d/1-uDff_7J0KD5mKrp0Vvzr7lt3OU09vwQwhkpOPPYv2Y/edit?usp=sharing"",""งบพรบ!CG91"")"),0)</f>
        <v>0</v>
      </c>
      <c r="J91" s="88">
        <f t="shared" ca="1" si="38"/>
        <v>0</v>
      </c>
      <c r="K91" s="89">
        <f t="shared" ca="1" si="39"/>
        <v>0</v>
      </c>
      <c r="L91" s="88">
        <f ca="1">IFERROR(__xludf.DUMMYFUNCTION("IMPORTRANGE(""https://docs.google.com/spreadsheets/d/1-uDff_7J0KD5mKrp0Vvzr7lt3OU09vwQwhkpOPPYv2Y/edit?usp=sharing"",""งบพรบ!CH91"")"),0)</f>
        <v>0</v>
      </c>
      <c r="M91" s="90">
        <f t="shared" ca="1" si="40"/>
        <v>0</v>
      </c>
      <c r="N91" s="90">
        <f t="shared" ca="1" si="41"/>
        <v>0</v>
      </c>
      <c r="O91" s="91">
        <f ca="1">IFERROR(__xludf.DUMMYFUNCTION("IMPORTRANGE(""https://docs.google.com/spreadsheets/d/1-uDff_7J0KD5mKrp0Vvzr7lt3OU09vwQwhkpOPPYv2Y/edit?usp=sharing"",""งบพรบ!CI91"")"),0)</f>
        <v>0</v>
      </c>
      <c r="P91" s="91">
        <f t="shared" ca="1" si="42"/>
        <v>0</v>
      </c>
      <c r="Q91" s="90">
        <f t="shared" ca="1" si="43"/>
        <v>0</v>
      </c>
      <c r="R91" s="88"/>
      <c r="S91" s="88"/>
      <c r="T91" s="90"/>
    </row>
    <row r="92" spans="1:20" ht="24" customHeight="1" x14ac:dyDescent="0.3">
      <c r="A92" s="196"/>
      <c r="B92" s="117" t="s">
        <v>114</v>
      </c>
      <c r="C92" s="197">
        <f t="shared" ca="1" si="36"/>
        <v>0</v>
      </c>
      <c r="D92" s="198">
        <f t="shared" ca="1" si="37"/>
        <v>0</v>
      </c>
      <c r="E92" s="88">
        <f ca="1">IFERROR(__xludf.DUMMYFUNCTION("IMPORTRANGE(""https://docs.google.com/spreadsheets/d/1-uDff_7J0KD5mKrp0Vvzr7lt3OU09vwQwhkpOPPYv2Y/edit?usp=sharing"",""งบพรบ!CB92"")"),0)</f>
        <v>0</v>
      </c>
      <c r="F92" s="88">
        <f ca="1">IFERROR(__xludf.DUMMYFUNCTION("IMPORTRANGE(""https://docs.google.com/spreadsheets/d/1-uDff_7J0KD5mKrp0Vvzr7lt3OU09vwQwhkpOPPYv2Y/edit?usp=sharing"",""งบพรบ!CC92"")"),0)</f>
        <v>0</v>
      </c>
      <c r="G92" s="88">
        <f ca="1">IFERROR(__xludf.DUMMYFUNCTION("IMPORTRANGE(""https://docs.google.com/spreadsheets/d/1-uDff_7J0KD5mKrp0Vvzr7lt3OU09vwQwhkpOPPYv2Y/edit?usp=sharing"",""งบพรบ!CD92"")"),0)</f>
        <v>0</v>
      </c>
      <c r="H92" s="88">
        <f ca="1">IFERROR(__xludf.DUMMYFUNCTION("IMPORTRANGE(""https://docs.google.com/spreadsheets/d/1-uDff_7J0KD5mKrp0Vvzr7lt3OU09vwQwhkpOPPYv2Y/edit?usp=sharing"",""งบพรบ!CF92"")"),0)</f>
        <v>0</v>
      </c>
      <c r="I92" s="88">
        <f ca="1">IFERROR(__xludf.DUMMYFUNCTION("IMPORTRANGE(""https://docs.google.com/spreadsheets/d/1-uDff_7J0KD5mKrp0Vvzr7lt3OU09vwQwhkpOPPYv2Y/edit?usp=sharing"",""งบพรบ!CG92"")"),0)</f>
        <v>0</v>
      </c>
      <c r="J92" s="88">
        <f t="shared" ca="1" si="38"/>
        <v>0</v>
      </c>
      <c r="K92" s="89">
        <f t="shared" ca="1" si="39"/>
        <v>0</v>
      </c>
      <c r="L92" s="88">
        <f ca="1">IFERROR(__xludf.DUMMYFUNCTION("IMPORTRANGE(""https://docs.google.com/spreadsheets/d/1-uDff_7J0KD5mKrp0Vvzr7lt3OU09vwQwhkpOPPYv2Y/edit?usp=sharing"",""งบพรบ!CH92"")"),0)</f>
        <v>0</v>
      </c>
      <c r="M92" s="90">
        <f t="shared" ca="1" si="40"/>
        <v>0</v>
      </c>
      <c r="N92" s="90">
        <f t="shared" ca="1" si="41"/>
        <v>0</v>
      </c>
      <c r="O92" s="91">
        <f ca="1">IFERROR(__xludf.DUMMYFUNCTION("IMPORTRANGE(""https://docs.google.com/spreadsheets/d/1-uDff_7J0KD5mKrp0Vvzr7lt3OU09vwQwhkpOPPYv2Y/edit?usp=sharing"",""งบพรบ!CI92"")"),0)</f>
        <v>0</v>
      </c>
      <c r="P92" s="91">
        <f t="shared" ca="1" si="42"/>
        <v>0</v>
      </c>
      <c r="Q92" s="90">
        <f t="shared" ca="1" si="43"/>
        <v>0</v>
      </c>
      <c r="R92" s="88"/>
      <c r="S92" s="88"/>
      <c r="T92" s="90"/>
    </row>
    <row r="93" spans="1:20" ht="24" customHeight="1" x14ac:dyDescent="0.3">
      <c r="A93" s="196"/>
      <c r="B93" s="117" t="s">
        <v>115</v>
      </c>
      <c r="C93" s="197">
        <f t="shared" ca="1" si="36"/>
        <v>0</v>
      </c>
      <c r="D93" s="198">
        <f t="shared" ca="1" si="37"/>
        <v>0</v>
      </c>
      <c r="E93" s="88">
        <f ca="1">IFERROR(__xludf.DUMMYFUNCTION("IMPORTRANGE(""https://docs.google.com/spreadsheets/d/1-uDff_7J0KD5mKrp0Vvzr7lt3OU09vwQwhkpOPPYv2Y/edit?usp=sharing"",""งบพรบ!CB93"")"),0)</f>
        <v>0</v>
      </c>
      <c r="F93" s="88">
        <f ca="1">IFERROR(__xludf.DUMMYFUNCTION("IMPORTRANGE(""https://docs.google.com/spreadsheets/d/1-uDff_7J0KD5mKrp0Vvzr7lt3OU09vwQwhkpOPPYv2Y/edit?usp=sharing"",""งบพรบ!CC93"")"),0)</f>
        <v>0</v>
      </c>
      <c r="G93" s="88">
        <f ca="1">IFERROR(__xludf.DUMMYFUNCTION("IMPORTRANGE(""https://docs.google.com/spreadsheets/d/1-uDff_7J0KD5mKrp0Vvzr7lt3OU09vwQwhkpOPPYv2Y/edit?usp=sharing"",""งบพรบ!CD93"")"),0)</f>
        <v>0</v>
      </c>
      <c r="H93" s="88">
        <f ca="1">IFERROR(__xludf.DUMMYFUNCTION("IMPORTRANGE(""https://docs.google.com/spreadsheets/d/1-uDff_7J0KD5mKrp0Vvzr7lt3OU09vwQwhkpOPPYv2Y/edit?usp=sharing"",""งบพรบ!CF93"")"),263800)</f>
        <v>263800</v>
      </c>
      <c r="I93" s="88">
        <f ca="1">IFERROR(__xludf.DUMMYFUNCTION("IMPORTRANGE(""https://docs.google.com/spreadsheets/d/1-uDff_7J0KD5mKrp0Vvzr7lt3OU09vwQwhkpOPPYv2Y/edit?usp=sharing"",""งบพรบ!CG93"")"),0)</f>
        <v>0</v>
      </c>
      <c r="J93" s="88">
        <f t="shared" ca="1" si="38"/>
        <v>0</v>
      </c>
      <c r="K93" s="89">
        <f t="shared" ca="1" si="39"/>
        <v>0</v>
      </c>
      <c r="L93" s="88">
        <f ca="1">IFERROR(__xludf.DUMMYFUNCTION("IMPORTRANGE(""https://docs.google.com/spreadsheets/d/1-uDff_7J0KD5mKrp0Vvzr7lt3OU09vwQwhkpOPPYv2Y/edit?usp=sharing"",""งบพรบ!CH93"")"),0)</f>
        <v>0</v>
      </c>
      <c r="M93" s="90">
        <f t="shared" ca="1" si="40"/>
        <v>0</v>
      </c>
      <c r="N93" s="90">
        <f t="shared" ca="1" si="41"/>
        <v>0</v>
      </c>
      <c r="O93" s="91">
        <f ca="1">IFERROR(__xludf.DUMMYFUNCTION("IMPORTRANGE(""https://docs.google.com/spreadsheets/d/1-uDff_7J0KD5mKrp0Vvzr7lt3OU09vwQwhkpOPPYv2Y/edit?usp=sharing"",""งบพรบ!CI93"")"),0)</f>
        <v>0</v>
      </c>
      <c r="P93" s="91">
        <f t="shared" ca="1" si="42"/>
        <v>0</v>
      </c>
      <c r="Q93" s="90">
        <f t="shared" ca="1" si="43"/>
        <v>0</v>
      </c>
      <c r="R93" s="88"/>
      <c r="S93" s="88"/>
      <c r="T93" s="90"/>
    </row>
    <row r="94" spans="1:20" ht="24" customHeight="1" x14ac:dyDescent="0.3">
      <c r="A94" s="196"/>
      <c r="B94" s="117" t="s">
        <v>116</v>
      </c>
      <c r="C94" s="197">
        <f t="shared" ca="1" si="36"/>
        <v>0</v>
      </c>
      <c r="D94" s="198">
        <f t="shared" ca="1" si="37"/>
        <v>0</v>
      </c>
      <c r="E94" s="88">
        <f ca="1">IFERROR(__xludf.DUMMYFUNCTION("IMPORTRANGE(""https://docs.google.com/spreadsheets/d/1-uDff_7J0KD5mKrp0Vvzr7lt3OU09vwQwhkpOPPYv2Y/edit?usp=sharing"",""งบพรบ!CB94"")"),0)</f>
        <v>0</v>
      </c>
      <c r="F94" s="88">
        <f ca="1">IFERROR(__xludf.DUMMYFUNCTION("IMPORTRANGE(""https://docs.google.com/spreadsheets/d/1-uDff_7J0KD5mKrp0Vvzr7lt3OU09vwQwhkpOPPYv2Y/edit?usp=sharing"",""งบพรบ!CC94"")"),0)</f>
        <v>0</v>
      </c>
      <c r="G94" s="88">
        <f ca="1">IFERROR(__xludf.DUMMYFUNCTION("IMPORTRANGE(""https://docs.google.com/spreadsheets/d/1-uDff_7J0KD5mKrp0Vvzr7lt3OU09vwQwhkpOPPYv2Y/edit?usp=sharing"",""งบพรบ!CD94"")"),0)</f>
        <v>0</v>
      </c>
      <c r="H94" s="88">
        <f ca="1">IFERROR(__xludf.DUMMYFUNCTION("IMPORTRANGE(""https://docs.google.com/spreadsheets/d/1-uDff_7J0KD5mKrp0Vvzr7lt3OU09vwQwhkpOPPYv2Y/edit?usp=sharing"",""งบพรบ!CF94"")"),0)</f>
        <v>0</v>
      </c>
      <c r="I94" s="88">
        <f ca="1">IFERROR(__xludf.DUMMYFUNCTION("IMPORTRANGE(""https://docs.google.com/spreadsheets/d/1-uDff_7J0KD5mKrp0Vvzr7lt3OU09vwQwhkpOPPYv2Y/edit?usp=sharing"",""งบพรบ!CG94"")"),0)</f>
        <v>0</v>
      </c>
      <c r="J94" s="88">
        <f t="shared" ca="1" si="38"/>
        <v>0</v>
      </c>
      <c r="K94" s="89">
        <f t="shared" ca="1" si="39"/>
        <v>0</v>
      </c>
      <c r="L94" s="88">
        <f ca="1">IFERROR(__xludf.DUMMYFUNCTION("IMPORTRANGE(""https://docs.google.com/spreadsheets/d/1-uDff_7J0KD5mKrp0Vvzr7lt3OU09vwQwhkpOPPYv2Y/edit?usp=sharing"",""งบพรบ!CH94"")"),0)</f>
        <v>0</v>
      </c>
      <c r="M94" s="90">
        <f t="shared" ca="1" si="40"/>
        <v>0</v>
      </c>
      <c r="N94" s="90">
        <f t="shared" ca="1" si="41"/>
        <v>0</v>
      </c>
      <c r="O94" s="91">
        <f ca="1">IFERROR(__xludf.DUMMYFUNCTION("IMPORTRANGE(""https://docs.google.com/spreadsheets/d/1-uDff_7J0KD5mKrp0Vvzr7lt3OU09vwQwhkpOPPYv2Y/edit?usp=sharing"",""งบพรบ!CI94"")"),0)</f>
        <v>0</v>
      </c>
      <c r="P94" s="91">
        <f t="shared" ca="1" si="42"/>
        <v>0</v>
      </c>
      <c r="Q94" s="90">
        <f t="shared" ca="1" si="43"/>
        <v>0</v>
      </c>
      <c r="R94" s="88"/>
      <c r="S94" s="88"/>
      <c r="T94" s="90"/>
    </row>
    <row r="95" spans="1:20" ht="24" customHeight="1" x14ac:dyDescent="0.3">
      <c r="A95" s="196"/>
      <c r="B95" s="117" t="s">
        <v>117</v>
      </c>
      <c r="C95" s="197">
        <f t="shared" ca="1" si="36"/>
        <v>82100</v>
      </c>
      <c r="D95" s="198">
        <f t="shared" ca="1" si="37"/>
        <v>82100</v>
      </c>
      <c r="E95" s="88">
        <f ca="1">IFERROR(__xludf.DUMMYFUNCTION("IMPORTRANGE(""https://docs.google.com/spreadsheets/d/1-uDff_7J0KD5mKrp0Vvzr7lt3OU09vwQwhkpOPPYv2Y/edit?usp=sharing"",""งบพรบ!CB95"")"),82100)</f>
        <v>82100</v>
      </c>
      <c r="F95" s="88">
        <f ca="1">IFERROR(__xludf.DUMMYFUNCTION("IMPORTRANGE(""https://docs.google.com/spreadsheets/d/1-uDff_7J0KD5mKrp0Vvzr7lt3OU09vwQwhkpOPPYv2Y/edit?usp=sharing"",""งบพรบ!CC95"")"),0)</f>
        <v>0</v>
      </c>
      <c r="G95" s="88">
        <f ca="1">IFERROR(__xludf.DUMMYFUNCTION("IMPORTRANGE(""https://docs.google.com/spreadsheets/d/1-uDff_7J0KD5mKrp0Vvzr7lt3OU09vwQwhkpOPPYv2Y/edit?usp=sharing"",""งบพรบ!CD95"")"),0)</f>
        <v>0</v>
      </c>
      <c r="H95" s="88">
        <f ca="1">IFERROR(__xludf.DUMMYFUNCTION("IMPORTRANGE(""https://docs.google.com/spreadsheets/d/1-uDff_7J0KD5mKrp0Vvzr7lt3OU09vwQwhkpOPPYv2Y/edit?usp=sharing"",""งบพรบ!CF95"")"),58600)</f>
        <v>58600</v>
      </c>
      <c r="I95" s="88">
        <f ca="1">IFERROR(__xludf.DUMMYFUNCTION("IMPORTRANGE(""https://docs.google.com/spreadsheets/d/1-uDff_7J0KD5mKrp0Vvzr7lt3OU09vwQwhkpOPPYv2Y/edit?usp=sharing"",""งบพรบ!CG95"")"),0)</f>
        <v>0</v>
      </c>
      <c r="J95" s="88">
        <f t="shared" ca="1" si="38"/>
        <v>0</v>
      </c>
      <c r="K95" s="89">
        <f t="shared" ca="1" si="39"/>
        <v>0</v>
      </c>
      <c r="L95" s="88">
        <f ca="1">IFERROR(__xludf.DUMMYFUNCTION("IMPORTRANGE(""https://docs.google.com/spreadsheets/d/1-uDff_7J0KD5mKrp0Vvzr7lt3OU09vwQwhkpOPPYv2Y/edit?usp=sharing"",""งบพรบ!CH95"")"),0)</f>
        <v>0</v>
      </c>
      <c r="M95" s="90">
        <f t="shared" ca="1" si="40"/>
        <v>0</v>
      </c>
      <c r="N95" s="90">
        <f t="shared" ca="1" si="41"/>
        <v>0</v>
      </c>
      <c r="O95" s="91">
        <f ca="1">IFERROR(__xludf.DUMMYFUNCTION("IMPORTRANGE(""https://docs.google.com/spreadsheets/d/1-uDff_7J0KD5mKrp0Vvzr7lt3OU09vwQwhkpOPPYv2Y/edit?usp=sharing"",""งบพรบ!CI95"")"),0)</f>
        <v>0</v>
      </c>
      <c r="P95" s="91">
        <f t="shared" ca="1" si="42"/>
        <v>0</v>
      </c>
      <c r="Q95" s="90">
        <f t="shared" ca="1" si="43"/>
        <v>0</v>
      </c>
      <c r="R95" s="88"/>
      <c r="S95" s="88"/>
      <c r="T95" s="90"/>
    </row>
    <row r="96" spans="1:20" ht="24" customHeight="1" x14ac:dyDescent="0.3">
      <c r="A96" s="196"/>
      <c r="B96" s="117" t="s">
        <v>118</v>
      </c>
      <c r="C96" s="197">
        <f t="shared" ca="1" si="36"/>
        <v>0</v>
      </c>
      <c r="D96" s="198">
        <f t="shared" ca="1" si="37"/>
        <v>0</v>
      </c>
      <c r="E96" s="88">
        <f ca="1">IFERROR(__xludf.DUMMYFUNCTION("IMPORTRANGE(""https://docs.google.com/spreadsheets/d/1-uDff_7J0KD5mKrp0Vvzr7lt3OU09vwQwhkpOPPYv2Y/edit?usp=sharing"",""งบพรบ!CB96"")"),0)</f>
        <v>0</v>
      </c>
      <c r="F96" s="88">
        <f ca="1">IFERROR(__xludf.DUMMYFUNCTION("IMPORTRANGE(""https://docs.google.com/spreadsheets/d/1-uDff_7J0KD5mKrp0Vvzr7lt3OU09vwQwhkpOPPYv2Y/edit?usp=sharing"",""งบพรบ!CC96"")"),0)</f>
        <v>0</v>
      </c>
      <c r="G96" s="88">
        <f ca="1">IFERROR(__xludf.DUMMYFUNCTION("IMPORTRANGE(""https://docs.google.com/spreadsheets/d/1-uDff_7J0KD5mKrp0Vvzr7lt3OU09vwQwhkpOPPYv2Y/edit?usp=sharing"",""งบพรบ!CD96"")"),0)</f>
        <v>0</v>
      </c>
      <c r="H96" s="88">
        <f ca="1">IFERROR(__xludf.DUMMYFUNCTION("IMPORTRANGE(""https://docs.google.com/spreadsheets/d/1-uDff_7J0KD5mKrp0Vvzr7lt3OU09vwQwhkpOPPYv2Y/edit?usp=sharing"",""งบพรบ!CF96"")"),0)</f>
        <v>0</v>
      </c>
      <c r="I96" s="88">
        <f ca="1">IFERROR(__xludf.DUMMYFUNCTION("IMPORTRANGE(""https://docs.google.com/spreadsheets/d/1-uDff_7J0KD5mKrp0Vvzr7lt3OU09vwQwhkpOPPYv2Y/edit?usp=sharing"",""งบพรบ!CG96"")"),0)</f>
        <v>0</v>
      </c>
      <c r="J96" s="88">
        <f t="shared" ca="1" si="38"/>
        <v>0</v>
      </c>
      <c r="K96" s="89">
        <f t="shared" ca="1" si="39"/>
        <v>0</v>
      </c>
      <c r="L96" s="88">
        <f ca="1">IFERROR(__xludf.DUMMYFUNCTION("IMPORTRANGE(""https://docs.google.com/spreadsheets/d/1-uDff_7J0KD5mKrp0Vvzr7lt3OU09vwQwhkpOPPYv2Y/edit?usp=sharing"",""งบพรบ!CH96"")"),0)</f>
        <v>0</v>
      </c>
      <c r="M96" s="90">
        <f t="shared" ca="1" si="40"/>
        <v>0</v>
      </c>
      <c r="N96" s="90">
        <f t="shared" ca="1" si="41"/>
        <v>0</v>
      </c>
      <c r="O96" s="91">
        <f ca="1">IFERROR(__xludf.DUMMYFUNCTION("IMPORTRANGE(""https://docs.google.com/spreadsheets/d/1-uDff_7J0KD5mKrp0Vvzr7lt3OU09vwQwhkpOPPYv2Y/edit?usp=sharing"",""งบพรบ!CI96"")"),0)</f>
        <v>0</v>
      </c>
      <c r="P96" s="91">
        <f t="shared" ca="1" si="42"/>
        <v>0</v>
      </c>
      <c r="Q96" s="90">
        <f t="shared" ca="1" si="43"/>
        <v>0</v>
      </c>
      <c r="R96" s="88"/>
      <c r="S96" s="88"/>
      <c r="T96" s="90"/>
    </row>
    <row r="97" spans="1:20" ht="24" customHeight="1" x14ac:dyDescent="0.3">
      <c r="A97" s="196"/>
      <c r="B97" s="117" t="s">
        <v>119</v>
      </c>
      <c r="C97" s="197">
        <f t="shared" ca="1" si="36"/>
        <v>0</v>
      </c>
      <c r="D97" s="198">
        <f t="shared" ca="1" si="37"/>
        <v>0</v>
      </c>
      <c r="E97" s="88">
        <f ca="1">IFERROR(__xludf.DUMMYFUNCTION("IMPORTRANGE(""https://docs.google.com/spreadsheets/d/1-uDff_7J0KD5mKrp0Vvzr7lt3OU09vwQwhkpOPPYv2Y/edit?usp=sharing"",""งบพรบ!CB97"")"),0)</f>
        <v>0</v>
      </c>
      <c r="F97" s="88">
        <f ca="1">IFERROR(__xludf.DUMMYFUNCTION("IMPORTRANGE(""https://docs.google.com/spreadsheets/d/1-uDff_7J0KD5mKrp0Vvzr7lt3OU09vwQwhkpOPPYv2Y/edit?usp=sharing"",""งบพรบ!CC97"")"),0)</f>
        <v>0</v>
      </c>
      <c r="G97" s="88">
        <f ca="1">IFERROR(__xludf.DUMMYFUNCTION("IMPORTRANGE(""https://docs.google.com/spreadsheets/d/1-uDff_7J0KD5mKrp0Vvzr7lt3OU09vwQwhkpOPPYv2Y/edit?usp=sharing"",""งบพรบ!CD97"")"),0)</f>
        <v>0</v>
      </c>
      <c r="H97" s="88">
        <f ca="1">IFERROR(__xludf.DUMMYFUNCTION("IMPORTRANGE(""https://docs.google.com/spreadsheets/d/1-uDff_7J0KD5mKrp0Vvzr7lt3OU09vwQwhkpOPPYv2Y/edit?usp=sharing"",""งบพรบ!CF97"")"),0)</f>
        <v>0</v>
      </c>
      <c r="I97" s="88">
        <f ca="1">IFERROR(__xludf.DUMMYFUNCTION("IMPORTRANGE(""https://docs.google.com/spreadsheets/d/1-uDff_7J0KD5mKrp0Vvzr7lt3OU09vwQwhkpOPPYv2Y/edit?usp=sharing"",""งบพรบ!CG97"")"),0)</f>
        <v>0</v>
      </c>
      <c r="J97" s="88">
        <f t="shared" ca="1" si="38"/>
        <v>0</v>
      </c>
      <c r="K97" s="89">
        <f t="shared" ca="1" si="39"/>
        <v>0</v>
      </c>
      <c r="L97" s="88">
        <f ca="1">IFERROR(__xludf.DUMMYFUNCTION("IMPORTRANGE(""https://docs.google.com/spreadsheets/d/1-uDff_7J0KD5mKrp0Vvzr7lt3OU09vwQwhkpOPPYv2Y/edit?usp=sharing"",""งบพรบ!CH97"")"),0)</f>
        <v>0</v>
      </c>
      <c r="M97" s="90">
        <f t="shared" ca="1" si="40"/>
        <v>0</v>
      </c>
      <c r="N97" s="90">
        <f t="shared" ca="1" si="41"/>
        <v>0</v>
      </c>
      <c r="O97" s="91">
        <f ca="1">IFERROR(__xludf.DUMMYFUNCTION("IMPORTRANGE(""https://docs.google.com/spreadsheets/d/1-uDff_7J0KD5mKrp0Vvzr7lt3OU09vwQwhkpOPPYv2Y/edit?usp=sharing"",""งบพรบ!CI97"")"),0)</f>
        <v>0</v>
      </c>
      <c r="P97" s="91">
        <f t="shared" ca="1" si="42"/>
        <v>0</v>
      </c>
      <c r="Q97" s="90">
        <f t="shared" ca="1" si="43"/>
        <v>0</v>
      </c>
      <c r="R97" s="88"/>
      <c r="S97" s="88"/>
      <c r="T97" s="90"/>
    </row>
    <row r="98" spans="1:20" ht="24" customHeight="1" x14ac:dyDescent="0.3">
      <c r="A98" s="196"/>
      <c r="B98" s="117" t="s">
        <v>120</v>
      </c>
      <c r="C98" s="197">
        <f t="shared" ca="1" si="36"/>
        <v>0</v>
      </c>
      <c r="D98" s="198">
        <f t="shared" ca="1" si="37"/>
        <v>0</v>
      </c>
      <c r="E98" s="88">
        <f ca="1">IFERROR(__xludf.DUMMYFUNCTION("IMPORTRANGE(""https://docs.google.com/spreadsheets/d/1-uDff_7J0KD5mKrp0Vvzr7lt3OU09vwQwhkpOPPYv2Y/edit?usp=sharing"",""งบพรบ!CB98"")"),0)</f>
        <v>0</v>
      </c>
      <c r="F98" s="88">
        <f ca="1">IFERROR(__xludf.DUMMYFUNCTION("IMPORTRANGE(""https://docs.google.com/spreadsheets/d/1-uDff_7J0KD5mKrp0Vvzr7lt3OU09vwQwhkpOPPYv2Y/edit?usp=sharing"",""งบพรบ!CC98"")"),0)</f>
        <v>0</v>
      </c>
      <c r="G98" s="88">
        <f ca="1">IFERROR(__xludf.DUMMYFUNCTION("IMPORTRANGE(""https://docs.google.com/spreadsheets/d/1-uDff_7J0KD5mKrp0Vvzr7lt3OU09vwQwhkpOPPYv2Y/edit?usp=sharing"",""งบพรบ!CD98"")"),0)</f>
        <v>0</v>
      </c>
      <c r="H98" s="88">
        <f ca="1">IFERROR(__xludf.DUMMYFUNCTION("IMPORTRANGE(""https://docs.google.com/spreadsheets/d/1-uDff_7J0KD5mKrp0Vvzr7lt3OU09vwQwhkpOPPYv2Y/edit?usp=sharing"",""งบพรบ!CF98"")"),0)</f>
        <v>0</v>
      </c>
      <c r="I98" s="88">
        <f ca="1">IFERROR(__xludf.DUMMYFUNCTION("IMPORTRANGE(""https://docs.google.com/spreadsheets/d/1-uDff_7J0KD5mKrp0Vvzr7lt3OU09vwQwhkpOPPYv2Y/edit?usp=sharing"",""งบพรบ!CG98"")"),0)</f>
        <v>0</v>
      </c>
      <c r="J98" s="88">
        <f t="shared" ca="1" si="38"/>
        <v>0</v>
      </c>
      <c r="K98" s="89">
        <f t="shared" ca="1" si="39"/>
        <v>0</v>
      </c>
      <c r="L98" s="88">
        <f ca="1">IFERROR(__xludf.DUMMYFUNCTION("IMPORTRANGE(""https://docs.google.com/spreadsheets/d/1-uDff_7J0KD5mKrp0Vvzr7lt3OU09vwQwhkpOPPYv2Y/edit?usp=sharing"",""งบพรบ!CH98"")"),0)</f>
        <v>0</v>
      </c>
      <c r="M98" s="90">
        <f t="shared" ca="1" si="40"/>
        <v>0</v>
      </c>
      <c r="N98" s="90">
        <f t="shared" ca="1" si="41"/>
        <v>0</v>
      </c>
      <c r="O98" s="91">
        <f ca="1">IFERROR(__xludf.DUMMYFUNCTION("IMPORTRANGE(""https://docs.google.com/spreadsheets/d/1-uDff_7J0KD5mKrp0Vvzr7lt3OU09vwQwhkpOPPYv2Y/edit?usp=sharing"",""งบพรบ!CI98"")"),0)</f>
        <v>0</v>
      </c>
      <c r="P98" s="91">
        <f t="shared" ca="1" si="42"/>
        <v>0</v>
      </c>
      <c r="Q98" s="90">
        <f t="shared" ca="1" si="43"/>
        <v>0</v>
      </c>
      <c r="R98" s="88"/>
      <c r="S98" s="88"/>
      <c r="T98" s="90"/>
    </row>
    <row r="99" spans="1:20" ht="24" customHeight="1" x14ac:dyDescent="0.3">
      <c r="A99" s="196"/>
      <c r="B99" s="117" t="s">
        <v>121</v>
      </c>
      <c r="C99" s="197">
        <f t="shared" ca="1" si="36"/>
        <v>0</v>
      </c>
      <c r="D99" s="198">
        <f t="shared" ca="1" si="37"/>
        <v>0</v>
      </c>
      <c r="E99" s="88">
        <f ca="1">IFERROR(__xludf.DUMMYFUNCTION("IMPORTRANGE(""https://docs.google.com/spreadsheets/d/1-uDff_7J0KD5mKrp0Vvzr7lt3OU09vwQwhkpOPPYv2Y/edit?usp=sharing"",""งบพรบ!CB99"")"),0)</f>
        <v>0</v>
      </c>
      <c r="F99" s="88">
        <f ca="1">IFERROR(__xludf.DUMMYFUNCTION("IMPORTRANGE(""https://docs.google.com/spreadsheets/d/1-uDff_7J0KD5mKrp0Vvzr7lt3OU09vwQwhkpOPPYv2Y/edit?usp=sharing"",""งบพรบ!CC99"")"),0)</f>
        <v>0</v>
      </c>
      <c r="G99" s="88">
        <f ca="1">IFERROR(__xludf.DUMMYFUNCTION("IMPORTRANGE(""https://docs.google.com/spreadsheets/d/1-uDff_7J0KD5mKrp0Vvzr7lt3OU09vwQwhkpOPPYv2Y/edit?usp=sharing"",""งบพรบ!CD99"")"),0)</f>
        <v>0</v>
      </c>
      <c r="H99" s="88">
        <f ca="1">IFERROR(__xludf.DUMMYFUNCTION("IMPORTRANGE(""https://docs.google.com/spreadsheets/d/1-uDff_7J0KD5mKrp0Vvzr7lt3OU09vwQwhkpOPPYv2Y/edit?usp=sharing"",""งบพรบ!CF99"")"),0)</f>
        <v>0</v>
      </c>
      <c r="I99" s="88">
        <f ca="1">IFERROR(__xludf.DUMMYFUNCTION("IMPORTRANGE(""https://docs.google.com/spreadsheets/d/1-uDff_7J0KD5mKrp0Vvzr7lt3OU09vwQwhkpOPPYv2Y/edit?usp=sharing"",""งบพรบ!CG99"")"),0)</f>
        <v>0</v>
      </c>
      <c r="J99" s="88">
        <f t="shared" ca="1" si="38"/>
        <v>0</v>
      </c>
      <c r="K99" s="89">
        <f t="shared" ca="1" si="39"/>
        <v>0</v>
      </c>
      <c r="L99" s="88">
        <f ca="1">IFERROR(__xludf.DUMMYFUNCTION("IMPORTRANGE(""https://docs.google.com/spreadsheets/d/1-uDff_7J0KD5mKrp0Vvzr7lt3OU09vwQwhkpOPPYv2Y/edit?usp=sharing"",""งบพรบ!CH99"")"),0)</f>
        <v>0</v>
      </c>
      <c r="M99" s="90">
        <f t="shared" ca="1" si="40"/>
        <v>0</v>
      </c>
      <c r="N99" s="90">
        <f t="shared" ca="1" si="41"/>
        <v>0</v>
      </c>
      <c r="O99" s="91">
        <f ca="1">IFERROR(__xludf.DUMMYFUNCTION("IMPORTRANGE(""https://docs.google.com/spreadsheets/d/1-uDff_7J0KD5mKrp0Vvzr7lt3OU09vwQwhkpOPPYv2Y/edit?usp=sharing"",""งบพรบ!CI99"")"),0)</f>
        <v>0</v>
      </c>
      <c r="P99" s="91">
        <f t="shared" ca="1" si="42"/>
        <v>0</v>
      </c>
      <c r="Q99" s="90">
        <f t="shared" ca="1" si="43"/>
        <v>0</v>
      </c>
      <c r="R99" s="88"/>
      <c r="S99" s="88"/>
      <c r="T99" s="90"/>
    </row>
    <row r="100" spans="1:20" ht="24" customHeight="1" x14ac:dyDescent="0.3">
      <c r="A100" s="196"/>
      <c r="B100" s="117" t="s">
        <v>122</v>
      </c>
      <c r="C100" s="197">
        <f t="shared" ca="1" si="36"/>
        <v>0</v>
      </c>
      <c r="D100" s="198">
        <f t="shared" ca="1" si="37"/>
        <v>0</v>
      </c>
      <c r="E100" s="88">
        <f ca="1">IFERROR(__xludf.DUMMYFUNCTION("IMPORTRANGE(""https://docs.google.com/spreadsheets/d/1-uDff_7J0KD5mKrp0Vvzr7lt3OU09vwQwhkpOPPYv2Y/edit?usp=sharing"",""งบพรบ!CB100"")"),0)</f>
        <v>0</v>
      </c>
      <c r="F100" s="88">
        <f ca="1">IFERROR(__xludf.DUMMYFUNCTION("IMPORTRANGE(""https://docs.google.com/spreadsheets/d/1-uDff_7J0KD5mKrp0Vvzr7lt3OU09vwQwhkpOPPYv2Y/edit?usp=sharing"",""งบพรบ!CC100"")"),0)</f>
        <v>0</v>
      </c>
      <c r="G100" s="88">
        <f ca="1">IFERROR(__xludf.DUMMYFUNCTION("IMPORTRANGE(""https://docs.google.com/spreadsheets/d/1-uDff_7J0KD5mKrp0Vvzr7lt3OU09vwQwhkpOPPYv2Y/edit?usp=sharing"",""งบพรบ!CD100"")"),0)</f>
        <v>0</v>
      </c>
      <c r="H100" s="88">
        <f ca="1">IFERROR(__xludf.DUMMYFUNCTION("IMPORTRANGE(""https://docs.google.com/spreadsheets/d/1-uDff_7J0KD5mKrp0Vvzr7lt3OU09vwQwhkpOPPYv2Y/edit?usp=sharing"",""งบพรบ!CF100"")"),0)</f>
        <v>0</v>
      </c>
      <c r="I100" s="88">
        <f ca="1">IFERROR(__xludf.DUMMYFUNCTION("IMPORTRANGE(""https://docs.google.com/spreadsheets/d/1-uDff_7J0KD5mKrp0Vvzr7lt3OU09vwQwhkpOPPYv2Y/edit?usp=sharing"",""งบพรบ!CG100"")"),0)</f>
        <v>0</v>
      </c>
      <c r="J100" s="88">
        <f t="shared" ca="1" si="38"/>
        <v>0</v>
      </c>
      <c r="K100" s="89">
        <f t="shared" ca="1" si="39"/>
        <v>0</v>
      </c>
      <c r="L100" s="88">
        <f ca="1">IFERROR(__xludf.DUMMYFUNCTION("IMPORTRANGE(""https://docs.google.com/spreadsheets/d/1-uDff_7J0KD5mKrp0Vvzr7lt3OU09vwQwhkpOPPYv2Y/edit?usp=sharing"",""งบพรบ!CH100"")"),0)</f>
        <v>0</v>
      </c>
      <c r="M100" s="90">
        <f t="shared" ca="1" si="40"/>
        <v>0</v>
      </c>
      <c r="N100" s="90">
        <f t="shared" ca="1" si="41"/>
        <v>0</v>
      </c>
      <c r="O100" s="91">
        <f ca="1">IFERROR(__xludf.DUMMYFUNCTION("IMPORTRANGE(""https://docs.google.com/spreadsheets/d/1-uDff_7J0KD5mKrp0Vvzr7lt3OU09vwQwhkpOPPYv2Y/edit?usp=sharing"",""งบพรบ!CI100"")"),0)</f>
        <v>0</v>
      </c>
      <c r="P100" s="91">
        <f t="shared" ca="1" si="42"/>
        <v>0</v>
      </c>
      <c r="Q100" s="90">
        <f t="shared" ca="1" si="43"/>
        <v>0</v>
      </c>
      <c r="R100" s="88"/>
      <c r="S100" s="88"/>
      <c r="T100" s="90"/>
    </row>
    <row r="101" spans="1:20" ht="24" customHeight="1" x14ac:dyDescent="0.3">
      <c r="A101" s="196"/>
      <c r="B101" s="117" t="s">
        <v>123</v>
      </c>
      <c r="C101" s="197">
        <f t="shared" ca="1" si="36"/>
        <v>2040300</v>
      </c>
      <c r="D101" s="198">
        <f t="shared" ca="1" si="37"/>
        <v>2040300</v>
      </c>
      <c r="E101" s="88">
        <f ca="1">IFERROR(__xludf.DUMMYFUNCTION("IMPORTRANGE(""https://docs.google.com/spreadsheets/d/1-uDff_7J0KD5mKrp0Vvzr7lt3OU09vwQwhkpOPPYv2Y/edit?usp=sharing"",""งบพรบ!CB101"")"),264600)</f>
        <v>264600</v>
      </c>
      <c r="F101" s="88">
        <f ca="1">IFERROR(__xludf.DUMMYFUNCTION("IMPORTRANGE(""https://docs.google.com/spreadsheets/d/1-uDff_7J0KD5mKrp0Vvzr7lt3OU09vwQwhkpOPPYv2Y/edit?usp=sharing"",""งบพรบ!CC101"")"),1775700)</f>
        <v>1775700</v>
      </c>
      <c r="G101" s="88">
        <f ca="1">IFERROR(__xludf.DUMMYFUNCTION("IMPORTRANGE(""https://docs.google.com/spreadsheets/d/1-uDff_7J0KD5mKrp0Vvzr7lt3OU09vwQwhkpOPPYv2Y/edit?usp=sharing"",""งบพรบ!CD101"")"),0)</f>
        <v>0</v>
      </c>
      <c r="H101" s="88">
        <f ca="1">IFERROR(__xludf.DUMMYFUNCTION("IMPORTRANGE(""https://docs.google.com/spreadsheets/d/1-uDff_7J0KD5mKrp0Vvzr7lt3OU09vwQwhkpOPPYv2Y/edit?usp=sharing"",""งบพรบ!CF101"")"),1653900)</f>
        <v>1653900</v>
      </c>
      <c r="I101" s="88">
        <f ca="1">IFERROR(__xludf.DUMMYFUNCTION("IMPORTRANGE(""https://docs.google.com/spreadsheets/d/1-uDff_7J0KD5mKrp0Vvzr7lt3OU09vwQwhkpOPPYv2Y/edit?usp=sharing"",""งบพรบ!CG101"")"),0)</f>
        <v>0</v>
      </c>
      <c r="J101" s="88">
        <f t="shared" ca="1" si="38"/>
        <v>221740.16</v>
      </c>
      <c r="K101" s="89">
        <f t="shared" ca="1" si="39"/>
        <v>10.868017448414449</v>
      </c>
      <c r="L101" s="88">
        <f ca="1">IFERROR(__xludf.DUMMYFUNCTION("IMPORTRANGE(""https://docs.google.com/spreadsheets/d/1-uDff_7J0KD5mKrp0Vvzr7lt3OU09vwQwhkpOPPYv2Y/edit?usp=sharing"",""งบพรบ!CH101"")"),221740.16)</f>
        <v>221740.16</v>
      </c>
      <c r="M101" s="90">
        <f t="shared" ca="1" si="40"/>
        <v>10.868017448414449</v>
      </c>
      <c r="N101" s="90">
        <f t="shared" ca="1" si="41"/>
        <v>13.407108047644961</v>
      </c>
      <c r="O101" s="91">
        <f ca="1">IFERROR(__xludf.DUMMYFUNCTION("IMPORTRANGE(""https://docs.google.com/spreadsheets/d/1-uDff_7J0KD5mKrp0Vvzr7lt3OU09vwQwhkpOPPYv2Y/edit?usp=sharing"",""งบพรบ!CI101"")"),0)</f>
        <v>0</v>
      </c>
      <c r="P101" s="91">
        <f t="shared" ca="1" si="42"/>
        <v>0</v>
      </c>
      <c r="Q101" s="90">
        <f t="shared" ca="1" si="43"/>
        <v>0</v>
      </c>
      <c r="R101" s="88"/>
      <c r="S101" s="88"/>
      <c r="T101" s="90"/>
    </row>
    <row r="102" spans="1:20" ht="24" customHeight="1" x14ac:dyDescent="0.3">
      <c r="A102" s="196"/>
      <c r="B102" s="117" t="s">
        <v>124</v>
      </c>
      <c r="C102" s="197">
        <f t="shared" ca="1" si="36"/>
        <v>0</v>
      </c>
      <c r="D102" s="198">
        <f t="shared" ca="1" si="37"/>
        <v>0</v>
      </c>
      <c r="E102" s="88">
        <f ca="1">IFERROR(__xludf.DUMMYFUNCTION("IMPORTRANGE(""https://docs.google.com/spreadsheets/d/1-uDff_7J0KD5mKrp0Vvzr7lt3OU09vwQwhkpOPPYv2Y/edit?usp=sharing"",""งบพรบ!CB102"")"),0)</f>
        <v>0</v>
      </c>
      <c r="F102" s="88">
        <f ca="1">IFERROR(__xludf.DUMMYFUNCTION("IMPORTRANGE(""https://docs.google.com/spreadsheets/d/1-uDff_7J0KD5mKrp0Vvzr7lt3OU09vwQwhkpOPPYv2Y/edit?usp=sharing"",""งบพรบ!CC102"")"),0)</f>
        <v>0</v>
      </c>
      <c r="G102" s="88">
        <f ca="1">IFERROR(__xludf.DUMMYFUNCTION("IMPORTRANGE(""https://docs.google.com/spreadsheets/d/1-uDff_7J0KD5mKrp0Vvzr7lt3OU09vwQwhkpOPPYv2Y/edit?usp=sharing"",""งบพรบ!CD102"")"),0)</f>
        <v>0</v>
      </c>
      <c r="H102" s="88">
        <f ca="1">IFERROR(__xludf.DUMMYFUNCTION("IMPORTRANGE(""https://docs.google.com/spreadsheets/d/1-uDff_7J0KD5mKrp0Vvzr7lt3OU09vwQwhkpOPPYv2Y/edit?usp=sharing"",""งบพรบ!CF102"")"),0)</f>
        <v>0</v>
      </c>
      <c r="I102" s="88">
        <f ca="1">IFERROR(__xludf.DUMMYFUNCTION("IMPORTRANGE(""https://docs.google.com/spreadsheets/d/1-uDff_7J0KD5mKrp0Vvzr7lt3OU09vwQwhkpOPPYv2Y/edit?usp=sharing"",""งบพรบ!CG102"")"),0)</f>
        <v>0</v>
      </c>
      <c r="J102" s="88">
        <f t="shared" ca="1" si="38"/>
        <v>0</v>
      </c>
      <c r="K102" s="89">
        <f t="shared" ca="1" si="39"/>
        <v>0</v>
      </c>
      <c r="L102" s="88">
        <f ca="1">IFERROR(__xludf.DUMMYFUNCTION("IMPORTRANGE(""https://docs.google.com/spreadsheets/d/1-uDff_7J0KD5mKrp0Vvzr7lt3OU09vwQwhkpOPPYv2Y/edit?usp=sharing"",""งบพรบ!CH102"")"),0)</f>
        <v>0</v>
      </c>
      <c r="M102" s="90">
        <f t="shared" ca="1" si="40"/>
        <v>0</v>
      </c>
      <c r="N102" s="90">
        <f t="shared" ca="1" si="41"/>
        <v>0</v>
      </c>
      <c r="O102" s="91">
        <f ca="1">IFERROR(__xludf.DUMMYFUNCTION("IMPORTRANGE(""https://docs.google.com/spreadsheets/d/1-uDff_7J0KD5mKrp0Vvzr7lt3OU09vwQwhkpOPPYv2Y/edit?usp=sharing"",""งบพรบ!CI102"")"),0)</f>
        <v>0</v>
      </c>
      <c r="P102" s="91">
        <f t="shared" ca="1" si="42"/>
        <v>0</v>
      </c>
      <c r="Q102" s="90">
        <f t="shared" ca="1" si="43"/>
        <v>0</v>
      </c>
      <c r="R102" s="88"/>
      <c r="S102" s="88"/>
      <c r="T102" s="90"/>
    </row>
    <row r="103" spans="1:20" ht="24" customHeight="1" x14ac:dyDescent="0.3">
      <c r="A103" s="196"/>
      <c r="B103" s="117" t="s">
        <v>125</v>
      </c>
      <c r="C103" s="197">
        <f t="shared" ca="1" si="36"/>
        <v>0</v>
      </c>
      <c r="D103" s="198">
        <f t="shared" ca="1" si="37"/>
        <v>0</v>
      </c>
      <c r="E103" s="88">
        <f ca="1">IFERROR(__xludf.DUMMYFUNCTION("IMPORTRANGE(""https://docs.google.com/spreadsheets/d/1-uDff_7J0KD5mKrp0Vvzr7lt3OU09vwQwhkpOPPYv2Y/edit?usp=sharing"",""งบพรบ!CB103"")"),0)</f>
        <v>0</v>
      </c>
      <c r="F103" s="88">
        <f ca="1">IFERROR(__xludf.DUMMYFUNCTION("IMPORTRANGE(""https://docs.google.com/spreadsheets/d/1-uDff_7J0KD5mKrp0Vvzr7lt3OU09vwQwhkpOPPYv2Y/edit?usp=sharing"",""งบพรบ!CC103"")"),0)</f>
        <v>0</v>
      </c>
      <c r="G103" s="88">
        <f ca="1">IFERROR(__xludf.DUMMYFUNCTION("IMPORTRANGE(""https://docs.google.com/spreadsheets/d/1-uDff_7J0KD5mKrp0Vvzr7lt3OU09vwQwhkpOPPYv2Y/edit?usp=sharing"",""งบพรบ!CD103"")"),0)</f>
        <v>0</v>
      </c>
      <c r="H103" s="88">
        <f ca="1">IFERROR(__xludf.DUMMYFUNCTION("IMPORTRANGE(""https://docs.google.com/spreadsheets/d/1-uDff_7J0KD5mKrp0Vvzr7lt3OU09vwQwhkpOPPYv2Y/edit?usp=sharing"",""งบพรบ!CF103"")"),0)</f>
        <v>0</v>
      </c>
      <c r="I103" s="88">
        <f ca="1">IFERROR(__xludf.DUMMYFUNCTION("IMPORTRANGE(""https://docs.google.com/spreadsheets/d/1-uDff_7J0KD5mKrp0Vvzr7lt3OU09vwQwhkpOPPYv2Y/edit?usp=sharing"",""งบพรบ!CG103"")"),0)</f>
        <v>0</v>
      </c>
      <c r="J103" s="88">
        <f t="shared" ca="1" si="38"/>
        <v>0</v>
      </c>
      <c r="K103" s="89">
        <f t="shared" ca="1" si="39"/>
        <v>0</v>
      </c>
      <c r="L103" s="88">
        <f ca="1">IFERROR(__xludf.DUMMYFUNCTION("IMPORTRANGE(""https://docs.google.com/spreadsheets/d/1-uDff_7J0KD5mKrp0Vvzr7lt3OU09vwQwhkpOPPYv2Y/edit?usp=sharing"",""งบพรบ!CH103"")"),0)</f>
        <v>0</v>
      </c>
      <c r="M103" s="90">
        <f t="shared" ca="1" si="40"/>
        <v>0</v>
      </c>
      <c r="N103" s="90">
        <f t="shared" ca="1" si="41"/>
        <v>0</v>
      </c>
      <c r="O103" s="91">
        <f ca="1">IFERROR(__xludf.DUMMYFUNCTION("IMPORTRANGE(""https://docs.google.com/spreadsheets/d/1-uDff_7J0KD5mKrp0Vvzr7lt3OU09vwQwhkpOPPYv2Y/edit?usp=sharing"",""งบพรบ!CI103"")"),0)</f>
        <v>0</v>
      </c>
      <c r="P103" s="91">
        <f t="shared" ca="1" si="42"/>
        <v>0</v>
      </c>
      <c r="Q103" s="90">
        <f t="shared" ca="1" si="43"/>
        <v>0</v>
      </c>
      <c r="R103" s="233"/>
      <c r="S103" s="233"/>
      <c r="T103" s="234"/>
    </row>
    <row r="104" spans="1:20" ht="21" customHeight="1" x14ac:dyDescent="0.3">
      <c r="A104" s="196"/>
      <c r="B104" s="117" t="s">
        <v>126</v>
      </c>
      <c r="C104" s="197">
        <f t="shared" ca="1" si="36"/>
        <v>1187200</v>
      </c>
      <c r="D104" s="198">
        <f t="shared" ca="1" si="37"/>
        <v>1187200</v>
      </c>
      <c r="E104" s="88">
        <f ca="1">IFERROR(__xludf.DUMMYFUNCTION("IMPORTRANGE(""https://docs.google.com/spreadsheets/d/1-uDff_7J0KD5mKrp0Vvzr7lt3OU09vwQwhkpOPPYv2Y/edit?usp=sharing"",""งบพรบ!CB104"")"),1187200)</f>
        <v>1187200</v>
      </c>
      <c r="F104" s="88">
        <f ca="1">IFERROR(__xludf.DUMMYFUNCTION("IMPORTRANGE(""https://docs.google.com/spreadsheets/d/1-uDff_7J0KD5mKrp0Vvzr7lt3OU09vwQwhkpOPPYv2Y/edit?usp=sharing"",""งบพรบ!CC104"")"),0)</f>
        <v>0</v>
      </c>
      <c r="G104" s="88">
        <f ca="1">IFERROR(__xludf.DUMMYFUNCTION("IMPORTRANGE(""https://docs.google.com/spreadsheets/d/1-uDff_7J0KD5mKrp0Vvzr7lt3OU09vwQwhkpOPPYv2Y/edit?usp=sharing"",""งบพรบ!CD104"")"),0)</f>
        <v>0</v>
      </c>
      <c r="H104" s="88">
        <f ca="1">IFERROR(__xludf.DUMMYFUNCTION("IMPORTRANGE(""https://docs.google.com/spreadsheets/d/1-uDff_7J0KD5mKrp0Vvzr7lt3OU09vwQwhkpOPPYv2Y/edit?usp=sharing"",""งบพรบ!CF104"")"),687200)</f>
        <v>687200</v>
      </c>
      <c r="I104" s="88">
        <f ca="1">IFERROR(__xludf.DUMMYFUNCTION("IMPORTRANGE(""https://docs.google.com/spreadsheets/d/1-uDff_7J0KD5mKrp0Vvzr7lt3OU09vwQwhkpOPPYv2Y/edit?usp=sharing"",""งบพรบ!CG104"")"),0)</f>
        <v>0</v>
      </c>
      <c r="J104" s="88">
        <f t="shared" ca="1" si="38"/>
        <v>0</v>
      </c>
      <c r="K104" s="89">
        <f t="shared" ca="1" si="39"/>
        <v>0</v>
      </c>
      <c r="L104" s="88">
        <f ca="1">IFERROR(__xludf.DUMMYFUNCTION("IMPORTRANGE(""https://docs.google.com/spreadsheets/d/1-uDff_7J0KD5mKrp0Vvzr7lt3OU09vwQwhkpOPPYv2Y/edit?usp=sharing"",""งบพรบ!CH104"")"),0)</f>
        <v>0</v>
      </c>
      <c r="M104" s="90">
        <f t="shared" ca="1" si="40"/>
        <v>0</v>
      </c>
      <c r="N104" s="90">
        <f t="shared" ca="1" si="41"/>
        <v>0</v>
      </c>
      <c r="O104" s="91">
        <f ca="1">IFERROR(__xludf.DUMMYFUNCTION("IMPORTRANGE(""https://docs.google.com/spreadsheets/d/1-uDff_7J0KD5mKrp0Vvzr7lt3OU09vwQwhkpOPPYv2Y/edit?usp=sharing"",""งบพรบ!CI104"")"),0)</f>
        <v>0</v>
      </c>
      <c r="P104" s="91">
        <f t="shared" ca="1" si="42"/>
        <v>0</v>
      </c>
      <c r="Q104" s="90">
        <f t="shared" ca="1" si="43"/>
        <v>0</v>
      </c>
      <c r="R104" s="88"/>
      <c r="S104" s="88"/>
      <c r="T104" s="90"/>
    </row>
    <row r="105" spans="1:20" ht="24" customHeight="1" x14ac:dyDescent="0.3">
      <c r="A105" s="196"/>
      <c r="B105" s="118" t="s">
        <v>127</v>
      </c>
      <c r="C105" s="197">
        <f t="shared" ca="1" si="36"/>
        <v>0</v>
      </c>
      <c r="D105" s="198">
        <f t="shared" ca="1" si="37"/>
        <v>0</v>
      </c>
      <c r="E105" s="88">
        <f ca="1">IFERROR(__xludf.DUMMYFUNCTION("IMPORTRANGE(""https://docs.google.com/spreadsheets/d/1-uDff_7J0KD5mKrp0Vvzr7lt3OU09vwQwhkpOPPYv2Y/edit?usp=sharing"",""งบพรบ!CB105"")"),0)</f>
        <v>0</v>
      </c>
      <c r="F105" s="88">
        <f ca="1">IFERROR(__xludf.DUMMYFUNCTION("IMPORTRANGE(""https://docs.google.com/spreadsheets/d/1-uDff_7J0KD5mKrp0Vvzr7lt3OU09vwQwhkpOPPYv2Y/edit?usp=sharing"",""งบพรบ!CC105"")"),0)</f>
        <v>0</v>
      </c>
      <c r="G105" s="88">
        <f ca="1">IFERROR(__xludf.DUMMYFUNCTION("IMPORTRANGE(""https://docs.google.com/spreadsheets/d/1-uDff_7J0KD5mKrp0Vvzr7lt3OU09vwQwhkpOPPYv2Y/edit?usp=sharing"",""งบพรบ!CD105"")"),0)</f>
        <v>0</v>
      </c>
      <c r="H105" s="88">
        <f ca="1">IFERROR(__xludf.DUMMYFUNCTION("IMPORTRANGE(""https://docs.google.com/spreadsheets/d/1-uDff_7J0KD5mKrp0Vvzr7lt3OU09vwQwhkpOPPYv2Y/edit?usp=sharing"",""งบพรบ!CF105"")"),0)</f>
        <v>0</v>
      </c>
      <c r="I105" s="88">
        <f ca="1">IFERROR(__xludf.DUMMYFUNCTION("IMPORTRANGE(""https://docs.google.com/spreadsheets/d/1-uDff_7J0KD5mKrp0Vvzr7lt3OU09vwQwhkpOPPYv2Y/edit?usp=sharing"",""งบพรบ!CG105"")"),0)</f>
        <v>0</v>
      </c>
      <c r="J105" s="88">
        <f t="shared" ca="1" si="38"/>
        <v>0</v>
      </c>
      <c r="K105" s="89">
        <f t="shared" ca="1" si="39"/>
        <v>0</v>
      </c>
      <c r="L105" s="88">
        <f ca="1">IFERROR(__xludf.DUMMYFUNCTION("IMPORTRANGE(""https://docs.google.com/spreadsheets/d/1-uDff_7J0KD5mKrp0Vvzr7lt3OU09vwQwhkpOPPYv2Y/edit?usp=sharing"",""งบพรบ!CH105"")"),0)</f>
        <v>0</v>
      </c>
      <c r="M105" s="90">
        <f t="shared" ca="1" si="40"/>
        <v>0</v>
      </c>
      <c r="N105" s="90">
        <f t="shared" ca="1" si="41"/>
        <v>0</v>
      </c>
      <c r="O105" s="91">
        <f ca="1">IFERROR(__xludf.DUMMYFUNCTION("IMPORTRANGE(""https://docs.google.com/spreadsheets/d/1-uDff_7J0KD5mKrp0Vvzr7lt3OU09vwQwhkpOPPYv2Y/edit?usp=sharing"",""งบพรบ!CI105"")"),0)</f>
        <v>0</v>
      </c>
      <c r="P105" s="91">
        <f t="shared" ca="1" si="42"/>
        <v>0</v>
      </c>
      <c r="Q105" s="90">
        <f t="shared" ca="1" si="43"/>
        <v>0</v>
      </c>
      <c r="R105" s="111"/>
      <c r="S105" s="111"/>
      <c r="T105" s="111"/>
    </row>
    <row r="106" spans="1:20" ht="24" customHeight="1" x14ac:dyDescent="0.3">
      <c r="A106" s="200"/>
      <c r="B106" s="120" t="s">
        <v>128</v>
      </c>
      <c r="C106" s="201">
        <f t="shared" ca="1" si="36"/>
        <v>0</v>
      </c>
      <c r="D106" s="202">
        <f t="shared" ca="1" si="37"/>
        <v>0</v>
      </c>
      <c r="E106" s="99">
        <f ca="1">IFERROR(__xludf.DUMMYFUNCTION("IMPORTRANGE(""https://docs.google.com/spreadsheets/d/1-uDff_7J0KD5mKrp0Vvzr7lt3OU09vwQwhkpOPPYv2Y/edit?usp=sharing"",""งบพรบ!CB106"")"),0)</f>
        <v>0</v>
      </c>
      <c r="F106" s="99">
        <f ca="1">IFERROR(__xludf.DUMMYFUNCTION("IMPORTRANGE(""https://docs.google.com/spreadsheets/d/1-uDff_7J0KD5mKrp0Vvzr7lt3OU09vwQwhkpOPPYv2Y/edit?usp=sharing"",""งบพรบ!CC106"")"),0)</f>
        <v>0</v>
      </c>
      <c r="G106" s="99">
        <f ca="1">IFERROR(__xludf.DUMMYFUNCTION("IMPORTRANGE(""https://docs.google.com/spreadsheets/d/1-uDff_7J0KD5mKrp0Vvzr7lt3OU09vwQwhkpOPPYv2Y/edit?usp=sharing"",""งบพรบ!CD106"")"),0)</f>
        <v>0</v>
      </c>
      <c r="H106" s="99">
        <f ca="1">IFERROR(__xludf.DUMMYFUNCTION("IMPORTRANGE(""https://docs.google.com/spreadsheets/d/1-uDff_7J0KD5mKrp0Vvzr7lt3OU09vwQwhkpOPPYv2Y/edit?usp=sharing"",""งบพรบ!CF106"")"),0)</f>
        <v>0</v>
      </c>
      <c r="I106" s="99">
        <f ca="1">IFERROR(__xludf.DUMMYFUNCTION("IMPORTRANGE(""https://docs.google.com/spreadsheets/d/1-uDff_7J0KD5mKrp0Vvzr7lt3OU09vwQwhkpOPPYv2Y/edit?usp=sharing"",""งบพรบ!CG106"")"),0)</f>
        <v>0</v>
      </c>
      <c r="J106" s="99">
        <f t="shared" ca="1" si="38"/>
        <v>0</v>
      </c>
      <c r="K106" s="100">
        <f t="shared" ca="1" si="39"/>
        <v>0</v>
      </c>
      <c r="L106" s="99">
        <f ca="1">IFERROR(__xludf.DUMMYFUNCTION("IMPORTRANGE(""https://docs.google.com/spreadsheets/d/1-uDff_7J0KD5mKrp0Vvzr7lt3OU09vwQwhkpOPPYv2Y/edit?usp=sharing"",""งบพรบ!CH106"")"),0)</f>
        <v>0</v>
      </c>
      <c r="M106" s="101">
        <f t="shared" ca="1" si="40"/>
        <v>0</v>
      </c>
      <c r="N106" s="101">
        <f t="shared" ca="1" si="41"/>
        <v>0</v>
      </c>
      <c r="O106" s="102">
        <f ca="1">IFERROR(__xludf.DUMMYFUNCTION("IMPORTRANGE(""https://docs.google.com/spreadsheets/d/1-uDff_7J0KD5mKrp0Vvzr7lt3OU09vwQwhkpOPPYv2Y/edit?usp=sharing"",""งบพรบ!CI106"")"),0)</f>
        <v>0</v>
      </c>
      <c r="P106" s="102">
        <f t="shared" ca="1" si="42"/>
        <v>0</v>
      </c>
      <c r="Q106" s="101">
        <f t="shared" ca="1" si="43"/>
        <v>0</v>
      </c>
      <c r="R106" s="99"/>
      <c r="S106" s="99"/>
      <c r="T106" s="99"/>
    </row>
    <row r="107" spans="1:20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2"/>
      <c r="T107" s="4"/>
    </row>
    <row r="108" spans="1:20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"/>
      <c r="S108" s="2"/>
      <c r="T108" s="4"/>
    </row>
    <row r="109" spans="1:20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2"/>
      <c r="T109" s="4"/>
    </row>
    <row r="110" spans="1:20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2"/>
      <c r="T110" s="4"/>
    </row>
    <row r="111" spans="1:20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2"/>
      <c r="T111" s="4"/>
    </row>
    <row r="112" spans="1:20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2"/>
      <c r="T112" s="4"/>
    </row>
    <row r="113" spans="1:20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2"/>
      <c r="T113" s="4"/>
    </row>
    <row r="114" spans="1:20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2"/>
      <c r="T114" s="4"/>
    </row>
    <row r="115" spans="1:20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2"/>
      <c r="T115" s="4"/>
    </row>
    <row r="116" spans="1:20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2"/>
      <c r="T116" s="4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18.75" x14ac:dyDescent="0.2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4"/>
      <c r="N299" s="124"/>
      <c r="O299" s="125"/>
      <c r="P299" s="125"/>
      <c r="Q299" s="125"/>
      <c r="R299" s="123"/>
      <c r="S299" s="123"/>
      <c r="T299" s="124"/>
    </row>
    <row r="300" spans="1:20" ht="18.75" x14ac:dyDescent="0.2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4"/>
      <c r="N300" s="124"/>
      <c r="O300" s="125"/>
      <c r="P300" s="125"/>
      <c r="Q300" s="125"/>
      <c r="R300" s="123"/>
      <c r="S300" s="123"/>
      <c r="T300" s="124"/>
    </row>
    <row r="301" spans="1:20" ht="18.75" x14ac:dyDescent="0.2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4"/>
      <c r="N301" s="124"/>
      <c r="O301" s="125"/>
      <c r="P301" s="125"/>
      <c r="Q301" s="125"/>
      <c r="R301" s="123"/>
      <c r="S301" s="123"/>
      <c r="T301" s="124"/>
    </row>
    <row r="302" spans="1:20" ht="18.75" x14ac:dyDescent="0.2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4"/>
      <c r="N302" s="124"/>
      <c r="O302" s="125"/>
      <c r="P302" s="125"/>
      <c r="Q302" s="125"/>
      <c r="R302" s="123"/>
      <c r="S302" s="123"/>
      <c r="T302" s="124"/>
    </row>
    <row r="303" spans="1:20" ht="18.75" x14ac:dyDescent="0.2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4"/>
      <c r="N303" s="124"/>
      <c r="O303" s="125"/>
      <c r="P303" s="125"/>
      <c r="Q303" s="125"/>
      <c r="R303" s="123"/>
      <c r="S303" s="123"/>
      <c r="T303" s="124"/>
    </row>
    <row r="304" spans="1:20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123"/>
      <c r="T304" s="124"/>
    </row>
    <row r="305" spans="1:20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123"/>
      <c r="T305" s="124"/>
    </row>
    <row r="306" spans="1:20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123"/>
      <c r="T306" s="124"/>
    </row>
    <row r="307" spans="1:20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123"/>
      <c r="T307" s="124"/>
    </row>
    <row r="308" spans="1:20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123"/>
      <c r="T308" s="124"/>
    </row>
    <row r="309" spans="1:20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123"/>
      <c r="T309" s="124"/>
    </row>
    <row r="310" spans="1:20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123"/>
      <c r="T310" s="124"/>
    </row>
    <row r="311" spans="1:20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123"/>
      <c r="T311" s="124"/>
    </row>
    <row r="312" spans="1:20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123"/>
      <c r="T312" s="124"/>
    </row>
    <row r="313" spans="1:20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123"/>
      <c r="T313" s="124"/>
    </row>
    <row r="314" spans="1:20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123"/>
      <c r="T314" s="124"/>
    </row>
    <row r="315" spans="1:20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123"/>
      <c r="T315" s="124"/>
    </row>
    <row r="316" spans="1:20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123"/>
      <c r="T316" s="124"/>
    </row>
    <row r="317" spans="1:20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123"/>
      <c r="T317" s="124"/>
    </row>
    <row r="318" spans="1:20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123"/>
      <c r="T318" s="124"/>
    </row>
    <row r="319" spans="1:20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123"/>
      <c r="T319" s="124"/>
    </row>
    <row r="320" spans="1:20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123"/>
      <c r="T320" s="124"/>
    </row>
    <row r="321" spans="1:20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123"/>
      <c r="T321" s="124"/>
    </row>
    <row r="322" spans="1:20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123"/>
      <c r="T322" s="124"/>
    </row>
    <row r="323" spans="1:20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123"/>
      <c r="T323" s="124"/>
    </row>
    <row r="324" spans="1:20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123"/>
      <c r="T324" s="124"/>
    </row>
    <row r="325" spans="1:20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123"/>
      <c r="T325" s="124"/>
    </row>
    <row r="326" spans="1:20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123"/>
      <c r="T326" s="124"/>
    </row>
    <row r="327" spans="1:20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123"/>
      <c r="T327" s="124"/>
    </row>
    <row r="328" spans="1:20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123"/>
      <c r="T328" s="124"/>
    </row>
    <row r="329" spans="1:20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123"/>
      <c r="T329" s="124"/>
    </row>
    <row r="330" spans="1:20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123"/>
      <c r="T330" s="124"/>
    </row>
    <row r="331" spans="1:20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123"/>
      <c r="T331" s="124"/>
    </row>
    <row r="332" spans="1:20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123"/>
      <c r="T332" s="124"/>
    </row>
    <row r="333" spans="1:20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123"/>
      <c r="T333" s="124"/>
    </row>
    <row r="334" spans="1:20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123"/>
      <c r="T334" s="124"/>
    </row>
    <row r="335" spans="1:20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123"/>
      <c r="T335" s="124"/>
    </row>
    <row r="336" spans="1:20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123"/>
      <c r="T336" s="124"/>
    </row>
    <row r="337" spans="1:20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123"/>
      <c r="T337" s="124"/>
    </row>
    <row r="338" spans="1:20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123"/>
      <c r="T338" s="124"/>
    </row>
    <row r="339" spans="1:20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123"/>
      <c r="T339" s="124"/>
    </row>
    <row r="340" spans="1:20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123"/>
      <c r="T340" s="124"/>
    </row>
    <row r="341" spans="1:20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123"/>
      <c r="T341" s="124"/>
    </row>
    <row r="342" spans="1:20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123"/>
      <c r="T342" s="124"/>
    </row>
    <row r="343" spans="1:20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123"/>
      <c r="T343" s="124"/>
    </row>
    <row r="344" spans="1:20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123"/>
      <c r="T344" s="124"/>
    </row>
    <row r="345" spans="1:20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123"/>
      <c r="T345" s="124"/>
    </row>
    <row r="346" spans="1:20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123"/>
      <c r="T346" s="124"/>
    </row>
    <row r="347" spans="1:20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123"/>
      <c r="T347" s="124"/>
    </row>
    <row r="348" spans="1:20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123"/>
      <c r="T348" s="124"/>
    </row>
    <row r="349" spans="1:20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123"/>
      <c r="T349" s="124"/>
    </row>
    <row r="350" spans="1:20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123"/>
      <c r="T350" s="124"/>
    </row>
    <row r="351" spans="1:20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123"/>
      <c r="T351" s="124"/>
    </row>
    <row r="352" spans="1:20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123"/>
      <c r="T352" s="124"/>
    </row>
    <row r="353" spans="1:20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123"/>
      <c r="T353" s="124"/>
    </row>
    <row r="354" spans="1:20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123"/>
      <c r="T354" s="124"/>
    </row>
    <row r="355" spans="1:20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123"/>
      <c r="T355" s="124"/>
    </row>
    <row r="356" spans="1:20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123"/>
      <c r="T356" s="124"/>
    </row>
    <row r="357" spans="1:20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123"/>
      <c r="T357" s="124"/>
    </row>
    <row r="358" spans="1:20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123"/>
      <c r="T358" s="124"/>
    </row>
    <row r="359" spans="1:20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123"/>
      <c r="T359" s="124"/>
    </row>
    <row r="360" spans="1:20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123"/>
      <c r="T360" s="124"/>
    </row>
    <row r="361" spans="1:20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123"/>
      <c r="T361" s="124"/>
    </row>
    <row r="362" spans="1:20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123"/>
      <c r="T362" s="124"/>
    </row>
    <row r="363" spans="1:20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123"/>
      <c r="T363" s="124"/>
    </row>
    <row r="364" spans="1:20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123"/>
      <c r="T364" s="124"/>
    </row>
    <row r="365" spans="1:20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123"/>
      <c r="T365" s="124"/>
    </row>
    <row r="366" spans="1:20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123"/>
      <c r="T366" s="124"/>
    </row>
    <row r="367" spans="1:20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123"/>
      <c r="T367" s="124"/>
    </row>
    <row r="368" spans="1:20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123"/>
      <c r="T368" s="124"/>
    </row>
    <row r="369" spans="1:20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123"/>
      <c r="T369" s="124"/>
    </row>
    <row r="370" spans="1:20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123"/>
      <c r="T370" s="124"/>
    </row>
    <row r="371" spans="1:20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123"/>
      <c r="T371" s="124"/>
    </row>
    <row r="372" spans="1:20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123"/>
      <c r="T372" s="124"/>
    </row>
    <row r="373" spans="1:20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123"/>
      <c r="T373" s="124"/>
    </row>
    <row r="374" spans="1:20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123"/>
      <c r="T374" s="124"/>
    </row>
    <row r="375" spans="1:20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123"/>
      <c r="T375" s="124"/>
    </row>
    <row r="376" spans="1:20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123"/>
      <c r="T376" s="124"/>
    </row>
    <row r="377" spans="1:20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123"/>
      <c r="T377" s="124"/>
    </row>
    <row r="378" spans="1:20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123"/>
      <c r="T378" s="124"/>
    </row>
    <row r="379" spans="1:20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123"/>
      <c r="T379" s="124"/>
    </row>
    <row r="380" spans="1:20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123"/>
      <c r="T380" s="124"/>
    </row>
    <row r="381" spans="1:20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123"/>
      <c r="T381" s="124"/>
    </row>
    <row r="382" spans="1:20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123"/>
      <c r="T382" s="124"/>
    </row>
    <row r="383" spans="1:20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123"/>
      <c r="T383" s="124"/>
    </row>
    <row r="384" spans="1:20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123"/>
      <c r="T384" s="124"/>
    </row>
    <row r="385" spans="1:20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123"/>
      <c r="T385" s="124"/>
    </row>
    <row r="386" spans="1:20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123"/>
      <c r="T386" s="124"/>
    </row>
    <row r="387" spans="1:20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123"/>
      <c r="T387" s="124"/>
    </row>
    <row r="388" spans="1:20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123"/>
      <c r="T388" s="124"/>
    </row>
    <row r="389" spans="1:20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123"/>
      <c r="T389" s="124"/>
    </row>
    <row r="390" spans="1:20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123"/>
      <c r="T390" s="124"/>
    </row>
    <row r="391" spans="1:20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123"/>
      <c r="T391" s="124"/>
    </row>
    <row r="392" spans="1:20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123"/>
      <c r="T392" s="124"/>
    </row>
    <row r="393" spans="1:20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123"/>
      <c r="T393" s="124"/>
    </row>
    <row r="394" spans="1:20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123"/>
      <c r="T394" s="124"/>
    </row>
    <row r="395" spans="1:20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123"/>
      <c r="T395" s="124"/>
    </row>
    <row r="396" spans="1:20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123"/>
      <c r="T396" s="124"/>
    </row>
    <row r="397" spans="1:20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123"/>
      <c r="T397" s="124"/>
    </row>
    <row r="398" spans="1:20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123"/>
      <c r="T398" s="124"/>
    </row>
    <row r="399" spans="1:20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123"/>
      <c r="T399" s="124"/>
    </row>
    <row r="400" spans="1:20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123"/>
      <c r="T400" s="124"/>
    </row>
    <row r="401" spans="1:20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123"/>
      <c r="T401" s="124"/>
    </row>
    <row r="402" spans="1:20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123"/>
      <c r="T402" s="124"/>
    </row>
    <row r="403" spans="1:20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123"/>
      <c r="T403" s="124"/>
    </row>
    <row r="404" spans="1:20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123"/>
      <c r="T404" s="124"/>
    </row>
    <row r="405" spans="1:20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123"/>
      <c r="T405" s="124"/>
    </row>
    <row r="406" spans="1:20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123"/>
      <c r="T406" s="124"/>
    </row>
    <row r="407" spans="1:20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123"/>
      <c r="T407" s="124"/>
    </row>
    <row r="408" spans="1:20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123"/>
      <c r="T408" s="124"/>
    </row>
    <row r="409" spans="1:20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123"/>
      <c r="T409" s="124"/>
    </row>
    <row r="410" spans="1:20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123"/>
      <c r="T410" s="124"/>
    </row>
    <row r="411" spans="1:20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123"/>
      <c r="T411" s="124"/>
    </row>
    <row r="412" spans="1:20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123"/>
      <c r="T412" s="124"/>
    </row>
    <row r="413" spans="1:20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123"/>
      <c r="T413" s="124"/>
    </row>
    <row r="414" spans="1:20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123"/>
      <c r="T414" s="124"/>
    </row>
    <row r="415" spans="1:20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123"/>
      <c r="T415" s="124"/>
    </row>
    <row r="416" spans="1:20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123"/>
      <c r="T416" s="124"/>
    </row>
    <row r="417" spans="1:20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123"/>
      <c r="T417" s="124"/>
    </row>
    <row r="418" spans="1:20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123"/>
      <c r="T418" s="124"/>
    </row>
    <row r="419" spans="1:20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123"/>
      <c r="T419" s="124"/>
    </row>
    <row r="420" spans="1:20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123"/>
      <c r="T420" s="124"/>
    </row>
    <row r="421" spans="1:20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123"/>
      <c r="T421" s="124"/>
    </row>
    <row r="422" spans="1:20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123"/>
      <c r="T422" s="124"/>
    </row>
    <row r="423" spans="1:20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123"/>
      <c r="T423" s="124"/>
    </row>
    <row r="424" spans="1:20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123"/>
      <c r="T424" s="124"/>
    </row>
    <row r="425" spans="1:20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123"/>
      <c r="T425" s="124"/>
    </row>
    <row r="426" spans="1:20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123"/>
      <c r="T426" s="124"/>
    </row>
    <row r="427" spans="1:20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123"/>
      <c r="T427" s="124"/>
    </row>
    <row r="428" spans="1:20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123"/>
      <c r="T428" s="124"/>
    </row>
    <row r="429" spans="1:20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123"/>
      <c r="T429" s="124"/>
    </row>
    <row r="430" spans="1:20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123"/>
      <c r="T430" s="124"/>
    </row>
    <row r="431" spans="1:20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123"/>
      <c r="T431" s="124"/>
    </row>
    <row r="432" spans="1:20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123"/>
      <c r="T432" s="124"/>
    </row>
    <row r="433" spans="1:20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123"/>
      <c r="T433" s="124"/>
    </row>
    <row r="434" spans="1:20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123"/>
      <c r="T434" s="124"/>
    </row>
    <row r="435" spans="1:20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123"/>
      <c r="T435" s="124"/>
    </row>
    <row r="436" spans="1:20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123"/>
      <c r="T436" s="124"/>
    </row>
    <row r="437" spans="1:20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123"/>
      <c r="T437" s="124"/>
    </row>
    <row r="438" spans="1:20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123"/>
      <c r="T438" s="124"/>
    </row>
    <row r="439" spans="1:20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123"/>
      <c r="T439" s="124"/>
    </row>
    <row r="440" spans="1:20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123"/>
      <c r="T440" s="124"/>
    </row>
    <row r="441" spans="1:20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123"/>
      <c r="T441" s="124"/>
    </row>
    <row r="442" spans="1:20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123"/>
      <c r="T442" s="124"/>
    </row>
    <row r="443" spans="1:20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123"/>
      <c r="T443" s="124"/>
    </row>
    <row r="444" spans="1:20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123"/>
      <c r="T444" s="124"/>
    </row>
    <row r="445" spans="1:20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123"/>
      <c r="T445" s="124"/>
    </row>
    <row r="446" spans="1:20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123"/>
      <c r="T446" s="124"/>
    </row>
    <row r="447" spans="1:20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123"/>
      <c r="T447" s="124"/>
    </row>
    <row r="448" spans="1:20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123"/>
      <c r="T448" s="124"/>
    </row>
    <row r="449" spans="1:20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123"/>
      <c r="T449" s="124"/>
    </row>
    <row r="450" spans="1:20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123"/>
      <c r="T450" s="124"/>
    </row>
    <row r="451" spans="1:20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123"/>
      <c r="T451" s="124"/>
    </row>
    <row r="452" spans="1:20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123"/>
      <c r="T452" s="124"/>
    </row>
    <row r="453" spans="1:20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123"/>
      <c r="T453" s="124"/>
    </row>
    <row r="454" spans="1:20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123"/>
      <c r="T454" s="124"/>
    </row>
    <row r="455" spans="1:20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123"/>
      <c r="T455" s="124"/>
    </row>
    <row r="456" spans="1:20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123"/>
      <c r="T456" s="124"/>
    </row>
    <row r="457" spans="1:20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123"/>
      <c r="T457" s="124"/>
    </row>
    <row r="458" spans="1:20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123"/>
      <c r="T458" s="124"/>
    </row>
    <row r="459" spans="1:20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123"/>
      <c r="T459" s="124"/>
    </row>
    <row r="460" spans="1:20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123"/>
      <c r="T460" s="124"/>
    </row>
    <row r="461" spans="1:20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123"/>
      <c r="T461" s="124"/>
    </row>
    <row r="462" spans="1:20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123"/>
      <c r="T462" s="124"/>
    </row>
    <row r="463" spans="1:20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123"/>
      <c r="T463" s="124"/>
    </row>
    <row r="464" spans="1:20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123"/>
      <c r="T464" s="124"/>
    </row>
    <row r="465" spans="1:20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123"/>
      <c r="T465" s="124"/>
    </row>
    <row r="466" spans="1:20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123"/>
      <c r="T466" s="124"/>
    </row>
    <row r="467" spans="1:20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123"/>
      <c r="T467" s="124"/>
    </row>
    <row r="468" spans="1:20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123"/>
      <c r="T468" s="124"/>
    </row>
    <row r="469" spans="1:20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123"/>
      <c r="T469" s="124"/>
    </row>
    <row r="470" spans="1:20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123"/>
      <c r="T470" s="124"/>
    </row>
    <row r="471" spans="1:20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123"/>
      <c r="T471" s="124"/>
    </row>
    <row r="472" spans="1:20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123"/>
      <c r="T472" s="124"/>
    </row>
    <row r="473" spans="1:20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123"/>
      <c r="T473" s="124"/>
    </row>
    <row r="474" spans="1:20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123"/>
      <c r="T474" s="124"/>
    </row>
    <row r="475" spans="1:20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123"/>
      <c r="T475" s="124"/>
    </row>
    <row r="476" spans="1:20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123"/>
      <c r="T476" s="124"/>
    </row>
    <row r="477" spans="1:20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123"/>
      <c r="T477" s="124"/>
    </row>
    <row r="478" spans="1:20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123"/>
      <c r="T478" s="124"/>
    </row>
    <row r="479" spans="1:20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123"/>
      <c r="T479" s="124"/>
    </row>
    <row r="480" spans="1:20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123"/>
      <c r="T480" s="124"/>
    </row>
    <row r="481" spans="1:20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123"/>
      <c r="T481" s="124"/>
    </row>
    <row r="482" spans="1:20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123"/>
      <c r="T482" s="124"/>
    </row>
    <row r="483" spans="1:20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123"/>
      <c r="T483" s="124"/>
    </row>
    <row r="484" spans="1:20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123"/>
      <c r="T484" s="124"/>
    </row>
    <row r="485" spans="1:20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123"/>
      <c r="T485" s="124"/>
    </row>
    <row r="486" spans="1:20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123"/>
      <c r="T486" s="124"/>
    </row>
    <row r="487" spans="1:20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123"/>
      <c r="T487" s="124"/>
    </row>
    <row r="488" spans="1:20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123"/>
      <c r="T488" s="124"/>
    </row>
    <row r="489" spans="1:20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123"/>
      <c r="T489" s="124"/>
    </row>
    <row r="490" spans="1:20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123"/>
      <c r="T490" s="124"/>
    </row>
    <row r="491" spans="1:20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123"/>
      <c r="T491" s="124"/>
    </row>
    <row r="492" spans="1:20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123"/>
      <c r="T492" s="124"/>
    </row>
    <row r="493" spans="1:20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123"/>
      <c r="T493" s="124"/>
    </row>
    <row r="494" spans="1:20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123"/>
      <c r="T494" s="124"/>
    </row>
    <row r="495" spans="1:20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123"/>
      <c r="T495" s="124"/>
    </row>
    <row r="496" spans="1:20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123"/>
      <c r="T496" s="124"/>
    </row>
    <row r="497" spans="1:20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123"/>
      <c r="T497" s="124"/>
    </row>
    <row r="498" spans="1:20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123"/>
      <c r="T498" s="124"/>
    </row>
    <row r="499" spans="1:20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123"/>
      <c r="T499" s="124"/>
    </row>
    <row r="500" spans="1:20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123"/>
      <c r="T500" s="124"/>
    </row>
    <row r="501" spans="1:20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123"/>
      <c r="T501" s="124"/>
    </row>
    <row r="502" spans="1:20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123"/>
      <c r="T502" s="124"/>
    </row>
    <row r="503" spans="1:20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123"/>
      <c r="T503" s="124"/>
    </row>
    <row r="504" spans="1:20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123"/>
      <c r="T504" s="124"/>
    </row>
    <row r="505" spans="1:20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123"/>
      <c r="T505" s="124"/>
    </row>
    <row r="506" spans="1:20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123"/>
      <c r="T506" s="124"/>
    </row>
    <row r="507" spans="1:20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123"/>
      <c r="T507" s="124"/>
    </row>
    <row r="508" spans="1:20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123"/>
      <c r="T508" s="124"/>
    </row>
    <row r="509" spans="1:20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123"/>
      <c r="T509" s="124"/>
    </row>
    <row r="510" spans="1:20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123"/>
      <c r="T510" s="124"/>
    </row>
    <row r="511" spans="1:20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123"/>
      <c r="T511" s="124"/>
    </row>
    <row r="512" spans="1:20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123"/>
      <c r="T512" s="124"/>
    </row>
    <row r="513" spans="1:20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123"/>
      <c r="T513" s="124"/>
    </row>
    <row r="514" spans="1:20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123"/>
      <c r="T514" s="124"/>
    </row>
    <row r="515" spans="1:20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123"/>
      <c r="T515" s="124"/>
    </row>
    <row r="516" spans="1:20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123"/>
      <c r="T516" s="124"/>
    </row>
    <row r="517" spans="1:20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123"/>
      <c r="T517" s="124"/>
    </row>
    <row r="518" spans="1:20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123"/>
      <c r="T518" s="124"/>
    </row>
    <row r="519" spans="1:20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123"/>
      <c r="T519" s="124"/>
    </row>
    <row r="520" spans="1:20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123"/>
      <c r="T520" s="124"/>
    </row>
    <row r="521" spans="1:20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123"/>
      <c r="T521" s="124"/>
    </row>
    <row r="522" spans="1:20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123"/>
      <c r="T522" s="124"/>
    </row>
    <row r="523" spans="1:20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123"/>
      <c r="T523" s="124"/>
    </row>
    <row r="524" spans="1:20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123"/>
      <c r="T524" s="124"/>
    </row>
    <row r="525" spans="1:20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123"/>
      <c r="T525" s="124"/>
    </row>
    <row r="526" spans="1:20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123"/>
      <c r="T526" s="124"/>
    </row>
    <row r="527" spans="1:20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123"/>
      <c r="T527" s="124"/>
    </row>
    <row r="528" spans="1:20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123"/>
      <c r="T528" s="124"/>
    </row>
    <row r="529" spans="1:20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123"/>
      <c r="T529" s="124"/>
    </row>
    <row r="530" spans="1:20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123"/>
      <c r="T530" s="124"/>
    </row>
    <row r="531" spans="1:20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123"/>
      <c r="T531" s="124"/>
    </row>
    <row r="532" spans="1:20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123"/>
      <c r="T532" s="124"/>
    </row>
    <row r="533" spans="1:20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123"/>
      <c r="T533" s="124"/>
    </row>
    <row r="534" spans="1:20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123"/>
      <c r="T534" s="124"/>
    </row>
    <row r="535" spans="1:20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123"/>
      <c r="T535" s="124"/>
    </row>
    <row r="536" spans="1:20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123"/>
      <c r="T536" s="124"/>
    </row>
    <row r="537" spans="1:20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123"/>
      <c r="T537" s="124"/>
    </row>
    <row r="538" spans="1:20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123"/>
      <c r="T538" s="124"/>
    </row>
    <row r="539" spans="1:20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123"/>
      <c r="T539" s="124"/>
    </row>
    <row r="540" spans="1:20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123"/>
      <c r="T540" s="124"/>
    </row>
    <row r="541" spans="1:20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123"/>
      <c r="T541" s="124"/>
    </row>
    <row r="542" spans="1:20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123"/>
      <c r="T542" s="124"/>
    </row>
    <row r="543" spans="1:20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123"/>
      <c r="T543" s="124"/>
    </row>
    <row r="544" spans="1:20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123"/>
      <c r="T544" s="124"/>
    </row>
    <row r="545" spans="1:20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123"/>
      <c r="T545" s="124"/>
    </row>
    <row r="546" spans="1:20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123"/>
      <c r="T546" s="124"/>
    </row>
    <row r="547" spans="1:20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123"/>
      <c r="T547" s="124"/>
    </row>
    <row r="548" spans="1:20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123"/>
      <c r="T548" s="124"/>
    </row>
    <row r="549" spans="1:20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123"/>
      <c r="T549" s="124"/>
    </row>
    <row r="550" spans="1:20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123"/>
      <c r="T550" s="124"/>
    </row>
    <row r="551" spans="1:20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123"/>
      <c r="T551" s="124"/>
    </row>
    <row r="552" spans="1:20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123"/>
      <c r="T552" s="124"/>
    </row>
    <row r="553" spans="1:20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123"/>
      <c r="T553" s="124"/>
    </row>
    <row r="554" spans="1:20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123"/>
      <c r="T554" s="124"/>
    </row>
    <row r="555" spans="1:20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123"/>
      <c r="T555" s="124"/>
    </row>
    <row r="556" spans="1:20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123"/>
      <c r="T556" s="124"/>
    </row>
    <row r="557" spans="1:20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123"/>
      <c r="T557" s="124"/>
    </row>
    <row r="558" spans="1:20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123"/>
      <c r="T558" s="124"/>
    </row>
    <row r="559" spans="1:20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123"/>
      <c r="T559" s="124"/>
    </row>
    <row r="560" spans="1:20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123"/>
      <c r="T560" s="124"/>
    </row>
    <row r="561" spans="1:20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123"/>
      <c r="T561" s="124"/>
    </row>
    <row r="562" spans="1:20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123"/>
      <c r="T562" s="124"/>
    </row>
    <row r="563" spans="1:20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123"/>
      <c r="T563" s="124"/>
    </row>
    <row r="564" spans="1:20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123"/>
      <c r="T564" s="124"/>
    </row>
    <row r="565" spans="1:20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123"/>
      <c r="T565" s="124"/>
    </row>
    <row r="566" spans="1:20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123"/>
      <c r="T566" s="124"/>
    </row>
    <row r="567" spans="1:20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123"/>
      <c r="T567" s="124"/>
    </row>
    <row r="568" spans="1:20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123"/>
      <c r="T568" s="124"/>
    </row>
    <row r="569" spans="1:20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123"/>
      <c r="T569" s="124"/>
    </row>
    <row r="570" spans="1:20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123"/>
      <c r="T570" s="124"/>
    </row>
    <row r="571" spans="1:20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123"/>
      <c r="T571" s="124"/>
    </row>
    <row r="572" spans="1:20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123"/>
      <c r="T572" s="124"/>
    </row>
    <row r="573" spans="1:20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123"/>
      <c r="T573" s="124"/>
    </row>
    <row r="574" spans="1:20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123"/>
      <c r="T574" s="124"/>
    </row>
    <row r="575" spans="1:20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123"/>
      <c r="T575" s="124"/>
    </row>
    <row r="576" spans="1:20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123"/>
      <c r="T576" s="124"/>
    </row>
    <row r="577" spans="1:20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123"/>
      <c r="T577" s="124"/>
    </row>
    <row r="578" spans="1:20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123"/>
      <c r="T578" s="124"/>
    </row>
    <row r="579" spans="1:20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123"/>
      <c r="T579" s="124"/>
    </row>
    <row r="580" spans="1:20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123"/>
      <c r="T580" s="124"/>
    </row>
    <row r="581" spans="1:20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123"/>
      <c r="T581" s="124"/>
    </row>
    <row r="582" spans="1:20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123"/>
      <c r="T582" s="124"/>
    </row>
    <row r="583" spans="1:20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123"/>
      <c r="T583" s="124"/>
    </row>
    <row r="584" spans="1:20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123"/>
      <c r="T584" s="124"/>
    </row>
    <row r="585" spans="1:20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123"/>
      <c r="T585" s="124"/>
    </row>
    <row r="586" spans="1:20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123"/>
      <c r="T586" s="124"/>
    </row>
    <row r="587" spans="1:20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123"/>
      <c r="T587" s="124"/>
    </row>
    <row r="588" spans="1:20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123"/>
      <c r="T588" s="124"/>
    </row>
    <row r="589" spans="1:20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123"/>
      <c r="T589" s="124"/>
    </row>
    <row r="590" spans="1:20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123"/>
      <c r="T590" s="124"/>
    </row>
    <row r="591" spans="1:20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123"/>
      <c r="T591" s="124"/>
    </row>
    <row r="592" spans="1:20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123"/>
      <c r="T592" s="124"/>
    </row>
    <row r="593" spans="1:20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123"/>
      <c r="T593" s="124"/>
    </row>
    <row r="594" spans="1:20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123"/>
      <c r="T594" s="124"/>
    </row>
    <row r="595" spans="1:20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123"/>
      <c r="T595" s="124"/>
    </row>
    <row r="596" spans="1:20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123"/>
      <c r="T596" s="124"/>
    </row>
    <row r="597" spans="1:20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123"/>
      <c r="T597" s="124"/>
    </row>
    <row r="598" spans="1:20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123"/>
      <c r="T598" s="124"/>
    </row>
    <row r="599" spans="1:20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123"/>
      <c r="T599" s="124"/>
    </row>
    <row r="600" spans="1:20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123"/>
      <c r="T600" s="124"/>
    </row>
    <row r="601" spans="1:20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123"/>
      <c r="T601" s="124"/>
    </row>
    <row r="602" spans="1:20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123"/>
      <c r="T602" s="124"/>
    </row>
    <row r="603" spans="1:20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123"/>
      <c r="T603" s="124"/>
    </row>
    <row r="604" spans="1:20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123"/>
      <c r="T604" s="124"/>
    </row>
    <row r="605" spans="1:20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123"/>
      <c r="T605" s="124"/>
    </row>
    <row r="606" spans="1:20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123"/>
      <c r="T606" s="124"/>
    </row>
    <row r="607" spans="1:20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123"/>
      <c r="T607" s="124"/>
    </row>
    <row r="608" spans="1:20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123"/>
      <c r="T608" s="124"/>
    </row>
    <row r="609" spans="1:20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123"/>
      <c r="T609" s="124"/>
    </row>
    <row r="610" spans="1:20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123"/>
      <c r="T610" s="124"/>
    </row>
    <row r="611" spans="1:20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123"/>
      <c r="T611" s="124"/>
    </row>
    <row r="612" spans="1:20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123"/>
      <c r="T612" s="124"/>
    </row>
    <row r="613" spans="1:20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123"/>
      <c r="T613" s="124"/>
    </row>
    <row r="614" spans="1:20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123"/>
      <c r="T614" s="124"/>
    </row>
    <row r="615" spans="1:20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123"/>
      <c r="T615" s="124"/>
    </row>
    <row r="616" spans="1:20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123"/>
      <c r="T616" s="124"/>
    </row>
    <row r="617" spans="1:20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123"/>
      <c r="T617" s="124"/>
    </row>
    <row r="618" spans="1:20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123"/>
      <c r="T618" s="124"/>
    </row>
    <row r="619" spans="1:20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123"/>
      <c r="T619" s="124"/>
    </row>
    <row r="620" spans="1:20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123"/>
      <c r="T620" s="124"/>
    </row>
    <row r="621" spans="1:20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123"/>
      <c r="T621" s="124"/>
    </row>
    <row r="622" spans="1:20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123"/>
      <c r="T622" s="124"/>
    </row>
    <row r="623" spans="1:20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123"/>
      <c r="T623" s="124"/>
    </row>
    <row r="624" spans="1:20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123"/>
      <c r="T624" s="124"/>
    </row>
    <row r="625" spans="1:20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123"/>
      <c r="T625" s="124"/>
    </row>
    <row r="626" spans="1:20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123"/>
      <c r="T626" s="124"/>
    </row>
    <row r="627" spans="1:20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123"/>
      <c r="T627" s="124"/>
    </row>
    <row r="628" spans="1:20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123"/>
      <c r="T628" s="124"/>
    </row>
    <row r="629" spans="1:20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123"/>
      <c r="T629" s="124"/>
    </row>
    <row r="630" spans="1:20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123"/>
      <c r="T630" s="124"/>
    </row>
    <row r="631" spans="1:20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123"/>
      <c r="T631" s="124"/>
    </row>
    <row r="632" spans="1:20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123"/>
      <c r="T632" s="124"/>
    </row>
    <row r="633" spans="1:20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123"/>
      <c r="T633" s="124"/>
    </row>
    <row r="634" spans="1:20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123"/>
      <c r="T634" s="124"/>
    </row>
    <row r="635" spans="1:20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123"/>
      <c r="T635" s="124"/>
    </row>
    <row r="636" spans="1:20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123"/>
      <c r="T636" s="124"/>
    </row>
    <row r="637" spans="1:20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123"/>
      <c r="T637" s="124"/>
    </row>
    <row r="638" spans="1:20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123"/>
      <c r="T638" s="124"/>
    </row>
    <row r="639" spans="1:20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123"/>
      <c r="T639" s="124"/>
    </row>
    <row r="640" spans="1:20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123"/>
      <c r="T640" s="124"/>
    </row>
    <row r="641" spans="1:20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123"/>
      <c r="T641" s="124"/>
    </row>
    <row r="642" spans="1:20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123"/>
      <c r="T642" s="124"/>
    </row>
    <row r="643" spans="1:20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123"/>
      <c r="T643" s="124"/>
    </row>
    <row r="644" spans="1:20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123"/>
      <c r="T644" s="124"/>
    </row>
    <row r="645" spans="1:20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123"/>
      <c r="T645" s="124"/>
    </row>
    <row r="646" spans="1:20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123"/>
      <c r="T646" s="124"/>
    </row>
    <row r="647" spans="1:20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123"/>
      <c r="T647" s="124"/>
    </row>
    <row r="648" spans="1:20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123"/>
      <c r="T648" s="124"/>
    </row>
    <row r="649" spans="1:20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123"/>
      <c r="T649" s="124"/>
    </row>
    <row r="650" spans="1:20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123"/>
      <c r="T650" s="124"/>
    </row>
    <row r="651" spans="1:20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123"/>
      <c r="T651" s="124"/>
    </row>
    <row r="652" spans="1:20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123"/>
      <c r="T652" s="124"/>
    </row>
    <row r="653" spans="1:20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123"/>
      <c r="T653" s="124"/>
    </row>
    <row r="654" spans="1:20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123"/>
      <c r="T654" s="124"/>
    </row>
    <row r="655" spans="1:20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123"/>
      <c r="T655" s="124"/>
    </row>
    <row r="656" spans="1:20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123"/>
      <c r="T656" s="124"/>
    </row>
    <row r="657" spans="1:20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123"/>
      <c r="T657" s="124"/>
    </row>
    <row r="658" spans="1:20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123"/>
      <c r="T658" s="124"/>
    </row>
    <row r="659" spans="1:20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123"/>
      <c r="T659" s="124"/>
    </row>
    <row r="660" spans="1:20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123"/>
      <c r="T660" s="124"/>
    </row>
    <row r="661" spans="1:20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123"/>
      <c r="T661" s="124"/>
    </row>
    <row r="662" spans="1:20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123"/>
      <c r="T662" s="124"/>
    </row>
    <row r="663" spans="1:20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123"/>
      <c r="T663" s="124"/>
    </row>
    <row r="664" spans="1:20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123"/>
      <c r="T664" s="124"/>
    </row>
    <row r="665" spans="1:20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123"/>
      <c r="T665" s="124"/>
    </row>
    <row r="666" spans="1:20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123"/>
      <c r="T666" s="124"/>
    </row>
    <row r="667" spans="1:20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123"/>
      <c r="T667" s="124"/>
    </row>
    <row r="668" spans="1:20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123"/>
      <c r="T668" s="124"/>
    </row>
    <row r="669" spans="1:20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123"/>
      <c r="T669" s="124"/>
    </row>
    <row r="670" spans="1:20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123"/>
      <c r="T670" s="124"/>
    </row>
    <row r="671" spans="1:20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123"/>
      <c r="T671" s="124"/>
    </row>
    <row r="672" spans="1:20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123"/>
      <c r="T672" s="124"/>
    </row>
    <row r="673" spans="1:20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123"/>
      <c r="T673" s="124"/>
    </row>
    <row r="674" spans="1:20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123"/>
      <c r="T674" s="124"/>
    </row>
    <row r="675" spans="1:20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123"/>
      <c r="T675" s="124"/>
    </row>
    <row r="676" spans="1:20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123"/>
      <c r="T676" s="124"/>
    </row>
    <row r="677" spans="1:20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123"/>
      <c r="T677" s="124"/>
    </row>
    <row r="678" spans="1:20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123"/>
      <c r="T678" s="124"/>
    </row>
    <row r="679" spans="1:20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123"/>
      <c r="T679" s="124"/>
    </row>
    <row r="680" spans="1:20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123"/>
      <c r="T680" s="124"/>
    </row>
    <row r="681" spans="1:20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123"/>
      <c r="T681" s="124"/>
    </row>
    <row r="682" spans="1:20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123"/>
      <c r="T682" s="124"/>
    </row>
    <row r="683" spans="1:20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123"/>
      <c r="T683" s="124"/>
    </row>
    <row r="684" spans="1:20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123"/>
      <c r="T684" s="124"/>
    </row>
    <row r="685" spans="1:20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123"/>
      <c r="T685" s="124"/>
    </row>
    <row r="686" spans="1:20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123"/>
      <c r="T686" s="124"/>
    </row>
    <row r="687" spans="1:20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123"/>
      <c r="T687" s="124"/>
    </row>
    <row r="688" spans="1:20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123"/>
      <c r="T688" s="124"/>
    </row>
    <row r="689" spans="1:20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123"/>
      <c r="T689" s="124"/>
    </row>
    <row r="690" spans="1:20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123"/>
      <c r="T690" s="124"/>
    </row>
    <row r="691" spans="1:20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123"/>
      <c r="T691" s="124"/>
    </row>
    <row r="692" spans="1:20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123"/>
      <c r="T692" s="124"/>
    </row>
    <row r="693" spans="1:20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123"/>
      <c r="T693" s="124"/>
    </row>
    <row r="694" spans="1:20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123"/>
      <c r="T694" s="124"/>
    </row>
    <row r="695" spans="1:20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123"/>
      <c r="T695" s="124"/>
    </row>
    <row r="696" spans="1:20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123"/>
      <c r="T696" s="124"/>
    </row>
    <row r="697" spans="1:20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123"/>
      <c r="T697" s="124"/>
    </row>
    <row r="698" spans="1:20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123"/>
      <c r="T698" s="124"/>
    </row>
    <row r="699" spans="1:20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123"/>
      <c r="T699" s="124"/>
    </row>
    <row r="700" spans="1:20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123"/>
      <c r="T700" s="124"/>
    </row>
    <row r="701" spans="1:20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123"/>
      <c r="T701" s="124"/>
    </row>
    <row r="702" spans="1:20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123"/>
      <c r="T702" s="124"/>
    </row>
    <row r="703" spans="1:20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123"/>
      <c r="T703" s="124"/>
    </row>
    <row r="704" spans="1:20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123"/>
      <c r="T704" s="124"/>
    </row>
    <row r="705" spans="1:20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123"/>
      <c r="T705" s="124"/>
    </row>
    <row r="706" spans="1:20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123"/>
      <c r="T706" s="124"/>
    </row>
    <row r="707" spans="1:20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123"/>
      <c r="T707" s="124"/>
    </row>
    <row r="708" spans="1:20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123"/>
      <c r="T708" s="124"/>
    </row>
    <row r="709" spans="1:20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123"/>
      <c r="T709" s="124"/>
    </row>
    <row r="710" spans="1:20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123"/>
      <c r="T710" s="124"/>
    </row>
    <row r="711" spans="1:20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123"/>
      <c r="T711" s="124"/>
    </row>
    <row r="712" spans="1:20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123"/>
      <c r="T712" s="124"/>
    </row>
    <row r="713" spans="1:20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123"/>
      <c r="T713" s="124"/>
    </row>
    <row r="714" spans="1:20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123"/>
      <c r="T714" s="124"/>
    </row>
    <row r="715" spans="1:20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123"/>
      <c r="T715" s="124"/>
    </row>
    <row r="716" spans="1:20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123"/>
      <c r="T716" s="124"/>
    </row>
    <row r="717" spans="1:20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123"/>
      <c r="T717" s="124"/>
    </row>
    <row r="718" spans="1:20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123"/>
      <c r="T718" s="124"/>
    </row>
    <row r="719" spans="1:20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123"/>
      <c r="T719" s="124"/>
    </row>
    <row r="720" spans="1:20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123"/>
      <c r="T720" s="124"/>
    </row>
    <row r="721" spans="1:20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123"/>
      <c r="T721" s="124"/>
    </row>
    <row r="722" spans="1:20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123"/>
      <c r="T722" s="124"/>
    </row>
    <row r="723" spans="1:20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123"/>
      <c r="T723" s="124"/>
    </row>
    <row r="724" spans="1:20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123"/>
      <c r="T724" s="124"/>
    </row>
    <row r="725" spans="1:20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123"/>
      <c r="T725" s="124"/>
    </row>
    <row r="726" spans="1:20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123"/>
      <c r="T726" s="124"/>
    </row>
    <row r="727" spans="1:20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123"/>
      <c r="T727" s="124"/>
    </row>
    <row r="728" spans="1:20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123"/>
      <c r="T728" s="124"/>
    </row>
    <row r="729" spans="1:20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123"/>
      <c r="T729" s="124"/>
    </row>
    <row r="730" spans="1:20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123"/>
      <c r="T730" s="124"/>
    </row>
    <row r="731" spans="1:20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123"/>
      <c r="T731" s="124"/>
    </row>
    <row r="732" spans="1:20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123"/>
      <c r="T732" s="124"/>
    </row>
    <row r="733" spans="1:20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123"/>
      <c r="T733" s="124"/>
    </row>
    <row r="734" spans="1:20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123"/>
      <c r="T734" s="124"/>
    </row>
    <row r="735" spans="1:20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123"/>
      <c r="T735" s="124"/>
    </row>
    <row r="736" spans="1:20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123"/>
      <c r="T736" s="124"/>
    </row>
    <row r="737" spans="1:20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123"/>
      <c r="T737" s="124"/>
    </row>
    <row r="738" spans="1:20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123"/>
      <c r="T738" s="124"/>
    </row>
    <row r="739" spans="1:20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123"/>
      <c r="T739" s="124"/>
    </row>
    <row r="740" spans="1:20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123"/>
      <c r="T740" s="124"/>
    </row>
    <row r="741" spans="1:20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123"/>
      <c r="T741" s="124"/>
    </row>
    <row r="742" spans="1:20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123"/>
      <c r="T742" s="124"/>
    </row>
    <row r="743" spans="1:20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123"/>
      <c r="T743" s="124"/>
    </row>
    <row r="744" spans="1:20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123"/>
      <c r="T744" s="124"/>
    </row>
    <row r="745" spans="1:20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123"/>
      <c r="T745" s="124"/>
    </row>
    <row r="746" spans="1:20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123"/>
      <c r="T746" s="124"/>
    </row>
    <row r="747" spans="1:20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123"/>
      <c r="T747" s="124"/>
    </row>
    <row r="748" spans="1:20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123"/>
      <c r="T748" s="124"/>
    </row>
    <row r="749" spans="1:20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123"/>
      <c r="T749" s="124"/>
    </row>
    <row r="750" spans="1:20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123"/>
      <c r="T750" s="124"/>
    </row>
    <row r="751" spans="1:20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123"/>
      <c r="T751" s="124"/>
    </row>
    <row r="752" spans="1:20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123"/>
      <c r="T752" s="124"/>
    </row>
    <row r="753" spans="1:20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123"/>
      <c r="T753" s="124"/>
    </row>
    <row r="754" spans="1:20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123"/>
      <c r="T754" s="124"/>
    </row>
    <row r="755" spans="1:20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123"/>
      <c r="T755" s="124"/>
    </row>
    <row r="756" spans="1:20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123"/>
      <c r="T756" s="124"/>
    </row>
    <row r="757" spans="1:20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123"/>
      <c r="T757" s="124"/>
    </row>
    <row r="758" spans="1:20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123"/>
      <c r="T758" s="124"/>
    </row>
    <row r="759" spans="1:20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123"/>
      <c r="T759" s="124"/>
    </row>
    <row r="760" spans="1:20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123"/>
      <c r="T760" s="124"/>
    </row>
    <row r="761" spans="1:20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123"/>
      <c r="T761" s="124"/>
    </row>
    <row r="762" spans="1:20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123"/>
      <c r="T762" s="124"/>
    </row>
    <row r="763" spans="1:20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123"/>
      <c r="T763" s="124"/>
    </row>
    <row r="764" spans="1:20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123"/>
      <c r="T764" s="124"/>
    </row>
    <row r="765" spans="1:20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123"/>
      <c r="T765" s="124"/>
    </row>
    <row r="766" spans="1:20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123"/>
      <c r="T766" s="124"/>
    </row>
    <row r="767" spans="1:20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123"/>
      <c r="T767" s="124"/>
    </row>
    <row r="768" spans="1:20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123"/>
      <c r="T768" s="124"/>
    </row>
    <row r="769" spans="1:20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123"/>
      <c r="T769" s="124"/>
    </row>
    <row r="770" spans="1:20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123"/>
      <c r="T770" s="124"/>
    </row>
    <row r="771" spans="1:20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123"/>
      <c r="T771" s="124"/>
    </row>
    <row r="772" spans="1:20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123"/>
      <c r="T772" s="124"/>
    </row>
    <row r="773" spans="1:20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123"/>
      <c r="T773" s="124"/>
    </row>
    <row r="774" spans="1:20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123"/>
      <c r="T774" s="124"/>
    </row>
    <row r="775" spans="1:20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123"/>
      <c r="T775" s="124"/>
    </row>
    <row r="776" spans="1:20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123"/>
      <c r="T776" s="124"/>
    </row>
    <row r="777" spans="1:20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123"/>
      <c r="T777" s="124"/>
    </row>
    <row r="778" spans="1:20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123"/>
      <c r="T778" s="124"/>
    </row>
    <row r="779" spans="1:20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123"/>
      <c r="T779" s="124"/>
    </row>
    <row r="780" spans="1:20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123"/>
      <c r="T780" s="124"/>
    </row>
    <row r="781" spans="1:20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123"/>
      <c r="T781" s="124"/>
    </row>
    <row r="782" spans="1:20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123"/>
      <c r="T782" s="124"/>
    </row>
    <row r="783" spans="1:20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123"/>
      <c r="T783" s="124"/>
    </row>
    <row r="784" spans="1:20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123"/>
      <c r="T784" s="124"/>
    </row>
    <row r="785" spans="1:20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123"/>
      <c r="T785" s="124"/>
    </row>
    <row r="786" spans="1:20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123"/>
      <c r="T786" s="124"/>
    </row>
    <row r="787" spans="1:20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123"/>
      <c r="T787" s="124"/>
    </row>
    <row r="788" spans="1:20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123"/>
      <c r="T788" s="124"/>
    </row>
    <row r="789" spans="1:20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123"/>
      <c r="T789" s="124"/>
    </row>
    <row r="790" spans="1:20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123"/>
      <c r="T790" s="124"/>
    </row>
    <row r="791" spans="1:20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123"/>
      <c r="T791" s="124"/>
    </row>
    <row r="792" spans="1:20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123"/>
      <c r="T792" s="124"/>
    </row>
    <row r="793" spans="1:20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123"/>
      <c r="T793" s="124"/>
    </row>
    <row r="794" spans="1:20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123"/>
      <c r="T794" s="124"/>
    </row>
    <row r="795" spans="1:20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123"/>
      <c r="T795" s="124"/>
    </row>
    <row r="796" spans="1:20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123"/>
      <c r="T796" s="124"/>
    </row>
    <row r="797" spans="1:20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123"/>
      <c r="T797" s="124"/>
    </row>
    <row r="798" spans="1:20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123"/>
      <c r="T798" s="124"/>
    </row>
    <row r="799" spans="1:20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123"/>
      <c r="T799" s="124"/>
    </row>
    <row r="800" spans="1:20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123"/>
      <c r="T800" s="124"/>
    </row>
    <row r="801" spans="1:20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123"/>
      <c r="T801" s="124"/>
    </row>
    <row r="802" spans="1:20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123"/>
      <c r="T802" s="124"/>
    </row>
    <row r="803" spans="1:20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123"/>
      <c r="T803" s="124"/>
    </row>
    <row r="804" spans="1:20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123"/>
      <c r="T804" s="124"/>
    </row>
    <row r="805" spans="1:20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123"/>
      <c r="T805" s="124"/>
    </row>
    <row r="806" spans="1:20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123"/>
      <c r="T806" s="124"/>
    </row>
    <row r="807" spans="1:20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123"/>
      <c r="T807" s="124"/>
    </row>
    <row r="808" spans="1:20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123"/>
      <c r="T808" s="124"/>
    </row>
    <row r="809" spans="1:20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123"/>
      <c r="T809" s="124"/>
    </row>
    <row r="810" spans="1:20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123"/>
      <c r="T810" s="124"/>
    </row>
    <row r="811" spans="1:20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123"/>
      <c r="T811" s="124"/>
    </row>
    <row r="812" spans="1:20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123"/>
      <c r="T812" s="124"/>
    </row>
    <row r="813" spans="1:20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123"/>
      <c r="T813" s="124"/>
    </row>
    <row r="814" spans="1:20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123"/>
      <c r="T814" s="124"/>
    </row>
    <row r="815" spans="1:20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123"/>
      <c r="T815" s="124"/>
    </row>
    <row r="816" spans="1:20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123"/>
      <c r="T816" s="124"/>
    </row>
    <row r="817" spans="1:20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123"/>
      <c r="T817" s="124"/>
    </row>
    <row r="818" spans="1:20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123"/>
      <c r="T818" s="124"/>
    </row>
    <row r="819" spans="1:20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123"/>
      <c r="T819" s="124"/>
    </row>
    <row r="820" spans="1:20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123"/>
      <c r="T820" s="124"/>
    </row>
    <row r="821" spans="1:20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123"/>
      <c r="T821" s="124"/>
    </row>
    <row r="822" spans="1:20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123"/>
      <c r="T822" s="124"/>
    </row>
    <row r="823" spans="1:20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123"/>
      <c r="T823" s="124"/>
    </row>
    <row r="824" spans="1:20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123"/>
      <c r="T824" s="124"/>
    </row>
    <row r="825" spans="1:20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123"/>
      <c r="T825" s="124"/>
    </row>
    <row r="826" spans="1:20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123"/>
      <c r="T826" s="124"/>
    </row>
    <row r="827" spans="1:20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123"/>
      <c r="T827" s="124"/>
    </row>
    <row r="828" spans="1:20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123"/>
      <c r="T828" s="124"/>
    </row>
    <row r="829" spans="1:20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123"/>
      <c r="T829" s="124"/>
    </row>
    <row r="830" spans="1:20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123"/>
      <c r="T830" s="124"/>
    </row>
    <row r="831" spans="1:20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123"/>
      <c r="T831" s="124"/>
    </row>
    <row r="832" spans="1:20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123"/>
      <c r="T832" s="124"/>
    </row>
    <row r="833" spans="1:20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123"/>
      <c r="T833" s="124"/>
    </row>
    <row r="834" spans="1:20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123"/>
      <c r="T834" s="124"/>
    </row>
    <row r="835" spans="1:20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123"/>
      <c r="T835" s="124"/>
    </row>
    <row r="836" spans="1:20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123"/>
      <c r="T836" s="124"/>
    </row>
    <row r="837" spans="1:20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123"/>
      <c r="T837" s="124"/>
    </row>
    <row r="838" spans="1:20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123"/>
      <c r="T838" s="124"/>
    </row>
    <row r="839" spans="1:20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123"/>
      <c r="T839" s="124"/>
    </row>
    <row r="840" spans="1:20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123"/>
      <c r="T840" s="124"/>
    </row>
    <row r="841" spans="1:20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123"/>
      <c r="T841" s="124"/>
    </row>
    <row r="842" spans="1:20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123"/>
      <c r="T842" s="124"/>
    </row>
    <row r="843" spans="1:20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123"/>
      <c r="T843" s="124"/>
    </row>
    <row r="844" spans="1:20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123"/>
      <c r="T844" s="124"/>
    </row>
    <row r="845" spans="1:20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123"/>
      <c r="T845" s="124"/>
    </row>
    <row r="846" spans="1:20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123"/>
      <c r="T846" s="124"/>
    </row>
    <row r="847" spans="1:20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123"/>
      <c r="T847" s="124"/>
    </row>
    <row r="848" spans="1:20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123"/>
      <c r="T848" s="124"/>
    </row>
    <row r="849" spans="1:20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123"/>
      <c r="T849" s="124"/>
    </row>
    <row r="850" spans="1:20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123"/>
      <c r="T850" s="124"/>
    </row>
    <row r="851" spans="1:20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123"/>
      <c r="T851" s="124"/>
    </row>
    <row r="852" spans="1:20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123"/>
      <c r="T852" s="124"/>
    </row>
    <row r="853" spans="1:20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123"/>
      <c r="T853" s="124"/>
    </row>
    <row r="854" spans="1:20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123"/>
      <c r="T854" s="124"/>
    </row>
    <row r="855" spans="1:20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123"/>
      <c r="T855" s="124"/>
    </row>
    <row r="856" spans="1:20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123"/>
      <c r="T856" s="124"/>
    </row>
    <row r="857" spans="1:20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123"/>
      <c r="T857" s="124"/>
    </row>
    <row r="858" spans="1:20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123"/>
      <c r="T858" s="124"/>
    </row>
    <row r="859" spans="1:20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123"/>
      <c r="T859" s="124"/>
    </row>
    <row r="860" spans="1:20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123"/>
      <c r="T860" s="124"/>
    </row>
    <row r="861" spans="1:20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123"/>
      <c r="T861" s="124"/>
    </row>
    <row r="862" spans="1:20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123"/>
      <c r="T862" s="124"/>
    </row>
    <row r="863" spans="1:20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123"/>
      <c r="T863" s="124"/>
    </row>
    <row r="864" spans="1:20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123"/>
      <c r="T864" s="124"/>
    </row>
    <row r="865" spans="1:20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123"/>
      <c r="T865" s="124"/>
    </row>
    <row r="866" spans="1:20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123"/>
      <c r="T866" s="124"/>
    </row>
    <row r="867" spans="1:20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123"/>
      <c r="T867" s="124"/>
    </row>
    <row r="868" spans="1:20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123"/>
      <c r="T868" s="124"/>
    </row>
    <row r="869" spans="1:20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123"/>
      <c r="T869" s="124"/>
    </row>
    <row r="870" spans="1:20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123"/>
      <c r="T870" s="124"/>
    </row>
    <row r="871" spans="1:20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123"/>
      <c r="T871" s="124"/>
    </row>
    <row r="872" spans="1:20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123"/>
      <c r="T872" s="124"/>
    </row>
    <row r="873" spans="1:20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123"/>
      <c r="T873" s="124"/>
    </row>
    <row r="874" spans="1:20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123"/>
      <c r="T874" s="124"/>
    </row>
    <row r="875" spans="1:20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123"/>
      <c r="T875" s="124"/>
    </row>
    <row r="876" spans="1:20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123"/>
      <c r="T876" s="124"/>
    </row>
    <row r="877" spans="1:20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123"/>
      <c r="T877" s="124"/>
    </row>
    <row r="878" spans="1:20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123"/>
      <c r="T878" s="124"/>
    </row>
    <row r="879" spans="1:20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123"/>
      <c r="T879" s="124"/>
    </row>
    <row r="880" spans="1:20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123"/>
      <c r="T880" s="124"/>
    </row>
    <row r="881" spans="1:20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123"/>
      <c r="T881" s="124"/>
    </row>
    <row r="882" spans="1:20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123"/>
      <c r="T882" s="124"/>
    </row>
    <row r="883" spans="1:20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123"/>
      <c r="T883" s="124"/>
    </row>
    <row r="884" spans="1:20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123"/>
      <c r="T884" s="124"/>
    </row>
    <row r="885" spans="1:20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123"/>
      <c r="T885" s="124"/>
    </row>
    <row r="886" spans="1:20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123"/>
      <c r="T886" s="124"/>
    </row>
    <row r="887" spans="1:20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123"/>
      <c r="T887" s="124"/>
    </row>
    <row r="888" spans="1:20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123"/>
      <c r="T888" s="124"/>
    </row>
    <row r="889" spans="1:20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123"/>
      <c r="T889" s="124"/>
    </row>
    <row r="890" spans="1:20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123"/>
      <c r="T890" s="124"/>
    </row>
    <row r="891" spans="1:20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123"/>
      <c r="T891" s="124"/>
    </row>
    <row r="892" spans="1:20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123"/>
      <c r="T892" s="124"/>
    </row>
    <row r="893" spans="1:20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123"/>
      <c r="T893" s="124"/>
    </row>
    <row r="894" spans="1:20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123"/>
      <c r="T894" s="124"/>
    </row>
    <row r="895" spans="1:20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123"/>
      <c r="T895" s="124"/>
    </row>
    <row r="896" spans="1:20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123"/>
      <c r="T896" s="124"/>
    </row>
    <row r="897" spans="1:20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123"/>
      <c r="T897" s="124"/>
    </row>
    <row r="898" spans="1:20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123"/>
      <c r="T898" s="124"/>
    </row>
    <row r="899" spans="1:20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123"/>
      <c r="T899" s="124"/>
    </row>
    <row r="900" spans="1:20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123"/>
      <c r="T900" s="124"/>
    </row>
    <row r="901" spans="1:20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123"/>
      <c r="T901" s="124"/>
    </row>
    <row r="902" spans="1:20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123"/>
      <c r="T902" s="124"/>
    </row>
    <row r="903" spans="1:20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123"/>
      <c r="T903" s="124"/>
    </row>
    <row r="904" spans="1:20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123"/>
      <c r="T904" s="124"/>
    </row>
    <row r="905" spans="1:20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123"/>
      <c r="T905" s="124"/>
    </row>
    <row r="906" spans="1:20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123"/>
      <c r="T906" s="124"/>
    </row>
    <row r="907" spans="1:20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123"/>
      <c r="T907" s="124"/>
    </row>
    <row r="908" spans="1:20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123"/>
      <c r="T908" s="124"/>
    </row>
    <row r="909" spans="1:20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123"/>
      <c r="T909" s="124"/>
    </row>
    <row r="910" spans="1:20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123"/>
      <c r="T910" s="124"/>
    </row>
    <row r="911" spans="1:20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123"/>
      <c r="T911" s="124"/>
    </row>
    <row r="912" spans="1:20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123"/>
      <c r="T912" s="124"/>
    </row>
    <row r="913" spans="1:20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123"/>
      <c r="T913" s="124"/>
    </row>
    <row r="914" spans="1:20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123"/>
      <c r="T914" s="124"/>
    </row>
    <row r="915" spans="1:20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123"/>
      <c r="T915" s="124"/>
    </row>
    <row r="916" spans="1:20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123"/>
      <c r="T916" s="124"/>
    </row>
    <row r="917" spans="1:20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123"/>
      <c r="T917" s="124"/>
    </row>
    <row r="918" spans="1:20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123"/>
      <c r="T918" s="124"/>
    </row>
    <row r="919" spans="1:20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123"/>
      <c r="T919" s="124"/>
    </row>
    <row r="920" spans="1:20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123"/>
      <c r="T920" s="124"/>
    </row>
    <row r="921" spans="1:20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123"/>
      <c r="T921" s="124"/>
    </row>
    <row r="922" spans="1:20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123"/>
      <c r="T922" s="124"/>
    </row>
    <row r="923" spans="1:20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123"/>
      <c r="T923" s="124"/>
    </row>
    <row r="924" spans="1:20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123"/>
      <c r="T924" s="124"/>
    </row>
    <row r="925" spans="1:20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123"/>
      <c r="T925" s="124"/>
    </row>
    <row r="926" spans="1:20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123"/>
      <c r="T926" s="124"/>
    </row>
    <row r="927" spans="1:20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123"/>
      <c r="T927" s="124"/>
    </row>
    <row r="928" spans="1:20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123"/>
      <c r="T928" s="124"/>
    </row>
    <row r="929" spans="1:20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123"/>
      <c r="T929" s="124"/>
    </row>
    <row r="930" spans="1:20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123"/>
      <c r="T930" s="124"/>
    </row>
    <row r="931" spans="1:20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123"/>
      <c r="T931" s="124"/>
    </row>
    <row r="932" spans="1:20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123"/>
      <c r="T932" s="124"/>
    </row>
    <row r="933" spans="1:20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123"/>
      <c r="T933" s="124"/>
    </row>
    <row r="934" spans="1:20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123"/>
      <c r="T934" s="124"/>
    </row>
    <row r="935" spans="1:20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123"/>
      <c r="T935" s="124"/>
    </row>
    <row r="936" spans="1:20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123"/>
      <c r="T936" s="124"/>
    </row>
    <row r="937" spans="1:20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123"/>
      <c r="T937" s="124"/>
    </row>
    <row r="938" spans="1:20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123"/>
      <c r="T938" s="124"/>
    </row>
    <row r="939" spans="1:20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123"/>
      <c r="T939" s="124"/>
    </row>
    <row r="940" spans="1:20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123"/>
      <c r="T940" s="124"/>
    </row>
    <row r="941" spans="1:20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123"/>
      <c r="T941" s="124"/>
    </row>
    <row r="942" spans="1:20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123"/>
      <c r="T942" s="124"/>
    </row>
    <row r="943" spans="1:20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123"/>
      <c r="T943" s="124"/>
    </row>
    <row r="944" spans="1:20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123"/>
      <c r="T944" s="124"/>
    </row>
    <row r="945" spans="1:20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123"/>
      <c r="T945" s="124"/>
    </row>
    <row r="946" spans="1:20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123"/>
      <c r="T946" s="124"/>
    </row>
    <row r="947" spans="1:20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123"/>
      <c r="T947" s="124"/>
    </row>
    <row r="948" spans="1:20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123"/>
      <c r="T948" s="124"/>
    </row>
    <row r="949" spans="1:20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123"/>
      <c r="T949" s="124"/>
    </row>
    <row r="950" spans="1:20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123"/>
      <c r="T950" s="124"/>
    </row>
    <row r="951" spans="1:20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123"/>
      <c r="T951" s="124"/>
    </row>
    <row r="952" spans="1:20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123"/>
      <c r="T952" s="124"/>
    </row>
    <row r="953" spans="1:20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123"/>
      <c r="T953" s="124"/>
    </row>
    <row r="954" spans="1:20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123"/>
      <c r="T954" s="124"/>
    </row>
    <row r="955" spans="1:20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123"/>
      <c r="T955" s="124"/>
    </row>
    <row r="956" spans="1:20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123"/>
      <c r="T956" s="124"/>
    </row>
    <row r="957" spans="1:20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123"/>
      <c r="T957" s="124"/>
    </row>
    <row r="958" spans="1:20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123"/>
      <c r="T958" s="124"/>
    </row>
    <row r="959" spans="1:20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123"/>
      <c r="T959" s="124"/>
    </row>
    <row r="960" spans="1:20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123"/>
      <c r="T960" s="124"/>
    </row>
    <row r="961" spans="1:20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123"/>
      <c r="T961" s="124"/>
    </row>
    <row r="962" spans="1:20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123"/>
      <c r="T962" s="124"/>
    </row>
    <row r="963" spans="1:20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123"/>
      <c r="T963" s="124"/>
    </row>
    <row r="964" spans="1:20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123"/>
      <c r="T964" s="124"/>
    </row>
    <row r="965" spans="1:20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123"/>
      <c r="T965" s="124"/>
    </row>
    <row r="966" spans="1:20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123"/>
      <c r="T966" s="124"/>
    </row>
    <row r="967" spans="1:20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123"/>
      <c r="T967" s="124"/>
    </row>
    <row r="968" spans="1:20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123"/>
      <c r="T968" s="124"/>
    </row>
    <row r="969" spans="1:20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123"/>
      <c r="T969" s="124"/>
    </row>
    <row r="970" spans="1:20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123"/>
      <c r="T970" s="124"/>
    </row>
    <row r="971" spans="1:20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123"/>
      <c r="T971" s="124"/>
    </row>
    <row r="972" spans="1:20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123"/>
      <c r="T972" s="124"/>
    </row>
    <row r="973" spans="1:20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123"/>
      <c r="T973" s="124"/>
    </row>
    <row r="974" spans="1:20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123"/>
      <c r="T974" s="124"/>
    </row>
    <row r="975" spans="1:20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123"/>
      <c r="T975" s="124"/>
    </row>
    <row r="976" spans="1:20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123"/>
      <c r="T976" s="124"/>
    </row>
    <row r="977" spans="1:20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123"/>
      <c r="T977" s="124"/>
    </row>
    <row r="978" spans="1:20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123"/>
      <c r="T978" s="124"/>
    </row>
    <row r="979" spans="1:20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123"/>
      <c r="T979" s="124"/>
    </row>
    <row r="980" spans="1:20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123"/>
      <c r="T980" s="124"/>
    </row>
    <row r="981" spans="1:20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123"/>
      <c r="T981" s="124"/>
    </row>
    <row r="982" spans="1:20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123"/>
      <c r="T982" s="124"/>
    </row>
    <row r="983" spans="1:20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123"/>
      <c r="T983" s="124"/>
    </row>
    <row r="984" spans="1:20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123"/>
      <c r="T984" s="124"/>
    </row>
  </sheetData>
  <mergeCells count="22">
    <mergeCell ref="H4:I4"/>
    <mergeCell ref="J5:K5"/>
    <mergeCell ref="L5:N5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Z990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  <col min="21" max="21" width="11.42578125" customWidth="1"/>
    <col min="22" max="22" width="7.5703125" customWidth="1"/>
    <col min="23" max="23" width="10.140625" customWidth="1"/>
  </cols>
  <sheetData>
    <row r="1" spans="1:26" ht="24" customHeight="1" x14ac:dyDescent="0.3">
      <c r="A1" s="1" t="s">
        <v>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235"/>
      <c r="N1" s="235"/>
      <c r="O1" s="236"/>
      <c r="P1" s="236"/>
      <c r="Q1" s="236"/>
      <c r="R1" s="126"/>
      <c r="S1" s="126"/>
      <c r="T1" s="235"/>
      <c r="U1" s="126"/>
      <c r="V1" s="126"/>
      <c r="W1" s="235"/>
      <c r="X1" s="206"/>
      <c r="Y1" s="206"/>
      <c r="Z1" s="206"/>
    </row>
    <row r="2" spans="1:26" ht="24" customHeight="1" x14ac:dyDescent="0.2">
      <c r="A2" s="448" t="s">
        <v>1</v>
      </c>
      <c r="B2" s="402"/>
      <c r="C2" s="434" t="s">
        <v>142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2"/>
      <c r="X2" s="206"/>
      <c r="Y2" s="206"/>
      <c r="Z2" s="206"/>
    </row>
    <row r="3" spans="1:26" ht="30" customHeight="1" x14ac:dyDescent="0.2">
      <c r="A3" s="401"/>
      <c r="B3" s="402"/>
      <c r="C3" s="435" t="s">
        <v>3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445" t="s">
        <v>143</v>
      </c>
      <c r="S3" s="446"/>
      <c r="T3" s="390"/>
      <c r="U3" s="445" t="s">
        <v>144</v>
      </c>
      <c r="V3" s="446"/>
      <c r="W3" s="390"/>
      <c r="X3" s="206"/>
      <c r="Y3" s="206"/>
      <c r="Z3" s="206"/>
    </row>
    <row r="4" spans="1:26" ht="60" customHeight="1" x14ac:dyDescent="0.3">
      <c r="A4" s="401"/>
      <c r="B4" s="402"/>
      <c r="C4" s="437" t="s">
        <v>6</v>
      </c>
      <c r="D4" s="381"/>
      <c r="E4" s="381"/>
      <c r="F4" s="381"/>
      <c r="G4" s="382"/>
      <c r="H4" s="414" t="s">
        <v>7</v>
      </c>
      <c r="I4" s="382"/>
      <c r="J4" s="415" t="s">
        <v>8</v>
      </c>
      <c r="K4" s="381"/>
      <c r="L4" s="381"/>
      <c r="M4" s="381"/>
      <c r="N4" s="381"/>
      <c r="O4" s="381"/>
      <c r="P4" s="381"/>
      <c r="Q4" s="382"/>
      <c r="R4" s="381"/>
      <c r="S4" s="381"/>
      <c r="T4" s="382"/>
      <c r="U4" s="381"/>
      <c r="V4" s="381"/>
      <c r="W4" s="382"/>
      <c r="X4" s="206"/>
      <c r="Y4" s="206"/>
      <c r="Z4" s="206"/>
    </row>
    <row r="5" spans="1:26" ht="24" customHeight="1" x14ac:dyDescent="0.3">
      <c r="A5" s="401"/>
      <c r="B5" s="402"/>
      <c r="C5" s="416" t="s">
        <v>13</v>
      </c>
      <c r="D5" s="418" t="s">
        <v>14</v>
      </c>
      <c r="E5" s="425" t="s">
        <v>15</v>
      </c>
      <c r="F5" s="426" t="s">
        <v>16</v>
      </c>
      <c r="G5" s="427" t="s">
        <v>17</v>
      </c>
      <c r="H5" s="237" t="s">
        <v>18</v>
      </c>
      <c r="I5" s="237" t="s">
        <v>19</v>
      </c>
      <c r="J5" s="428" t="s">
        <v>20</v>
      </c>
      <c r="K5" s="382"/>
      <c r="L5" s="428" t="s">
        <v>18</v>
      </c>
      <c r="M5" s="381"/>
      <c r="N5" s="382"/>
      <c r="O5" s="429" t="s">
        <v>19</v>
      </c>
      <c r="P5" s="381"/>
      <c r="Q5" s="382"/>
      <c r="R5" s="238" t="s">
        <v>21</v>
      </c>
      <c r="S5" s="447" t="s">
        <v>22</v>
      </c>
      <c r="T5" s="382"/>
      <c r="U5" s="238" t="s">
        <v>21</v>
      </c>
      <c r="V5" s="447" t="s">
        <v>22</v>
      </c>
      <c r="W5" s="382"/>
      <c r="X5" s="206"/>
      <c r="Y5" s="206"/>
      <c r="Z5" s="206"/>
    </row>
    <row r="6" spans="1:26" ht="30" customHeight="1" x14ac:dyDescent="0.3">
      <c r="A6" s="403"/>
      <c r="B6" s="404"/>
      <c r="C6" s="417"/>
      <c r="D6" s="417"/>
      <c r="E6" s="417"/>
      <c r="F6" s="417"/>
      <c r="G6" s="417"/>
      <c r="H6" s="239"/>
      <c r="I6" s="239"/>
      <c r="J6" s="240" t="s">
        <v>23</v>
      </c>
      <c r="K6" s="241" t="s">
        <v>24</v>
      </c>
      <c r="L6" s="240" t="s">
        <v>23</v>
      </c>
      <c r="M6" s="242" t="s">
        <v>25</v>
      </c>
      <c r="N6" s="242" t="s">
        <v>26</v>
      </c>
      <c r="O6" s="243" t="s">
        <v>23</v>
      </c>
      <c r="P6" s="242" t="s">
        <v>25</v>
      </c>
      <c r="Q6" s="242" t="s">
        <v>26</v>
      </c>
      <c r="R6" s="244" t="s">
        <v>28</v>
      </c>
      <c r="S6" s="245" t="s">
        <v>28</v>
      </c>
      <c r="T6" s="246" t="s">
        <v>24</v>
      </c>
      <c r="U6" s="244" t="s">
        <v>28</v>
      </c>
      <c r="V6" s="245" t="s">
        <v>28</v>
      </c>
      <c r="W6" s="246" t="s">
        <v>24</v>
      </c>
      <c r="X6" s="206"/>
      <c r="Y6" s="206"/>
      <c r="Z6" s="206"/>
    </row>
    <row r="7" spans="1:26" ht="24" customHeight="1" x14ac:dyDescent="0.3">
      <c r="A7" s="442" t="s">
        <v>31</v>
      </c>
      <c r="B7" s="417"/>
      <c r="C7" s="141" t="e">
        <f t="shared" ref="C7:C10" ca="1" si="0">D7+G7</f>
        <v>#VALUE!</v>
      </c>
      <c r="D7" s="142" t="e">
        <f t="shared" ref="D7:E7" ca="1" si="1">D8+D9+D12</f>
        <v>#VALUE!</v>
      </c>
      <c r="E7" s="143">
        <f t="shared" ca="1" si="1"/>
        <v>6756900</v>
      </c>
      <c r="F7" s="144">
        <f ca="1">F8+F9</f>
        <v>8258400</v>
      </c>
      <c r="G7" s="145">
        <f t="shared" ref="G7:I7" ca="1" si="2">G8+G9+G12</f>
        <v>0</v>
      </c>
      <c r="H7" s="211">
        <f t="shared" ca="1" si="2"/>
        <v>11963100</v>
      </c>
      <c r="I7" s="211">
        <f t="shared" ca="1" si="2"/>
        <v>0</v>
      </c>
      <c r="J7" s="147">
        <f t="shared" ref="J7:J10" ca="1" si="3">L7+O7</f>
        <v>5916388.9800000004</v>
      </c>
      <c r="K7" s="148" t="e">
        <f t="shared" ref="K7:K10" ca="1" si="4">IF(C7&gt;0,J7*100/C7,0)</f>
        <v>#VALUE!</v>
      </c>
      <c r="L7" s="147">
        <f ca="1">L8+L9+L12</f>
        <v>5916388.9800000004</v>
      </c>
      <c r="M7" s="149" t="e">
        <f t="shared" ref="M7:M10" ca="1" si="5">IF(D7&gt;0,L7*100/D7,0)</f>
        <v>#VALUE!</v>
      </c>
      <c r="N7" s="149">
        <f t="shared" ref="N7:N10" ca="1" si="6">IF(H7&gt;0,L7*100/H7,0)</f>
        <v>49.455316598540513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1">
        <f t="shared" ref="R7:S7" ca="1" si="9">R8</f>
        <v>470</v>
      </c>
      <c r="S7" s="32">
        <f t="shared" ca="1" si="9"/>
        <v>133</v>
      </c>
      <c r="T7" s="33">
        <f t="shared" ref="T7:T8" ca="1" si="10">IF(R7&gt;0,S7*100/R7,0)</f>
        <v>28.297872340425531</v>
      </c>
      <c r="U7" s="247">
        <f t="shared" ref="U7:V7" si="11">U8+U9</f>
        <v>70</v>
      </c>
      <c r="V7" s="248">
        <f t="shared" si="11"/>
        <v>0</v>
      </c>
      <c r="W7" s="249">
        <f t="shared" ref="W7:W9" si="12">IF(U7&gt;0,V7*100/U7,0)</f>
        <v>0</v>
      </c>
      <c r="X7" s="206"/>
      <c r="Y7" s="206"/>
      <c r="Z7" s="206"/>
    </row>
    <row r="8" spans="1:26" ht="28.5" customHeight="1" x14ac:dyDescent="0.3">
      <c r="A8" s="34" t="s">
        <v>32</v>
      </c>
      <c r="B8" s="35"/>
      <c r="C8" s="154" t="e">
        <f t="shared" ca="1" si="0"/>
        <v>#VALUE!</v>
      </c>
      <c r="D8" s="154" t="e">
        <f t="shared" ref="D8:I8" ca="1" si="13">+D13+D31+D52+D74</f>
        <v>#VALUE!</v>
      </c>
      <c r="E8" s="154">
        <f t="shared" ca="1" si="13"/>
        <v>0</v>
      </c>
      <c r="F8" s="154">
        <f t="shared" ca="1" si="13"/>
        <v>1313900</v>
      </c>
      <c r="G8" s="154">
        <f t="shared" ca="1" si="13"/>
        <v>0</v>
      </c>
      <c r="H8" s="154">
        <f t="shared" ca="1" si="13"/>
        <v>2505900</v>
      </c>
      <c r="I8" s="154">
        <f t="shared" ca="1" si="13"/>
        <v>0</v>
      </c>
      <c r="J8" s="154">
        <f t="shared" ca="1" si="3"/>
        <v>1339181</v>
      </c>
      <c r="K8" s="155" t="e">
        <f t="shared" ca="1" si="4"/>
        <v>#VALUE!</v>
      </c>
      <c r="L8" s="154">
        <f ca="1">+L13+L31+L52+L74</f>
        <v>1339181</v>
      </c>
      <c r="M8" s="156" t="e">
        <f t="shared" ca="1" si="5"/>
        <v>#VALUE!</v>
      </c>
      <c r="N8" s="156">
        <f t="shared" ca="1" si="6"/>
        <v>53.441118959256158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8">
        <f t="shared" ref="R8:S8" ca="1" si="14">+R13+R31+R52+R74</f>
        <v>470</v>
      </c>
      <c r="S8" s="38">
        <f t="shared" ca="1" si="14"/>
        <v>133</v>
      </c>
      <c r="T8" s="40">
        <f t="shared" ca="1" si="10"/>
        <v>28.297872340425531</v>
      </c>
      <c r="U8" s="250">
        <f t="shared" ref="U8:V8" si="15">+U13+U31+U52+U74</f>
        <v>0</v>
      </c>
      <c r="V8" s="250">
        <f t="shared" si="15"/>
        <v>0</v>
      </c>
      <c r="W8" s="251">
        <f t="shared" si="12"/>
        <v>0</v>
      </c>
      <c r="X8" s="206"/>
      <c r="Y8" s="206"/>
      <c r="Z8" s="206"/>
    </row>
    <row r="9" spans="1:26" ht="28.5" customHeight="1" x14ac:dyDescent="0.3">
      <c r="A9" s="44" t="s">
        <v>33</v>
      </c>
      <c r="B9" s="45"/>
      <c r="C9" s="160">
        <f t="shared" ca="1" si="0"/>
        <v>13701400</v>
      </c>
      <c r="D9" s="160">
        <f t="shared" ref="D9:I9" ca="1" si="16">+D10+D11</f>
        <v>13701400</v>
      </c>
      <c r="E9" s="160">
        <f t="shared" ca="1" si="16"/>
        <v>6756900</v>
      </c>
      <c r="F9" s="160">
        <f t="shared" ca="1" si="16"/>
        <v>6944500</v>
      </c>
      <c r="G9" s="160">
        <f t="shared" ca="1" si="16"/>
        <v>0</v>
      </c>
      <c r="H9" s="160">
        <f t="shared" ca="1" si="16"/>
        <v>9457200</v>
      </c>
      <c r="I9" s="160">
        <f t="shared" ca="1" si="16"/>
        <v>0</v>
      </c>
      <c r="J9" s="160">
        <f t="shared" ca="1" si="3"/>
        <v>4577207.9800000004</v>
      </c>
      <c r="K9" s="161">
        <f t="shared" ca="1" si="4"/>
        <v>33.406863386223307</v>
      </c>
      <c r="L9" s="160">
        <f ca="1">+L10+L11</f>
        <v>4577207.9800000004</v>
      </c>
      <c r="M9" s="162">
        <f t="shared" ca="1" si="5"/>
        <v>33.406863386223307</v>
      </c>
      <c r="N9" s="162">
        <f t="shared" ca="1" si="6"/>
        <v>48.399187708835605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46"/>
      <c r="S9" s="46"/>
      <c r="T9" s="49"/>
      <c r="U9" s="252">
        <v>70</v>
      </c>
      <c r="V9" s="252">
        <v>0</v>
      </c>
      <c r="W9" s="253">
        <f t="shared" si="12"/>
        <v>0</v>
      </c>
      <c r="X9" s="206"/>
      <c r="Y9" s="206"/>
      <c r="Z9" s="206"/>
    </row>
    <row r="10" spans="1:26" ht="28.5" customHeight="1" x14ac:dyDescent="0.3">
      <c r="A10" s="44" t="s">
        <v>34</v>
      </c>
      <c r="B10" s="45"/>
      <c r="C10" s="160">
        <f t="shared" ca="1" si="0"/>
        <v>13701400</v>
      </c>
      <c r="D10" s="160">
        <f t="shared" ref="D10:I10" ca="1" si="17">+D89</f>
        <v>13701400</v>
      </c>
      <c r="E10" s="160">
        <f t="shared" ca="1" si="17"/>
        <v>6756900</v>
      </c>
      <c r="F10" s="160">
        <f t="shared" ca="1" si="17"/>
        <v>6944500</v>
      </c>
      <c r="G10" s="160">
        <f t="shared" ca="1" si="17"/>
        <v>0</v>
      </c>
      <c r="H10" s="160">
        <f t="shared" ca="1" si="17"/>
        <v>9457200</v>
      </c>
      <c r="I10" s="160">
        <f t="shared" ca="1" si="17"/>
        <v>0</v>
      </c>
      <c r="J10" s="160">
        <f t="shared" ca="1" si="3"/>
        <v>4577207.9800000004</v>
      </c>
      <c r="K10" s="161">
        <f t="shared" ca="1" si="4"/>
        <v>33.406863386223307</v>
      </c>
      <c r="L10" s="160">
        <f ca="1">+L89</f>
        <v>4577207.9800000004</v>
      </c>
      <c r="M10" s="162">
        <f t="shared" ca="1" si="5"/>
        <v>33.406863386223307</v>
      </c>
      <c r="N10" s="162">
        <f t="shared" ca="1" si="6"/>
        <v>48.399187708835605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46"/>
      <c r="S10" s="46"/>
      <c r="T10" s="49"/>
      <c r="U10" s="254"/>
      <c r="V10" s="254"/>
      <c r="W10" s="253"/>
      <c r="X10" s="206"/>
      <c r="Y10" s="206"/>
      <c r="Z10" s="206"/>
    </row>
    <row r="11" spans="1:26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218"/>
      <c r="S11" s="218"/>
      <c r="T11" s="219"/>
      <c r="U11" s="255"/>
      <c r="V11" s="255"/>
      <c r="W11" s="256"/>
      <c r="X11" s="206"/>
      <c r="Y11" s="206"/>
      <c r="Z11" s="206"/>
    </row>
    <row r="12" spans="1:26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221"/>
      <c r="S12" s="221"/>
      <c r="T12" s="222"/>
      <c r="U12" s="257"/>
      <c r="V12" s="257"/>
      <c r="W12" s="256"/>
      <c r="X12" s="206"/>
      <c r="Y12" s="206"/>
      <c r="Z12" s="206"/>
    </row>
    <row r="13" spans="1:26" ht="28.5" customHeight="1" x14ac:dyDescent="0.3">
      <c r="A13" s="394" t="s">
        <v>35</v>
      </c>
      <c r="B13" s="376"/>
      <c r="C13" s="154">
        <f t="shared" ref="C13:C88" ca="1" si="18">D13+G13</f>
        <v>333030</v>
      </c>
      <c r="D13" s="154">
        <f t="shared" ref="D13:I13" ca="1" si="19">SUM(D14:D30)</f>
        <v>333030</v>
      </c>
      <c r="E13" s="154">
        <f t="shared" ca="1" si="19"/>
        <v>0</v>
      </c>
      <c r="F13" s="154">
        <f t="shared" ca="1" si="19"/>
        <v>333030</v>
      </c>
      <c r="G13" s="154">
        <f t="shared" ca="1" si="19"/>
        <v>0</v>
      </c>
      <c r="H13" s="154">
        <f t="shared" ca="1" si="19"/>
        <v>1525030</v>
      </c>
      <c r="I13" s="154">
        <f t="shared" ca="1" si="19"/>
        <v>0</v>
      </c>
      <c r="J13" s="154">
        <f t="shared" ref="J13:J88" ca="1" si="20">L13+O13</f>
        <v>920595</v>
      </c>
      <c r="K13" s="155">
        <f t="shared" ref="K13:K88" ca="1" si="21">IF(C13&gt;0,J13*100/C13,0)</f>
        <v>276.43005134672552</v>
      </c>
      <c r="L13" s="154">
        <f ca="1">SUM(L14:L30)</f>
        <v>920595</v>
      </c>
      <c r="M13" s="156">
        <f t="shared" ref="M13:M88" ca="1" si="22">IF(D13&gt;0,L13*100/D13,0)</f>
        <v>276.43005134672552</v>
      </c>
      <c r="N13" s="156">
        <f t="shared" ref="N13:N88" ca="1" si="23">IF(H13&gt;0,L13*100/H13,0)</f>
        <v>60.365697723979203</v>
      </c>
      <c r="O13" s="157">
        <f ca="1">SUM(O14:O30)</f>
        <v>0</v>
      </c>
      <c r="P13" s="157">
        <f t="shared" ref="P13:P88" ca="1" si="24">IF(G13&gt;0,O13*100/G13,0)</f>
        <v>0</v>
      </c>
      <c r="Q13" s="156">
        <f t="shared" ref="Q13:Q88" ca="1" si="25">IF(I13&gt;0,O13*100/I13,0)</f>
        <v>0</v>
      </c>
      <c r="R13" s="70">
        <f t="shared" ref="R13:S13" ca="1" si="26">SUM(R14:R30)</f>
        <v>119</v>
      </c>
      <c r="S13" s="70">
        <f t="shared" ca="1" si="26"/>
        <v>35</v>
      </c>
      <c r="T13" s="72">
        <f t="shared" ref="T13:T88" ca="1" si="27">IF(R13&gt;0,S13*100/R13,0)</f>
        <v>29.411764705882351</v>
      </c>
      <c r="U13" s="250">
        <f t="shared" ref="U13:V13" si="28">SUM(U14:U30)</f>
        <v>0</v>
      </c>
      <c r="V13" s="250">
        <f t="shared" si="28"/>
        <v>0</v>
      </c>
      <c r="W13" s="251">
        <f>IF(U13&gt;0,V13*100/U13,0)</f>
        <v>0</v>
      </c>
      <c r="X13" s="206"/>
      <c r="Y13" s="206"/>
      <c r="Z13" s="206"/>
    </row>
    <row r="14" spans="1:26" ht="24" customHeight="1" x14ac:dyDescent="0.3">
      <c r="A14" s="74">
        <v>1</v>
      </c>
      <c r="B14" s="75" t="s">
        <v>36</v>
      </c>
      <c r="C14" s="174">
        <f t="shared" ca="1" si="18"/>
        <v>19590</v>
      </c>
      <c r="D14" s="175">
        <f t="shared" ref="D14:D30" ca="1" si="29">+E14+F14</f>
        <v>19590</v>
      </c>
      <c r="E14" s="176">
        <f ca="1">IFERROR(__xludf.DUMMYFUNCTION("IMPORTRANGE(""https://docs.google.com/spreadsheets/d/1-uDff_7J0KD5mKrp0Vvzr7lt3OU09vwQwhkpOPPYv2Y/edit?usp=sharing"",""งบพรบ!CL14"")"),0)</f>
        <v>0</v>
      </c>
      <c r="F14" s="176">
        <f ca="1">IFERROR(__xludf.DUMMYFUNCTION("IMPORTRANGE(""https://docs.google.com/spreadsheets/d/1-uDff_7J0KD5mKrp0Vvzr7lt3OU09vwQwhkpOPPYv2Y/edit?usp=sharing"",""งบพรบ!CM14"")"),19590)</f>
        <v>19590</v>
      </c>
      <c r="G14" s="177">
        <f ca="1">IFERROR(__xludf.DUMMYFUNCTION("IMPORTRANGE(""https://docs.google.com/spreadsheets/d/1-uDff_7J0KD5mKrp0Vvzr7lt3OU09vwQwhkpOPPYv2Y/edit?usp=sharing"",""งบพรบ!CN14"")"),0)</f>
        <v>0</v>
      </c>
      <c r="H14" s="177">
        <f ca="1">IFERROR(__xludf.DUMMYFUNCTION("IMPORTRANGE(""https://docs.google.com/spreadsheets/d/1-uDff_7J0KD5mKrp0Vvzr7lt3OU09vwQwhkpOPPYv2Y/edit?usp=sharing"",""งบพรบ!CP14"")"),19590)</f>
        <v>19590</v>
      </c>
      <c r="I14" s="177">
        <f ca="1">IFERROR(__xludf.DUMMYFUNCTION("IMPORTRANGE(""https://docs.google.com/spreadsheets/d/1-uDff_7J0KD5mKrp0Vvzr7lt3OU09vwQwhkpOPPYv2Y/edit?usp=sharing"",""งบพรบ!CQ14"")"),0)</f>
        <v>0</v>
      </c>
      <c r="J14" s="177">
        <f t="shared" ca="1" si="20"/>
        <v>0</v>
      </c>
      <c r="K14" s="178">
        <f t="shared" ca="1" si="21"/>
        <v>0</v>
      </c>
      <c r="L14" s="177">
        <f ca="1">IFERROR(__xludf.DUMMYFUNCTION("IMPORTRANGE(""https://docs.google.com/spreadsheets/d/1-uDff_7J0KD5mKrp0Vvzr7lt3OU09vwQwhkpOPPYv2Y/edit?usp=sharing"",""งบพรบ!CR14"")"),0)</f>
        <v>0</v>
      </c>
      <c r="M14" s="179">
        <f t="shared" ca="1" si="22"/>
        <v>0</v>
      </c>
      <c r="N14" s="179">
        <f t="shared" ca="1" si="23"/>
        <v>0</v>
      </c>
      <c r="O14" s="180">
        <f ca="1">IFERROR(__xludf.DUMMYFUNCTION("IMPORTRANGE(""https://docs.google.com/spreadsheets/d/1-uDff_7J0KD5mKrp0Vvzr7lt3OU09vwQwhkpOPPYv2Y/edit?usp=sharing"",""งบพรบ!CS14"")"),0)</f>
        <v>0</v>
      </c>
      <c r="P14" s="180">
        <f t="shared" ca="1" si="24"/>
        <v>0</v>
      </c>
      <c r="Q14" s="179">
        <f t="shared" ca="1" si="25"/>
        <v>0</v>
      </c>
      <c r="R14" s="79">
        <f ca="1">IFERROR(__xludf.DUMMYFUNCTION("IMPORTRANGE(""https://docs.google.com/spreadsheets/d/1jTcq05yEiRwXcBMLjiodW9e4biSGYWAHcDj22rKWQ3s/edit?usp=sharing"",""กำแพงเพชร!I183"")"),7)</f>
        <v>7</v>
      </c>
      <c r="S14" s="79">
        <f ca="1">IFERROR(__xludf.DUMMYFUNCTION("IMPORTRANGE(""https://docs.google.com/spreadsheets/d/1jTcq05yEiRwXcBMLjiodW9e4biSGYWAHcDj22rKWQ3s/edit?usp=sharing"",""กำแพงเพชร!J183"")"),0)</f>
        <v>0</v>
      </c>
      <c r="T14" s="83">
        <f t="shared" ca="1" si="27"/>
        <v>0</v>
      </c>
      <c r="U14" s="258"/>
      <c r="V14" s="258"/>
      <c r="W14" s="259"/>
      <c r="X14" s="206"/>
      <c r="Y14" s="206"/>
      <c r="Z14" s="206"/>
    </row>
    <row r="15" spans="1:26" ht="24" customHeight="1" x14ac:dyDescent="0.3">
      <c r="A15" s="84">
        <v>2</v>
      </c>
      <c r="B15" s="85" t="s">
        <v>37</v>
      </c>
      <c r="C15" s="174">
        <f t="shared" ca="1" si="18"/>
        <v>19590</v>
      </c>
      <c r="D15" s="175">
        <f t="shared" ca="1" si="29"/>
        <v>19590</v>
      </c>
      <c r="E15" s="176">
        <f ca="1">IFERROR(__xludf.DUMMYFUNCTION("IMPORTRANGE(""https://docs.google.com/spreadsheets/d/1-uDff_7J0KD5mKrp0Vvzr7lt3OU09vwQwhkpOPPYv2Y/edit?usp=sharing"",""งบพรบ!CL15"")"),0)</f>
        <v>0</v>
      </c>
      <c r="F15" s="176">
        <f ca="1">IFERROR(__xludf.DUMMYFUNCTION("IMPORTRANGE(""https://docs.google.com/spreadsheets/d/1-uDff_7J0KD5mKrp0Vvzr7lt3OU09vwQwhkpOPPYv2Y/edit?usp=sharing"",""งบพรบ!CM15"")"),19590)</f>
        <v>19590</v>
      </c>
      <c r="G15" s="176">
        <f ca="1">IFERROR(__xludf.DUMMYFUNCTION("IMPORTRANGE(""https://docs.google.com/spreadsheets/d/1-uDff_7J0KD5mKrp0Vvzr7lt3OU09vwQwhkpOPPYv2Y/edit?usp=sharing"",""งบพรบ!CN15"")"),0)</f>
        <v>0</v>
      </c>
      <c r="H15" s="176">
        <f ca="1">IFERROR(__xludf.DUMMYFUNCTION("IMPORTRANGE(""https://docs.google.com/spreadsheets/d/1-uDff_7J0KD5mKrp0Vvzr7lt3OU09vwQwhkpOPPYv2Y/edit?usp=sharing"",""งบพรบ!CP15"")"),94790)</f>
        <v>94790</v>
      </c>
      <c r="I15" s="176">
        <f ca="1">IFERROR(__xludf.DUMMYFUNCTION("IMPORTRANGE(""https://docs.google.com/spreadsheets/d/1-uDff_7J0KD5mKrp0Vvzr7lt3OU09vwQwhkpOPPYv2Y/edit?usp=sharing"",""งบพรบ!CQ15"")"),0)</f>
        <v>0</v>
      </c>
      <c r="J15" s="176">
        <f t="shared" ca="1" si="20"/>
        <v>64040</v>
      </c>
      <c r="K15" s="181">
        <f t="shared" ca="1" si="21"/>
        <v>326.90148034711586</v>
      </c>
      <c r="L15" s="176">
        <f ca="1">IFERROR(__xludf.DUMMYFUNCTION("IMPORTRANGE(""https://docs.google.com/spreadsheets/d/1-uDff_7J0KD5mKrp0Vvzr7lt3OU09vwQwhkpOPPYv2Y/edit?usp=sharing"",""งบพรบ!CR15"")"),64040)</f>
        <v>64040</v>
      </c>
      <c r="M15" s="179">
        <f t="shared" ca="1" si="22"/>
        <v>326.90148034711586</v>
      </c>
      <c r="N15" s="179">
        <f t="shared" ca="1" si="23"/>
        <v>67.559869184513133</v>
      </c>
      <c r="O15" s="180">
        <f ca="1">IFERROR(__xludf.DUMMYFUNCTION("IMPORTRANGE(""https://docs.google.com/spreadsheets/d/1-uDff_7J0KD5mKrp0Vvzr7lt3OU09vwQwhkpOPPYv2Y/edit?usp=sharing"",""งบพรบ!CS15"")"),0)</f>
        <v>0</v>
      </c>
      <c r="P15" s="180">
        <f t="shared" ca="1" si="24"/>
        <v>0</v>
      </c>
      <c r="Q15" s="179">
        <f t="shared" ca="1" si="25"/>
        <v>0</v>
      </c>
      <c r="R15" s="92">
        <f ca="1">IFERROR(__xludf.DUMMYFUNCTION("IMPORTRANGE(""https://docs.google.com/spreadsheets/d/1KS0zmDSZPk8KnTAbGN-Xk6MtX1YRZD0ldgdt20K4CRk/edit?usp=sharing"",""เชียงราย!I183"")"),7)</f>
        <v>7</v>
      </c>
      <c r="S15" s="92">
        <f ca="1">IFERROR(__xludf.DUMMYFUNCTION("IMPORTRANGE(""https://docs.google.com/spreadsheets/d/1KS0zmDSZPk8KnTAbGN-Xk6MtX1YRZD0ldgdt20K4CRk/edit?usp=sharing"",""เชียงราย!J183"")"),7)</f>
        <v>7</v>
      </c>
      <c r="T15" s="93">
        <f t="shared" ca="1" si="27"/>
        <v>100</v>
      </c>
      <c r="U15" s="258"/>
      <c r="V15" s="258"/>
      <c r="W15" s="259"/>
      <c r="X15" s="206"/>
      <c r="Y15" s="206"/>
      <c r="Z15" s="206"/>
    </row>
    <row r="16" spans="1:26" ht="24" customHeight="1" x14ac:dyDescent="0.3">
      <c r="A16" s="84">
        <v>3</v>
      </c>
      <c r="B16" s="85" t="s">
        <v>38</v>
      </c>
      <c r="C16" s="174">
        <f t="shared" ca="1" si="18"/>
        <v>19590</v>
      </c>
      <c r="D16" s="175">
        <f t="shared" ca="1" si="29"/>
        <v>19590</v>
      </c>
      <c r="E16" s="176">
        <f ca="1">IFERROR(__xludf.DUMMYFUNCTION("IMPORTRANGE(""https://docs.google.com/spreadsheets/d/1-uDff_7J0KD5mKrp0Vvzr7lt3OU09vwQwhkpOPPYv2Y/edit?usp=sharing"",""งบพรบ!CL16"")"),0)</f>
        <v>0</v>
      </c>
      <c r="F16" s="176">
        <f ca="1">IFERROR(__xludf.DUMMYFUNCTION("IMPORTRANGE(""https://docs.google.com/spreadsheets/d/1-uDff_7J0KD5mKrp0Vvzr7lt3OU09vwQwhkpOPPYv2Y/edit?usp=sharing"",""งบพรบ!CM16"")"),19590)</f>
        <v>19590</v>
      </c>
      <c r="G16" s="176">
        <f ca="1">IFERROR(__xludf.DUMMYFUNCTION("IMPORTRANGE(""https://docs.google.com/spreadsheets/d/1-uDff_7J0KD5mKrp0Vvzr7lt3OU09vwQwhkpOPPYv2Y/edit?usp=sharing"",""งบพรบ!CN16"")"),0)</f>
        <v>0</v>
      </c>
      <c r="H16" s="176">
        <f ca="1">IFERROR(__xludf.DUMMYFUNCTION("IMPORTRANGE(""https://docs.google.com/spreadsheets/d/1-uDff_7J0KD5mKrp0Vvzr7lt3OU09vwQwhkpOPPYv2Y/edit?usp=sharing"",""งบพรบ!CP16"")"),149630)</f>
        <v>149630</v>
      </c>
      <c r="I16" s="176">
        <f ca="1">IFERROR(__xludf.DUMMYFUNCTION("IMPORTRANGE(""https://docs.google.com/spreadsheets/d/1-uDff_7J0KD5mKrp0Vvzr7lt3OU09vwQwhkpOPPYv2Y/edit?usp=sharing"",""งบพรบ!CQ16"")"),0)</f>
        <v>0</v>
      </c>
      <c r="J16" s="176">
        <f t="shared" ca="1" si="20"/>
        <v>147120</v>
      </c>
      <c r="K16" s="181">
        <f t="shared" ca="1" si="21"/>
        <v>750.99540581929557</v>
      </c>
      <c r="L16" s="176">
        <f ca="1">IFERROR(__xludf.DUMMYFUNCTION("IMPORTRANGE(""https://docs.google.com/spreadsheets/d/1-uDff_7J0KD5mKrp0Vvzr7lt3OU09vwQwhkpOPPYv2Y/edit?usp=sharing"",""งบพรบ!CR16"")"),147120)</f>
        <v>147120</v>
      </c>
      <c r="M16" s="179">
        <f t="shared" ca="1" si="22"/>
        <v>750.99540581929557</v>
      </c>
      <c r="N16" s="179">
        <f t="shared" ca="1" si="23"/>
        <v>98.322528904631426</v>
      </c>
      <c r="O16" s="180">
        <f ca="1">IFERROR(__xludf.DUMMYFUNCTION("IMPORTRANGE(""https://docs.google.com/spreadsheets/d/1-uDff_7J0KD5mKrp0Vvzr7lt3OU09vwQwhkpOPPYv2Y/edit?usp=sharing"",""งบพรบ!CS16"")"),0)</f>
        <v>0</v>
      </c>
      <c r="P16" s="180">
        <f t="shared" ca="1" si="24"/>
        <v>0</v>
      </c>
      <c r="Q16" s="179">
        <f t="shared" ca="1" si="25"/>
        <v>0</v>
      </c>
      <c r="R16" s="92">
        <f ca="1">IFERROR(__xludf.DUMMYFUNCTION("IMPORTRANGE(""https://docs.google.com/spreadsheets/d/1rEDxBtusbi64tE0zunoIbsTVV16HeL0oJ6trHQeQ7K8/edit?usp=sharing"",""เชียงใหม่!I183"")"),7)</f>
        <v>7</v>
      </c>
      <c r="S16" s="92">
        <f ca="1">IFERROR(__xludf.DUMMYFUNCTION("IMPORTRANGE(""https://docs.google.com/spreadsheets/d/1rEDxBtusbi64tE0zunoIbsTVV16HeL0oJ6trHQeQ7K8/edit?usp=sharing"",""เชียงใหม่!J183"")"),7)</f>
        <v>7</v>
      </c>
      <c r="T16" s="93">
        <f t="shared" ca="1" si="27"/>
        <v>100</v>
      </c>
      <c r="U16" s="258"/>
      <c r="V16" s="258"/>
      <c r="W16" s="259"/>
      <c r="X16" s="206"/>
      <c r="Y16" s="206"/>
      <c r="Z16" s="206"/>
    </row>
    <row r="17" spans="1:26" ht="24" customHeight="1" x14ac:dyDescent="0.3">
      <c r="A17" s="84">
        <v>4</v>
      </c>
      <c r="B17" s="85" t="s">
        <v>39</v>
      </c>
      <c r="C17" s="174">
        <f t="shared" ca="1" si="18"/>
        <v>19590</v>
      </c>
      <c r="D17" s="175">
        <f t="shared" ca="1" si="29"/>
        <v>19590</v>
      </c>
      <c r="E17" s="176">
        <f ca="1">IFERROR(__xludf.DUMMYFUNCTION("IMPORTRANGE(""https://docs.google.com/spreadsheets/d/1-uDff_7J0KD5mKrp0Vvzr7lt3OU09vwQwhkpOPPYv2Y/edit?usp=sharing"",""งบพรบ!CL17"")"),0)</f>
        <v>0</v>
      </c>
      <c r="F17" s="176">
        <f ca="1">IFERROR(__xludf.DUMMYFUNCTION("IMPORTRANGE(""https://docs.google.com/spreadsheets/d/1-uDff_7J0KD5mKrp0Vvzr7lt3OU09vwQwhkpOPPYv2Y/edit?usp=sharing"",""งบพรบ!CM17"")"),19590)</f>
        <v>19590</v>
      </c>
      <c r="G17" s="176">
        <f ca="1">IFERROR(__xludf.DUMMYFUNCTION("IMPORTRANGE(""https://docs.google.com/spreadsheets/d/1-uDff_7J0KD5mKrp0Vvzr7lt3OU09vwQwhkpOPPYv2Y/edit?usp=sharing"",""งบพรบ!CN17"")"),0)</f>
        <v>0</v>
      </c>
      <c r="H17" s="176">
        <f ca="1">IFERROR(__xludf.DUMMYFUNCTION("IMPORTRANGE(""https://docs.google.com/spreadsheets/d/1-uDff_7J0KD5mKrp0Vvzr7lt3OU09vwQwhkpOPPYv2Y/edit?usp=sharing"",""งบพรบ!CP17"")"),19590)</f>
        <v>19590</v>
      </c>
      <c r="I17" s="176">
        <f ca="1">IFERROR(__xludf.DUMMYFUNCTION("IMPORTRANGE(""https://docs.google.com/spreadsheets/d/1-uDff_7J0KD5mKrp0Vvzr7lt3OU09vwQwhkpOPPYv2Y/edit?usp=sharing"",""งบพรบ!CQ17"")"),0)</f>
        <v>0</v>
      </c>
      <c r="J17" s="176">
        <f t="shared" ca="1" si="20"/>
        <v>19590</v>
      </c>
      <c r="K17" s="181">
        <f t="shared" ca="1" si="21"/>
        <v>100</v>
      </c>
      <c r="L17" s="176">
        <f ca="1">IFERROR(__xludf.DUMMYFUNCTION("IMPORTRANGE(""https://docs.google.com/spreadsheets/d/1-uDff_7J0KD5mKrp0Vvzr7lt3OU09vwQwhkpOPPYv2Y/edit?usp=sharing"",""งบพรบ!CR17"")"),19590)</f>
        <v>19590</v>
      </c>
      <c r="M17" s="179">
        <f t="shared" ca="1" si="22"/>
        <v>100</v>
      </c>
      <c r="N17" s="179">
        <f t="shared" ca="1" si="23"/>
        <v>100</v>
      </c>
      <c r="O17" s="180">
        <f ca="1">IFERROR(__xludf.DUMMYFUNCTION("IMPORTRANGE(""https://docs.google.com/spreadsheets/d/1-uDff_7J0KD5mKrp0Vvzr7lt3OU09vwQwhkpOPPYv2Y/edit?usp=sharing"",""งบพรบ!CS17"")"),0)</f>
        <v>0</v>
      </c>
      <c r="P17" s="180">
        <f t="shared" ca="1" si="24"/>
        <v>0</v>
      </c>
      <c r="Q17" s="179">
        <f t="shared" ca="1" si="25"/>
        <v>0</v>
      </c>
      <c r="R17" s="92">
        <f ca="1">IFERROR(__xludf.DUMMYFUNCTION("IMPORTRANGE(""https://docs.google.com/spreadsheets/d/1W6MnUbDkMi6xHnHko_XkFDO9kkuL6Wqyc-6OCDFjW9I/edit?usp=sharing"",""ตาก!I183"")"),7)</f>
        <v>7</v>
      </c>
      <c r="S17" s="92">
        <f ca="1">IFERROR(__xludf.DUMMYFUNCTION("IMPORTRANGE(""https://docs.google.com/spreadsheets/d/1W6MnUbDkMi6xHnHko_XkFDO9kkuL6Wqyc-6OCDFjW9I/edit?usp=sharing"",""ตาก!J183"")"),7)</f>
        <v>7</v>
      </c>
      <c r="T17" s="93">
        <f t="shared" ca="1" si="27"/>
        <v>100</v>
      </c>
      <c r="U17" s="258"/>
      <c r="V17" s="258"/>
      <c r="W17" s="259"/>
      <c r="X17" s="206"/>
      <c r="Y17" s="206"/>
      <c r="Z17" s="206"/>
    </row>
    <row r="18" spans="1:26" ht="24" customHeight="1" x14ac:dyDescent="0.3">
      <c r="A18" s="84">
        <v>5</v>
      </c>
      <c r="B18" s="85" t="s">
        <v>40</v>
      </c>
      <c r="C18" s="174">
        <f t="shared" ca="1" si="18"/>
        <v>19590</v>
      </c>
      <c r="D18" s="175">
        <f t="shared" ca="1" si="29"/>
        <v>19590</v>
      </c>
      <c r="E18" s="176">
        <f ca="1">IFERROR(__xludf.DUMMYFUNCTION("IMPORTRANGE(""https://docs.google.com/spreadsheets/d/1-uDff_7J0KD5mKrp0Vvzr7lt3OU09vwQwhkpOPPYv2Y/edit?usp=sharing"",""งบพรบ!CL18"")"),0)</f>
        <v>0</v>
      </c>
      <c r="F18" s="176">
        <f ca="1">IFERROR(__xludf.DUMMYFUNCTION("IMPORTRANGE(""https://docs.google.com/spreadsheets/d/1-uDff_7J0KD5mKrp0Vvzr7lt3OU09vwQwhkpOPPYv2Y/edit?usp=sharing"",""งบพรบ!CM18"")"),19590)</f>
        <v>19590</v>
      </c>
      <c r="G18" s="176">
        <f ca="1">IFERROR(__xludf.DUMMYFUNCTION("IMPORTRANGE(""https://docs.google.com/spreadsheets/d/1-uDff_7J0KD5mKrp0Vvzr7lt3OU09vwQwhkpOPPYv2Y/edit?usp=sharing"",""งบพรบ!CN18"")"),0)</f>
        <v>0</v>
      </c>
      <c r="H18" s="176">
        <f ca="1">IFERROR(__xludf.DUMMYFUNCTION("IMPORTRANGE(""https://docs.google.com/spreadsheets/d/1-uDff_7J0KD5mKrp0Vvzr7lt3OU09vwQwhkpOPPYv2Y/edit?usp=sharing"",""งบพรบ!CP18"")"),19590)</f>
        <v>19590</v>
      </c>
      <c r="I18" s="176">
        <f ca="1">IFERROR(__xludf.DUMMYFUNCTION("IMPORTRANGE(""https://docs.google.com/spreadsheets/d/1-uDff_7J0KD5mKrp0Vvzr7lt3OU09vwQwhkpOPPYv2Y/edit?usp=sharing"",""งบพรบ!CQ18"")"),0)</f>
        <v>0</v>
      </c>
      <c r="J18" s="176">
        <f t="shared" ca="1" si="20"/>
        <v>19590</v>
      </c>
      <c r="K18" s="181">
        <f t="shared" ca="1" si="21"/>
        <v>100</v>
      </c>
      <c r="L18" s="176">
        <f ca="1">IFERROR(__xludf.DUMMYFUNCTION("IMPORTRANGE(""https://docs.google.com/spreadsheets/d/1-uDff_7J0KD5mKrp0Vvzr7lt3OU09vwQwhkpOPPYv2Y/edit?usp=sharing"",""งบพรบ!CR18"")"),19590)</f>
        <v>19590</v>
      </c>
      <c r="M18" s="179">
        <f t="shared" ca="1" si="22"/>
        <v>100</v>
      </c>
      <c r="N18" s="179">
        <f t="shared" ca="1" si="23"/>
        <v>100</v>
      </c>
      <c r="O18" s="180">
        <f ca="1">IFERROR(__xludf.DUMMYFUNCTION("IMPORTRANGE(""https://docs.google.com/spreadsheets/d/1-uDff_7J0KD5mKrp0Vvzr7lt3OU09vwQwhkpOPPYv2Y/edit?usp=sharing"",""งบพรบ!CS18"")"),0)</f>
        <v>0</v>
      </c>
      <c r="P18" s="180">
        <f t="shared" ca="1" si="24"/>
        <v>0</v>
      </c>
      <c r="Q18" s="179">
        <f t="shared" ca="1" si="25"/>
        <v>0</v>
      </c>
      <c r="R18" s="92">
        <f ca="1">IFERROR(__xludf.DUMMYFUNCTION("IMPORTRANGE(""https://docs.google.com/spreadsheets/d/1IQAWArduLkta9LpYo4a_ULsyqdta6-6aDDiwpUnQT6c/edit?usp=sharing"",""นครสวรรค์!I183"")"),7)</f>
        <v>7</v>
      </c>
      <c r="S18" s="92">
        <f ca="1">IFERROR(__xludf.DUMMYFUNCTION("IMPORTRANGE(""https://docs.google.com/spreadsheets/d/1IQAWArduLkta9LpYo4a_ULsyqdta6-6aDDiwpUnQT6c/edit?usp=sharing"",""นครสวรรค์!J183"")"),0)</f>
        <v>0</v>
      </c>
      <c r="T18" s="93">
        <f t="shared" ca="1" si="27"/>
        <v>0</v>
      </c>
      <c r="U18" s="258"/>
      <c r="V18" s="258"/>
      <c r="W18" s="259"/>
      <c r="X18" s="206"/>
      <c r="Y18" s="206"/>
      <c r="Z18" s="206"/>
    </row>
    <row r="19" spans="1:26" ht="24" customHeight="1" x14ac:dyDescent="0.3">
      <c r="A19" s="84">
        <v>6</v>
      </c>
      <c r="B19" s="85" t="s">
        <v>41</v>
      </c>
      <c r="C19" s="174">
        <f t="shared" ca="1" si="18"/>
        <v>19590</v>
      </c>
      <c r="D19" s="175">
        <f t="shared" ca="1" si="29"/>
        <v>19590</v>
      </c>
      <c r="E19" s="176">
        <f ca="1">IFERROR(__xludf.DUMMYFUNCTION("IMPORTRANGE(""https://docs.google.com/spreadsheets/d/1-uDff_7J0KD5mKrp0Vvzr7lt3OU09vwQwhkpOPPYv2Y/edit?usp=sharing"",""งบพรบ!CL19"")"),0)</f>
        <v>0</v>
      </c>
      <c r="F19" s="176">
        <f ca="1">IFERROR(__xludf.DUMMYFUNCTION("IMPORTRANGE(""https://docs.google.com/spreadsheets/d/1-uDff_7J0KD5mKrp0Vvzr7lt3OU09vwQwhkpOPPYv2Y/edit?usp=sharing"",""งบพรบ!CM19"")"),19590)</f>
        <v>19590</v>
      </c>
      <c r="G19" s="176">
        <f ca="1">IFERROR(__xludf.DUMMYFUNCTION("IMPORTRANGE(""https://docs.google.com/spreadsheets/d/1-uDff_7J0KD5mKrp0Vvzr7lt3OU09vwQwhkpOPPYv2Y/edit?usp=sharing"",""งบพรบ!CN19"")"),0)</f>
        <v>0</v>
      </c>
      <c r="H19" s="176">
        <f ca="1">IFERROR(__xludf.DUMMYFUNCTION("IMPORTRANGE(""https://docs.google.com/spreadsheets/d/1-uDff_7J0KD5mKrp0Vvzr7lt3OU09vwQwhkpOPPYv2Y/edit?usp=sharing"",""งบพรบ!CP19"")"),207985)</f>
        <v>207985</v>
      </c>
      <c r="I19" s="176">
        <f ca="1">IFERROR(__xludf.DUMMYFUNCTION("IMPORTRANGE(""https://docs.google.com/spreadsheets/d/1-uDff_7J0KD5mKrp0Vvzr7lt3OU09vwQwhkpOPPYv2Y/edit?usp=sharing"",""งบพรบ!CQ19"")"),0)</f>
        <v>0</v>
      </c>
      <c r="J19" s="176">
        <f t="shared" ca="1" si="20"/>
        <v>130125</v>
      </c>
      <c r="K19" s="181">
        <f t="shared" ca="1" si="21"/>
        <v>664.24196018376722</v>
      </c>
      <c r="L19" s="176">
        <f ca="1">IFERROR(__xludf.DUMMYFUNCTION("IMPORTRANGE(""https://docs.google.com/spreadsheets/d/1-uDff_7J0KD5mKrp0Vvzr7lt3OU09vwQwhkpOPPYv2Y/edit?usp=sharing"",""งบพรบ!CR19"")"),130125)</f>
        <v>130125</v>
      </c>
      <c r="M19" s="179">
        <f t="shared" ca="1" si="22"/>
        <v>664.24196018376722</v>
      </c>
      <c r="N19" s="179">
        <f t="shared" ca="1" si="23"/>
        <v>62.564608024617158</v>
      </c>
      <c r="O19" s="180">
        <f ca="1">IFERROR(__xludf.DUMMYFUNCTION("IMPORTRANGE(""https://docs.google.com/spreadsheets/d/1-uDff_7J0KD5mKrp0Vvzr7lt3OU09vwQwhkpOPPYv2Y/edit?usp=sharing"",""งบพรบ!CS19"")"),0)</f>
        <v>0</v>
      </c>
      <c r="P19" s="180">
        <f t="shared" ca="1" si="24"/>
        <v>0</v>
      </c>
      <c r="Q19" s="179">
        <f t="shared" ca="1" si="25"/>
        <v>0</v>
      </c>
      <c r="R19" s="92">
        <f ca="1">IFERROR(__xludf.DUMMYFUNCTION("IMPORTRANGE(""https://docs.google.com/spreadsheets/d/10s13Sk5xrltsiR-Zkbmk5DwIaDIKO8XlbJAfqyT7Gvg/edit?usp=sharing"",""น่าน!I183"")"),7)</f>
        <v>7</v>
      </c>
      <c r="S19" s="92">
        <f ca="1">IFERROR(__xludf.DUMMYFUNCTION("IMPORTRANGE(""https://docs.google.com/spreadsheets/d/10s13Sk5xrltsiR-Zkbmk5DwIaDIKO8XlbJAfqyT7Gvg/edit?usp=sharing"",""น่าน!J183"")"),0)</f>
        <v>0</v>
      </c>
      <c r="T19" s="93">
        <f t="shared" ca="1" si="27"/>
        <v>0</v>
      </c>
      <c r="U19" s="258"/>
      <c r="V19" s="258"/>
      <c r="W19" s="259"/>
      <c r="X19" s="206"/>
      <c r="Y19" s="206"/>
      <c r="Z19" s="206"/>
    </row>
    <row r="20" spans="1:26" ht="24" customHeight="1" x14ac:dyDescent="0.3">
      <c r="A20" s="84">
        <v>7</v>
      </c>
      <c r="B20" s="85" t="s">
        <v>42</v>
      </c>
      <c r="C20" s="174">
        <f t="shared" ca="1" si="18"/>
        <v>19590</v>
      </c>
      <c r="D20" s="175">
        <f t="shared" ca="1" si="29"/>
        <v>19590</v>
      </c>
      <c r="E20" s="176">
        <f ca="1">IFERROR(__xludf.DUMMYFUNCTION("IMPORTRANGE(""https://docs.google.com/spreadsheets/d/1-uDff_7J0KD5mKrp0Vvzr7lt3OU09vwQwhkpOPPYv2Y/edit?usp=sharing"",""งบพรบ!CL20"")"),0)</f>
        <v>0</v>
      </c>
      <c r="F20" s="176">
        <f ca="1">IFERROR(__xludf.DUMMYFUNCTION("IMPORTRANGE(""https://docs.google.com/spreadsheets/d/1-uDff_7J0KD5mKrp0Vvzr7lt3OU09vwQwhkpOPPYv2Y/edit?usp=sharing"",""งบพรบ!CM20"")"),19590)</f>
        <v>19590</v>
      </c>
      <c r="G20" s="176">
        <f ca="1">IFERROR(__xludf.DUMMYFUNCTION("IMPORTRANGE(""https://docs.google.com/spreadsheets/d/1-uDff_7J0KD5mKrp0Vvzr7lt3OU09vwQwhkpOPPYv2Y/edit?usp=sharing"",""งบพรบ!CN20"")"),0)</f>
        <v>0</v>
      </c>
      <c r="H20" s="176">
        <f ca="1">IFERROR(__xludf.DUMMYFUNCTION("IMPORTRANGE(""https://docs.google.com/spreadsheets/d/1-uDff_7J0KD5mKrp0Vvzr7lt3OU09vwQwhkpOPPYv2Y/edit?usp=sharing"",""งบพรบ!CP20"")"),69590)</f>
        <v>69590</v>
      </c>
      <c r="I20" s="176">
        <f ca="1">IFERROR(__xludf.DUMMYFUNCTION("IMPORTRANGE(""https://docs.google.com/spreadsheets/d/1-uDff_7J0KD5mKrp0Vvzr7lt3OU09vwQwhkpOPPYv2Y/edit?usp=sharing"",""งบพรบ!CQ20"")"),0)</f>
        <v>0</v>
      </c>
      <c r="J20" s="176">
        <f t="shared" ca="1" si="20"/>
        <v>17105</v>
      </c>
      <c r="K20" s="181">
        <f t="shared" ca="1" si="21"/>
        <v>87.314956610515566</v>
      </c>
      <c r="L20" s="176">
        <f ca="1">IFERROR(__xludf.DUMMYFUNCTION("IMPORTRANGE(""https://docs.google.com/spreadsheets/d/1-uDff_7J0KD5mKrp0Vvzr7lt3OU09vwQwhkpOPPYv2Y/edit?usp=sharing"",""งบพรบ!CR20"")"),17105)</f>
        <v>17105</v>
      </c>
      <c r="M20" s="179">
        <f t="shared" ca="1" si="22"/>
        <v>87.314956610515566</v>
      </c>
      <c r="N20" s="179">
        <f t="shared" ca="1" si="23"/>
        <v>24.579680988647794</v>
      </c>
      <c r="O20" s="180">
        <f ca="1">IFERROR(__xludf.DUMMYFUNCTION("IMPORTRANGE(""https://docs.google.com/spreadsheets/d/1-uDff_7J0KD5mKrp0Vvzr7lt3OU09vwQwhkpOPPYv2Y/edit?usp=sharing"",""งบพรบ!CS20"")"),0)</f>
        <v>0</v>
      </c>
      <c r="P20" s="180">
        <f t="shared" ca="1" si="24"/>
        <v>0</v>
      </c>
      <c r="Q20" s="179">
        <f t="shared" ca="1" si="25"/>
        <v>0</v>
      </c>
      <c r="R20" s="92">
        <f ca="1">IFERROR(__xludf.DUMMYFUNCTION("IMPORTRANGE(""https://docs.google.com/spreadsheets/d/1uu4nAn4Dbi1XREnLKKotUANlKXa7yCgRcgq8HEzQYW8/edit?usp=sharing"",""พะเยา!I183"")"),7)</f>
        <v>7</v>
      </c>
      <c r="S20" s="92">
        <f ca="1">IFERROR(__xludf.DUMMYFUNCTION("IMPORTRANGE(""https://docs.google.com/spreadsheets/d/1uu4nAn4Dbi1XREnLKKotUANlKXa7yCgRcgq8HEzQYW8/edit?usp=sharing"",""พะเยา!J183"")"),7)</f>
        <v>7</v>
      </c>
      <c r="T20" s="93">
        <f t="shared" ca="1" si="27"/>
        <v>100</v>
      </c>
      <c r="U20" s="258"/>
      <c r="V20" s="258"/>
      <c r="W20" s="259"/>
      <c r="X20" s="206"/>
      <c r="Y20" s="206"/>
      <c r="Z20" s="206"/>
    </row>
    <row r="21" spans="1:26" ht="24" customHeight="1" x14ac:dyDescent="0.3">
      <c r="A21" s="84">
        <v>8</v>
      </c>
      <c r="B21" s="85" t="s">
        <v>43</v>
      </c>
      <c r="C21" s="174">
        <f t="shared" ca="1" si="18"/>
        <v>19590</v>
      </c>
      <c r="D21" s="175">
        <f t="shared" ca="1" si="29"/>
        <v>19590</v>
      </c>
      <c r="E21" s="176">
        <f ca="1">IFERROR(__xludf.DUMMYFUNCTION("IMPORTRANGE(""https://docs.google.com/spreadsheets/d/1-uDff_7J0KD5mKrp0Vvzr7lt3OU09vwQwhkpOPPYv2Y/edit?usp=sharing"",""งบพรบ!CL21"")"),0)</f>
        <v>0</v>
      </c>
      <c r="F21" s="176">
        <f ca="1">IFERROR(__xludf.DUMMYFUNCTION("IMPORTRANGE(""https://docs.google.com/spreadsheets/d/1-uDff_7J0KD5mKrp0Vvzr7lt3OU09vwQwhkpOPPYv2Y/edit?usp=sharing"",""งบพรบ!CM21"")"),19590)</f>
        <v>19590</v>
      </c>
      <c r="G21" s="176">
        <f ca="1">IFERROR(__xludf.DUMMYFUNCTION("IMPORTRANGE(""https://docs.google.com/spreadsheets/d/1-uDff_7J0KD5mKrp0Vvzr7lt3OU09vwQwhkpOPPYv2Y/edit?usp=sharing"",""งบพรบ!CN21"")"),0)</f>
        <v>0</v>
      </c>
      <c r="H21" s="176">
        <f ca="1">IFERROR(__xludf.DUMMYFUNCTION("IMPORTRANGE(""https://docs.google.com/spreadsheets/d/1-uDff_7J0KD5mKrp0Vvzr7lt3OU09vwQwhkpOPPYv2Y/edit?usp=sharing"",""งบพรบ!CP21"")"),128065)</f>
        <v>128065</v>
      </c>
      <c r="I21" s="176">
        <f ca="1">IFERROR(__xludf.DUMMYFUNCTION("IMPORTRANGE(""https://docs.google.com/spreadsheets/d/1-uDff_7J0KD5mKrp0Vvzr7lt3OU09vwQwhkpOPPYv2Y/edit?usp=sharing"",""งบพรบ!CQ21"")"),0)</f>
        <v>0</v>
      </c>
      <c r="J21" s="176">
        <f t="shared" ca="1" si="20"/>
        <v>108475</v>
      </c>
      <c r="K21" s="181">
        <f t="shared" ca="1" si="21"/>
        <v>553.72639101582445</v>
      </c>
      <c r="L21" s="176">
        <f ca="1">IFERROR(__xludf.DUMMYFUNCTION("IMPORTRANGE(""https://docs.google.com/spreadsheets/d/1-uDff_7J0KD5mKrp0Vvzr7lt3OU09vwQwhkpOPPYv2Y/edit?usp=sharing"",""งบพรบ!CR21"")"),108475)</f>
        <v>108475</v>
      </c>
      <c r="M21" s="179">
        <f t="shared" ca="1" si="22"/>
        <v>553.72639101582445</v>
      </c>
      <c r="N21" s="179">
        <f t="shared" ca="1" si="23"/>
        <v>84.703080466950382</v>
      </c>
      <c r="O21" s="180">
        <f ca="1">IFERROR(__xludf.DUMMYFUNCTION("IMPORTRANGE(""https://docs.google.com/spreadsheets/d/1-uDff_7J0KD5mKrp0Vvzr7lt3OU09vwQwhkpOPPYv2Y/edit?usp=sharing"",""งบพรบ!CS21"")"),0)</f>
        <v>0</v>
      </c>
      <c r="P21" s="180">
        <f t="shared" ca="1" si="24"/>
        <v>0</v>
      </c>
      <c r="Q21" s="179">
        <f t="shared" ca="1" si="25"/>
        <v>0</v>
      </c>
      <c r="R21" s="92">
        <f ca="1">IFERROR(__xludf.DUMMYFUNCTION("IMPORTRANGE(""https://docs.google.com/spreadsheets/d/1xfJKIQxVOaPDIICqsflNlLu3JacTDk1FP9RH4phX7mI/edit?usp=sharing"",""พิจิตร!I183"")"),7)</f>
        <v>7</v>
      </c>
      <c r="S21" s="92">
        <f ca="1">IFERROR(__xludf.DUMMYFUNCTION("IMPORTRANGE(""https://docs.google.com/spreadsheets/d/1xfJKIQxVOaPDIICqsflNlLu3JacTDk1FP9RH4phX7mI/edit?usp=sharing"",""พิจิตร!J183"")"),0)</f>
        <v>0</v>
      </c>
      <c r="T21" s="93">
        <f t="shared" ca="1" si="27"/>
        <v>0</v>
      </c>
      <c r="U21" s="258"/>
      <c r="V21" s="258"/>
      <c r="W21" s="259"/>
      <c r="X21" s="206"/>
      <c r="Y21" s="206"/>
      <c r="Z21" s="206"/>
    </row>
    <row r="22" spans="1:26" ht="24" customHeight="1" x14ac:dyDescent="0.3">
      <c r="A22" s="84">
        <v>9</v>
      </c>
      <c r="B22" s="85" t="s">
        <v>44</v>
      </c>
      <c r="C22" s="174">
        <f t="shared" ca="1" si="18"/>
        <v>19590</v>
      </c>
      <c r="D22" s="175">
        <f t="shared" ca="1" si="29"/>
        <v>19590</v>
      </c>
      <c r="E22" s="176">
        <f ca="1">IFERROR(__xludf.DUMMYFUNCTION("IMPORTRANGE(""https://docs.google.com/spreadsheets/d/1-uDff_7J0KD5mKrp0Vvzr7lt3OU09vwQwhkpOPPYv2Y/edit?usp=sharing"",""งบพรบ!CL22"")"),0)</f>
        <v>0</v>
      </c>
      <c r="F22" s="176">
        <f ca="1">IFERROR(__xludf.DUMMYFUNCTION("IMPORTRANGE(""https://docs.google.com/spreadsheets/d/1-uDff_7J0KD5mKrp0Vvzr7lt3OU09vwQwhkpOPPYv2Y/edit?usp=sharing"",""งบพรบ!CM22"")"),19590)</f>
        <v>19590</v>
      </c>
      <c r="G22" s="176">
        <f ca="1">IFERROR(__xludf.DUMMYFUNCTION("IMPORTRANGE(""https://docs.google.com/spreadsheets/d/1-uDff_7J0KD5mKrp0Vvzr7lt3OU09vwQwhkpOPPYv2Y/edit?usp=sharing"",""งบพรบ!CN22"")"),0)</f>
        <v>0</v>
      </c>
      <c r="H22" s="176">
        <f ca="1">IFERROR(__xludf.DUMMYFUNCTION("IMPORTRANGE(""https://docs.google.com/spreadsheets/d/1-uDff_7J0KD5mKrp0Vvzr7lt3OU09vwQwhkpOPPYv2Y/edit?usp=sharing"",""งบพรบ!CP22"")"),19590)</f>
        <v>19590</v>
      </c>
      <c r="I22" s="176">
        <f ca="1">IFERROR(__xludf.DUMMYFUNCTION("IMPORTRANGE(""https://docs.google.com/spreadsheets/d/1-uDff_7J0KD5mKrp0Vvzr7lt3OU09vwQwhkpOPPYv2Y/edit?usp=sharing"",""งบพรบ!CQ22"")"),0)</f>
        <v>0</v>
      </c>
      <c r="J22" s="176">
        <f t="shared" ca="1" si="20"/>
        <v>0</v>
      </c>
      <c r="K22" s="181">
        <f t="shared" ca="1" si="21"/>
        <v>0</v>
      </c>
      <c r="L22" s="176">
        <f ca="1">IFERROR(__xludf.DUMMYFUNCTION("IMPORTRANGE(""https://docs.google.com/spreadsheets/d/1-uDff_7J0KD5mKrp0Vvzr7lt3OU09vwQwhkpOPPYv2Y/edit?usp=sharing"",""งบพรบ!CR22"")"),0)</f>
        <v>0</v>
      </c>
      <c r="M22" s="179">
        <f t="shared" ca="1" si="22"/>
        <v>0</v>
      </c>
      <c r="N22" s="179">
        <f t="shared" ca="1" si="23"/>
        <v>0</v>
      </c>
      <c r="O22" s="180">
        <f ca="1">IFERROR(__xludf.DUMMYFUNCTION("IMPORTRANGE(""https://docs.google.com/spreadsheets/d/1-uDff_7J0KD5mKrp0Vvzr7lt3OU09vwQwhkpOPPYv2Y/edit?usp=sharing"",""งบพรบ!CS22"")"),0)</f>
        <v>0</v>
      </c>
      <c r="P22" s="180">
        <f t="shared" ca="1" si="24"/>
        <v>0</v>
      </c>
      <c r="Q22" s="179">
        <f t="shared" ca="1" si="25"/>
        <v>0</v>
      </c>
      <c r="R22" s="92">
        <f ca="1">IFERROR(__xludf.DUMMYFUNCTION("IMPORTRANGE(""https://docs.google.com/spreadsheets/d/1JtRfZkJMHtEhI5RdRHxYUG4FIZHqKDpNyIuN7A1Q0_k/edit?usp=sharing"",""พิษณุโลก!I183"")"),7)</f>
        <v>7</v>
      </c>
      <c r="S22" s="92">
        <f ca="1">IFERROR(__xludf.DUMMYFUNCTION("IMPORTRANGE(""https://docs.google.com/spreadsheets/d/1JtRfZkJMHtEhI5RdRHxYUG4FIZHqKDpNyIuN7A1Q0_k/edit?usp=sharing"",""พิษณุโลก!J183"")"),0)</f>
        <v>0</v>
      </c>
      <c r="T22" s="93">
        <f t="shared" ca="1" si="27"/>
        <v>0</v>
      </c>
      <c r="U22" s="258"/>
      <c r="V22" s="258"/>
      <c r="W22" s="259"/>
      <c r="X22" s="206"/>
      <c r="Y22" s="206"/>
      <c r="Z22" s="206"/>
    </row>
    <row r="23" spans="1:26" ht="24" customHeight="1" x14ac:dyDescent="0.3">
      <c r="A23" s="84">
        <v>10</v>
      </c>
      <c r="B23" s="85" t="s">
        <v>45</v>
      </c>
      <c r="C23" s="174">
        <f t="shared" ca="1" si="18"/>
        <v>19590</v>
      </c>
      <c r="D23" s="175">
        <f t="shared" ca="1" si="29"/>
        <v>19590</v>
      </c>
      <c r="E23" s="176">
        <f ca="1">IFERROR(__xludf.DUMMYFUNCTION("IMPORTRANGE(""https://docs.google.com/spreadsheets/d/1-uDff_7J0KD5mKrp0Vvzr7lt3OU09vwQwhkpOPPYv2Y/edit?usp=sharing"",""งบพรบ!CL23"")"),0)</f>
        <v>0</v>
      </c>
      <c r="F23" s="176">
        <f ca="1">IFERROR(__xludf.DUMMYFUNCTION("IMPORTRANGE(""https://docs.google.com/spreadsheets/d/1-uDff_7J0KD5mKrp0Vvzr7lt3OU09vwQwhkpOPPYv2Y/edit?usp=sharing"",""งบพรบ!CM23"")"),19590)</f>
        <v>19590</v>
      </c>
      <c r="G23" s="176">
        <f ca="1">IFERROR(__xludf.DUMMYFUNCTION("IMPORTRANGE(""https://docs.google.com/spreadsheets/d/1-uDff_7J0KD5mKrp0Vvzr7lt3OU09vwQwhkpOPPYv2Y/edit?usp=sharing"",""งบพรบ!CN23"")"),0)</f>
        <v>0</v>
      </c>
      <c r="H23" s="176">
        <f ca="1">IFERROR(__xludf.DUMMYFUNCTION("IMPORTRANGE(""https://docs.google.com/spreadsheets/d/1-uDff_7J0KD5mKrp0Vvzr7lt3OU09vwQwhkpOPPYv2Y/edit?usp=sharing"",""งบพรบ!CP23"")"),111890)</f>
        <v>111890</v>
      </c>
      <c r="I23" s="176">
        <f ca="1">IFERROR(__xludf.DUMMYFUNCTION("IMPORTRANGE(""https://docs.google.com/spreadsheets/d/1-uDff_7J0KD5mKrp0Vvzr7lt3OU09vwQwhkpOPPYv2Y/edit?usp=sharing"",""งบพรบ!CQ23"")"),0)</f>
        <v>0</v>
      </c>
      <c r="J23" s="176">
        <f t="shared" ca="1" si="20"/>
        <v>62360</v>
      </c>
      <c r="K23" s="181">
        <f t="shared" ca="1" si="21"/>
        <v>318.3256763654926</v>
      </c>
      <c r="L23" s="176">
        <f ca="1">IFERROR(__xludf.DUMMYFUNCTION("IMPORTRANGE(""https://docs.google.com/spreadsheets/d/1-uDff_7J0KD5mKrp0Vvzr7lt3OU09vwQwhkpOPPYv2Y/edit?usp=sharing"",""งบพรบ!CR23"")"),62360)</f>
        <v>62360</v>
      </c>
      <c r="M23" s="179">
        <f t="shared" ca="1" si="22"/>
        <v>318.3256763654926</v>
      </c>
      <c r="N23" s="179">
        <f t="shared" ca="1" si="23"/>
        <v>55.733309500402179</v>
      </c>
      <c r="O23" s="180">
        <f ca="1">IFERROR(__xludf.DUMMYFUNCTION("IMPORTRANGE(""https://docs.google.com/spreadsheets/d/1-uDff_7J0KD5mKrp0Vvzr7lt3OU09vwQwhkpOPPYv2Y/edit?usp=sharing"",""งบพรบ!CS23"")"),0)</f>
        <v>0</v>
      </c>
      <c r="P23" s="180">
        <f t="shared" ca="1" si="24"/>
        <v>0</v>
      </c>
      <c r="Q23" s="179">
        <f t="shared" ca="1" si="25"/>
        <v>0</v>
      </c>
      <c r="R23" s="92">
        <f ca="1">IFERROR(__xludf.DUMMYFUNCTION("IMPORTRANGE(""https://docs.google.com/spreadsheets/d/1xlcVZWUNn6SuWm0c307h32SiGkd9BaeQWlAktfD3KO8/edit?usp=sharing"",""เพชรบูรณ์!I183"")"),7)</f>
        <v>7</v>
      </c>
      <c r="S23" s="92">
        <f ca="1">IFERROR(__xludf.DUMMYFUNCTION("IMPORTRANGE(""https://docs.google.com/spreadsheets/d/1xlcVZWUNn6SuWm0c307h32SiGkd9BaeQWlAktfD3KO8/edit?usp=sharing"",""เพชรบูรณ์!J183"")"),0)</f>
        <v>0</v>
      </c>
      <c r="T23" s="93">
        <f t="shared" ca="1" si="27"/>
        <v>0</v>
      </c>
      <c r="U23" s="258"/>
      <c r="V23" s="258"/>
      <c r="W23" s="259"/>
      <c r="X23" s="206"/>
      <c r="Y23" s="206"/>
      <c r="Z23" s="206"/>
    </row>
    <row r="24" spans="1:26" ht="24" customHeight="1" x14ac:dyDescent="0.3">
      <c r="A24" s="84">
        <v>11</v>
      </c>
      <c r="B24" s="85" t="s">
        <v>46</v>
      </c>
      <c r="C24" s="174">
        <f t="shared" ca="1" si="18"/>
        <v>19590</v>
      </c>
      <c r="D24" s="175">
        <f t="shared" ca="1" si="29"/>
        <v>19590</v>
      </c>
      <c r="E24" s="176">
        <f ca="1">IFERROR(__xludf.DUMMYFUNCTION("IMPORTRANGE(""https://docs.google.com/spreadsheets/d/1-uDff_7J0KD5mKrp0Vvzr7lt3OU09vwQwhkpOPPYv2Y/edit?usp=sharing"",""งบพรบ!CL24"")"),0)</f>
        <v>0</v>
      </c>
      <c r="F24" s="176">
        <f ca="1">IFERROR(__xludf.DUMMYFUNCTION("IMPORTRANGE(""https://docs.google.com/spreadsheets/d/1-uDff_7J0KD5mKrp0Vvzr7lt3OU09vwQwhkpOPPYv2Y/edit?usp=sharing"",""งบพรบ!CM24"")"),19590)</f>
        <v>19590</v>
      </c>
      <c r="G24" s="176">
        <f ca="1">IFERROR(__xludf.DUMMYFUNCTION("IMPORTRANGE(""https://docs.google.com/spreadsheets/d/1-uDff_7J0KD5mKrp0Vvzr7lt3OU09vwQwhkpOPPYv2Y/edit?usp=sharing"",""งบพรบ!CN24"")"),0)</f>
        <v>0</v>
      </c>
      <c r="H24" s="176">
        <f ca="1">IFERROR(__xludf.DUMMYFUNCTION("IMPORTRANGE(""https://docs.google.com/spreadsheets/d/1-uDff_7J0KD5mKrp0Vvzr7lt3OU09vwQwhkpOPPYv2Y/edit?usp=sharing"",""งบพรบ!CP24"")"),112290)</f>
        <v>112290</v>
      </c>
      <c r="I24" s="176">
        <f ca="1">IFERROR(__xludf.DUMMYFUNCTION("IMPORTRANGE(""https://docs.google.com/spreadsheets/d/1-uDff_7J0KD5mKrp0Vvzr7lt3OU09vwQwhkpOPPYv2Y/edit?usp=sharing"",""งบพรบ!CQ24"")"),0)</f>
        <v>0</v>
      </c>
      <c r="J24" s="176">
        <f t="shared" ca="1" si="20"/>
        <v>54920</v>
      </c>
      <c r="K24" s="181">
        <f t="shared" ca="1" si="21"/>
        <v>280.34711587544666</v>
      </c>
      <c r="L24" s="176">
        <f ca="1">IFERROR(__xludf.DUMMYFUNCTION("IMPORTRANGE(""https://docs.google.com/spreadsheets/d/1-uDff_7J0KD5mKrp0Vvzr7lt3OU09vwQwhkpOPPYv2Y/edit?usp=sharing"",""งบพรบ!CR24"")"),54920)</f>
        <v>54920</v>
      </c>
      <c r="M24" s="179">
        <f t="shared" ca="1" si="22"/>
        <v>280.34711587544666</v>
      </c>
      <c r="N24" s="179">
        <f t="shared" ca="1" si="23"/>
        <v>48.909074717249979</v>
      </c>
      <c r="O24" s="180">
        <f ca="1">IFERROR(__xludf.DUMMYFUNCTION("IMPORTRANGE(""https://docs.google.com/spreadsheets/d/1-uDff_7J0KD5mKrp0Vvzr7lt3OU09vwQwhkpOPPYv2Y/edit?usp=sharing"",""งบพรบ!CS24"")"),0)</f>
        <v>0</v>
      </c>
      <c r="P24" s="180">
        <f t="shared" ca="1" si="24"/>
        <v>0</v>
      </c>
      <c r="Q24" s="179">
        <f t="shared" ca="1" si="25"/>
        <v>0</v>
      </c>
      <c r="R24" s="92">
        <f ca="1">IFERROR(__xludf.DUMMYFUNCTION("IMPORTRANGE(""https://docs.google.com/spreadsheets/d/1lOVebEIsI9qjGXl6EX66luk7wiuP2tBaryw-wKvv4e0/edit?usp=sharing"",""แพร่!I183"")"),7)</f>
        <v>7</v>
      </c>
      <c r="S24" s="92">
        <f ca="1">IFERROR(__xludf.DUMMYFUNCTION("IMPORTRANGE(""https://docs.google.com/spreadsheets/d/1lOVebEIsI9qjGXl6EX66luk7wiuP2tBaryw-wKvv4e0/edit?usp=sharing"",""แพร่!J183"")"),0)</f>
        <v>0</v>
      </c>
      <c r="T24" s="93">
        <f t="shared" ca="1" si="27"/>
        <v>0</v>
      </c>
      <c r="U24" s="258"/>
      <c r="V24" s="258"/>
      <c r="W24" s="259"/>
      <c r="X24" s="206"/>
      <c r="Y24" s="206"/>
      <c r="Z24" s="206"/>
    </row>
    <row r="25" spans="1:26" ht="24" customHeight="1" x14ac:dyDescent="0.3">
      <c r="A25" s="84">
        <v>12</v>
      </c>
      <c r="B25" s="85" t="s">
        <v>47</v>
      </c>
      <c r="C25" s="174">
        <f t="shared" ca="1" si="18"/>
        <v>19590</v>
      </c>
      <c r="D25" s="175">
        <f t="shared" ca="1" si="29"/>
        <v>19590</v>
      </c>
      <c r="E25" s="176">
        <f ca="1">IFERROR(__xludf.DUMMYFUNCTION("IMPORTRANGE(""https://docs.google.com/spreadsheets/d/1-uDff_7J0KD5mKrp0Vvzr7lt3OU09vwQwhkpOPPYv2Y/edit?usp=sharing"",""งบพรบ!CL25"")"),0)</f>
        <v>0</v>
      </c>
      <c r="F25" s="176">
        <f ca="1">IFERROR(__xludf.DUMMYFUNCTION("IMPORTRANGE(""https://docs.google.com/spreadsheets/d/1-uDff_7J0KD5mKrp0Vvzr7lt3OU09vwQwhkpOPPYv2Y/edit?usp=sharing"",""งบพรบ!CM25"")"),19590)</f>
        <v>19590</v>
      </c>
      <c r="G25" s="176">
        <f ca="1">IFERROR(__xludf.DUMMYFUNCTION("IMPORTRANGE(""https://docs.google.com/spreadsheets/d/1-uDff_7J0KD5mKrp0Vvzr7lt3OU09vwQwhkpOPPYv2Y/edit?usp=sharing"",""งบพรบ!CN25"")"),0)</f>
        <v>0</v>
      </c>
      <c r="H25" s="176">
        <f ca="1">IFERROR(__xludf.DUMMYFUNCTION("IMPORTRANGE(""https://docs.google.com/spreadsheets/d/1-uDff_7J0KD5mKrp0Vvzr7lt3OU09vwQwhkpOPPYv2Y/edit?usp=sharing"",""งบพรบ!CP25"")"),19590)</f>
        <v>19590</v>
      </c>
      <c r="I25" s="176">
        <f ca="1">IFERROR(__xludf.DUMMYFUNCTION("IMPORTRANGE(""https://docs.google.com/spreadsheets/d/1-uDff_7J0KD5mKrp0Vvzr7lt3OU09vwQwhkpOPPYv2Y/edit?usp=sharing"",""งบพรบ!CQ25"")"),0)</f>
        <v>0</v>
      </c>
      <c r="J25" s="176">
        <f t="shared" ca="1" si="20"/>
        <v>17810</v>
      </c>
      <c r="K25" s="181">
        <f t="shared" ca="1" si="21"/>
        <v>90.913731495661054</v>
      </c>
      <c r="L25" s="176">
        <f ca="1">IFERROR(__xludf.DUMMYFUNCTION("IMPORTRANGE(""https://docs.google.com/spreadsheets/d/1-uDff_7J0KD5mKrp0Vvzr7lt3OU09vwQwhkpOPPYv2Y/edit?usp=sharing"",""งบพรบ!CR25"")"),17810)</f>
        <v>17810</v>
      </c>
      <c r="M25" s="179">
        <f t="shared" ca="1" si="22"/>
        <v>90.913731495661054</v>
      </c>
      <c r="N25" s="179">
        <f t="shared" ca="1" si="23"/>
        <v>90.913731495661054</v>
      </c>
      <c r="O25" s="180">
        <f ca="1">IFERROR(__xludf.DUMMYFUNCTION("IMPORTRANGE(""https://docs.google.com/spreadsheets/d/1-uDff_7J0KD5mKrp0Vvzr7lt3OU09vwQwhkpOPPYv2Y/edit?usp=sharing"",""งบพรบ!CS25"")"),0)</f>
        <v>0</v>
      </c>
      <c r="P25" s="180">
        <f t="shared" ca="1" si="24"/>
        <v>0</v>
      </c>
      <c r="Q25" s="179">
        <f t="shared" ca="1" si="25"/>
        <v>0</v>
      </c>
      <c r="R25" s="92">
        <f ca="1">IFERROR(__xludf.DUMMYFUNCTION("IMPORTRANGE(""https://docs.google.com/spreadsheets/d/1dQrvX0vEcN7Gu0fnZ0B5S90AeR19zth4XlExFBeExMY/edit?usp=sharing"",""แม่ฮ่องสอน!I183"")"),7)</f>
        <v>7</v>
      </c>
      <c r="S25" s="92">
        <f ca="1">IFERROR(__xludf.DUMMYFUNCTION("IMPORTRANGE(""https://docs.google.com/spreadsheets/d/1dQrvX0vEcN7Gu0fnZ0B5S90AeR19zth4XlExFBeExMY/edit?usp=sharing"",""แม่ฮ่องสอน!J183"")"),7)</f>
        <v>7</v>
      </c>
      <c r="T25" s="93">
        <f t="shared" ca="1" si="27"/>
        <v>100</v>
      </c>
      <c r="U25" s="258"/>
      <c r="V25" s="258"/>
      <c r="W25" s="259"/>
      <c r="X25" s="206"/>
      <c r="Y25" s="206"/>
      <c r="Z25" s="206"/>
    </row>
    <row r="26" spans="1:26" ht="24" customHeight="1" x14ac:dyDescent="0.3">
      <c r="A26" s="84">
        <v>13</v>
      </c>
      <c r="B26" s="85" t="s">
        <v>48</v>
      </c>
      <c r="C26" s="174">
        <f t="shared" ca="1" si="18"/>
        <v>19590</v>
      </c>
      <c r="D26" s="175">
        <f t="shared" ca="1" si="29"/>
        <v>19590</v>
      </c>
      <c r="E26" s="176">
        <f ca="1">IFERROR(__xludf.DUMMYFUNCTION("IMPORTRANGE(""https://docs.google.com/spreadsheets/d/1-uDff_7J0KD5mKrp0Vvzr7lt3OU09vwQwhkpOPPYv2Y/edit?usp=sharing"",""งบพรบ!CL26"")"),0)</f>
        <v>0</v>
      </c>
      <c r="F26" s="176">
        <f ca="1">IFERROR(__xludf.DUMMYFUNCTION("IMPORTRANGE(""https://docs.google.com/spreadsheets/d/1-uDff_7J0KD5mKrp0Vvzr7lt3OU09vwQwhkpOPPYv2Y/edit?usp=sharing"",""งบพรบ!CM26"")"),19590)</f>
        <v>19590</v>
      </c>
      <c r="G26" s="176">
        <f ca="1">IFERROR(__xludf.DUMMYFUNCTION("IMPORTRANGE(""https://docs.google.com/spreadsheets/d/1-uDff_7J0KD5mKrp0Vvzr7lt3OU09vwQwhkpOPPYv2Y/edit?usp=sharing"",""งบพรบ!CN26"")"),0)</f>
        <v>0</v>
      </c>
      <c r="H26" s="176">
        <f ca="1">IFERROR(__xludf.DUMMYFUNCTION("IMPORTRANGE(""https://docs.google.com/spreadsheets/d/1-uDff_7J0KD5mKrp0Vvzr7lt3OU09vwQwhkpOPPYv2Y/edit?usp=sharing"",""งบพรบ!CP26"")"),126810)</f>
        <v>126810</v>
      </c>
      <c r="I26" s="176">
        <f ca="1">IFERROR(__xludf.DUMMYFUNCTION("IMPORTRANGE(""https://docs.google.com/spreadsheets/d/1-uDff_7J0KD5mKrp0Vvzr7lt3OU09vwQwhkpOPPYv2Y/edit?usp=sharing"",""งบพรบ!CQ26"")"),0)</f>
        <v>0</v>
      </c>
      <c r="J26" s="176">
        <f t="shared" ca="1" si="20"/>
        <v>55520</v>
      </c>
      <c r="K26" s="181">
        <f t="shared" ca="1" si="21"/>
        <v>283.40990301174071</v>
      </c>
      <c r="L26" s="176">
        <f ca="1">IFERROR(__xludf.DUMMYFUNCTION("IMPORTRANGE(""https://docs.google.com/spreadsheets/d/1-uDff_7J0KD5mKrp0Vvzr7lt3OU09vwQwhkpOPPYv2Y/edit?usp=sharing"",""งบพรบ!CR26"")"),55520)</f>
        <v>55520</v>
      </c>
      <c r="M26" s="179">
        <f t="shared" ca="1" si="22"/>
        <v>283.40990301174071</v>
      </c>
      <c r="N26" s="179">
        <f t="shared" ca="1" si="23"/>
        <v>43.78203611702547</v>
      </c>
      <c r="O26" s="180">
        <f ca="1">IFERROR(__xludf.DUMMYFUNCTION("IMPORTRANGE(""https://docs.google.com/spreadsheets/d/1-uDff_7J0KD5mKrp0Vvzr7lt3OU09vwQwhkpOPPYv2Y/edit?usp=sharing"",""งบพรบ!CS26"")"),0)</f>
        <v>0</v>
      </c>
      <c r="P26" s="180">
        <f t="shared" ca="1" si="24"/>
        <v>0</v>
      </c>
      <c r="Q26" s="179">
        <f t="shared" ca="1" si="25"/>
        <v>0</v>
      </c>
      <c r="R26" s="92">
        <f ca="1">IFERROR(__xludf.DUMMYFUNCTION("IMPORTRANGE(""https://docs.google.com/spreadsheets/d/1DY4XTNNwjluuxqdfdn6qvOSlMRrZqUtmYcZR0ttFiG4/edit?usp=sharing"",""ลำปาง!I183"")"),7)</f>
        <v>7</v>
      </c>
      <c r="S26" s="92">
        <f ca="1">IFERROR(__xludf.DUMMYFUNCTION("IMPORTRANGE(""https://docs.google.com/spreadsheets/d/1DY4XTNNwjluuxqdfdn6qvOSlMRrZqUtmYcZR0ttFiG4/edit?usp=sharing"",""ลำปาง!J183"")"),0)</f>
        <v>0</v>
      </c>
      <c r="T26" s="93">
        <f t="shared" ca="1" si="27"/>
        <v>0</v>
      </c>
      <c r="U26" s="258"/>
      <c r="V26" s="258"/>
      <c r="W26" s="259"/>
      <c r="X26" s="206"/>
      <c r="Y26" s="206"/>
      <c r="Z26" s="206"/>
    </row>
    <row r="27" spans="1:26" ht="24" customHeight="1" x14ac:dyDescent="0.3">
      <c r="A27" s="84">
        <v>14</v>
      </c>
      <c r="B27" s="85" t="s">
        <v>49</v>
      </c>
      <c r="C27" s="174">
        <f t="shared" ca="1" si="18"/>
        <v>19590</v>
      </c>
      <c r="D27" s="175">
        <f t="shared" ca="1" si="29"/>
        <v>19590</v>
      </c>
      <c r="E27" s="176">
        <f ca="1">IFERROR(__xludf.DUMMYFUNCTION("IMPORTRANGE(""https://docs.google.com/spreadsheets/d/1-uDff_7J0KD5mKrp0Vvzr7lt3OU09vwQwhkpOPPYv2Y/edit?usp=sharing"",""งบพรบ!CL27"")"),0)</f>
        <v>0</v>
      </c>
      <c r="F27" s="176">
        <f ca="1">IFERROR(__xludf.DUMMYFUNCTION("IMPORTRANGE(""https://docs.google.com/spreadsheets/d/1-uDff_7J0KD5mKrp0Vvzr7lt3OU09vwQwhkpOPPYv2Y/edit?usp=sharing"",""งบพรบ!CM27"")"),19590)</f>
        <v>19590</v>
      </c>
      <c r="G27" s="176">
        <f ca="1">IFERROR(__xludf.DUMMYFUNCTION("IMPORTRANGE(""https://docs.google.com/spreadsheets/d/1-uDff_7J0KD5mKrp0Vvzr7lt3OU09vwQwhkpOPPYv2Y/edit?usp=sharing"",""งบพรบ!CN27"")"),0)</f>
        <v>0</v>
      </c>
      <c r="H27" s="176">
        <f ca="1">IFERROR(__xludf.DUMMYFUNCTION("IMPORTRANGE(""https://docs.google.com/spreadsheets/d/1-uDff_7J0KD5mKrp0Vvzr7lt3OU09vwQwhkpOPPYv2Y/edit?usp=sharing"",""งบพรบ!CP27"")"),114550)</f>
        <v>114550</v>
      </c>
      <c r="I27" s="176">
        <f ca="1">IFERROR(__xludf.DUMMYFUNCTION("IMPORTRANGE(""https://docs.google.com/spreadsheets/d/1-uDff_7J0KD5mKrp0Vvzr7lt3OU09vwQwhkpOPPYv2Y/edit?usp=sharing"",""งบพรบ!CQ27"")"),0)</f>
        <v>0</v>
      </c>
      <c r="J27" s="176">
        <f t="shared" ca="1" si="20"/>
        <v>68960</v>
      </c>
      <c r="K27" s="181">
        <f t="shared" ca="1" si="21"/>
        <v>352.0163348647269</v>
      </c>
      <c r="L27" s="176">
        <f ca="1">IFERROR(__xludf.DUMMYFUNCTION("IMPORTRANGE(""https://docs.google.com/spreadsheets/d/1-uDff_7J0KD5mKrp0Vvzr7lt3OU09vwQwhkpOPPYv2Y/edit?usp=sharing"",""งบพรบ!CR27"")"),68960)</f>
        <v>68960</v>
      </c>
      <c r="M27" s="179">
        <f t="shared" ca="1" si="22"/>
        <v>352.0163348647269</v>
      </c>
      <c r="N27" s="179">
        <f t="shared" ca="1" si="23"/>
        <v>60.20078568310781</v>
      </c>
      <c r="O27" s="180">
        <f ca="1">IFERROR(__xludf.DUMMYFUNCTION("IMPORTRANGE(""https://docs.google.com/spreadsheets/d/1-uDff_7J0KD5mKrp0Vvzr7lt3OU09vwQwhkpOPPYv2Y/edit?usp=sharing"",""งบพรบ!CS27"")"),0)</f>
        <v>0</v>
      </c>
      <c r="P27" s="180">
        <f t="shared" ca="1" si="24"/>
        <v>0</v>
      </c>
      <c r="Q27" s="179">
        <f t="shared" ca="1" si="25"/>
        <v>0</v>
      </c>
      <c r="R27" s="92">
        <f ca="1">IFERROR(__xludf.DUMMYFUNCTION("IMPORTRANGE(""https://docs.google.com/spreadsheets/d/1ICwG78r0OFT8biBlxnBF8r7she7gNSzOvJ958PWT09c/edit?usp=sharing"",""ลำพูน!I183"")"),7)</f>
        <v>7</v>
      </c>
      <c r="S27" s="92">
        <f ca="1">IFERROR(__xludf.DUMMYFUNCTION("IMPORTRANGE(""https://docs.google.com/spreadsheets/d/1ICwG78r0OFT8biBlxnBF8r7she7gNSzOvJ958PWT09c/edit?usp=sharing"",""ลำพูน!J183"")"),0)</f>
        <v>0</v>
      </c>
      <c r="T27" s="93">
        <f t="shared" ca="1" si="27"/>
        <v>0</v>
      </c>
      <c r="U27" s="258"/>
      <c r="V27" s="258"/>
      <c r="W27" s="259"/>
      <c r="X27" s="206"/>
      <c r="Y27" s="206"/>
      <c r="Z27" s="206"/>
    </row>
    <row r="28" spans="1:26" ht="24" customHeight="1" x14ac:dyDescent="0.3">
      <c r="A28" s="84">
        <v>15</v>
      </c>
      <c r="B28" s="85" t="s">
        <v>50</v>
      </c>
      <c r="C28" s="174">
        <f t="shared" ca="1" si="18"/>
        <v>19590</v>
      </c>
      <c r="D28" s="175">
        <f t="shared" ca="1" si="29"/>
        <v>19590</v>
      </c>
      <c r="E28" s="176">
        <f ca="1">IFERROR(__xludf.DUMMYFUNCTION("IMPORTRANGE(""https://docs.google.com/spreadsheets/d/1-uDff_7J0KD5mKrp0Vvzr7lt3OU09vwQwhkpOPPYv2Y/edit?usp=sharing"",""งบพรบ!CL28"")"),0)</f>
        <v>0</v>
      </c>
      <c r="F28" s="176">
        <f ca="1">IFERROR(__xludf.DUMMYFUNCTION("IMPORTRANGE(""https://docs.google.com/spreadsheets/d/1-uDff_7J0KD5mKrp0Vvzr7lt3OU09vwQwhkpOPPYv2Y/edit?usp=sharing"",""งบพรบ!CM28"")"),19590)</f>
        <v>19590</v>
      </c>
      <c r="G28" s="176">
        <f ca="1">IFERROR(__xludf.DUMMYFUNCTION("IMPORTRANGE(""https://docs.google.com/spreadsheets/d/1-uDff_7J0KD5mKrp0Vvzr7lt3OU09vwQwhkpOPPYv2Y/edit?usp=sharing"",""งบพรบ!CN28"")"),0)</f>
        <v>0</v>
      </c>
      <c r="H28" s="176">
        <f ca="1">IFERROR(__xludf.DUMMYFUNCTION("IMPORTRANGE(""https://docs.google.com/spreadsheets/d/1-uDff_7J0KD5mKrp0Vvzr7lt3OU09vwQwhkpOPPYv2Y/edit?usp=sharing"",""งบพรบ!CP28"")"),221430)</f>
        <v>221430</v>
      </c>
      <c r="I28" s="176">
        <f ca="1">IFERROR(__xludf.DUMMYFUNCTION("IMPORTRANGE(""https://docs.google.com/spreadsheets/d/1-uDff_7J0KD5mKrp0Vvzr7lt3OU09vwQwhkpOPPYv2Y/edit?usp=sharing"",""งบพรบ!CQ28"")"),0)</f>
        <v>0</v>
      </c>
      <c r="J28" s="176">
        <f t="shared" ca="1" si="20"/>
        <v>141840</v>
      </c>
      <c r="K28" s="181">
        <f t="shared" ca="1" si="21"/>
        <v>724.04287901990813</v>
      </c>
      <c r="L28" s="176">
        <f ca="1">IFERROR(__xludf.DUMMYFUNCTION("IMPORTRANGE(""https://docs.google.com/spreadsheets/d/1-uDff_7J0KD5mKrp0Vvzr7lt3OU09vwQwhkpOPPYv2Y/edit?usp=sharing"",""งบพรบ!CR28"")"),141840)</f>
        <v>141840</v>
      </c>
      <c r="M28" s="179">
        <f t="shared" ca="1" si="22"/>
        <v>724.04287901990813</v>
      </c>
      <c r="N28" s="179">
        <f t="shared" ca="1" si="23"/>
        <v>64.056360926703704</v>
      </c>
      <c r="O28" s="180">
        <f ca="1">IFERROR(__xludf.DUMMYFUNCTION("IMPORTRANGE(""https://docs.google.com/spreadsheets/d/1-uDff_7J0KD5mKrp0Vvzr7lt3OU09vwQwhkpOPPYv2Y/edit?usp=sharing"",""งบพรบ!CS28"")"),0)</f>
        <v>0</v>
      </c>
      <c r="P28" s="180">
        <f t="shared" ca="1" si="24"/>
        <v>0</v>
      </c>
      <c r="Q28" s="179">
        <f t="shared" ca="1" si="25"/>
        <v>0</v>
      </c>
      <c r="R28" s="92">
        <f ca="1">IFERROR(__xludf.DUMMYFUNCTION("IMPORTRANGE(""https://docs.google.com/spreadsheets/d/1B0f2xJpZUC6Z0xXnqKlZtEPzsf6L84eP1r1Q15seqRM/edit?usp=sharing"",""สุโขทัย!I183"")"),7)</f>
        <v>7</v>
      </c>
      <c r="S28" s="92">
        <f ca="1">IFERROR(__xludf.DUMMYFUNCTION("IMPORTRANGE(""https://docs.google.com/spreadsheets/d/1B0f2xJpZUC6Z0xXnqKlZtEPzsf6L84eP1r1Q15seqRM/edit?usp=sharing"",""สุโขทัย!J183"")"),0)</f>
        <v>0</v>
      </c>
      <c r="T28" s="93">
        <f t="shared" ca="1" si="27"/>
        <v>0</v>
      </c>
      <c r="U28" s="258"/>
      <c r="V28" s="258"/>
      <c r="W28" s="259"/>
      <c r="X28" s="206"/>
      <c r="Y28" s="206"/>
      <c r="Z28" s="206"/>
    </row>
    <row r="29" spans="1:26" ht="24" customHeight="1" x14ac:dyDescent="0.3">
      <c r="A29" s="84">
        <v>16</v>
      </c>
      <c r="B29" s="85" t="s">
        <v>51</v>
      </c>
      <c r="C29" s="174">
        <f t="shared" ca="1" si="18"/>
        <v>19590</v>
      </c>
      <c r="D29" s="175">
        <f t="shared" ca="1" si="29"/>
        <v>19590</v>
      </c>
      <c r="E29" s="176">
        <f ca="1">IFERROR(__xludf.DUMMYFUNCTION("IMPORTRANGE(""https://docs.google.com/spreadsheets/d/1-uDff_7J0KD5mKrp0Vvzr7lt3OU09vwQwhkpOPPYv2Y/edit?usp=sharing"",""งบพรบ!CL29"")"),0)</f>
        <v>0</v>
      </c>
      <c r="F29" s="176">
        <f ca="1">IFERROR(__xludf.DUMMYFUNCTION("IMPORTRANGE(""https://docs.google.com/spreadsheets/d/1-uDff_7J0KD5mKrp0Vvzr7lt3OU09vwQwhkpOPPYv2Y/edit?usp=sharing"",""งบพรบ!CM29"")"),19590)</f>
        <v>19590</v>
      </c>
      <c r="G29" s="176">
        <f ca="1">IFERROR(__xludf.DUMMYFUNCTION("IMPORTRANGE(""https://docs.google.com/spreadsheets/d/1-uDff_7J0KD5mKrp0Vvzr7lt3OU09vwQwhkpOPPYv2Y/edit?usp=sharing"",""งบพรบ!CN29"")"),0)</f>
        <v>0</v>
      </c>
      <c r="H29" s="176">
        <f ca="1">IFERROR(__xludf.DUMMYFUNCTION("IMPORTRANGE(""https://docs.google.com/spreadsheets/d/1-uDff_7J0KD5mKrp0Vvzr7lt3OU09vwQwhkpOPPYv2Y/edit?usp=sharing"",""งบพรบ!CP29"")"),70460)</f>
        <v>70460</v>
      </c>
      <c r="I29" s="176">
        <f ca="1">IFERROR(__xludf.DUMMYFUNCTION("IMPORTRANGE(""https://docs.google.com/spreadsheets/d/1-uDff_7J0KD5mKrp0Vvzr7lt3OU09vwQwhkpOPPYv2Y/edit?usp=sharing"",""งบพรบ!CQ29"")"),0)</f>
        <v>0</v>
      </c>
      <c r="J29" s="176">
        <f t="shared" ca="1" si="20"/>
        <v>13140</v>
      </c>
      <c r="K29" s="181">
        <f t="shared" ca="1" si="21"/>
        <v>67.075038284839209</v>
      </c>
      <c r="L29" s="176">
        <f ca="1">IFERROR(__xludf.DUMMYFUNCTION("IMPORTRANGE(""https://docs.google.com/spreadsheets/d/1-uDff_7J0KD5mKrp0Vvzr7lt3OU09vwQwhkpOPPYv2Y/edit?usp=sharing"",""งบพรบ!CR29"")"),13140)</f>
        <v>13140</v>
      </c>
      <c r="M29" s="179">
        <f t="shared" ca="1" si="22"/>
        <v>67.075038284839209</v>
      </c>
      <c r="N29" s="179">
        <f t="shared" ca="1" si="23"/>
        <v>18.648878796480272</v>
      </c>
      <c r="O29" s="180">
        <f ca="1">IFERROR(__xludf.DUMMYFUNCTION("IMPORTRANGE(""https://docs.google.com/spreadsheets/d/1-uDff_7J0KD5mKrp0Vvzr7lt3OU09vwQwhkpOPPYv2Y/edit?usp=sharing"",""งบพรบ!CS29"")"),0)</f>
        <v>0</v>
      </c>
      <c r="P29" s="180">
        <f t="shared" ca="1" si="24"/>
        <v>0</v>
      </c>
      <c r="Q29" s="179">
        <f t="shared" ca="1" si="25"/>
        <v>0</v>
      </c>
      <c r="R29" s="92">
        <f ca="1">IFERROR(__xludf.DUMMYFUNCTION("IMPORTRANGE(""https://docs.google.com/spreadsheets/d/1v0b9pFQCsKUVExMei7AgY2yQkdeNQvtOssygGsXbiKo/edit?usp=sharing"",""อุตรดิตถ์!I183"")"),7)</f>
        <v>7</v>
      </c>
      <c r="S29" s="92">
        <f ca="1">IFERROR(__xludf.DUMMYFUNCTION("IMPORTRANGE(""https://docs.google.com/spreadsheets/d/1v0b9pFQCsKUVExMei7AgY2yQkdeNQvtOssygGsXbiKo/edit?usp=sharing"",""อุตรดิตถ์!J183"")"),0)</f>
        <v>0</v>
      </c>
      <c r="T29" s="93">
        <f t="shared" ca="1" si="27"/>
        <v>0</v>
      </c>
      <c r="U29" s="258"/>
      <c r="V29" s="258"/>
      <c r="W29" s="259"/>
      <c r="X29" s="206"/>
      <c r="Y29" s="206"/>
      <c r="Z29" s="206"/>
    </row>
    <row r="30" spans="1:26" ht="24" customHeight="1" x14ac:dyDescent="0.3">
      <c r="A30" s="95">
        <v>17</v>
      </c>
      <c r="B30" s="96" t="s">
        <v>52</v>
      </c>
      <c r="C30" s="184">
        <f t="shared" ca="1" si="18"/>
        <v>19590</v>
      </c>
      <c r="D30" s="185">
        <f t="shared" ca="1" si="29"/>
        <v>19590</v>
      </c>
      <c r="E30" s="186">
        <f ca="1">IFERROR(__xludf.DUMMYFUNCTION("IMPORTRANGE(""https://docs.google.com/spreadsheets/d/1-uDff_7J0KD5mKrp0Vvzr7lt3OU09vwQwhkpOPPYv2Y/edit?usp=sharing"",""งบพรบ!CL30"")"),0)</f>
        <v>0</v>
      </c>
      <c r="F30" s="186">
        <f ca="1">IFERROR(__xludf.DUMMYFUNCTION("IMPORTRANGE(""https://docs.google.com/spreadsheets/d/1-uDff_7J0KD5mKrp0Vvzr7lt3OU09vwQwhkpOPPYv2Y/edit?usp=sharing"",""งบพรบ!CM30"")"),19590)</f>
        <v>19590</v>
      </c>
      <c r="G30" s="186">
        <f ca="1">IFERROR(__xludf.DUMMYFUNCTION("IMPORTRANGE(""https://docs.google.com/spreadsheets/d/1-uDff_7J0KD5mKrp0Vvzr7lt3OU09vwQwhkpOPPYv2Y/edit?usp=sharing"",""งบพรบ!CN30"")"),0)</f>
        <v>0</v>
      </c>
      <c r="H30" s="186">
        <f ca="1">IFERROR(__xludf.DUMMYFUNCTION("IMPORTRANGE(""https://docs.google.com/spreadsheets/d/1-uDff_7J0KD5mKrp0Vvzr7lt3OU09vwQwhkpOPPYv2Y/edit?usp=sharing"",""งบพรบ!CP30"")"),19590)</f>
        <v>19590</v>
      </c>
      <c r="I30" s="186">
        <f ca="1">IFERROR(__xludf.DUMMYFUNCTION("IMPORTRANGE(""https://docs.google.com/spreadsheets/d/1-uDff_7J0KD5mKrp0Vvzr7lt3OU09vwQwhkpOPPYv2Y/edit?usp=sharing"",""งบพรบ!CQ30"")"),0)</f>
        <v>0</v>
      </c>
      <c r="J30" s="186">
        <f t="shared" ca="1" si="20"/>
        <v>0</v>
      </c>
      <c r="K30" s="187">
        <f t="shared" ca="1" si="21"/>
        <v>0</v>
      </c>
      <c r="L30" s="186">
        <f ca="1">IFERROR(__xludf.DUMMYFUNCTION("IMPORTRANGE(""https://docs.google.com/spreadsheets/d/1-uDff_7J0KD5mKrp0Vvzr7lt3OU09vwQwhkpOPPYv2Y/edit?usp=sharing"",""งบพรบ!CR30"")"),0)</f>
        <v>0</v>
      </c>
      <c r="M30" s="188">
        <f t="shared" ca="1" si="22"/>
        <v>0</v>
      </c>
      <c r="N30" s="188">
        <f t="shared" ca="1" si="23"/>
        <v>0</v>
      </c>
      <c r="O30" s="189">
        <f ca="1">IFERROR(__xludf.DUMMYFUNCTION("IMPORTRANGE(""https://docs.google.com/spreadsheets/d/1-uDff_7J0KD5mKrp0Vvzr7lt3OU09vwQwhkpOPPYv2Y/edit?usp=sharing"",""งบพรบ!CS30"")"),0)</f>
        <v>0</v>
      </c>
      <c r="P30" s="189">
        <f t="shared" ca="1" si="24"/>
        <v>0</v>
      </c>
      <c r="Q30" s="188">
        <f t="shared" ca="1" si="25"/>
        <v>0</v>
      </c>
      <c r="R30" s="103">
        <f ca="1">IFERROR(__xludf.DUMMYFUNCTION("IMPORTRANGE(""https://docs.google.com/spreadsheets/d/1UsNK1e-WWiCo2PvGqdNfdme4m17_Ezd3J69EeeiQPD0/edit?usp=sharing"",""อุทัยธานี!I183"")"),7)</f>
        <v>7</v>
      </c>
      <c r="S30" s="103">
        <f ca="1">IFERROR(__xludf.DUMMYFUNCTION("IMPORTRANGE(""https://docs.google.com/spreadsheets/d/1UsNK1e-WWiCo2PvGqdNfdme4m17_Ezd3J69EeeiQPD0/edit?usp=sharing"",""อุทัยธานี!J183"")"),0)</f>
        <v>0</v>
      </c>
      <c r="T30" s="104">
        <f t="shared" ca="1" si="27"/>
        <v>0</v>
      </c>
      <c r="U30" s="260"/>
      <c r="V30" s="260"/>
      <c r="W30" s="261"/>
      <c r="X30" s="206"/>
      <c r="Y30" s="206"/>
      <c r="Z30" s="206"/>
    </row>
    <row r="31" spans="1:26" ht="21" customHeight="1" x14ac:dyDescent="0.3">
      <c r="A31" s="395" t="s">
        <v>53</v>
      </c>
      <c r="B31" s="396"/>
      <c r="C31" s="154">
        <f t="shared" ca="1" si="18"/>
        <v>393170</v>
      </c>
      <c r="D31" s="154">
        <f t="shared" ref="D31:I31" ca="1" si="30">SUM(D32:D51)</f>
        <v>393170</v>
      </c>
      <c r="E31" s="154">
        <f t="shared" ca="1" si="30"/>
        <v>0</v>
      </c>
      <c r="F31" s="154">
        <f t="shared" ca="1" si="30"/>
        <v>393170</v>
      </c>
      <c r="G31" s="154">
        <f t="shared" ca="1" si="30"/>
        <v>0</v>
      </c>
      <c r="H31" s="154">
        <f t="shared" ca="1" si="30"/>
        <v>393170</v>
      </c>
      <c r="I31" s="154">
        <f t="shared" ca="1" si="30"/>
        <v>0</v>
      </c>
      <c r="J31" s="154">
        <f t="shared" ca="1" si="20"/>
        <v>171120</v>
      </c>
      <c r="K31" s="155">
        <f t="shared" ca="1" si="21"/>
        <v>43.523157921509778</v>
      </c>
      <c r="L31" s="154">
        <f ca="1">SUM(L32:L51)</f>
        <v>171120</v>
      </c>
      <c r="M31" s="156">
        <f t="shared" ca="1" si="22"/>
        <v>43.523157921509778</v>
      </c>
      <c r="N31" s="156">
        <f t="shared" ca="1" si="23"/>
        <v>43.523157921509778</v>
      </c>
      <c r="O31" s="157">
        <f ca="1">SUM(O32:O51)</f>
        <v>0</v>
      </c>
      <c r="P31" s="157">
        <f t="shared" ca="1" si="24"/>
        <v>0</v>
      </c>
      <c r="Q31" s="156">
        <f t="shared" ca="1" si="25"/>
        <v>0</v>
      </c>
      <c r="R31" s="68">
        <f t="shared" ref="R31:S31" ca="1" si="31">SUM(R32:R51)</f>
        <v>141</v>
      </c>
      <c r="S31" s="68">
        <f t="shared" ca="1" si="31"/>
        <v>49</v>
      </c>
      <c r="T31" s="107">
        <f t="shared" ca="1" si="27"/>
        <v>34.751773049645394</v>
      </c>
      <c r="U31" s="250">
        <f t="shared" ref="U31:V31" si="32">SUM(U32:U51)</f>
        <v>0</v>
      </c>
      <c r="V31" s="250">
        <f t="shared" si="32"/>
        <v>0</v>
      </c>
      <c r="W31" s="251">
        <f>IF(U31&gt;0,V31*100/U31,0)</f>
        <v>0</v>
      </c>
      <c r="X31" s="206"/>
      <c r="Y31" s="206"/>
      <c r="Z31" s="206"/>
    </row>
    <row r="32" spans="1:26" ht="21" customHeight="1" x14ac:dyDescent="0.3">
      <c r="A32" s="74">
        <v>1</v>
      </c>
      <c r="B32" s="75" t="s">
        <v>54</v>
      </c>
      <c r="C32" s="174">
        <f t="shared" ca="1" si="18"/>
        <v>19590</v>
      </c>
      <c r="D32" s="175">
        <f t="shared" ref="D32:D51" ca="1" si="33">+E32+F32</f>
        <v>19590</v>
      </c>
      <c r="E32" s="176">
        <f ca="1">IFERROR(__xludf.DUMMYFUNCTION("IMPORTRANGE(""https://docs.google.com/spreadsheets/d/1-uDff_7J0KD5mKrp0Vvzr7lt3OU09vwQwhkpOPPYv2Y/edit?usp=sharing"",""งบพรบ!CL32"")"),0)</f>
        <v>0</v>
      </c>
      <c r="F32" s="176">
        <f ca="1">IFERROR(__xludf.DUMMYFUNCTION("IMPORTRANGE(""https://docs.google.com/spreadsheets/d/1-uDff_7J0KD5mKrp0Vvzr7lt3OU09vwQwhkpOPPYv2Y/edit?usp=sharing"",""งบพรบ!CM32"")"),19590)</f>
        <v>19590</v>
      </c>
      <c r="G32" s="177">
        <f ca="1">IFERROR(__xludf.DUMMYFUNCTION("IMPORTRANGE(""https://docs.google.com/spreadsheets/d/1-uDff_7J0KD5mKrp0Vvzr7lt3OU09vwQwhkpOPPYv2Y/edit?usp=sharing"",""งบพรบ!CN32"")"),0)</f>
        <v>0</v>
      </c>
      <c r="H32" s="177">
        <f ca="1">IFERROR(__xludf.DUMMYFUNCTION("IMPORTRANGE(""https://docs.google.com/spreadsheets/d/1-uDff_7J0KD5mKrp0Vvzr7lt3OU09vwQwhkpOPPYv2Y/edit?usp=sharing"",""งบพรบ!CP32"")"),19590)</f>
        <v>19590</v>
      </c>
      <c r="I32" s="177">
        <f ca="1">IFERROR(__xludf.DUMMYFUNCTION("IMPORTRANGE(""https://docs.google.com/spreadsheets/d/1-uDff_7J0KD5mKrp0Vvzr7lt3OU09vwQwhkpOPPYv2Y/edit?usp=sharing"",""งบพรบ!CQ32"")"),0)</f>
        <v>0</v>
      </c>
      <c r="J32" s="177">
        <f t="shared" ca="1" si="20"/>
        <v>19590</v>
      </c>
      <c r="K32" s="178">
        <f t="shared" ca="1" si="21"/>
        <v>100</v>
      </c>
      <c r="L32" s="177">
        <f ca="1">IFERROR(__xludf.DUMMYFUNCTION("IMPORTRANGE(""https://docs.google.com/spreadsheets/d/1-uDff_7J0KD5mKrp0Vvzr7lt3OU09vwQwhkpOPPYv2Y/edit?usp=sharing"",""งบพรบ!CR32"")"),19590)</f>
        <v>19590</v>
      </c>
      <c r="M32" s="179">
        <f t="shared" ca="1" si="22"/>
        <v>100</v>
      </c>
      <c r="N32" s="179">
        <f t="shared" ca="1" si="23"/>
        <v>100</v>
      </c>
      <c r="O32" s="180">
        <f ca="1">IFERROR(__xludf.DUMMYFUNCTION("IMPORTRANGE(""https://docs.google.com/spreadsheets/d/1-uDff_7J0KD5mKrp0Vvzr7lt3OU09vwQwhkpOPPYv2Y/edit?usp=sharing"",""งบพรบ!CS32"")"),0)</f>
        <v>0</v>
      </c>
      <c r="P32" s="180">
        <f t="shared" ca="1" si="24"/>
        <v>0</v>
      </c>
      <c r="Q32" s="179">
        <f t="shared" ca="1" si="25"/>
        <v>0</v>
      </c>
      <c r="R32" s="79">
        <f ca="1">IFERROR(__xludf.DUMMYFUNCTION("IMPORTRANGE(""https://docs.google.com/spreadsheets/d/1yhBcrRPreicbMKl9Bu_Snb2-OcQAF62RKfhTLhJ2eAA/edit?usp=sharing"",""กาฬสินธุ์!I183"")"),7)</f>
        <v>7</v>
      </c>
      <c r="S32" s="79">
        <f ca="1">IFERROR(__xludf.DUMMYFUNCTION("IMPORTRANGE(""https://docs.google.com/spreadsheets/d/1yhBcrRPreicbMKl9Bu_Snb2-OcQAF62RKfhTLhJ2eAA/edit?usp=sharing"",""กาฬสินธุ์!J183"")"),7)</f>
        <v>7</v>
      </c>
      <c r="T32" s="83">
        <f t="shared" ca="1" si="27"/>
        <v>100</v>
      </c>
      <c r="U32" s="258"/>
      <c r="V32" s="258"/>
      <c r="W32" s="259"/>
      <c r="X32" s="206"/>
      <c r="Y32" s="206"/>
      <c r="Z32" s="206"/>
    </row>
    <row r="33" spans="1:26" ht="21" customHeight="1" x14ac:dyDescent="0.3">
      <c r="A33" s="84">
        <v>2</v>
      </c>
      <c r="B33" s="85" t="s">
        <v>55</v>
      </c>
      <c r="C33" s="174">
        <f t="shared" ca="1" si="18"/>
        <v>19590</v>
      </c>
      <c r="D33" s="175">
        <f t="shared" ca="1" si="33"/>
        <v>19590</v>
      </c>
      <c r="E33" s="176">
        <f ca="1">IFERROR(__xludf.DUMMYFUNCTION("IMPORTRANGE(""https://docs.google.com/spreadsheets/d/1-uDff_7J0KD5mKrp0Vvzr7lt3OU09vwQwhkpOPPYv2Y/edit?usp=sharing"",""งบพรบ!CL33"")"),0)</f>
        <v>0</v>
      </c>
      <c r="F33" s="176">
        <f ca="1">IFERROR(__xludf.DUMMYFUNCTION("IMPORTRANGE(""https://docs.google.com/spreadsheets/d/1-uDff_7J0KD5mKrp0Vvzr7lt3OU09vwQwhkpOPPYv2Y/edit?usp=sharing"",""งบพรบ!CM33"")"),19590)</f>
        <v>19590</v>
      </c>
      <c r="G33" s="176">
        <f ca="1">IFERROR(__xludf.DUMMYFUNCTION("IMPORTRANGE(""https://docs.google.com/spreadsheets/d/1-uDff_7J0KD5mKrp0Vvzr7lt3OU09vwQwhkpOPPYv2Y/edit?usp=sharing"",""งบพรบ!CN33"")"),0)</f>
        <v>0</v>
      </c>
      <c r="H33" s="176">
        <f ca="1">IFERROR(__xludf.DUMMYFUNCTION("IMPORTRANGE(""https://docs.google.com/spreadsheets/d/1-uDff_7J0KD5mKrp0Vvzr7lt3OU09vwQwhkpOPPYv2Y/edit?usp=sharing"",""งบพรบ!CP33"")"),19590)</f>
        <v>19590</v>
      </c>
      <c r="I33" s="176">
        <f ca="1">IFERROR(__xludf.DUMMYFUNCTION("IMPORTRANGE(""https://docs.google.com/spreadsheets/d/1-uDff_7J0KD5mKrp0Vvzr7lt3OU09vwQwhkpOPPYv2Y/edit?usp=sharing"",""งบพรบ!CQ33"")"),0)</f>
        <v>0</v>
      </c>
      <c r="J33" s="176">
        <f t="shared" ca="1" si="20"/>
        <v>16300</v>
      </c>
      <c r="K33" s="181">
        <f t="shared" ca="1" si="21"/>
        <v>83.205717202654412</v>
      </c>
      <c r="L33" s="176">
        <f ca="1">IFERROR(__xludf.DUMMYFUNCTION("IMPORTRANGE(""https://docs.google.com/spreadsheets/d/1-uDff_7J0KD5mKrp0Vvzr7lt3OU09vwQwhkpOPPYv2Y/edit?usp=sharing"",""งบพรบ!CR33"")"),16300)</f>
        <v>16300</v>
      </c>
      <c r="M33" s="179">
        <f t="shared" ca="1" si="22"/>
        <v>83.205717202654412</v>
      </c>
      <c r="N33" s="179">
        <f t="shared" ca="1" si="23"/>
        <v>83.205717202654412</v>
      </c>
      <c r="O33" s="180">
        <f ca="1">IFERROR(__xludf.DUMMYFUNCTION("IMPORTRANGE(""https://docs.google.com/spreadsheets/d/1-uDff_7J0KD5mKrp0Vvzr7lt3OU09vwQwhkpOPPYv2Y/edit?usp=sharing"",""งบพรบ!CS33"")"),0)</f>
        <v>0</v>
      </c>
      <c r="P33" s="180">
        <f t="shared" ca="1" si="24"/>
        <v>0</v>
      </c>
      <c r="Q33" s="179">
        <f t="shared" ca="1" si="25"/>
        <v>0</v>
      </c>
      <c r="R33" s="92">
        <f ca="1">IFERROR(__xludf.DUMMYFUNCTION("IMPORTRANGE(""https://docs.google.com/spreadsheets/d/1aHkj4IaQMThhwWwevcOymEh837vdxeC_PycurhTbGFA/edit?usp=sharing"",""ขอนแก่น!I183"")"),7)</f>
        <v>7</v>
      </c>
      <c r="S33" s="92">
        <f ca="1">IFERROR(__xludf.DUMMYFUNCTION("IMPORTRANGE(""https://docs.google.com/spreadsheets/d/1aHkj4IaQMThhwWwevcOymEh837vdxeC_PycurhTbGFA/edit?usp=sharing"",""ขอนแก่น!J183"")"),7)</f>
        <v>7</v>
      </c>
      <c r="T33" s="93">
        <f t="shared" ca="1" si="27"/>
        <v>100</v>
      </c>
      <c r="U33" s="258"/>
      <c r="V33" s="258"/>
      <c r="W33" s="259"/>
      <c r="X33" s="206"/>
      <c r="Y33" s="206"/>
      <c r="Z33" s="206"/>
    </row>
    <row r="34" spans="1:26" ht="21" customHeight="1" x14ac:dyDescent="0.3">
      <c r="A34" s="84">
        <v>3</v>
      </c>
      <c r="B34" s="85" t="s">
        <v>56</v>
      </c>
      <c r="C34" s="174">
        <f t="shared" ca="1" si="18"/>
        <v>19590</v>
      </c>
      <c r="D34" s="175">
        <f t="shared" ca="1" si="33"/>
        <v>19590</v>
      </c>
      <c r="E34" s="176">
        <f ca="1">IFERROR(__xludf.DUMMYFUNCTION("IMPORTRANGE(""https://docs.google.com/spreadsheets/d/1-uDff_7J0KD5mKrp0Vvzr7lt3OU09vwQwhkpOPPYv2Y/edit?usp=sharing"",""งบพรบ!CL34"")"),0)</f>
        <v>0</v>
      </c>
      <c r="F34" s="176">
        <f ca="1">IFERROR(__xludf.DUMMYFUNCTION("IMPORTRANGE(""https://docs.google.com/spreadsheets/d/1-uDff_7J0KD5mKrp0Vvzr7lt3OU09vwQwhkpOPPYv2Y/edit?usp=sharing"",""งบพรบ!CM34"")"),19590)</f>
        <v>19590</v>
      </c>
      <c r="G34" s="176">
        <f ca="1">IFERROR(__xludf.DUMMYFUNCTION("IMPORTRANGE(""https://docs.google.com/spreadsheets/d/1-uDff_7J0KD5mKrp0Vvzr7lt3OU09vwQwhkpOPPYv2Y/edit?usp=sharing"",""งบพรบ!CN34"")"),0)</f>
        <v>0</v>
      </c>
      <c r="H34" s="176">
        <f ca="1">IFERROR(__xludf.DUMMYFUNCTION("IMPORTRANGE(""https://docs.google.com/spreadsheets/d/1-uDff_7J0KD5mKrp0Vvzr7lt3OU09vwQwhkpOPPYv2Y/edit?usp=sharing"",""งบพรบ!CP34"")"),19590)</f>
        <v>19590</v>
      </c>
      <c r="I34" s="176">
        <f ca="1">IFERROR(__xludf.DUMMYFUNCTION("IMPORTRANGE(""https://docs.google.com/spreadsheets/d/1-uDff_7J0KD5mKrp0Vvzr7lt3OU09vwQwhkpOPPYv2Y/edit?usp=sharing"",""งบพรบ!CQ34"")"),0)</f>
        <v>0</v>
      </c>
      <c r="J34" s="176">
        <f t="shared" ca="1" si="20"/>
        <v>0</v>
      </c>
      <c r="K34" s="181">
        <f t="shared" ca="1" si="21"/>
        <v>0</v>
      </c>
      <c r="L34" s="176">
        <f ca="1">IFERROR(__xludf.DUMMYFUNCTION("IMPORTRANGE(""https://docs.google.com/spreadsheets/d/1-uDff_7J0KD5mKrp0Vvzr7lt3OU09vwQwhkpOPPYv2Y/edit?usp=sharing"",""งบพรบ!CR34"")"),0)</f>
        <v>0</v>
      </c>
      <c r="M34" s="179">
        <f t="shared" ca="1" si="22"/>
        <v>0</v>
      </c>
      <c r="N34" s="179">
        <f t="shared" ca="1" si="23"/>
        <v>0</v>
      </c>
      <c r="O34" s="180">
        <f ca="1">IFERROR(__xludf.DUMMYFUNCTION("IMPORTRANGE(""https://docs.google.com/spreadsheets/d/1-uDff_7J0KD5mKrp0Vvzr7lt3OU09vwQwhkpOPPYv2Y/edit?usp=sharing"",""งบพรบ!CS34"")"),0)</f>
        <v>0</v>
      </c>
      <c r="P34" s="180">
        <f t="shared" ca="1" si="24"/>
        <v>0</v>
      </c>
      <c r="Q34" s="179">
        <f t="shared" ca="1" si="25"/>
        <v>0</v>
      </c>
      <c r="R34" s="92">
        <f ca="1">IFERROR(__xludf.DUMMYFUNCTION("IMPORTRANGE(""https://docs.google.com/spreadsheets/d/1FvTu2DsIWUjP6WCWra38Bkj_oOl_sOMf14r5Fg5srxU/edit?usp=sharing"",""ชัยภูมิ!I183"")"),7)</f>
        <v>7</v>
      </c>
      <c r="S34" s="92">
        <f ca="1">IFERROR(__xludf.DUMMYFUNCTION("IMPORTRANGE(""https://docs.google.com/spreadsheets/d/1FvTu2DsIWUjP6WCWra38Bkj_oOl_sOMf14r5Fg5srxU/edit?usp=sharing"",""ชัยภูมิ!J183"")"),0)</f>
        <v>0</v>
      </c>
      <c r="T34" s="93">
        <f t="shared" ca="1" si="27"/>
        <v>0</v>
      </c>
      <c r="U34" s="258"/>
      <c r="V34" s="258"/>
      <c r="W34" s="259"/>
      <c r="X34" s="206"/>
      <c r="Y34" s="206"/>
      <c r="Z34" s="206"/>
    </row>
    <row r="35" spans="1:26" ht="21" customHeight="1" x14ac:dyDescent="0.3">
      <c r="A35" s="84">
        <v>4</v>
      </c>
      <c r="B35" s="85" t="s">
        <v>57</v>
      </c>
      <c r="C35" s="174">
        <f t="shared" ca="1" si="18"/>
        <v>19590</v>
      </c>
      <c r="D35" s="175">
        <f t="shared" ca="1" si="33"/>
        <v>19590</v>
      </c>
      <c r="E35" s="176">
        <f ca="1">IFERROR(__xludf.DUMMYFUNCTION("IMPORTRANGE(""https://docs.google.com/spreadsheets/d/1-uDff_7J0KD5mKrp0Vvzr7lt3OU09vwQwhkpOPPYv2Y/edit?usp=sharing"",""งบพรบ!CL35"")"),0)</f>
        <v>0</v>
      </c>
      <c r="F35" s="176">
        <f ca="1">IFERROR(__xludf.DUMMYFUNCTION("IMPORTRANGE(""https://docs.google.com/spreadsheets/d/1-uDff_7J0KD5mKrp0Vvzr7lt3OU09vwQwhkpOPPYv2Y/edit?usp=sharing"",""งบพรบ!CM35"")"),19590)</f>
        <v>19590</v>
      </c>
      <c r="G35" s="176">
        <f ca="1">IFERROR(__xludf.DUMMYFUNCTION("IMPORTRANGE(""https://docs.google.com/spreadsheets/d/1-uDff_7J0KD5mKrp0Vvzr7lt3OU09vwQwhkpOPPYv2Y/edit?usp=sharing"",""งบพรบ!CN35"")"),0)</f>
        <v>0</v>
      </c>
      <c r="H35" s="176">
        <f ca="1">IFERROR(__xludf.DUMMYFUNCTION("IMPORTRANGE(""https://docs.google.com/spreadsheets/d/1-uDff_7J0KD5mKrp0Vvzr7lt3OU09vwQwhkpOPPYv2Y/edit?usp=sharing"",""งบพรบ!CP35"")"),19590)</f>
        <v>19590</v>
      </c>
      <c r="I35" s="176">
        <f ca="1">IFERROR(__xludf.DUMMYFUNCTION("IMPORTRANGE(""https://docs.google.com/spreadsheets/d/1-uDff_7J0KD5mKrp0Vvzr7lt3OU09vwQwhkpOPPYv2Y/edit?usp=sharing"",""งบพรบ!CQ35"")"),0)</f>
        <v>0</v>
      </c>
      <c r="J35" s="176">
        <f t="shared" ca="1" si="20"/>
        <v>0</v>
      </c>
      <c r="K35" s="181">
        <f t="shared" ca="1" si="21"/>
        <v>0</v>
      </c>
      <c r="L35" s="176">
        <f ca="1">IFERROR(__xludf.DUMMYFUNCTION("IMPORTRANGE(""https://docs.google.com/spreadsheets/d/1-uDff_7J0KD5mKrp0Vvzr7lt3OU09vwQwhkpOPPYv2Y/edit?usp=sharing"",""งบพรบ!CR35"")"),0)</f>
        <v>0</v>
      </c>
      <c r="M35" s="179">
        <f t="shared" ca="1" si="22"/>
        <v>0</v>
      </c>
      <c r="N35" s="179">
        <f t="shared" ca="1" si="23"/>
        <v>0</v>
      </c>
      <c r="O35" s="180">
        <f ca="1">IFERROR(__xludf.DUMMYFUNCTION("IMPORTRANGE(""https://docs.google.com/spreadsheets/d/1-uDff_7J0KD5mKrp0Vvzr7lt3OU09vwQwhkpOPPYv2Y/edit?usp=sharing"",""งบพรบ!CS35"")"),0)</f>
        <v>0</v>
      </c>
      <c r="P35" s="180">
        <f t="shared" ca="1" si="24"/>
        <v>0</v>
      </c>
      <c r="Q35" s="179">
        <f t="shared" ca="1" si="25"/>
        <v>0</v>
      </c>
      <c r="R35" s="92">
        <f ca="1">IFERROR(__xludf.DUMMYFUNCTION("IMPORTRANGE(""https://docs.google.com/spreadsheets/d/1XVB7oCJ3pr-vBUdflwPQ8Z2LlzhnCvZaaYjAfP-647E/edit?usp=sharing"",""นครพนม!I183"")"),7)</f>
        <v>7</v>
      </c>
      <c r="S35" s="92">
        <f ca="1">IFERROR(__xludf.DUMMYFUNCTION("IMPORTRANGE(""https://docs.google.com/spreadsheets/d/1XVB7oCJ3pr-vBUdflwPQ8Z2LlzhnCvZaaYjAfP-647E/edit?usp=sharing"",""นครพนม!J183"")"),0)</f>
        <v>0</v>
      </c>
      <c r="T35" s="93">
        <f t="shared" ca="1" si="27"/>
        <v>0</v>
      </c>
      <c r="U35" s="258"/>
      <c r="V35" s="258"/>
      <c r="W35" s="259"/>
      <c r="X35" s="206"/>
      <c r="Y35" s="206"/>
      <c r="Z35" s="206"/>
    </row>
    <row r="36" spans="1:26" ht="21" customHeight="1" x14ac:dyDescent="0.3">
      <c r="A36" s="84">
        <v>5</v>
      </c>
      <c r="B36" s="85" t="s">
        <v>58</v>
      </c>
      <c r="C36" s="174">
        <f t="shared" ca="1" si="18"/>
        <v>20960</v>
      </c>
      <c r="D36" s="175">
        <f t="shared" ca="1" si="33"/>
        <v>20960</v>
      </c>
      <c r="E36" s="176">
        <f ca="1">IFERROR(__xludf.DUMMYFUNCTION("IMPORTRANGE(""https://docs.google.com/spreadsheets/d/1-uDff_7J0KD5mKrp0Vvzr7lt3OU09vwQwhkpOPPYv2Y/edit?usp=sharing"",""งบพรบ!CL36"")"),0)</f>
        <v>0</v>
      </c>
      <c r="F36" s="176">
        <f ca="1">IFERROR(__xludf.DUMMYFUNCTION("IMPORTRANGE(""https://docs.google.com/spreadsheets/d/1-uDff_7J0KD5mKrp0Vvzr7lt3OU09vwQwhkpOPPYv2Y/edit?usp=sharing"",""งบพรบ!CM36"")"),20960)</f>
        <v>20960</v>
      </c>
      <c r="G36" s="176">
        <f ca="1">IFERROR(__xludf.DUMMYFUNCTION("IMPORTRANGE(""https://docs.google.com/spreadsheets/d/1-uDff_7J0KD5mKrp0Vvzr7lt3OU09vwQwhkpOPPYv2Y/edit?usp=sharing"",""งบพรบ!CN36"")"),0)</f>
        <v>0</v>
      </c>
      <c r="H36" s="176">
        <f ca="1">IFERROR(__xludf.DUMMYFUNCTION("IMPORTRANGE(""https://docs.google.com/spreadsheets/d/1-uDff_7J0KD5mKrp0Vvzr7lt3OU09vwQwhkpOPPYv2Y/edit?usp=sharing"",""งบพรบ!CP36"")"),20960)</f>
        <v>20960</v>
      </c>
      <c r="I36" s="176">
        <f ca="1">IFERROR(__xludf.DUMMYFUNCTION("IMPORTRANGE(""https://docs.google.com/spreadsheets/d/1-uDff_7J0KD5mKrp0Vvzr7lt3OU09vwQwhkpOPPYv2Y/edit?usp=sharing"",""งบพรบ!CQ36"")"),0)</f>
        <v>0</v>
      </c>
      <c r="J36" s="176">
        <f t="shared" ca="1" si="20"/>
        <v>20960</v>
      </c>
      <c r="K36" s="181">
        <f t="shared" ca="1" si="21"/>
        <v>100</v>
      </c>
      <c r="L36" s="176">
        <f ca="1">IFERROR(__xludf.DUMMYFUNCTION("IMPORTRANGE(""https://docs.google.com/spreadsheets/d/1-uDff_7J0KD5mKrp0Vvzr7lt3OU09vwQwhkpOPPYv2Y/edit?usp=sharing"",""งบพรบ!CR36"")"),20960)</f>
        <v>20960</v>
      </c>
      <c r="M36" s="179">
        <f t="shared" ca="1" si="22"/>
        <v>100</v>
      </c>
      <c r="N36" s="179">
        <f t="shared" ca="1" si="23"/>
        <v>100</v>
      </c>
      <c r="O36" s="180">
        <f ca="1">IFERROR(__xludf.DUMMYFUNCTION("IMPORTRANGE(""https://docs.google.com/spreadsheets/d/1-uDff_7J0KD5mKrp0Vvzr7lt3OU09vwQwhkpOPPYv2Y/edit?usp=sharing"",""งบพรบ!CS36"")"),0)</f>
        <v>0</v>
      </c>
      <c r="P36" s="180">
        <f t="shared" ca="1" si="24"/>
        <v>0</v>
      </c>
      <c r="Q36" s="179">
        <f t="shared" ca="1" si="25"/>
        <v>0</v>
      </c>
      <c r="R36" s="92">
        <f ca="1">IFERROR(__xludf.DUMMYFUNCTION("IMPORTRANGE(""https://docs.google.com/spreadsheets/d/1Mnpb-8PYAgn85W6KOTD40hc_Xc55CaLfHoGAbrZ8tls/edit?usp=sharing"",""นครราชสีมา!I183"")"),8)</f>
        <v>8</v>
      </c>
      <c r="S36" s="92">
        <f ca="1">IFERROR(__xludf.DUMMYFUNCTION("IMPORTRANGE(""https://docs.google.com/spreadsheets/d/1Mnpb-8PYAgn85W6KOTD40hc_Xc55CaLfHoGAbrZ8tls/edit?usp=sharing"",""นครราชสีมา!J183"")"),0)</f>
        <v>0</v>
      </c>
      <c r="T36" s="93">
        <f t="shared" ca="1" si="27"/>
        <v>0</v>
      </c>
      <c r="U36" s="258"/>
      <c r="V36" s="258"/>
      <c r="W36" s="259"/>
      <c r="X36" s="206"/>
      <c r="Y36" s="206"/>
      <c r="Z36" s="206"/>
    </row>
    <row r="37" spans="1:26" ht="21" customHeight="1" x14ac:dyDescent="0.3">
      <c r="A37" s="84">
        <v>6</v>
      </c>
      <c r="B37" s="85" t="s">
        <v>59</v>
      </c>
      <c r="C37" s="174">
        <f t="shared" ca="1" si="18"/>
        <v>19590</v>
      </c>
      <c r="D37" s="175">
        <f t="shared" ca="1" si="33"/>
        <v>19590</v>
      </c>
      <c r="E37" s="176">
        <f ca="1">IFERROR(__xludf.DUMMYFUNCTION("IMPORTRANGE(""https://docs.google.com/spreadsheets/d/1-uDff_7J0KD5mKrp0Vvzr7lt3OU09vwQwhkpOPPYv2Y/edit?usp=sharing"",""งบพรบ!CL37"")"),0)</f>
        <v>0</v>
      </c>
      <c r="F37" s="176">
        <f ca="1">IFERROR(__xludf.DUMMYFUNCTION("IMPORTRANGE(""https://docs.google.com/spreadsheets/d/1-uDff_7J0KD5mKrp0Vvzr7lt3OU09vwQwhkpOPPYv2Y/edit?usp=sharing"",""งบพรบ!CM37"")"),19590)</f>
        <v>19590</v>
      </c>
      <c r="G37" s="176">
        <f ca="1">IFERROR(__xludf.DUMMYFUNCTION("IMPORTRANGE(""https://docs.google.com/spreadsheets/d/1-uDff_7J0KD5mKrp0Vvzr7lt3OU09vwQwhkpOPPYv2Y/edit?usp=sharing"",""งบพรบ!CN37"")"),0)</f>
        <v>0</v>
      </c>
      <c r="H37" s="176">
        <f ca="1">IFERROR(__xludf.DUMMYFUNCTION("IMPORTRANGE(""https://docs.google.com/spreadsheets/d/1-uDff_7J0KD5mKrp0Vvzr7lt3OU09vwQwhkpOPPYv2Y/edit?usp=sharing"",""งบพรบ!CP37"")"),19590)</f>
        <v>19590</v>
      </c>
      <c r="I37" s="176">
        <f ca="1">IFERROR(__xludf.DUMMYFUNCTION("IMPORTRANGE(""https://docs.google.com/spreadsheets/d/1-uDff_7J0KD5mKrp0Vvzr7lt3OU09vwQwhkpOPPYv2Y/edit?usp=sharing"",""งบพรบ!CQ37"")"),0)</f>
        <v>0</v>
      </c>
      <c r="J37" s="176">
        <f t="shared" ca="1" si="20"/>
        <v>0</v>
      </c>
      <c r="K37" s="181">
        <f t="shared" ca="1" si="21"/>
        <v>0</v>
      </c>
      <c r="L37" s="176">
        <f ca="1">IFERROR(__xludf.DUMMYFUNCTION("IMPORTRANGE(""https://docs.google.com/spreadsheets/d/1-uDff_7J0KD5mKrp0Vvzr7lt3OU09vwQwhkpOPPYv2Y/edit?usp=sharing"",""งบพรบ!CR37"")"),0)</f>
        <v>0</v>
      </c>
      <c r="M37" s="179">
        <f t="shared" ca="1" si="22"/>
        <v>0</v>
      </c>
      <c r="N37" s="179">
        <f t="shared" ca="1" si="23"/>
        <v>0</v>
      </c>
      <c r="O37" s="180">
        <f ca="1">IFERROR(__xludf.DUMMYFUNCTION("IMPORTRANGE(""https://docs.google.com/spreadsheets/d/1-uDff_7J0KD5mKrp0Vvzr7lt3OU09vwQwhkpOPPYv2Y/edit?usp=sharing"",""งบพรบ!CS37"")"),0)</f>
        <v>0</v>
      </c>
      <c r="P37" s="180">
        <f t="shared" ca="1" si="24"/>
        <v>0</v>
      </c>
      <c r="Q37" s="179">
        <f t="shared" ca="1" si="25"/>
        <v>0</v>
      </c>
      <c r="R37" s="92">
        <f ca="1">IFERROR(__xludf.DUMMYFUNCTION("IMPORTRANGE(""https://docs.google.com/spreadsheets/d/1xoDLGBv9CYbyosIhki0kTq6IpYNj-gpjxfobnaDiut0/edit?usp=sharing"",""บึงกาฬ!I183"")"),7)</f>
        <v>7</v>
      </c>
      <c r="S37" s="92">
        <f ca="1">IFERROR(__xludf.DUMMYFUNCTION("IMPORTRANGE(""https://docs.google.com/spreadsheets/d/1xoDLGBv9CYbyosIhki0kTq6IpYNj-gpjxfobnaDiut0/edit?usp=sharing"",""บึงกาฬ!J183"")"),0)</f>
        <v>0</v>
      </c>
      <c r="T37" s="93">
        <f t="shared" ca="1" si="27"/>
        <v>0</v>
      </c>
      <c r="U37" s="258"/>
      <c r="V37" s="258"/>
      <c r="W37" s="259"/>
      <c r="X37" s="206"/>
      <c r="Y37" s="206"/>
      <c r="Z37" s="206"/>
    </row>
    <row r="38" spans="1:26" ht="21" customHeight="1" x14ac:dyDescent="0.3">
      <c r="A38" s="84">
        <v>7</v>
      </c>
      <c r="B38" s="85" t="s">
        <v>60</v>
      </c>
      <c r="C38" s="174">
        <f t="shared" ca="1" si="18"/>
        <v>19590</v>
      </c>
      <c r="D38" s="175">
        <f t="shared" ca="1" si="33"/>
        <v>19590</v>
      </c>
      <c r="E38" s="176">
        <f ca="1">IFERROR(__xludf.DUMMYFUNCTION("IMPORTRANGE(""https://docs.google.com/spreadsheets/d/1-uDff_7J0KD5mKrp0Vvzr7lt3OU09vwQwhkpOPPYv2Y/edit?usp=sharing"",""งบพรบ!CL38"")"),0)</f>
        <v>0</v>
      </c>
      <c r="F38" s="176">
        <f ca="1">IFERROR(__xludf.DUMMYFUNCTION("IMPORTRANGE(""https://docs.google.com/spreadsheets/d/1-uDff_7J0KD5mKrp0Vvzr7lt3OU09vwQwhkpOPPYv2Y/edit?usp=sharing"",""งบพรบ!CM38"")"),19590)</f>
        <v>19590</v>
      </c>
      <c r="G38" s="176">
        <f ca="1">IFERROR(__xludf.DUMMYFUNCTION("IMPORTRANGE(""https://docs.google.com/spreadsheets/d/1-uDff_7J0KD5mKrp0Vvzr7lt3OU09vwQwhkpOPPYv2Y/edit?usp=sharing"",""งบพรบ!CN38"")"),0)</f>
        <v>0</v>
      </c>
      <c r="H38" s="176">
        <f ca="1">IFERROR(__xludf.DUMMYFUNCTION("IMPORTRANGE(""https://docs.google.com/spreadsheets/d/1-uDff_7J0KD5mKrp0Vvzr7lt3OU09vwQwhkpOPPYv2Y/edit?usp=sharing"",""งบพรบ!CP38"")"),19590)</f>
        <v>19590</v>
      </c>
      <c r="I38" s="176">
        <f ca="1">IFERROR(__xludf.DUMMYFUNCTION("IMPORTRANGE(""https://docs.google.com/spreadsheets/d/1-uDff_7J0KD5mKrp0Vvzr7lt3OU09vwQwhkpOPPYv2Y/edit?usp=sharing"",""งบพรบ!CQ38"")"),0)</f>
        <v>0</v>
      </c>
      <c r="J38" s="176">
        <f t="shared" ca="1" si="20"/>
        <v>0</v>
      </c>
      <c r="K38" s="181">
        <f t="shared" ca="1" si="21"/>
        <v>0</v>
      </c>
      <c r="L38" s="176">
        <f ca="1">IFERROR(__xludf.DUMMYFUNCTION("IMPORTRANGE(""https://docs.google.com/spreadsheets/d/1-uDff_7J0KD5mKrp0Vvzr7lt3OU09vwQwhkpOPPYv2Y/edit?usp=sharing"",""งบพรบ!CR38"")"),0)</f>
        <v>0</v>
      </c>
      <c r="M38" s="179">
        <f t="shared" ca="1" si="22"/>
        <v>0</v>
      </c>
      <c r="N38" s="179">
        <f t="shared" ca="1" si="23"/>
        <v>0</v>
      </c>
      <c r="O38" s="180">
        <f ca="1">IFERROR(__xludf.DUMMYFUNCTION("IMPORTRANGE(""https://docs.google.com/spreadsheets/d/1-uDff_7J0KD5mKrp0Vvzr7lt3OU09vwQwhkpOPPYv2Y/edit?usp=sharing"",""งบพรบ!CS38"")"),0)</f>
        <v>0</v>
      </c>
      <c r="P38" s="180">
        <f t="shared" ca="1" si="24"/>
        <v>0</v>
      </c>
      <c r="Q38" s="179">
        <f t="shared" ca="1" si="25"/>
        <v>0</v>
      </c>
      <c r="R38" s="92">
        <f ca="1">IFERROR(__xludf.DUMMYFUNCTION("IMPORTRANGE(""https://docs.google.com/spreadsheets/d/1MMPq-JyI6DSgQETxuSiXkesP-P7JHuemnE6QJIa-Nlw/edit?usp=sharing"",""บุรีรัมย์!I183"")"),7)</f>
        <v>7</v>
      </c>
      <c r="S38" s="92">
        <f ca="1">IFERROR(__xludf.DUMMYFUNCTION("IMPORTRANGE(""https://docs.google.com/spreadsheets/d/1MMPq-JyI6DSgQETxuSiXkesP-P7JHuemnE6QJIa-Nlw/edit?usp=sharing"",""บุรีรัมย์!J183"")"),0)</f>
        <v>0</v>
      </c>
      <c r="T38" s="93">
        <f t="shared" ca="1" si="27"/>
        <v>0</v>
      </c>
      <c r="U38" s="258"/>
      <c r="V38" s="258"/>
      <c r="W38" s="259"/>
      <c r="X38" s="206"/>
      <c r="Y38" s="206"/>
      <c r="Z38" s="206"/>
    </row>
    <row r="39" spans="1:26" ht="21" customHeight="1" x14ac:dyDescent="0.3">
      <c r="A39" s="84">
        <v>8</v>
      </c>
      <c r="B39" s="85" t="s">
        <v>61</v>
      </c>
      <c r="C39" s="174">
        <f t="shared" ca="1" si="18"/>
        <v>19590</v>
      </c>
      <c r="D39" s="175">
        <f t="shared" ca="1" si="33"/>
        <v>19590</v>
      </c>
      <c r="E39" s="176">
        <f ca="1">IFERROR(__xludf.DUMMYFUNCTION("IMPORTRANGE(""https://docs.google.com/spreadsheets/d/1-uDff_7J0KD5mKrp0Vvzr7lt3OU09vwQwhkpOPPYv2Y/edit?usp=sharing"",""งบพรบ!CL39"")"),0)</f>
        <v>0</v>
      </c>
      <c r="F39" s="176">
        <f ca="1">IFERROR(__xludf.DUMMYFUNCTION("IMPORTRANGE(""https://docs.google.com/spreadsheets/d/1-uDff_7J0KD5mKrp0Vvzr7lt3OU09vwQwhkpOPPYv2Y/edit?usp=sharing"",""งบพรบ!CM39"")"),19590)</f>
        <v>19590</v>
      </c>
      <c r="G39" s="176">
        <f ca="1">IFERROR(__xludf.DUMMYFUNCTION("IMPORTRANGE(""https://docs.google.com/spreadsheets/d/1-uDff_7J0KD5mKrp0Vvzr7lt3OU09vwQwhkpOPPYv2Y/edit?usp=sharing"",""งบพรบ!CN39"")"),0)</f>
        <v>0</v>
      </c>
      <c r="H39" s="176">
        <f ca="1">IFERROR(__xludf.DUMMYFUNCTION("IMPORTRANGE(""https://docs.google.com/spreadsheets/d/1-uDff_7J0KD5mKrp0Vvzr7lt3OU09vwQwhkpOPPYv2Y/edit?usp=sharing"",""งบพรบ!CP39"")"),19590)</f>
        <v>19590</v>
      </c>
      <c r="I39" s="176">
        <f ca="1">IFERROR(__xludf.DUMMYFUNCTION("IMPORTRANGE(""https://docs.google.com/spreadsheets/d/1-uDff_7J0KD5mKrp0Vvzr7lt3OU09vwQwhkpOPPYv2Y/edit?usp=sharing"",""งบพรบ!CQ39"")"),0)</f>
        <v>0</v>
      </c>
      <c r="J39" s="176">
        <f t="shared" ca="1" si="20"/>
        <v>0</v>
      </c>
      <c r="K39" s="181">
        <f t="shared" ca="1" si="21"/>
        <v>0</v>
      </c>
      <c r="L39" s="176">
        <f ca="1">IFERROR(__xludf.DUMMYFUNCTION("IMPORTRANGE(""https://docs.google.com/spreadsheets/d/1-uDff_7J0KD5mKrp0Vvzr7lt3OU09vwQwhkpOPPYv2Y/edit?usp=sharing"",""งบพรบ!CR39"")"),0)</f>
        <v>0</v>
      </c>
      <c r="M39" s="179">
        <f t="shared" ca="1" si="22"/>
        <v>0</v>
      </c>
      <c r="N39" s="179">
        <f t="shared" ca="1" si="23"/>
        <v>0</v>
      </c>
      <c r="O39" s="180">
        <f ca="1">IFERROR(__xludf.DUMMYFUNCTION("IMPORTRANGE(""https://docs.google.com/spreadsheets/d/1-uDff_7J0KD5mKrp0Vvzr7lt3OU09vwQwhkpOPPYv2Y/edit?usp=sharing"",""งบพรบ!CS39"")"),0)</f>
        <v>0</v>
      </c>
      <c r="P39" s="180">
        <f t="shared" ca="1" si="24"/>
        <v>0</v>
      </c>
      <c r="Q39" s="179">
        <f t="shared" ca="1" si="25"/>
        <v>0</v>
      </c>
      <c r="R39" s="92">
        <f ca="1">IFERROR(__xludf.DUMMYFUNCTION("IMPORTRANGE(""https://docs.google.com/spreadsheets/d/1l6IZ8xUPgMrESzcTYwhA1k_tPjeQjJPTqlm8Gd9eU5g/edit?usp=sharing"",""มหาสารคาม!I183"")"),7)</f>
        <v>7</v>
      </c>
      <c r="S39" s="92">
        <f ca="1">IFERROR(__xludf.DUMMYFUNCTION("IMPORTRANGE(""https://docs.google.com/spreadsheets/d/1l6IZ8xUPgMrESzcTYwhA1k_tPjeQjJPTqlm8Gd9eU5g/edit?usp=sharing"",""มหาสารคาม!J183"")"),0)</f>
        <v>0</v>
      </c>
      <c r="T39" s="93">
        <f t="shared" ca="1" si="27"/>
        <v>0</v>
      </c>
      <c r="U39" s="258"/>
      <c r="V39" s="258"/>
      <c r="W39" s="259"/>
      <c r="X39" s="206"/>
      <c r="Y39" s="206"/>
      <c r="Z39" s="206"/>
    </row>
    <row r="40" spans="1:26" ht="21" customHeight="1" x14ac:dyDescent="0.3">
      <c r="A40" s="84">
        <v>9</v>
      </c>
      <c r="B40" s="85" t="s">
        <v>62</v>
      </c>
      <c r="C40" s="174">
        <f t="shared" ca="1" si="18"/>
        <v>19590</v>
      </c>
      <c r="D40" s="175">
        <f t="shared" ca="1" si="33"/>
        <v>19590</v>
      </c>
      <c r="E40" s="176">
        <f ca="1">IFERROR(__xludf.DUMMYFUNCTION("IMPORTRANGE(""https://docs.google.com/spreadsheets/d/1-uDff_7J0KD5mKrp0Vvzr7lt3OU09vwQwhkpOPPYv2Y/edit?usp=sharing"",""งบพรบ!CL40"")"),0)</f>
        <v>0</v>
      </c>
      <c r="F40" s="176">
        <f ca="1">IFERROR(__xludf.DUMMYFUNCTION("IMPORTRANGE(""https://docs.google.com/spreadsheets/d/1-uDff_7J0KD5mKrp0Vvzr7lt3OU09vwQwhkpOPPYv2Y/edit?usp=sharing"",""งบพรบ!CM40"")"),19590)</f>
        <v>19590</v>
      </c>
      <c r="G40" s="176">
        <f ca="1">IFERROR(__xludf.DUMMYFUNCTION("IMPORTRANGE(""https://docs.google.com/spreadsheets/d/1-uDff_7J0KD5mKrp0Vvzr7lt3OU09vwQwhkpOPPYv2Y/edit?usp=sharing"",""งบพรบ!CN40"")"),0)</f>
        <v>0</v>
      </c>
      <c r="H40" s="176">
        <f ca="1">IFERROR(__xludf.DUMMYFUNCTION("IMPORTRANGE(""https://docs.google.com/spreadsheets/d/1-uDff_7J0KD5mKrp0Vvzr7lt3OU09vwQwhkpOPPYv2Y/edit?usp=sharing"",""งบพรบ!CP40"")"),19590)</f>
        <v>19590</v>
      </c>
      <c r="I40" s="176">
        <f ca="1">IFERROR(__xludf.DUMMYFUNCTION("IMPORTRANGE(""https://docs.google.com/spreadsheets/d/1-uDff_7J0KD5mKrp0Vvzr7lt3OU09vwQwhkpOPPYv2Y/edit?usp=sharing"",""งบพรบ!CQ40"")"),0)</f>
        <v>0</v>
      </c>
      <c r="J40" s="176">
        <f t="shared" ca="1" si="20"/>
        <v>18590</v>
      </c>
      <c r="K40" s="181">
        <f t="shared" ca="1" si="21"/>
        <v>94.895354772843291</v>
      </c>
      <c r="L40" s="176">
        <f ca="1">IFERROR(__xludf.DUMMYFUNCTION("IMPORTRANGE(""https://docs.google.com/spreadsheets/d/1-uDff_7J0KD5mKrp0Vvzr7lt3OU09vwQwhkpOPPYv2Y/edit?usp=sharing"",""งบพรบ!CR40"")"),18590)</f>
        <v>18590</v>
      </c>
      <c r="M40" s="179">
        <f t="shared" ca="1" si="22"/>
        <v>94.895354772843291</v>
      </c>
      <c r="N40" s="179">
        <f t="shared" ca="1" si="23"/>
        <v>94.895354772843291</v>
      </c>
      <c r="O40" s="180">
        <f ca="1">IFERROR(__xludf.DUMMYFUNCTION("IMPORTRANGE(""https://docs.google.com/spreadsheets/d/1-uDff_7J0KD5mKrp0Vvzr7lt3OU09vwQwhkpOPPYv2Y/edit?usp=sharing"",""งบพรบ!CS40"")"),0)</f>
        <v>0</v>
      </c>
      <c r="P40" s="180">
        <f t="shared" ca="1" si="24"/>
        <v>0</v>
      </c>
      <c r="Q40" s="179">
        <f t="shared" ca="1" si="25"/>
        <v>0</v>
      </c>
      <c r="R40" s="92">
        <f ca="1">IFERROR(__xludf.DUMMYFUNCTION("IMPORTRANGE(""https://docs.google.com/spreadsheets/d/1uB74YLqNjWX6FObjekfB2NtSYigTQyR2rq9u4Ub2Sq4/edit?usp=sharing"",""มุกดาหาร!I183"")"),7)</f>
        <v>7</v>
      </c>
      <c r="S40" s="92">
        <f ca="1">IFERROR(__xludf.DUMMYFUNCTION("IMPORTRANGE(""https://docs.google.com/spreadsheets/d/1uB74YLqNjWX6FObjekfB2NtSYigTQyR2rq9u4Ub2Sq4/edit?usp=sharing"",""มุกดาหาร!J183"")"),0)</f>
        <v>0</v>
      </c>
      <c r="T40" s="93">
        <f t="shared" ca="1" si="27"/>
        <v>0</v>
      </c>
      <c r="U40" s="258"/>
      <c r="V40" s="258"/>
      <c r="W40" s="259"/>
      <c r="X40" s="206"/>
      <c r="Y40" s="206"/>
      <c r="Z40" s="206"/>
    </row>
    <row r="41" spans="1:26" ht="21" customHeight="1" x14ac:dyDescent="0.3">
      <c r="A41" s="84">
        <v>10</v>
      </c>
      <c r="B41" s="85" t="s">
        <v>63</v>
      </c>
      <c r="C41" s="174">
        <f t="shared" ca="1" si="18"/>
        <v>19590</v>
      </c>
      <c r="D41" s="175">
        <f t="shared" ca="1" si="33"/>
        <v>19590</v>
      </c>
      <c r="E41" s="176">
        <f ca="1">IFERROR(__xludf.DUMMYFUNCTION("IMPORTRANGE(""https://docs.google.com/spreadsheets/d/1-uDff_7J0KD5mKrp0Vvzr7lt3OU09vwQwhkpOPPYv2Y/edit?usp=sharing"",""งบพรบ!CL41"")"),0)</f>
        <v>0</v>
      </c>
      <c r="F41" s="176">
        <f ca="1">IFERROR(__xludf.DUMMYFUNCTION("IMPORTRANGE(""https://docs.google.com/spreadsheets/d/1-uDff_7J0KD5mKrp0Vvzr7lt3OU09vwQwhkpOPPYv2Y/edit?usp=sharing"",""งบพรบ!CM41"")"),19590)</f>
        <v>19590</v>
      </c>
      <c r="G41" s="176">
        <f ca="1">IFERROR(__xludf.DUMMYFUNCTION("IMPORTRANGE(""https://docs.google.com/spreadsheets/d/1-uDff_7J0KD5mKrp0Vvzr7lt3OU09vwQwhkpOPPYv2Y/edit?usp=sharing"",""งบพรบ!CN41"")"),0)</f>
        <v>0</v>
      </c>
      <c r="H41" s="176">
        <f ca="1">IFERROR(__xludf.DUMMYFUNCTION("IMPORTRANGE(""https://docs.google.com/spreadsheets/d/1-uDff_7J0KD5mKrp0Vvzr7lt3OU09vwQwhkpOPPYv2Y/edit?usp=sharing"",""งบพรบ!CP41"")"),19590)</f>
        <v>19590</v>
      </c>
      <c r="I41" s="176">
        <f ca="1">IFERROR(__xludf.DUMMYFUNCTION("IMPORTRANGE(""https://docs.google.com/spreadsheets/d/1-uDff_7J0KD5mKrp0Vvzr7lt3OU09vwQwhkpOPPYv2Y/edit?usp=sharing"",""งบพรบ!CQ41"")"),0)</f>
        <v>0</v>
      </c>
      <c r="J41" s="176">
        <f t="shared" ca="1" si="20"/>
        <v>0</v>
      </c>
      <c r="K41" s="181">
        <f t="shared" ca="1" si="21"/>
        <v>0</v>
      </c>
      <c r="L41" s="176">
        <f ca="1">IFERROR(__xludf.DUMMYFUNCTION("IMPORTRANGE(""https://docs.google.com/spreadsheets/d/1-uDff_7J0KD5mKrp0Vvzr7lt3OU09vwQwhkpOPPYv2Y/edit?usp=sharing"",""งบพรบ!CR41"")"),0)</f>
        <v>0</v>
      </c>
      <c r="M41" s="179">
        <f t="shared" ca="1" si="22"/>
        <v>0</v>
      </c>
      <c r="N41" s="179">
        <f t="shared" ca="1" si="23"/>
        <v>0</v>
      </c>
      <c r="O41" s="180">
        <f ca="1">IFERROR(__xludf.DUMMYFUNCTION("IMPORTRANGE(""https://docs.google.com/spreadsheets/d/1-uDff_7J0KD5mKrp0Vvzr7lt3OU09vwQwhkpOPPYv2Y/edit?usp=sharing"",""งบพรบ!CS41"")"),0)</f>
        <v>0</v>
      </c>
      <c r="P41" s="180">
        <f t="shared" ca="1" si="24"/>
        <v>0</v>
      </c>
      <c r="Q41" s="179">
        <f t="shared" ca="1" si="25"/>
        <v>0</v>
      </c>
      <c r="R41" s="92">
        <f ca="1">IFERROR(__xludf.DUMMYFUNCTION("IMPORTRANGE(""https://docs.google.com/spreadsheets/d/1NexK3geCPxCTO1fzNF8dPec7yZyUx3OaWkFBC9HsQOo/edit?usp=sharing"",""ยโสธร!I183"")"),7)</f>
        <v>7</v>
      </c>
      <c r="S41" s="92">
        <f ca="1">IFERROR(__xludf.DUMMYFUNCTION("IMPORTRANGE(""https://docs.google.com/spreadsheets/d/1NexK3geCPxCTO1fzNF8dPec7yZyUx3OaWkFBC9HsQOo/edit?usp=sharing"",""ยโสธร!J183"")"),0)</f>
        <v>0</v>
      </c>
      <c r="T41" s="93">
        <f t="shared" ca="1" si="27"/>
        <v>0</v>
      </c>
      <c r="U41" s="258"/>
      <c r="V41" s="258"/>
      <c r="W41" s="259"/>
      <c r="X41" s="206"/>
      <c r="Y41" s="206"/>
      <c r="Z41" s="206"/>
    </row>
    <row r="42" spans="1:26" ht="21" customHeight="1" x14ac:dyDescent="0.3">
      <c r="A42" s="84">
        <v>11</v>
      </c>
      <c r="B42" s="85" t="s">
        <v>64</v>
      </c>
      <c r="C42" s="174">
        <f t="shared" ca="1" si="18"/>
        <v>19590</v>
      </c>
      <c r="D42" s="175">
        <f t="shared" ca="1" si="33"/>
        <v>19590</v>
      </c>
      <c r="E42" s="176">
        <f ca="1">IFERROR(__xludf.DUMMYFUNCTION("IMPORTRANGE(""https://docs.google.com/spreadsheets/d/1-uDff_7J0KD5mKrp0Vvzr7lt3OU09vwQwhkpOPPYv2Y/edit?usp=sharing"",""งบพรบ!CL42"")"),0)</f>
        <v>0</v>
      </c>
      <c r="F42" s="176">
        <f ca="1">IFERROR(__xludf.DUMMYFUNCTION("IMPORTRANGE(""https://docs.google.com/spreadsheets/d/1-uDff_7J0KD5mKrp0Vvzr7lt3OU09vwQwhkpOPPYv2Y/edit?usp=sharing"",""งบพรบ!CM42"")"),19590)</f>
        <v>19590</v>
      </c>
      <c r="G42" s="176">
        <f ca="1">IFERROR(__xludf.DUMMYFUNCTION("IMPORTRANGE(""https://docs.google.com/spreadsheets/d/1-uDff_7J0KD5mKrp0Vvzr7lt3OU09vwQwhkpOPPYv2Y/edit?usp=sharing"",""งบพรบ!CN42"")"),0)</f>
        <v>0</v>
      </c>
      <c r="H42" s="176">
        <f ca="1">IFERROR(__xludf.DUMMYFUNCTION("IMPORTRANGE(""https://docs.google.com/spreadsheets/d/1-uDff_7J0KD5mKrp0Vvzr7lt3OU09vwQwhkpOPPYv2Y/edit?usp=sharing"",""งบพรบ!CP42"")"),19590)</f>
        <v>19590</v>
      </c>
      <c r="I42" s="176">
        <f ca="1">IFERROR(__xludf.DUMMYFUNCTION("IMPORTRANGE(""https://docs.google.com/spreadsheets/d/1-uDff_7J0KD5mKrp0Vvzr7lt3OU09vwQwhkpOPPYv2Y/edit?usp=sharing"",""งบพรบ!CQ42"")"),0)</f>
        <v>0</v>
      </c>
      <c r="J42" s="176">
        <f t="shared" ca="1" si="20"/>
        <v>0</v>
      </c>
      <c r="K42" s="181">
        <f t="shared" ca="1" si="21"/>
        <v>0</v>
      </c>
      <c r="L42" s="176">
        <f ca="1">IFERROR(__xludf.DUMMYFUNCTION("IMPORTRANGE(""https://docs.google.com/spreadsheets/d/1-uDff_7J0KD5mKrp0Vvzr7lt3OU09vwQwhkpOPPYv2Y/edit?usp=sharing"",""งบพรบ!CR42"")"),0)</f>
        <v>0</v>
      </c>
      <c r="M42" s="179">
        <f t="shared" ca="1" si="22"/>
        <v>0</v>
      </c>
      <c r="N42" s="179">
        <f t="shared" ca="1" si="23"/>
        <v>0</v>
      </c>
      <c r="O42" s="180">
        <f ca="1">IFERROR(__xludf.DUMMYFUNCTION("IMPORTRANGE(""https://docs.google.com/spreadsheets/d/1-uDff_7J0KD5mKrp0Vvzr7lt3OU09vwQwhkpOPPYv2Y/edit?usp=sharing"",""งบพรบ!CS42"")"),0)</f>
        <v>0</v>
      </c>
      <c r="P42" s="180">
        <f t="shared" ca="1" si="24"/>
        <v>0</v>
      </c>
      <c r="Q42" s="179">
        <f t="shared" ca="1" si="25"/>
        <v>0</v>
      </c>
      <c r="R42" s="92">
        <f ca="1">IFERROR(__xludf.DUMMYFUNCTION("IMPORTRANGE(""https://docs.google.com/spreadsheets/d/1v_cJrbBlyqmnHPReHk44g9NrMRdENNlSy_E_c5M9fIg/edit?usp=sharing"",""ร้อยเอ็ด!I183"")"),7)</f>
        <v>7</v>
      </c>
      <c r="S42" s="92">
        <f ca="1">IFERROR(__xludf.DUMMYFUNCTION("IMPORTRANGE(""https://docs.google.com/spreadsheets/d/1v_cJrbBlyqmnHPReHk44g9NrMRdENNlSy_E_c5M9fIg/edit?usp=sharing"",""ร้อยเอ็ด!J183"")"),0)</f>
        <v>0</v>
      </c>
      <c r="T42" s="93">
        <f t="shared" ca="1" si="27"/>
        <v>0</v>
      </c>
      <c r="U42" s="258"/>
      <c r="V42" s="258"/>
      <c r="W42" s="259"/>
      <c r="X42" s="206"/>
      <c r="Y42" s="206"/>
      <c r="Z42" s="206"/>
    </row>
    <row r="43" spans="1:26" ht="21" customHeight="1" x14ac:dyDescent="0.3">
      <c r="A43" s="84">
        <v>12</v>
      </c>
      <c r="B43" s="85" t="s">
        <v>65</v>
      </c>
      <c r="C43" s="174">
        <f t="shared" ca="1" si="18"/>
        <v>19590</v>
      </c>
      <c r="D43" s="175">
        <f t="shared" ca="1" si="33"/>
        <v>19590</v>
      </c>
      <c r="E43" s="176">
        <f ca="1">IFERROR(__xludf.DUMMYFUNCTION("IMPORTRANGE(""https://docs.google.com/spreadsheets/d/1-uDff_7J0KD5mKrp0Vvzr7lt3OU09vwQwhkpOPPYv2Y/edit?usp=sharing"",""งบพรบ!CL43"")"),0)</f>
        <v>0</v>
      </c>
      <c r="F43" s="176">
        <f ca="1">IFERROR(__xludf.DUMMYFUNCTION("IMPORTRANGE(""https://docs.google.com/spreadsheets/d/1-uDff_7J0KD5mKrp0Vvzr7lt3OU09vwQwhkpOPPYv2Y/edit?usp=sharing"",""งบพรบ!CM43"")"),19590)</f>
        <v>19590</v>
      </c>
      <c r="G43" s="176">
        <f ca="1">IFERROR(__xludf.DUMMYFUNCTION("IMPORTRANGE(""https://docs.google.com/spreadsheets/d/1-uDff_7J0KD5mKrp0Vvzr7lt3OU09vwQwhkpOPPYv2Y/edit?usp=sharing"",""งบพรบ!CN43"")"),0)</f>
        <v>0</v>
      </c>
      <c r="H43" s="176">
        <f ca="1">IFERROR(__xludf.DUMMYFUNCTION("IMPORTRANGE(""https://docs.google.com/spreadsheets/d/1-uDff_7J0KD5mKrp0Vvzr7lt3OU09vwQwhkpOPPYv2Y/edit?usp=sharing"",""งบพรบ!CP43"")"),19590)</f>
        <v>19590</v>
      </c>
      <c r="I43" s="176">
        <f ca="1">IFERROR(__xludf.DUMMYFUNCTION("IMPORTRANGE(""https://docs.google.com/spreadsheets/d/1-uDff_7J0KD5mKrp0Vvzr7lt3OU09vwQwhkpOPPYv2Y/edit?usp=sharing"",""งบพรบ!CQ43"")"),0)</f>
        <v>0</v>
      </c>
      <c r="J43" s="176">
        <f t="shared" ca="1" si="20"/>
        <v>0</v>
      </c>
      <c r="K43" s="181">
        <f t="shared" ca="1" si="21"/>
        <v>0</v>
      </c>
      <c r="L43" s="176">
        <f ca="1">IFERROR(__xludf.DUMMYFUNCTION("IMPORTRANGE(""https://docs.google.com/spreadsheets/d/1-uDff_7J0KD5mKrp0Vvzr7lt3OU09vwQwhkpOPPYv2Y/edit?usp=sharing"",""งบพรบ!CR43"")"),0)</f>
        <v>0</v>
      </c>
      <c r="M43" s="179">
        <f t="shared" ca="1" si="22"/>
        <v>0</v>
      </c>
      <c r="N43" s="179">
        <f t="shared" ca="1" si="23"/>
        <v>0</v>
      </c>
      <c r="O43" s="180">
        <f ca="1">IFERROR(__xludf.DUMMYFUNCTION("IMPORTRANGE(""https://docs.google.com/spreadsheets/d/1-uDff_7J0KD5mKrp0Vvzr7lt3OU09vwQwhkpOPPYv2Y/edit?usp=sharing"",""งบพรบ!CS43"")"),0)</f>
        <v>0</v>
      </c>
      <c r="P43" s="180">
        <f t="shared" ca="1" si="24"/>
        <v>0</v>
      </c>
      <c r="Q43" s="179">
        <f t="shared" ca="1" si="25"/>
        <v>0</v>
      </c>
      <c r="R43" s="92">
        <f ca="1">IFERROR(__xludf.DUMMYFUNCTION("IMPORTRANGE(""https://docs.google.com/spreadsheets/d/1Ul4RCpCX66NxYADU1QpwAPjOmBzW64SsT11s1wzXw_c/edit?usp=sharing"",""เลย!I183"")"),7)</f>
        <v>7</v>
      </c>
      <c r="S43" s="92">
        <f ca="1">IFERROR(__xludf.DUMMYFUNCTION("IMPORTRANGE(""https://docs.google.com/spreadsheets/d/1Ul4RCpCX66NxYADU1QpwAPjOmBzW64SsT11s1wzXw_c/edit?usp=sharing"",""เลย!J183"")"),7)</f>
        <v>7</v>
      </c>
      <c r="T43" s="93">
        <f t="shared" ca="1" si="27"/>
        <v>100</v>
      </c>
      <c r="U43" s="258"/>
      <c r="V43" s="258"/>
      <c r="W43" s="259"/>
      <c r="X43" s="206"/>
      <c r="Y43" s="206"/>
      <c r="Z43" s="206"/>
    </row>
    <row r="44" spans="1:26" ht="21" customHeight="1" x14ac:dyDescent="0.3">
      <c r="A44" s="84">
        <v>13</v>
      </c>
      <c r="B44" s="85" t="s">
        <v>66</v>
      </c>
      <c r="C44" s="174">
        <f t="shared" ca="1" si="18"/>
        <v>19590</v>
      </c>
      <c r="D44" s="175">
        <f t="shared" ca="1" si="33"/>
        <v>19590</v>
      </c>
      <c r="E44" s="176">
        <f ca="1">IFERROR(__xludf.DUMMYFUNCTION("IMPORTRANGE(""https://docs.google.com/spreadsheets/d/1-uDff_7J0KD5mKrp0Vvzr7lt3OU09vwQwhkpOPPYv2Y/edit?usp=sharing"",""งบพรบ!CL44"")"),0)</f>
        <v>0</v>
      </c>
      <c r="F44" s="176">
        <f ca="1">IFERROR(__xludf.DUMMYFUNCTION("IMPORTRANGE(""https://docs.google.com/spreadsheets/d/1-uDff_7J0KD5mKrp0Vvzr7lt3OU09vwQwhkpOPPYv2Y/edit?usp=sharing"",""งบพรบ!CM44"")"),19590)</f>
        <v>19590</v>
      </c>
      <c r="G44" s="176">
        <f ca="1">IFERROR(__xludf.DUMMYFUNCTION("IMPORTRANGE(""https://docs.google.com/spreadsheets/d/1-uDff_7J0KD5mKrp0Vvzr7lt3OU09vwQwhkpOPPYv2Y/edit?usp=sharing"",""งบพรบ!CN44"")"),0)</f>
        <v>0</v>
      </c>
      <c r="H44" s="176">
        <f ca="1">IFERROR(__xludf.DUMMYFUNCTION("IMPORTRANGE(""https://docs.google.com/spreadsheets/d/1-uDff_7J0KD5mKrp0Vvzr7lt3OU09vwQwhkpOPPYv2Y/edit?usp=sharing"",""งบพรบ!CP44"")"),19590)</f>
        <v>19590</v>
      </c>
      <c r="I44" s="176">
        <f ca="1">IFERROR(__xludf.DUMMYFUNCTION("IMPORTRANGE(""https://docs.google.com/spreadsheets/d/1-uDff_7J0KD5mKrp0Vvzr7lt3OU09vwQwhkpOPPYv2Y/edit?usp=sharing"",""งบพรบ!CQ44"")"),0)</f>
        <v>0</v>
      </c>
      <c r="J44" s="176">
        <f t="shared" ca="1" si="20"/>
        <v>0</v>
      </c>
      <c r="K44" s="181">
        <f t="shared" ca="1" si="21"/>
        <v>0</v>
      </c>
      <c r="L44" s="176">
        <f ca="1">IFERROR(__xludf.DUMMYFUNCTION("IMPORTRANGE(""https://docs.google.com/spreadsheets/d/1-uDff_7J0KD5mKrp0Vvzr7lt3OU09vwQwhkpOPPYv2Y/edit?usp=sharing"",""งบพรบ!CR44"")"),0)</f>
        <v>0</v>
      </c>
      <c r="M44" s="179">
        <f t="shared" ca="1" si="22"/>
        <v>0</v>
      </c>
      <c r="N44" s="179">
        <f t="shared" ca="1" si="23"/>
        <v>0</v>
      </c>
      <c r="O44" s="180">
        <f ca="1">IFERROR(__xludf.DUMMYFUNCTION("IMPORTRANGE(""https://docs.google.com/spreadsheets/d/1-uDff_7J0KD5mKrp0Vvzr7lt3OU09vwQwhkpOPPYv2Y/edit?usp=sharing"",""งบพรบ!CS44"")"),0)</f>
        <v>0</v>
      </c>
      <c r="P44" s="180">
        <f t="shared" ca="1" si="24"/>
        <v>0</v>
      </c>
      <c r="Q44" s="179">
        <f t="shared" ca="1" si="25"/>
        <v>0</v>
      </c>
      <c r="R44" s="92">
        <f ca="1">IFERROR(__xludf.DUMMYFUNCTION("IMPORTRANGE(""https://docs.google.com/spreadsheets/d/1bRrNKwbHDVktQG10isr5vbWRtt5spIZPpkOSWgbT5ug/edit?usp=sharing"",""ศรีสะเกษ!I183"")"),7)</f>
        <v>7</v>
      </c>
      <c r="S44" s="92">
        <f ca="1">IFERROR(__xludf.DUMMYFUNCTION("IMPORTRANGE(""https://docs.google.com/spreadsheets/d/1bRrNKwbHDVktQG10isr5vbWRtt5spIZPpkOSWgbT5ug/edit?usp=sharing"",""ศรีสะเกษ!J183"")"),0)</f>
        <v>0</v>
      </c>
      <c r="T44" s="93">
        <f t="shared" ca="1" si="27"/>
        <v>0</v>
      </c>
      <c r="U44" s="258"/>
      <c r="V44" s="258"/>
      <c r="W44" s="259"/>
      <c r="X44" s="206"/>
      <c r="Y44" s="206"/>
      <c r="Z44" s="206"/>
    </row>
    <row r="45" spans="1:26" ht="21" customHeight="1" x14ac:dyDescent="0.3">
      <c r="A45" s="84">
        <v>14</v>
      </c>
      <c r="B45" s="85" t="s">
        <v>67</v>
      </c>
      <c r="C45" s="174">
        <f t="shared" ca="1" si="18"/>
        <v>19590</v>
      </c>
      <c r="D45" s="175">
        <f t="shared" ca="1" si="33"/>
        <v>19590</v>
      </c>
      <c r="E45" s="176">
        <f ca="1">IFERROR(__xludf.DUMMYFUNCTION("IMPORTRANGE(""https://docs.google.com/spreadsheets/d/1-uDff_7J0KD5mKrp0Vvzr7lt3OU09vwQwhkpOPPYv2Y/edit?usp=sharing"",""งบพรบ!CL45"")"),0)</f>
        <v>0</v>
      </c>
      <c r="F45" s="176">
        <f ca="1">IFERROR(__xludf.DUMMYFUNCTION("IMPORTRANGE(""https://docs.google.com/spreadsheets/d/1-uDff_7J0KD5mKrp0Vvzr7lt3OU09vwQwhkpOPPYv2Y/edit?usp=sharing"",""งบพรบ!CM45"")"),19590)</f>
        <v>19590</v>
      </c>
      <c r="G45" s="176">
        <f ca="1">IFERROR(__xludf.DUMMYFUNCTION("IMPORTRANGE(""https://docs.google.com/spreadsheets/d/1-uDff_7J0KD5mKrp0Vvzr7lt3OU09vwQwhkpOPPYv2Y/edit?usp=sharing"",""งบพรบ!CN45"")"),0)</f>
        <v>0</v>
      </c>
      <c r="H45" s="176">
        <f ca="1">IFERROR(__xludf.DUMMYFUNCTION("IMPORTRANGE(""https://docs.google.com/spreadsheets/d/1-uDff_7J0KD5mKrp0Vvzr7lt3OU09vwQwhkpOPPYv2Y/edit?usp=sharing"",""งบพรบ!CP45"")"),19590)</f>
        <v>19590</v>
      </c>
      <c r="I45" s="176">
        <f ca="1">IFERROR(__xludf.DUMMYFUNCTION("IMPORTRANGE(""https://docs.google.com/spreadsheets/d/1-uDff_7J0KD5mKrp0Vvzr7lt3OU09vwQwhkpOPPYv2Y/edit?usp=sharing"",""งบพรบ!CQ45"")"),0)</f>
        <v>0</v>
      </c>
      <c r="J45" s="176">
        <f t="shared" ca="1" si="20"/>
        <v>18940</v>
      </c>
      <c r="K45" s="181">
        <f t="shared" ca="1" si="21"/>
        <v>96.681980602348133</v>
      </c>
      <c r="L45" s="176">
        <f ca="1">IFERROR(__xludf.DUMMYFUNCTION("IMPORTRANGE(""https://docs.google.com/spreadsheets/d/1-uDff_7J0KD5mKrp0Vvzr7lt3OU09vwQwhkpOPPYv2Y/edit?usp=sharing"",""งบพรบ!CR45"")"),18940)</f>
        <v>18940</v>
      </c>
      <c r="M45" s="179">
        <f t="shared" ca="1" si="22"/>
        <v>96.681980602348133</v>
      </c>
      <c r="N45" s="179">
        <f t="shared" ca="1" si="23"/>
        <v>96.681980602348133</v>
      </c>
      <c r="O45" s="180">
        <f ca="1">IFERROR(__xludf.DUMMYFUNCTION("IMPORTRANGE(""https://docs.google.com/spreadsheets/d/1-uDff_7J0KD5mKrp0Vvzr7lt3OU09vwQwhkpOPPYv2Y/edit?usp=sharing"",""งบพรบ!CS45"")"),0)</f>
        <v>0</v>
      </c>
      <c r="P45" s="180">
        <f t="shared" ca="1" si="24"/>
        <v>0</v>
      </c>
      <c r="Q45" s="179">
        <f t="shared" ca="1" si="25"/>
        <v>0</v>
      </c>
      <c r="R45" s="92">
        <f ca="1">IFERROR(__xludf.DUMMYFUNCTION("IMPORTRANGE(""https://docs.google.com/spreadsheets/d/17P34_Ow5kFBfdQD0qspb2UuPX5zpi6WMrQzslghyvrI/edit?usp=sharing"",""สกลนคร!I183"")"),7)</f>
        <v>7</v>
      </c>
      <c r="S45" s="92">
        <f ca="1">IFERROR(__xludf.DUMMYFUNCTION("IMPORTRANGE(""https://docs.google.com/spreadsheets/d/17P34_Ow5kFBfdQD0qspb2UuPX5zpi6WMrQzslghyvrI/edit?usp=sharing"",""สกลนคร!J183"")"),7)</f>
        <v>7</v>
      </c>
      <c r="T45" s="93">
        <f t="shared" ca="1" si="27"/>
        <v>100</v>
      </c>
      <c r="U45" s="258"/>
      <c r="V45" s="258"/>
      <c r="W45" s="259"/>
      <c r="X45" s="206"/>
      <c r="Y45" s="206"/>
      <c r="Z45" s="206"/>
    </row>
    <row r="46" spans="1:26" ht="21" customHeight="1" x14ac:dyDescent="0.3">
      <c r="A46" s="84">
        <v>15</v>
      </c>
      <c r="B46" s="85" t="s">
        <v>68</v>
      </c>
      <c r="C46" s="174">
        <f t="shared" ca="1" si="18"/>
        <v>19590</v>
      </c>
      <c r="D46" s="175">
        <f t="shared" ca="1" si="33"/>
        <v>19590</v>
      </c>
      <c r="E46" s="176">
        <f ca="1">IFERROR(__xludf.DUMMYFUNCTION("IMPORTRANGE(""https://docs.google.com/spreadsheets/d/1-uDff_7J0KD5mKrp0Vvzr7lt3OU09vwQwhkpOPPYv2Y/edit?usp=sharing"",""งบพรบ!CL46"")"),0)</f>
        <v>0</v>
      </c>
      <c r="F46" s="176">
        <f ca="1">IFERROR(__xludf.DUMMYFUNCTION("IMPORTRANGE(""https://docs.google.com/spreadsheets/d/1-uDff_7J0KD5mKrp0Vvzr7lt3OU09vwQwhkpOPPYv2Y/edit?usp=sharing"",""งบพรบ!CM46"")"),19590)</f>
        <v>19590</v>
      </c>
      <c r="G46" s="176">
        <f ca="1">IFERROR(__xludf.DUMMYFUNCTION("IMPORTRANGE(""https://docs.google.com/spreadsheets/d/1-uDff_7J0KD5mKrp0Vvzr7lt3OU09vwQwhkpOPPYv2Y/edit?usp=sharing"",""งบพรบ!CN46"")"),0)</f>
        <v>0</v>
      </c>
      <c r="H46" s="176">
        <f ca="1">IFERROR(__xludf.DUMMYFUNCTION("IMPORTRANGE(""https://docs.google.com/spreadsheets/d/1-uDff_7J0KD5mKrp0Vvzr7lt3OU09vwQwhkpOPPYv2Y/edit?usp=sharing"",""งบพรบ!CP46"")"),19590)</f>
        <v>19590</v>
      </c>
      <c r="I46" s="176">
        <f ca="1">IFERROR(__xludf.DUMMYFUNCTION("IMPORTRANGE(""https://docs.google.com/spreadsheets/d/1-uDff_7J0KD5mKrp0Vvzr7lt3OU09vwQwhkpOPPYv2Y/edit?usp=sharing"",""งบพรบ!CQ46"")"),0)</f>
        <v>0</v>
      </c>
      <c r="J46" s="176">
        <f t="shared" ca="1" si="20"/>
        <v>0</v>
      </c>
      <c r="K46" s="181">
        <f t="shared" ca="1" si="21"/>
        <v>0</v>
      </c>
      <c r="L46" s="176">
        <f ca="1">IFERROR(__xludf.DUMMYFUNCTION("IMPORTRANGE(""https://docs.google.com/spreadsheets/d/1-uDff_7J0KD5mKrp0Vvzr7lt3OU09vwQwhkpOPPYv2Y/edit?usp=sharing"",""งบพรบ!CR46"")"),0)</f>
        <v>0</v>
      </c>
      <c r="M46" s="179">
        <f t="shared" ca="1" si="22"/>
        <v>0</v>
      </c>
      <c r="N46" s="179">
        <f t="shared" ca="1" si="23"/>
        <v>0</v>
      </c>
      <c r="O46" s="180">
        <f ca="1">IFERROR(__xludf.DUMMYFUNCTION("IMPORTRANGE(""https://docs.google.com/spreadsheets/d/1-uDff_7J0KD5mKrp0Vvzr7lt3OU09vwQwhkpOPPYv2Y/edit?usp=sharing"",""งบพรบ!CS46"")"),0)</f>
        <v>0</v>
      </c>
      <c r="P46" s="180">
        <f t="shared" ca="1" si="24"/>
        <v>0</v>
      </c>
      <c r="Q46" s="179">
        <f t="shared" ca="1" si="25"/>
        <v>0</v>
      </c>
      <c r="R46" s="92">
        <f ca="1">IFERROR(__xludf.DUMMYFUNCTION("IMPORTRANGE(""https://docs.google.com/spreadsheets/d/1yswqbM3-AEpThF3ZSUa1AcmHnmRTF1vlJ1CZGcJ8YuU/edit?usp=sharing"",""สุรินทร์!I183"")"),7)</f>
        <v>7</v>
      </c>
      <c r="S46" s="92">
        <f ca="1">IFERROR(__xludf.DUMMYFUNCTION("IMPORTRANGE(""https://docs.google.com/spreadsheets/d/1yswqbM3-AEpThF3ZSUa1AcmHnmRTF1vlJ1CZGcJ8YuU/edit?usp=sharing"",""สุรินทร์!J183"")"),0)</f>
        <v>0</v>
      </c>
      <c r="T46" s="93">
        <f t="shared" ca="1" si="27"/>
        <v>0</v>
      </c>
      <c r="U46" s="258"/>
      <c r="V46" s="258"/>
      <c r="W46" s="259"/>
      <c r="X46" s="206"/>
      <c r="Y46" s="206"/>
      <c r="Z46" s="206"/>
    </row>
    <row r="47" spans="1:26" ht="21" customHeight="1" x14ac:dyDescent="0.3">
      <c r="A47" s="84">
        <v>16</v>
      </c>
      <c r="B47" s="85" t="s">
        <v>69</v>
      </c>
      <c r="C47" s="174">
        <f t="shared" ca="1" si="18"/>
        <v>19590</v>
      </c>
      <c r="D47" s="175">
        <f t="shared" ca="1" si="33"/>
        <v>19590</v>
      </c>
      <c r="E47" s="176">
        <f ca="1">IFERROR(__xludf.DUMMYFUNCTION("IMPORTRANGE(""https://docs.google.com/spreadsheets/d/1-uDff_7J0KD5mKrp0Vvzr7lt3OU09vwQwhkpOPPYv2Y/edit?usp=sharing"",""งบพรบ!CL47"")"),0)</f>
        <v>0</v>
      </c>
      <c r="F47" s="176">
        <f ca="1">IFERROR(__xludf.DUMMYFUNCTION("IMPORTRANGE(""https://docs.google.com/spreadsheets/d/1-uDff_7J0KD5mKrp0Vvzr7lt3OU09vwQwhkpOPPYv2Y/edit?usp=sharing"",""งบพรบ!CM47"")"),19590)</f>
        <v>19590</v>
      </c>
      <c r="G47" s="176">
        <f ca="1">IFERROR(__xludf.DUMMYFUNCTION("IMPORTRANGE(""https://docs.google.com/spreadsheets/d/1-uDff_7J0KD5mKrp0Vvzr7lt3OU09vwQwhkpOPPYv2Y/edit?usp=sharing"",""งบพรบ!CN47"")"),0)</f>
        <v>0</v>
      </c>
      <c r="H47" s="176">
        <f ca="1">IFERROR(__xludf.DUMMYFUNCTION("IMPORTRANGE(""https://docs.google.com/spreadsheets/d/1-uDff_7J0KD5mKrp0Vvzr7lt3OU09vwQwhkpOPPYv2Y/edit?usp=sharing"",""งบพรบ!CP47"")"),19590)</f>
        <v>19590</v>
      </c>
      <c r="I47" s="176">
        <f ca="1">IFERROR(__xludf.DUMMYFUNCTION("IMPORTRANGE(""https://docs.google.com/spreadsheets/d/1-uDff_7J0KD5mKrp0Vvzr7lt3OU09vwQwhkpOPPYv2Y/edit?usp=sharing"",""งบพรบ!CQ47"")"),0)</f>
        <v>0</v>
      </c>
      <c r="J47" s="176">
        <f t="shared" ca="1" si="20"/>
        <v>19590</v>
      </c>
      <c r="K47" s="181">
        <f t="shared" ca="1" si="21"/>
        <v>100</v>
      </c>
      <c r="L47" s="176">
        <f ca="1">IFERROR(__xludf.DUMMYFUNCTION("IMPORTRANGE(""https://docs.google.com/spreadsheets/d/1-uDff_7J0KD5mKrp0Vvzr7lt3OU09vwQwhkpOPPYv2Y/edit?usp=sharing"",""งบพรบ!CR47"")"),19590)</f>
        <v>19590</v>
      </c>
      <c r="M47" s="179">
        <f t="shared" ca="1" si="22"/>
        <v>100</v>
      </c>
      <c r="N47" s="179">
        <f t="shared" ca="1" si="23"/>
        <v>100</v>
      </c>
      <c r="O47" s="180">
        <f ca="1">IFERROR(__xludf.DUMMYFUNCTION("IMPORTRANGE(""https://docs.google.com/spreadsheets/d/1-uDff_7J0KD5mKrp0Vvzr7lt3OU09vwQwhkpOPPYv2Y/edit?usp=sharing"",""งบพรบ!CS47"")"),0)</f>
        <v>0</v>
      </c>
      <c r="P47" s="180">
        <f t="shared" ca="1" si="24"/>
        <v>0</v>
      </c>
      <c r="Q47" s="179">
        <f t="shared" ca="1" si="25"/>
        <v>0</v>
      </c>
      <c r="R47" s="92">
        <f ca="1">IFERROR(__xludf.DUMMYFUNCTION("IMPORTRANGE(""https://docs.google.com/spreadsheets/d/13JHU_EFbsQOUQ0JSQ3dWy1VTRosIWcDq6Nc99z2qzdc/edit?usp=sharing"",""หนองคาย!I183"")"),7)</f>
        <v>7</v>
      </c>
      <c r="S47" s="92">
        <f ca="1">IFERROR(__xludf.DUMMYFUNCTION("IMPORTRANGE(""https://docs.google.com/spreadsheets/d/13JHU_EFbsQOUQ0JSQ3dWy1VTRosIWcDq6Nc99z2qzdc/edit?usp=sharing"",""หนองคาย!J183"")"),7)</f>
        <v>7</v>
      </c>
      <c r="T47" s="93">
        <f t="shared" ca="1" si="27"/>
        <v>100</v>
      </c>
      <c r="U47" s="258"/>
      <c r="V47" s="258"/>
      <c r="W47" s="259"/>
      <c r="X47" s="206"/>
      <c r="Y47" s="206"/>
      <c r="Z47" s="206"/>
    </row>
    <row r="48" spans="1:26" ht="21" customHeight="1" x14ac:dyDescent="0.3">
      <c r="A48" s="84">
        <v>17</v>
      </c>
      <c r="B48" s="85" t="s">
        <v>70</v>
      </c>
      <c r="C48" s="174">
        <f t="shared" ca="1" si="18"/>
        <v>19590</v>
      </c>
      <c r="D48" s="175">
        <f t="shared" ca="1" si="33"/>
        <v>19590</v>
      </c>
      <c r="E48" s="176">
        <f ca="1">IFERROR(__xludf.DUMMYFUNCTION("IMPORTRANGE(""https://docs.google.com/spreadsheets/d/1-uDff_7J0KD5mKrp0Vvzr7lt3OU09vwQwhkpOPPYv2Y/edit?usp=sharing"",""งบพรบ!CL48"")"),0)</f>
        <v>0</v>
      </c>
      <c r="F48" s="176">
        <f ca="1">IFERROR(__xludf.DUMMYFUNCTION("IMPORTRANGE(""https://docs.google.com/spreadsheets/d/1-uDff_7J0KD5mKrp0Vvzr7lt3OU09vwQwhkpOPPYv2Y/edit?usp=sharing"",""งบพรบ!CM48"")"),19590)</f>
        <v>19590</v>
      </c>
      <c r="G48" s="176">
        <f ca="1">IFERROR(__xludf.DUMMYFUNCTION("IMPORTRANGE(""https://docs.google.com/spreadsheets/d/1-uDff_7J0KD5mKrp0Vvzr7lt3OU09vwQwhkpOPPYv2Y/edit?usp=sharing"",""งบพรบ!CN48"")"),0)</f>
        <v>0</v>
      </c>
      <c r="H48" s="176">
        <f ca="1">IFERROR(__xludf.DUMMYFUNCTION("IMPORTRANGE(""https://docs.google.com/spreadsheets/d/1-uDff_7J0KD5mKrp0Vvzr7lt3OU09vwQwhkpOPPYv2Y/edit?usp=sharing"",""งบพรบ!CP48"")"),19590)</f>
        <v>19590</v>
      </c>
      <c r="I48" s="176">
        <f ca="1">IFERROR(__xludf.DUMMYFUNCTION("IMPORTRANGE(""https://docs.google.com/spreadsheets/d/1-uDff_7J0KD5mKrp0Vvzr7lt3OU09vwQwhkpOPPYv2Y/edit?usp=sharing"",""งบพรบ!CQ48"")"),0)</f>
        <v>0</v>
      </c>
      <c r="J48" s="176">
        <f t="shared" ca="1" si="20"/>
        <v>19590</v>
      </c>
      <c r="K48" s="181">
        <f t="shared" ca="1" si="21"/>
        <v>100</v>
      </c>
      <c r="L48" s="176">
        <f ca="1">IFERROR(__xludf.DUMMYFUNCTION("IMPORTRANGE(""https://docs.google.com/spreadsheets/d/1-uDff_7J0KD5mKrp0Vvzr7lt3OU09vwQwhkpOPPYv2Y/edit?usp=sharing"",""งบพรบ!CR48"")"),19590)</f>
        <v>19590</v>
      </c>
      <c r="M48" s="179">
        <f t="shared" ca="1" si="22"/>
        <v>100</v>
      </c>
      <c r="N48" s="179">
        <f t="shared" ca="1" si="23"/>
        <v>100</v>
      </c>
      <c r="O48" s="180">
        <f ca="1">IFERROR(__xludf.DUMMYFUNCTION("IMPORTRANGE(""https://docs.google.com/spreadsheets/d/1-uDff_7J0KD5mKrp0Vvzr7lt3OU09vwQwhkpOPPYv2Y/edit?usp=sharing"",""งบพรบ!CS48"")"),0)</f>
        <v>0</v>
      </c>
      <c r="P48" s="180">
        <f t="shared" ca="1" si="24"/>
        <v>0</v>
      </c>
      <c r="Q48" s="179">
        <f t="shared" ca="1" si="25"/>
        <v>0</v>
      </c>
      <c r="R48" s="92">
        <f ca="1">IFERROR(__xludf.DUMMYFUNCTION("IMPORTRANGE(""https://docs.google.com/spreadsheets/d/1Hx73zIEgVdDZZaYSTc46Dqv64atFhpr3GelxLbaIN8A/edit?usp=sharing"",""หนองบัวลำภู!I183"")"),7)</f>
        <v>7</v>
      </c>
      <c r="S48" s="92">
        <f ca="1">IFERROR(__xludf.DUMMYFUNCTION("IMPORTRANGE(""https://docs.google.com/spreadsheets/d/1Hx73zIEgVdDZZaYSTc46Dqv64atFhpr3GelxLbaIN8A/edit?usp=sharing"",""หนองบัวลำภู!J183"")"),7)</f>
        <v>7</v>
      </c>
      <c r="T48" s="93">
        <f t="shared" ca="1" si="27"/>
        <v>100</v>
      </c>
      <c r="U48" s="258"/>
      <c r="V48" s="258"/>
      <c r="W48" s="259"/>
      <c r="X48" s="206"/>
      <c r="Y48" s="206"/>
      <c r="Z48" s="206"/>
    </row>
    <row r="49" spans="1:26" ht="21" customHeight="1" x14ac:dyDescent="0.3">
      <c r="A49" s="84">
        <v>18</v>
      </c>
      <c r="B49" s="85" t="s">
        <v>71</v>
      </c>
      <c r="C49" s="174">
        <f t="shared" ca="1" si="18"/>
        <v>19590</v>
      </c>
      <c r="D49" s="175">
        <f t="shared" ca="1" si="33"/>
        <v>19590</v>
      </c>
      <c r="E49" s="176">
        <f ca="1">IFERROR(__xludf.DUMMYFUNCTION("IMPORTRANGE(""https://docs.google.com/spreadsheets/d/1-uDff_7J0KD5mKrp0Vvzr7lt3OU09vwQwhkpOPPYv2Y/edit?usp=sharing"",""งบพรบ!CL49"")"),0)</f>
        <v>0</v>
      </c>
      <c r="F49" s="176">
        <f ca="1">IFERROR(__xludf.DUMMYFUNCTION("IMPORTRANGE(""https://docs.google.com/spreadsheets/d/1-uDff_7J0KD5mKrp0Vvzr7lt3OU09vwQwhkpOPPYv2Y/edit?usp=sharing"",""งบพรบ!CM49"")"),19590)</f>
        <v>19590</v>
      </c>
      <c r="G49" s="176">
        <f ca="1">IFERROR(__xludf.DUMMYFUNCTION("IMPORTRANGE(""https://docs.google.com/spreadsheets/d/1-uDff_7J0KD5mKrp0Vvzr7lt3OU09vwQwhkpOPPYv2Y/edit?usp=sharing"",""งบพรบ!CN49"")"),0)</f>
        <v>0</v>
      </c>
      <c r="H49" s="176">
        <f ca="1">IFERROR(__xludf.DUMMYFUNCTION("IMPORTRANGE(""https://docs.google.com/spreadsheets/d/1-uDff_7J0KD5mKrp0Vvzr7lt3OU09vwQwhkpOPPYv2Y/edit?usp=sharing"",""งบพรบ!CP49"")"),19590)</f>
        <v>19590</v>
      </c>
      <c r="I49" s="176">
        <f ca="1">IFERROR(__xludf.DUMMYFUNCTION("IMPORTRANGE(""https://docs.google.com/spreadsheets/d/1-uDff_7J0KD5mKrp0Vvzr7lt3OU09vwQwhkpOPPYv2Y/edit?usp=sharing"",""งบพรบ!CQ49"")"),0)</f>
        <v>0</v>
      </c>
      <c r="J49" s="176">
        <f t="shared" ca="1" si="20"/>
        <v>18470</v>
      </c>
      <c r="K49" s="181">
        <f t="shared" ca="1" si="21"/>
        <v>94.282797345584484</v>
      </c>
      <c r="L49" s="176">
        <f ca="1">IFERROR(__xludf.DUMMYFUNCTION("IMPORTRANGE(""https://docs.google.com/spreadsheets/d/1-uDff_7J0KD5mKrp0Vvzr7lt3OU09vwQwhkpOPPYv2Y/edit?usp=sharing"",""งบพรบ!CR49"")"),18470)</f>
        <v>18470</v>
      </c>
      <c r="M49" s="179">
        <f t="shared" ca="1" si="22"/>
        <v>94.282797345584484</v>
      </c>
      <c r="N49" s="179">
        <f t="shared" ca="1" si="23"/>
        <v>94.282797345584484</v>
      </c>
      <c r="O49" s="180">
        <f ca="1">IFERROR(__xludf.DUMMYFUNCTION("IMPORTRANGE(""https://docs.google.com/spreadsheets/d/1-uDff_7J0KD5mKrp0Vvzr7lt3OU09vwQwhkpOPPYv2Y/edit?usp=sharing"",""งบพรบ!CS49"")"),0)</f>
        <v>0</v>
      </c>
      <c r="P49" s="180">
        <f t="shared" ca="1" si="24"/>
        <v>0</v>
      </c>
      <c r="Q49" s="179">
        <f t="shared" ca="1" si="25"/>
        <v>0</v>
      </c>
      <c r="R49" s="92">
        <f ca="1">IFERROR(__xludf.DUMMYFUNCTION("IMPORTRANGE(""https://docs.google.com/spreadsheets/d/1lFxr3ctmjFN90yc-xV6jrQ9Ty8BKYVBWnAZ15wcNIJc/edit?usp=sharing"",""อำนาจเจริญ!I183"")"),7)</f>
        <v>7</v>
      </c>
      <c r="S49" s="92">
        <f ca="1">IFERROR(__xludf.DUMMYFUNCTION("IMPORTRANGE(""https://docs.google.com/spreadsheets/d/1lFxr3ctmjFN90yc-xV6jrQ9Ty8BKYVBWnAZ15wcNIJc/edit?usp=sharing"",""อำนาจเจริญ!J183"")"),7)</f>
        <v>7</v>
      </c>
      <c r="T49" s="93">
        <f t="shared" ca="1" si="27"/>
        <v>100</v>
      </c>
      <c r="U49" s="258"/>
      <c r="V49" s="258"/>
      <c r="W49" s="259"/>
      <c r="X49" s="206"/>
      <c r="Y49" s="206"/>
      <c r="Z49" s="206"/>
    </row>
    <row r="50" spans="1:26" ht="21" customHeight="1" x14ac:dyDescent="0.3">
      <c r="A50" s="84">
        <v>19</v>
      </c>
      <c r="B50" s="85" t="s">
        <v>72</v>
      </c>
      <c r="C50" s="174">
        <f t="shared" ca="1" si="18"/>
        <v>19590</v>
      </c>
      <c r="D50" s="175">
        <f t="shared" ca="1" si="33"/>
        <v>19590</v>
      </c>
      <c r="E50" s="176">
        <f ca="1">IFERROR(__xludf.DUMMYFUNCTION("IMPORTRANGE(""https://docs.google.com/spreadsheets/d/1-uDff_7J0KD5mKrp0Vvzr7lt3OU09vwQwhkpOPPYv2Y/edit?usp=sharing"",""งบพรบ!CL50"")"),0)</f>
        <v>0</v>
      </c>
      <c r="F50" s="176">
        <f ca="1">IFERROR(__xludf.DUMMYFUNCTION("IMPORTRANGE(""https://docs.google.com/spreadsheets/d/1-uDff_7J0KD5mKrp0Vvzr7lt3OU09vwQwhkpOPPYv2Y/edit?usp=sharing"",""งบพรบ!CM50"")"),19590)</f>
        <v>19590</v>
      </c>
      <c r="G50" s="176">
        <f ca="1">IFERROR(__xludf.DUMMYFUNCTION("IMPORTRANGE(""https://docs.google.com/spreadsheets/d/1-uDff_7J0KD5mKrp0Vvzr7lt3OU09vwQwhkpOPPYv2Y/edit?usp=sharing"",""งบพรบ!CN50"")"),0)</f>
        <v>0</v>
      </c>
      <c r="H50" s="176">
        <f ca="1">IFERROR(__xludf.DUMMYFUNCTION("IMPORTRANGE(""https://docs.google.com/spreadsheets/d/1-uDff_7J0KD5mKrp0Vvzr7lt3OU09vwQwhkpOPPYv2Y/edit?usp=sharing"",""งบพรบ!CP50"")"),19590)</f>
        <v>19590</v>
      </c>
      <c r="I50" s="176">
        <f ca="1">IFERROR(__xludf.DUMMYFUNCTION("IMPORTRANGE(""https://docs.google.com/spreadsheets/d/1-uDff_7J0KD5mKrp0Vvzr7lt3OU09vwQwhkpOPPYv2Y/edit?usp=sharing"",""งบพรบ!CQ50"")"),0)</f>
        <v>0</v>
      </c>
      <c r="J50" s="176">
        <f t="shared" ca="1" si="20"/>
        <v>0</v>
      </c>
      <c r="K50" s="181">
        <f t="shared" ca="1" si="21"/>
        <v>0</v>
      </c>
      <c r="L50" s="176">
        <f ca="1">IFERROR(__xludf.DUMMYFUNCTION("IMPORTRANGE(""https://docs.google.com/spreadsheets/d/1-uDff_7J0KD5mKrp0Vvzr7lt3OU09vwQwhkpOPPYv2Y/edit?usp=sharing"",""งบพรบ!CR50"")"),0)</f>
        <v>0</v>
      </c>
      <c r="M50" s="179">
        <f t="shared" ca="1" si="22"/>
        <v>0</v>
      </c>
      <c r="N50" s="179">
        <f t="shared" ca="1" si="23"/>
        <v>0</v>
      </c>
      <c r="O50" s="180">
        <f ca="1">IFERROR(__xludf.DUMMYFUNCTION("IMPORTRANGE(""https://docs.google.com/spreadsheets/d/1-uDff_7J0KD5mKrp0Vvzr7lt3OU09vwQwhkpOPPYv2Y/edit?usp=sharing"",""งบพรบ!CS50"")"),0)</f>
        <v>0</v>
      </c>
      <c r="P50" s="180">
        <f t="shared" ca="1" si="24"/>
        <v>0</v>
      </c>
      <c r="Q50" s="179">
        <f t="shared" ca="1" si="25"/>
        <v>0</v>
      </c>
      <c r="R50" s="92">
        <f ca="1">IFERROR(__xludf.DUMMYFUNCTION("IMPORTRANGE(""https://docs.google.com/spreadsheets/d/1gF7RJpRnL-1oyjyeWxs5SFWEH7y8ahOZsQlyp2A2e-A/edit?usp=sharing"",""อุดรธานี!I183"")"),7)</f>
        <v>7</v>
      </c>
      <c r="S50" s="92">
        <f ca="1">IFERROR(__xludf.DUMMYFUNCTION("IMPORTRANGE(""https://docs.google.com/spreadsheets/d/1gF7RJpRnL-1oyjyeWxs5SFWEH7y8ahOZsQlyp2A2e-A/edit?usp=sharing"",""อุดรธานี!J183"")"),0)</f>
        <v>0</v>
      </c>
      <c r="T50" s="93">
        <f t="shared" ca="1" si="27"/>
        <v>0</v>
      </c>
      <c r="U50" s="258"/>
      <c r="V50" s="258"/>
      <c r="W50" s="259"/>
      <c r="X50" s="206"/>
      <c r="Y50" s="206"/>
      <c r="Z50" s="206"/>
    </row>
    <row r="51" spans="1:26" ht="21" customHeight="1" x14ac:dyDescent="0.3">
      <c r="A51" s="95">
        <v>20</v>
      </c>
      <c r="B51" s="96" t="s">
        <v>73</v>
      </c>
      <c r="C51" s="223">
        <f t="shared" ca="1" si="18"/>
        <v>19590</v>
      </c>
      <c r="D51" s="224">
        <f t="shared" ca="1" si="33"/>
        <v>19590</v>
      </c>
      <c r="E51" s="225">
        <f ca="1">IFERROR(__xludf.DUMMYFUNCTION("IMPORTRANGE(""https://docs.google.com/spreadsheets/d/1-uDff_7J0KD5mKrp0Vvzr7lt3OU09vwQwhkpOPPYv2Y/edit?usp=sharing"",""งบพรบ!CL51"")"),0)</f>
        <v>0</v>
      </c>
      <c r="F51" s="225">
        <f ca="1">IFERROR(__xludf.DUMMYFUNCTION("IMPORTRANGE(""https://docs.google.com/spreadsheets/d/1-uDff_7J0KD5mKrp0Vvzr7lt3OU09vwQwhkpOPPYv2Y/edit?usp=sharing"",""งบพรบ!CM51"")"),19590)</f>
        <v>19590</v>
      </c>
      <c r="G51" s="225">
        <f ca="1">IFERROR(__xludf.DUMMYFUNCTION("IMPORTRANGE(""https://docs.google.com/spreadsheets/d/1-uDff_7J0KD5mKrp0Vvzr7lt3OU09vwQwhkpOPPYv2Y/edit?usp=sharing"",""งบพรบ!CN51"")"),0)</f>
        <v>0</v>
      </c>
      <c r="H51" s="225">
        <f ca="1">IFERROR(__xludf.DUMMYFUNCTION("IMPORTRANGE(""https://docs.google.com/spreadsheets/d/1-uDff_7J0KD5mKrp0Vvzr7lt3OU09vwQwhkpOPPYv2Y/edit?usp=sharing"",""งบพรบ!CP51"")"),19590)</f>
        <v>19590</v>
      </c>
      <c r="I51" s="225">
        <f ca="1">IFERROR(__xludf.DUMMYFUNCTION("IMPORTRANGE(""https://docs.google.com/spreadsheets/d/1-uDff_7J0KD5mKrp0Vvzr7lt3OU09vwQwhkpOPPYv2Y/edit?usp=sharing"",""งบพรบ!CQ51"")"),0)</f>
        <v>0</v>
      </c>
      <c r="J51" s="225">
        <f t="shared" ca="1" si="20"/>
        <v>19090</v>
      </c>
      <c r="K51" s="226">
        <f t="shared" ca="1" si="21"/>
        <v>97.447677386421645</v>
      </c>
      <c r="L51" s="225">
        <f ca="1">IFERROR(__xludf.DUMMYFUNCTION("IMPORTRANGE(""https://docs.google.com/spreadsheets/d/1-uDff_7J0KD5mKrp0Vvzr7lt3OU09vwQwhkpOPPYv2Y/edit?usp=sharing"",""งบพรบ!CR51"")"),19090)</f>
        <v>19090</v>
      </c>
      <c r="M51" s="227">
        <f t="shared" ca="1" si="22"/>
        <v>97.447677386421645</v>
      </c>
      <c r="N51" s="227">
        <f t="shared" ca="1" si="23"/>
        <v>97.447677386421645</v>
      </c>
      <c r="O51" s="228">
        <f ca="1">IFERROR(__xludf.DUMMYFUNCTION("IMPORTRANGE(""https://docs.google.com/spreadsheets/d/1-uDff_7J0KD5mKrp0Vvzr7lt3OU09vwQwhkpOPPYv2Y/edit?usp=sharing"",""งบพรบ!CS51"")"),0)</f>
        <v>0</v>
      </c>
      <c r="P51" s="228">
        <f t="shared" ca="1" si="24"/>
        <v>0</v>
      </c>
      <c r="Q51" s="227">
        <f t="shared" ca="1" si="25"/>
        <v>0</v>
      </c>
      <c r="R51" s="103">
        <f ca="1">IFERROR(__xludf.DUMMYFUNCTION("IMPORTRANGE(""https://docs.google.com/spreadsheets/d/1kfLP0j3INXRa8bTDpcEmoWewMBV61jlFlfzczfjWIgc/edit?usp=sharing"",""อุบลราชธานี!I183"")"),7)</f>
        <v>7</v>
      </c>
      <c r="S51" s="103">
        <f ca="1">IFERROR(__xludf.DUMMYFUNCTION("IMPORTRANGE(""https://docs.google.com/spreadsheets/d/1kfLP0j3INXRa8bTDpcEmoWewMBV61jlFlfzczfjWIgc/edit?usp=sharing"",""อุบลราชธานี!J183"")"),0)</f>
        <v>0</v>
      </c>
      <c r="T51" s="104">
        <f t="shared" ca="1" si="27"/>
        <v>0</v>
      </c>
      <c r="U51" s="260"/>
      <c r="V51" s="260"/>
      <c r="W51" s="261"/>
      <c r="X51" s="206"/>
      <c r="Y51" s="206"/>
      <c r="Z51" s="206"/>
    </row>
    <row r="52" spans="1:26" ht="21" customHeight="1" x14ac:dyDescent="0.3">
      <c r="A52" s="443" t="s">
        <v>74</v>
      </c>
      <c r="B52" s="376"/>
      <c r="C52" s="229" t="e">
        <f t="shared" ca="1" si="18"/>
        <v>#VALUE!</v>
      </c>
      <c r="D52" s="229" t="e">
        <f t="shared" ref="D52:I52" ca="1" si="34">SUM(D53:D73)</f>
        <v>#VALUE!</v>
      </c>
      <c r="E52" s="229">
        <f t="shared" ca="1" si="34"/>
        <v>0</v>
      </c>
      <c r="F52" s="229">
        <f t="shared" ca="1" si="34"/>
        <v>372210</v>
      </c>
      <c r="G52" s="229">
        <f t="shared" ca="1" si="34"/>
        <v>0</v>
      </c>
      <c r="H52" s="229">
        <f t="shared" ca="1" si="34"/>
        <v>372210</v>
      </c>
      <c r="I52" s="229">
        <f t="shared" ca="1" si="34"/>
        <v>0</v>
      </c>
      <c r="J52" s="229">
        <f t="shared" ca="1" si="20"/>
        <v>134390</v>
      </c>
      <c r="K52" s="230" t="e">
        <f t="shared" ca="1" si="21"/>
        <v>#VALUE!</v>
      </c>
      <c r="L52" s="229">
        <f ca="1">SUM(L53:L73)</f>
        <v>134390</v>
      </c>
      <c r="M52" s="231" t="e">
        <f t="shared" ca="1" si="22"/>
        <v>#VALUE!</v>
      </c>
      <c r="N52" s="231">
        <f t="shared" ca="1" si="23"/>
        <v>36.105961688294244</v>
      </c>
      <c r="O52" s="232">
        <f ca="1">SUM(O53:O73)</f>
        <v>0</v>
      </c>
      <c r="P52" s="232">
        <f t="shared" ca="1" si="24"/>
        <v>0</v>
      </c>
      <c r="Q52" s="231">
        <f t="shared" ca="1" si="25"/>
        <v>0</v>
      </c>
      <c r="R52" s="68">
        <f t="shared" ref="R52:S52" ca="1" si="35">SUM(R53:R73)</f>
        <v>133</v>
      </c>
      <c r="S52" s="68">
        <f t="shared" ca="1" si="35"/>
        <v>35</v>
      </c>
      <c r="T52" s="107">
        <f t="shared" ca="1" si="27"/>
        <v>26.315789473684209</v>
      </c>
      <c r="U52" s="250">
        <f t="shared" ref="U52:V52" si="36">SUM(U53:U73)</f>
        <v>0</v>
      </c>
      <c r="V52" s="250">
        <f t="shared" si="36"/>
        <v>0</v>
      </c>
      <c r="W52" s="251">
        <f>IF(U52&gt;0,V52*100/U52,0)</f>
        <v>0</v>
      </c>
      <c r="X52" s="206"/>
      <c r="Y52" s="206"/>
      <c r="Z52" s="206"/>
    </row>
    <row r="53" spans="1:26" ht="21" customHeight="1" x14ac:dyDescent="0.3">
      <c r="A53" s="74">
        <v>1</v>
      </c>
      <c r="B53" s="75" t="s">
        <v>75</v>
      </c>
      <c r="C53" s="174">
        <f t="shared" ca="1" si="18"/>
        <v>19590</v>
      </c>
      <c r="D53" s="175">
        <f t="shared" ref="D53:D73" ca="1" si="37">+E53+F53</f>
        <v>19590</v>
      </c>
      <c r="E53" s="176">
        <f ca="1">IFERROR(__xludf.DUMMYFUNCTION("IMPORTRANGE(""https://docs.google.com/spreadsheets/d/1-uDff_7J0KD5mKrp0Vvzr7lt3OU09vwQwhkpOPPYv2Y/edit?usp=sharing"",""งบพรบ!CL53"")"),0)</f>
        <v>0</v>
      </c>
      <c r="F53" s="176">
        <f ca="1">IFERROR(__xludf.DUMMYFUNCTION("IMPORTRANGE(""https://docs.google.com/spreadsheets/d/1-uDff_7J0KD5mKrp0Vvzr7lt3OU09vwQwhkpOPPYv2Y/edit?usp=sharing"",""งบพรบ!CM53"")"),19590)</f>
        <v>19590</v>
      </c>
      <c r="G53" s="177">
        <f ca="1">IFERROR(__xludf.DUMMYFUNCTION("IMPORTRANGE(""https://docs.google.com/spreadsheets/d/1-uDff_7J0KD5mKrp0Vvzr7lt3OU09vwQwhkpOPPYv2Y/edit?usp=sharing"",""งบพรบ!CN53"")"),0)</f>
        <v>0</v>
      </c>
      <c r="H53" s="177">
        <f ca="1">IFERROR(__xludf.DUMMYFUNCTION("IMPORTRANGE(""https://docs.google.com/spreadsheets/d/1-uDff_7J0KD5mKrp0Vvzr7lt3OU09vwQwhkpOPPYv2Y/edit?usp=sharing"",""งบพรบ!CP53"")"),19590)</f>
        <v>19590</v>
      </c>
      <c r="I53" s="177">
        <f ca="1">IFERROR(__xludf.DUMMYFUNCTION("IMPORTRANGE(""https://docs.google.com/spreadsheets/d/1-uDff_7J0KD5mKrp0Vvzr7lt3OU09vwQwhkpOPPYv2Y/edit?usp=sharing"",""งบพรบ!CQ53"")"),0)</f>
        <v>0</v>
      </c>
      <c r="J53" s="177">
        <f t="shared" ca="1" si="20"/>
        <v>0</v>
      </c>
      <c r="K53" s="178">
        <f t="shared" ca="1" si="21"/>
        <v>0</v>
      </c>
      <c r="L53" s="177">
        <f ca="1">IFERROR(__xludf.DUMMYFUNCTION("IMPORTRANGE(""https://docs.google.com/spreadsheets/d/1-uDff_7J0KD5mKrp0Vvzr7lt3OU09vwQwhkpOPPYv2Y/edit?usp=sharing"",""งบพรบ!CR53"")"),0)</f>
        <v>0</v>
      </c>
      <c r="M53" s="179">
        <f t="shared" ca="1" si="22"/>
        <v>0</v>
      </c>
      <c r="N53" s="179">
        <f t="shared" ca="1" si="23"/>
        <v>0</v>
      </c>
      <c r="O53" s="180">
        <f ca="1">IFERROR(__xludf.DUMMYFUNCTION("IMPORTRANGE(""https://docs.google.com/spreadsheets/d/1-uDff_7J0KD5mKrp0Vvzr7lt3OU09vwQwhkpOPPYv2Y/edit?usp=sharing"",""งบพรบ!CS53"")"),0)</f>
        <v>0</v>
      </c>
      <c r="P53" s="180">
        <f t="shared" ca="1" si="24"/>
        <v>0</v>
      </c>
      <c r="Q53" s="179">
        <f t="shared" ca="1" si="25"/>
        <v>0</v>
      </c>
      <c r="R53" s="79">
        <f ca="1">IFERROR(__xludf.DUMMYFUNCTION("IMPORTRANGE(""https://docs.google.com/spreadsheets/d/13wPX838HrBrQMCywv1BsuMkt4PEKTChp52zj44s2izQ/edit?usp=sharing"",""กาญจนบุรี!I183"")"),7)</f>
        <v>7</v>
      </c>
      <c r="S53" s="79">
        <f ca="1">IFERROR(__xludf.DUMMYFUNCTION("IMPORTRANGE(""https://docs.google.com/spreadsheets/d/13wPX838HrBrQMCywv1BsuMkt4PEKTChp52zj44s2izQ/edit?usp=sharing"",""กาญจนบุรี!J183"")"),0)</f>
        <v>0</v>
      </c>
      <c r="T53" s="83">
        <f t="shared" ca="1" si="27"/>
        <v>0</v>
      </c>
      <c r="U53" s="258"/>
      <c r="V53" s="258"/>
      <c r="W53" s="259"/>
      <c r="X53" s="206"/>
      <c r="Y53" s="206"/>
      <c r="Z53" s="206"/>
    </row>
    <row r="54" spans="1:26" ht="21" customHeight="1" x14ac:dyDescent="0.3">
      <c r="A54" s="84">
        <v>2</v>
      </c>
      <c r="B54" s="85" t="s">
        <v>76</v>
      </c>
      <c r="C54" s="174">
        <f t="shared" ca="1" si="18"/>
        <v>19590</v>
      </c>
      <c r="D54" s="175">
        <f t="shared" ca="1" si="37"/>
        <v>19590</v>
      </c>
      <c r="E54" s="176">
        <f ca="1">IFERROR(__xludf.DUMMYFUNCTION("IMPORTRANGE(""https://docs.google.com/spreadsheets/d/1-uDff_7J0KD5mKrp0Vvzr7lt3OU09vwQwhkpOPPYv2Y/edit?usp=sharing"",""งบพรบ!CL54"")"),0)</f>
        <v>0</v>
      </c>
      <c r="F54" s="176">
        <f ca="1">IFERROR(__xludf.DUMMYFUNCTION("IMPORTRANGE(""https://docs.google.com/spreadsheets/d/1-uDff_7J0KD5mKrp0Vvzr7lt3OU09vwQwhkpOPPYv2Y/edit?usp=sharing"",""งบพรบ!CM54"")"),19590)</f>
        <v>19590</v>
      </c>
      <c r="G54" s="176">
        <f ca="1">IFERROR(__xludf.DUMMYFUNCTION("IMPORTRANGE(""https://docs.google.com/spreadsheets/d/1-uDff_7J0KD5mKrp0Vvzr7lt3OU09vwQwhkpOPPYv2Y/edit?usp=sharing"",""งบพรบ!CN54"")"),0)</f>
        <v>0</v>
      </c>
      <c r="H54" s="176">
        <f ca="1">IFERROR(__xludf.DUMMYFUNCTION("IMPORTRANGE(""https://docs.google.com/spreadsheets/d/1-uDff_7J0KD5mKrp0Vvzr7lt3OU09vwQwhkpOPPYv2Y/edit?usp=sharing"",""งบพรบ!CP54"")"),19590)</f>
        <v>19590</v>
      </c>
      <c r="I54" s="176">
        <f ca="1">IFERROR(__xludf.DUMMYFUNCTION("IMPORTRANGE(""https://docs.google.com/spreadsheets/d/1-uDff_7J0KD5mKrp0Vvzr7lt3OU09vwQwhkpOPPYv2Y/edit?usp=sharing"",""งบพรบ!CQ54"")"),0)</f>
        <v>0</v>
      </c>
      <c r="J54" s="176">
        <f t="shared" ca="1" si="20"/>
        <v>19590</v>
      </c>
      <c r="K54" s="181">
        <f t="shared" ca="1" si="21"/>
        <v>100</v>
      </c>
      <c r="L54" s="176">
        <f ca="1">IFERROR(__xludf.DUMMYFUNCTION("IMPORTRANGE(""https://docs.google.com/spreadsheets/d/1-uDff_7J0KD5mKrp0Vvzr7lt3OU09vwQwhkpOPPYv2Y/edit?usp=sharing"",""งบพรบ!CR54"")"),19590)</f>
        <v>19590</v>
      </c>
      <c r="M54" s="179">
        <f t="shared" ca="1" si="22"/>
        <v>100</v>
      </c>
      <c r="N54" s="179">
        <f t="shared" ca="1" si="23"/>
        <v>100</v>
      </c>
      <c r="O54" s="180">
        <f ca="1">IFERROR(__xludf.DUMMYFUNCTION("IMPORTRANGE(""https://docs.google.com/spreadsheets/d/1-uDff_7J0KD5mKrp0Vvzr7lt3OU09vwQwhkpOPPYv2Y/edit?usp=sharing"",""งบพรบ!CS54"")"),0)</f>
        <v>0</v>
      </c>
      <c r="P54" s="180">
        <f t="shared" ca="1" si="24"/>
        <v>0</v>
      </c>
      <c r="Q54" s="179">
        <f t="shared" ca="1" si="25"/>
        <v>0</v>
      </c>
      <c r="R54" s="92">
        <f ca="1">IFERROR(__xludf.DUMMYFUNCTION("IMPORTRANGE(""https://docs.google.com/spreadsheets/d/1ddFKvqj1W1NEiWytbGlB1zMx_ykJDVtmfEQ-6-lIUBA/edit?usp=sharing"",""จันทบุรี!I183"")"),7)</f>
        <v>7</v>
      </c>
      <c r="S54" s="92">
        <f ca="1">IFERROR(__xludf.DUMMYFUNCTION("IMPORTRANGE(""https://docs.google.com/spreadsheets/d/1ddFKvqj1W1NEiWytbGlB1zMx_ykJDVtmfEQ-6-lIUBA/edit?usp=sharing"",""จันทบุรี!J183"")"),7)</f>
        <v>7</v>
      </c>
      <c r="T54" s="93">
        <f t="shared" ca="1" si="27"/>
        <v>100</v>
      </c>
      <c r="U54" s="258"/>
      <c r="V54" s="258"/>
      <c r="W54" s="259"/>
      <c r="X54" s="206"/>
      <c r="Y54" s="206"/>
      <c r="Z54" s="206"/>
    </row>
    <row r="55" spans="1:26" ht="21" customHeight="1" x14ac:dyDescent="0.3">
      <c r="A55" s="84">
        <v>3</v>
      </c>
      <c r="B55" s="85" t="s">
        <v>77</v>
      </c>
      <c r="C55" s="174">
        <f t="shared" ca="1" si="18"/>
        <v>19590</v>
      </c>
      <c r="D55" s="175">
        <f t="shared" ca="1" si="37"/>
        <v>19590</v>
      </c>
      <c r="E55" s="176">
        <f ca="1">IFERROR(__xludf.DUMMYFUNCTION("IMPORTRANGE(""https://docs.google.com/spreadsheets/d/1-uDff_7J0KD5mKrp0Vvzr7lt3OU09vwQwhkpOPPYv2Y/edit?usp=sharing"",""งบพรบ!CL55"")"),0)</f>
        <v>0</v>
      </c>
      <c r="F55" s="176">
        <f ca="1">IFERROR(__xludf.DUMMYFUNCTION("IMPORTRANGE(""https://docs.google.com/spreadsheets/d/1-uDff_7J0KD5mKrp0Vvzr7lt3OU09vwQwhkpOPPYv2Y/edit?usp=sharing"",""งบพรบ!CM55"")"),19590)</f>
        <v>19590</v>
      </c>
      <c r="G55" s="176">
        <f ca="1">IFERROR(__xludf.DUMMYFUNCTION("IMPORTRANGE(""https://docs.google.com/spreadsheets/d/1-uDff_7J0KD5mKrp0Vvzr7lt3OU09vwQwhkpOPPYv2Y/edit?usp=sharing"",""งบพรบ!CN55"")"),0)</f>
        <v>0</v>
      </c>
      <c r="H55" s="176">
        <f ca="1">IFERROR(__xludf.DUMMYFUNCTION("IMPORTRANGE(""https://docs.google.com/spreadsheets/d/1-uDff_7J0KD5mKrp0Vvzr7lt3OU09vwQwhkpOPPYv2Y/edit?usp=sharing"",""งบพรบ!CP55"")"),19590)</f>
        <v>19590</v>
      </c>
      <c r="I55" s="176">
        <f ca="1">IFERROR(__xludf.DUMMYFUNCTION("IMPORTRANGE(""https://docs.google.com/spreadsheets/d/1-uDff_7J0KD5mKrp0Vvzr7lt3OU09vwQwhkpOPPYv2Y/edit?usp=sharing"",""งบพรบ!CQ55"")"),0)</f>
        <v>0</v>
      </c>
      <c r="J55" s="176">
        <f t="shared" ca="1" si="20"/>
        <v>19590</v>
      </c>
      <c r="K55" s="181">
        <f t="shared" ca="1" si="21"/>
        <v>100</v>
      </c>
      <c r="L55" s="176">
        <f ca="1">IFERROR(__xludf.DUMMYFUNCTION("IMPORTRANGE(""https://docs.google.com/spreadsheets/d/1-uDff_7J0KD5mKrp0Vvzr7lt3OU09vwQwhkpOPPYv2Y/edit?usp=sharing"",""งบพรบ!CR55"")"),19590)</f>
        <v>19590</v>
      </c>
      <c r="M55" s="179">
        <f t="shared" ca="1" si="22"/>
        <v>100</v>
      </c>
      <c r="N55" s="179">
        <f t="shared" ca="1" si="23"/>
        <v>100</v>
      </c>
      <c r="O55" s="180">
        <f ca="1">IFERROR(__xludf.DUMMYFUNCTION("IMPORTRANGE(""https://docs.google.com/spreadsheets/d/1-uDff_7J0KD5mKrp0Vvzr7lt3OU09vwQwhkpOPPYv2Y/edit?usp=sharing"",""งบพรบ!CS55"")"),0)</f>
        <v>0</v>
      </c>
      <c r="P55" s="180">
        <f t="shared" ca="1" si="24"/>
        <v>0</v>
      </c>
      <c r="Q55" s="179">
        <f t="shared" ca="1" si="25"/>
        <v>0</v>
      </c>
      <c r="R55" s="92">
        <f ca="1">IFERROR(__xludf.DUMMYFUNCTION("IMPORTRANGE(""https://docs.google.com/spreadsheets/d/1T1PQvRODqOBZk8BRht_U031fIS1beLA0Ub2CEytj2q0/edit?usp=sharing"",""ฉะเชิงเทรา!I183"")"),7)</f>
        <v>7</v>
      </c>
      <c r="S55" s="92">
        <f ca="1">IFERROR(__xludf.DUMMYFUNCTION("IMPORTRANGE(""https://docs.google.com/spreadsheets/d/1T1PQvRODqOBZk8BRht_U031fIS1beLA0Ub2CEytj2q0/edit?usp=sharing"",""ฉะเชิงเทรา!J183"")"),7)</f>
        <v>7</v>
      </c>
      <c r="T55" s="93">
        <f t="shared" ca="1" si="27"/>
        <v>100</v>
      </c>
      <c r="U55" s="258"/>
      <c r="V55" s="258"/>
      <c r="W55" s="259"/>
      <c r="X55" s="206"/>
      <c r="Y55" s="206"/>
      <c r="Z55" s="206"/>
    </row>
    <row r="56" spans="1:26" ht="21" customHeight="1" x14ac:dyDescent="0.3">
      <c r="A56" s="84">
        <v>4</v>
      </c>
      <c r="B56" s="85" t="s">
        <v>78</v>
      </c>
      <c r="C56" s="174" t="e">
        <f t="shared" ca="1" si="18"/>
        <v>#VALUE!</v>
      </c>
      <c r="D56" s="175" t="e">
        <f t="shared" ca="1" si="37"/>
        <v>#VALUE!</v>
      </c>
      <c r="E56" s="176">
        <f ca="1">IFERROR(__xludf.DUMMYFUNCTION("IMPORTRANGE(""https://docs.google.com/spreadsheets/d/1-uDff_7J0KD5mKrp0Vvzr7lt3OU09vwQwhkpOPPYv2Y/edit?usp=sharing"",""งบพรบ!CL56"")"),0)</f>
        <v>0</v>
      </c>
      <c r="F56" s="176" t="str">
        <f ca="1">IFERROR(__xludf.DUMMYFUNCTION("IMPORTRANGE(""https://docs.google.com/spreadsheets/d/1-uDff_7J0KD5mKrp0Vvzr7lt3OU09vwQwhkpOPPYv2Y/edit?usp=sharing"",""งบพรบ!CM56"")"),"")</f>
        <v/>
      </c>
      <c r="G56" s="176">
        <f ca="1">IFERROR(__xludf.DUMMYFUNCTION("IMPORTRANGE(""https://docs.google.com/spreadsheets/d/1-uDff_7J0KD5mKrp0Vvzr7lt3OU09vwQwhkpOPPYv2Y/edit?usp=sharing"",""งบพรบ!CN56"")"),0)</f>
        <v>0</v>
      </c>
      <c r="H56" s="176">
        <f ca="1">IFERROR(__xludf.DUMMYFUNCTION("IMPORTRANGE(""https://docs.google.com/spreadsheets/d/1-uDff_7J0KD5mKrp0Vvzr7lt3OU09vwQwhkpOPPYv2Y/edit?usp=sharing"",""งบพรบ!CP56"")"),0)</f>
        <v>0</v>
      </c>
      <c r="I56" s="176">
        <f ca="1">IFERROR(__xludf.DUMMYFUNCTION("IMPORTRANGE(""https://docs.google.com/spreadsheets/d/1-uDff_7J0KD5mKrp0Vvzr7lt3OU09vwQwhkpOPPYv2Y/edit?usp=sharing"",""งบพรบ!CQ56"")"),0)</f>
        <v>0</v>
      </c>
      <c r="J56" s="176">
        <f t="shared" ca="1" si="20"/>
        <v>0</v>
      </c>
      <c r="K56" s="181" t="e">
        <f t="shared" ca="1" si="21"/>
        <v>#VALUE!</v>
      </c>
      <c r="L56" s="176">
        <f ca="1">IFERROR(__xludf.DUMMYFUNCTION("IMPORTRANGE(""https://docs.google.com/spreadsheets/d/1-uDff_7J0KD5mKrp0Vvzr7lt3OU09vwQwhkpOPPYv2Y/edit?usp=sharing"",""งบพรบ!CR56"")"),0)</f>
        <v>0</v>
      </c>
      <c r="M56" s="179" t="e">
        <f t="shared" ca="1" si="22"/>
        <v>#VALUE!</v>
      </c>
      <c r="N56" s="179">
        <f t="shared" ca="1" si="23"/>
        <v>0</v>
      </c>
      <c r="O56" s="180">
        <f ca="1">IFERROR(__xludf.DUMMYFUNCTION("IMPORTRANGE(""https://docs.google.com/spreadsheets/d/1-uDff_7J0KD5mKrp0Vvzr7lt3OU09vwQwhkpOPPYv2Y/edit?usp=sharing"",""งบพรบ!CS56"")"),0)</f>
        <v>0</v>
      </c>
      <c r="P56" s="180">
        <f t="shared" ca="1" si="24"/>
        <v>0</v>
      </c>
      <c r="Q56" s="179">
        <f t="shared" ca="1" si="25"/>
        <v>0</v>
      </c>
      <c r="R56" s="92">
        <f ca="1">IFERROR(__xludf.DUMMYFUNCTION("IMPORTRANGE(""https://docs.google.com/spreadsheets/d/11tr1B-Bhyr79v2bkwVh5h_fR-PStkgjlZtkrZpYurG0/edit?usp=sharing"",""ชลบุรี!I183"")"),0)</f>
        <v>0</v>
      </c>
      <c r="S56" s="92">
        <f ca="1">IFERROR(__xludf.DUMMYFUNCTION("IMPORTRANGE(""https://docs.google.com/spreadsheets/d/11tr1B-Bhyr79v2bkwVh5h_fR-PStkgjlZtkrZpYurG0/edit?usp=sharing"",""ชลบุรี!J183"")"),0)</f>
        <v>0</v>
      </c>
      <c r="T56" s="93">
        <f t="shared" ca="1" si="27"/>
        <v>0</v>
      </c>
      <c r="U56" s="258"/>
      <c r="V56" s="258"/>
      <c r="W56" s="259"/>
      <c r="X56" s="206"/>
      <c r="Y56" s="206"/>
      <c r="Z56" s="206"/>
    </row>
    <row r="57" spans="1:26" ht="21" customHeight="1" x14ac:dyDescent="0.3">
      <c r="A57" s="84">
        <v>5</v>
      </c>
      <c r="B57" s="85" t="s">
        <v>79</v>
      </c>
      <c r="C57" s="174">
        <f t="shared" ca="1" si="18"/>
        <v>19590</v>
      </c>
      <c r="D57" s="175">
        <f t="shared" ca="1" si="37"/>
        <v>19590</v>
      </c>
      <c r="E57" s="176">
        <f ca="1">IFERROR(__xludf.DUMMYFUNCTION("IMPORTRANGE(""https://docs.google.com/spreadsheets/d/1-uDff_7J0KD5mKrp0Vvzr7lt3OU09vwQwhkpOPPYv2Y/edit?usp=sharing"",""งบพรบ!CL57"")"),0)</f>
        <v>0</v>
      </c>
      <c r="F57" s="176">
        <f ca="1">IFERROR(__xludf.DUMMYFUNCTION("IMPORTRANGE(""https://docs.google.com/spreadsheets/d/1-uDff_7J0KD5mKrp0Vvzr7lt3OU09vwQwhkpOPPYv2Y/edit?usp=sharing"",""งบพรบ!CM57"")"),19590)</f>
        <v>19590</v>
      </c>
      <c r="G57" s="176">
        <f ca="1">IFERROR(__xludf.DUMMYFUNCTION("IMPORTRANGE(""https://docs.google.com/spreadsheets/d/1-uDff_7J0KD5mKrp0Vvzr7lt3OU09vwQwhkpOPPYv2Y/edit?usp=sharing"",""งบพรบ!CN57"")"),0)</f>
        <v>0</v>
      </c>
      <c r="H57" s="176">
        <f ca="1">IFERROR(__xludf.DUMMYFUNCTION("IMPORTRANGE(""https://docs.google.com/spreadsheets/d/1-uDff_7J0KD5mKrp0Vvzr7lt3OU09vwQwhkpOPPYv2Y/edit?usp=sharing"",""งบพรบ!CP57"")"),19590)</f>
        <v>19590</v>
      </c>
      <c r="I57" s="176">
        <f ca="1">IFERROR(__xludf.DUMMYFUNCTION("IMPORTRANGE(""https://docs.google.com/spreadsheets/d/1-uDff_7J0KD5mKrp0Vvzr7lt3OU09vwQwhkpOPPYv2Y/edit?usp=sharing"",""งบพรบ!CQ57"")"),0)</f>
        <v>0</v>
      </c>
      <c r="J57" s="176">
        <f t="shared" ca="1" si="20"/>
        <v>0</v>
      </c>
      <c r="K57" s="181">
        <f t="shared" ca="1" si="21"/>
        <v>0</v>
      </c>
      <c r="L57" s="176">
        <f ca="1">IFERROR(__xludf.DUMMYFUNCTION("IMPORTRANGE(""https://docs.google.com/spreadsheets/d/1-uDff_7J0KD5mKrp0Vvzr7lt3OU09vwQwhkpOPPYv2Y/edit?usp=sharing"",""งบพรบ!CR57"")"),0)</f>
        <v>0</v>
      </c>
      <c r="M57" s="179">
        <f t="shared" ca="1" si="22"/>
        <v>0</v>
      </c>
      <c r="N57" s="179">
        <f t="shared" ca="1" si="23"/>
        <v>0</v>
      </c>
      <c r="O57" s="180">
        <f ca="1">IFERROR(__xludf.DUMMYFUNCTION("IMPORTRANGE(""https://docs.google.com/spreadsheets/d/1-uDff_7J0KD5mKrp0Vvzr7lt3OU09vwQwhkpOPPYv2Y/edit?usp=sharing"",""งบพรบ!CS57"")"),0)</f>
        <v>0</v>
      </c>
      <c r="P57" s="180">
        <f t="shared" ca="1" si="24"/>
        <v>0</v>
      </c>
      <c r="Q57" s="179">
        <f t="shared" ca="1" si="25"/>
        <v>0</v>
      </c>
      <c r="R57" s="92">
        <f ca="1">IFERROR(__xludf.DUMMYFUNCTION("IMPORTRANGE(""https://docs.google.com/spreadsheets/d/1hh-FVnSX0vozXhGluamEcS54Dw9_zqW0N7qJUWgJ0Sw/edit?usp=sharing"",""ชัยนาท!I183"")"),7)</f>
        <v>7</v>
      </c>
      <c r="S57" s="92">
        <f ca="1">IFERROR(__xludf.DUMMYFUNCTION("IMPORTRANGE(""https://docs.google.com/spreadsheets/d/1hh-FVnSX0vozXhGluamEcS54Dw9_zqW0N7qJUWgJ0Sw/edit?usp=sharing"",""ชัยนาท!J183"")"),0)</f>
        <v>0</v>
      </c>
      <c r="T57" s="93">
        <f t="shared" ca="1" si="27"/>
        <v>0</v>
      </c>
      <c r="U57" s="258"/>
      <c r="V57" s="258"/>
      <c r="W57" s="259"/>
      <c r="X57" s="206"/>
      <c r="Y57" s="206"/>
      <c r="Z57" s="206"/>
    </row>
    <row r="58" spans="1:26" ht="21" customHeight="1" x14ac:dyDescent="0.3">
      <c r="A58" s="84">
        <v>6</v>
      </c>
      <c r="B58" s="85" t="s">
        <v>80</v>
      </c>
      <c r="C58" s="174">
        <f t="shared" ca="1" si="18"/>
        <v>19590</v>
      </c>
      <c r="D58" s="175">
        <f t="shared" ca="1" si="37"/>
        <v>19590</v>
      </c>
      <c r="E58" s="176">
        <f ca="1">IFERROR(__xludf.DUMMYFUNCTION("IMPORTRANGE(""https://docs.google.com/spreadsheets/d/1-uDff_7J0KD5mKrp0Vvzr7lt3OU09vwQwhkpOPPYv2Y/edit?usp=sharing"",""งบพรบ!CL58"")"),0)</f>
        <v>0</v>
      </c>
      <c r="F58" s="176">
        <f ca="1">IFERROR(__xludf.DUMMYFUNCTION("IMPORTRANGE(""https://docs.google.com/spreadsheets/d/1-uDff_7J0KD5mKrp0Vvzr7lt3OU09vwQwhkpOPPYv2Y/edit?usp=sharing"",""งบพรบ!CM58"")"),19590)</f>
        <v>19590</v>
      </c>
      <c r="G58" s="176">
        <f ca="1">IFERROR(__xludf.DUMMYFUNCTION("IMPORTRANGE(""https://docs.google.com/spreadsheets/d/1-uDff_7J0KD5mKrp0Vvzr7lt3OU09vwQwhkpOPPYv2Y/edit?usp=sharing"",""งบพรบ!CN58"")"),0)</f>
        <v>0</v>
      </c>
      <c r="H58" s="176">
        <f ca="1">IFERROR(__xludf.DUMMYFUNCTION("IMPORTRANGE(""https://docs.google.com/spreadsheets/d/1-uDff_7J0KD5mKrp0Vvzr7lt3OU09vwQwhkpOPPYv2Y/edit?usp=sharing"",""งบพรบ!CP58"")"),19590)</f>
        <v>19590</v>
      </c>
      <c r="I58" s="176">
        <f ca="1">IFERROR(__xludf.DUMMYFUNCTION("IMPORTRANGE(""https://docs.google.com/spreadsheets/d/1-uDff_7J0KD5mKrp0Vvzr7lt3OU09vwQwhkpOPPYv2Y/edit?usp=sharing"",""งบพรบ!CQ58"")"),0)</f>
        <v>0</v>
      </c>
      <c r="J58" s="176">
        <f t="shared" ca="1" si="20"/>
        <v>19590</v>
      </c>
      <c r="K58" s="181">
        <f t="shared" ca="1" si="21"/>
        <v>100</v>
      </c>
      <c r="L58" s="176">
        <f ca="1">IFERROR(__xludf.DUMMYFUNCTION("IMPORTRANGE(""https://docs.google.com/spreadsheets/d/1-uDff_7J0KD5mKrp0Vvzr7lt3OU09vwQwhkpOPPYv2Y/edit?usp=sharing"",""งบพรบ!CR58"")"),19590)</f>
        <v>19590</v>
      </c>
      <c r="M58" s="179">
        <f t="shared" ca="1" si="22"/>
        <v>100</v>
      </c>
      <c r="N58" s="179">
        <f t="shared" ca="1" si="23"/>
        <v>100</v>
      </c>
      <c r="O58" s="180">
        <f ca="1">IFERROR(__xludf.DUMMYFUNCTION("IMPORTRANGE(""https://docs.google.com/spreadsheets/d/1-uDff_7J0KD5mKrp0Vvzr7lt3OU09vwQwhkpOPPYv2Y/edit?usp=sharing"",""งบพรบ!CS58"")"),0)</f>
        <v>0</v>
      </c>
      <c r="P58" s="180">
        <f t="shared" ca="1" si="24"/>
        <v>0</v>
      </c>
      <c r="Q58" s="179">
        <f t="shared" ca="1" si="25"/>
        <v>0</v>
      </c>
      <c r="R58" s="92">
        <f ca="1">IFERROR(__xludf.DUMMYFUNCTION("IMPORTRANGE(""https://docs.google.com/spreadsheets/d/1jkqa6GXxSacMcY1eN8AHjMNJ_7dDXMJVRLDlaFSOdPM/edit?usp=sharing"",""ตราด!I183"")"),7)</f>
        <v>7</v>
      </c>
      <c r="S58" s="92">
        <f ca="1">IFERROR(__xludf.DUMMYFUNCTION("IMPORTRANGE(""https://docs.google.com/spreadsheets/d/1jkqa6GXxSacMcY1eN8AHjMNJ_7dDXMJVRLDlaFSOdPM/edit?usp=sharing"",""ตราด!J183"")"),7)</f>
        <v>7</v>
      </c>
      <c r="T58" s="93">
        <f t="shared" ca="1" si="27"/>
        <v>100</v>
      </c>
      <c r="U58" s="258"/>
      <c r="V58" s="258"/>
      <c r="W58" s="259"/>
      <c r="X58" s="206"/>
      <c r="Y58" s="206"/>
      <c r="Z58" s="206"/>
    </row>
    <row r="59" spans="1:26" ht="21" customHeight="1" x14ac:dyDescent="0.3">
      <c r="A59" s="84">
        <v>7</v>
      </c>
      <c r="B59" s="85" t="s">
        <v>81</v>
      </c>
      <c r="C59" s="174" t="e">
        <f t="shared" ca="1" si="18"/>
        <v>#VALUE!</v>
      </c>
      <c r="D59" s="175" t="e">
        <f t="shared" ca="1" si="37"/>
        <v>#VALUE!</v>
      </c>
      <c r="E59" s="176">
        <f ca="1">IFERROR(__xludf.DUMMYFUNCTION("IMPORTRANGE(""https://docs.google.com/spreadsheets/d/1-uDff_7J0KD5mKrp0Vvzr7lt3OU09vwQwhkpOPPYv2Y/edit?usp=sharing"",""งบพรบ!CL59"")"),0)</f>
        <v>0</v>
      </c>
      <c r="F59" s="176" t="str">
        <f ca="1">IFERROR(__xludf.DUMMYFUNCTION("IMPORTRANGE(""https://docs.google.com/spreadsheets/d/1-uDff_7J0KD5mKrp0Vvzr7lt3OU09vwQwhkpOPPYv2Y/edit?usp=sharing"",""งบพรบ!CM59"")"),"")</f>
        <v/>
      </c>
      <c r="G59" s="176">
        <f ca="1">IFERROR(__xludf.DUMMYFUNCTION("IMPORTRANGE(""https://docs.google.com/spreadsheets/d/1-uDff_7J0KD5mKrp0Vvzr7lt3OU09vwQwhkpOPPYv2Y/edit?usp=sharing"",""งบพรบ!CN59"")"),0)</f>
        <v>0</v>
      </c>
      <c r="H59" s="176">
        <f ca="1">IFERROR(__xludf.DUMMYFUNCTION("IMPORTRANGE(""https://docs.google.com/spreadsheets/d/1-uDff_7J0KD5mKrp0Vvzr7lt3OU09vwQwhkpOPPYv2Y/edit?usp=sharing"",""งบพรบ!CP59"")"),0)</f>
        <v>0</v>
      </c>
      <c r="I59" s="176">
        <f ca="1">IFERROR(__xludf.DUMMYFUNCTION("IMPORTRANGE(""https://docs.google.com/spreadsheets/d/1-uDff_7J0KD5mKrp0Vvzr7lt3OU09vwQwhkpOPPYv2Y/edit?usp=sharing"",""งบพรบ!CQ59"")"),0)</f>
        <v>0</v>
      </c>
      <c r="J59" s="176">
        <f t="shared" ca="1" si="20"/>
        <v>0</v>
      </c>
      <c r="K59" s="181" t="e">
        <f t="shared" ca="1" si="21"/>
        <v>#VALUE!</v>
      </c>
      <c r="L59" s="176">
        <f ca="1">IFERROR(__xludf.DUMMYFUNCTION("IMPORTRANGE(""https://docs.google.com/spreadsheets/d/1-uDff_7J0KD5mKrp0Vvzr7lt3OU09vwQwhkpOPPYv2Y/edit?usp=sharing"",""งบพรบ!CR59"")"),0)</f>
        <v>0</v>
      </c>
      <c r="M59" s="179" t="e">
        <f t="shared" ca="1" si="22"/>
        <v>#VALUE!</v>
      </c>
      <c r="N59" s="179">
        <f t="shared" ca="1" si="23"/>
        <v>0</v>
      </c>
      <c r="O59" s="180">
        <f ca="1">IFERROR(__xludf.DUMMYFUNCTION("IMPORTRANGE(""https://docs.google.com/spreadsheets/d/1-uDff_7J0KD5mKrp0Vvzr7lt3OU09vwQwhkpOPPYv2Y/edit?usp=sharing"",""งบพรบ!CS59"")"),0)</f>
        <v>0</v>
      </c>
      <c r="P59" s="180">
        <f t="shared" ca="1" si="24"/>
        <v>0</v>
      </c>
      <c r="Q59" s="179">
        <f t="shared" ca="1" si="25"/>
        <v>0</v>
      </c>
      <c r="R59" s="92">
        <f ca="1">IFERROR(__xludf.DUMMYFUNCTION("IMPORTRANGE(""https://docs.google.com/spreadsheets/d/18hSgUJ3VwClqi_qtULmmW3cLr0oe3OKaSYoKzdpTsYQ/edit?usp=sharing"",""นครนายก!I183"")"),0)</f>
        <v>0</v>
      </c>
      <c r="S59" s="92">
        <f ca="1">IFERROR(__xludf.DUMMYFUNCTION("IMPORTRANGE(""https://docs.google.com/spreadsheets/d/18hSgUJ3VwClqi_qtULmmW3cLr0oe3OKaSYoKzdpTsYQ/edit?usp=sharing"",""นครนายก!J183"")"),0)</f>
        <v>0</v>
      </c>
      <c r="T59" s="93">
        <f t="shared" ca="1" si="27"/>
        <v>0</v>
      </c>
      <c r="U59" s="258"/>
      <c r="V59" s="258"/>
      <c r="W59" s="259"/>
      <c r="X59" s="206"/>
      <c r="Y59" s="206"/>
      <c r="Z59" s="206"/>
    </row>
    <row r="60" spans="1:26" ht="21" customHeight="1" x14ac:dyDescent="0.3">
      <c r="A60" s="84">
        <v>8</v>
      </c>
      <c r="B60" s="85" t="s">
        <v>82</v>
      </c>
      <c r="C60" s="174">
        <f t="shared" ca="1" si="18"/>
        <v>19590</v>
      </c>
      <c r="D60" s="175">
        <f t="shared" ca="1" si="37"/>
        <v>19590</v>
      </c>
      <c r="E60" s="176">
        <f ca="1">IFERROR(__xludf.DUMMYFUNCTION("IMPORTRANGE(""https://docs.google.com/spreadsheets/d/1-uDff_7J0KD5mKrp0Vvzr7lt3OU09vwQwhkpOPPYv2Y/edit?usp=sharing"",""งบพรบ!CL60"")"),0)</f>
        <v>0</v>
      </c>
      <c r="F60" s="176">
        <f ca="1">IFERROR(__xludf.DUMMYFUNCTION("IMPORTRANGE(""https://docs.google.com/spreadsheets/d/1-uDff_7J0KD5mKrp0Vvzr7lt3OU09vwQwhkpOPPYv2Y/edit?usp=sharing"",""งบพรบ!CM60"")"),19590)</f>
        <v>19590</v>
      </c>
      <c r="G60" s="176">
        <f ca="1">IFERROR(__xludf.DUMMYFUNCTION("IMPORTRANGE(""https://docs.google.com/spreadsheets/d/1-uDff_7J0KD5mKrp0Vvzr7lt3OU09vwQwhkpOPPYv2Y/edit?usp=sharing"",""งบพรบ!CN60"")"),0)</f>
        <v>0</v>
      </c>
      <c r="H60" s="176">
        <f ca="1">IFERROR(__xludf.DUMMYFUNCTION("IMPORTRANGE(""https://docs.google.com/spreadsheets/d/1-uDff_7J0KD5mKrp0Vvzr7lt3OU09vwQwhkpOPPYv2Y/edit?usp=sharing"",""งบพรบ!CP60"")"),19590)</f>
        <v>19590</v>
      </c>
      <c r="I60" s="176">
        <f ca="1">IFERROR(__xludf.DUMMYFUNCTION("IMPORTRANGE(""https://docs.google.com/spreadsheets/d/1-uDff_7J0KD5mKrp0Vvzr7lt3OU09vwQwhkpOPPYv2Y/edit?usp=sharing"",""งบพรบ!CQ60"")"),0)</f>
        <v>0</v>
      </c>
      <c r="J60" s="176">
        <f t="shared" ca="1" si="20"/>
        <v>0</v>
      </c>
      <c r="K60" s="181">
        <f t="shared" ca="1" si="21"/>
        <v>0</v>
      </c>
      <c r="L60" s="176">
        <f ca="1">IFERROR(__xludf.DUMMYFUNCTION("IMPORTRANGE(""https://docs.google.com/spreadsheets/d/1-uDff_7J0KD5mKrp0Vvzr7lt3OU09vwQwhkpOPPYv2Y/edit?usp=sharing"",""งบพรบ!CR60"")"),0)</f>
        <v>0</v>
      </c>
      <c r="M60" s="179">
        <f t="shared" ca="1" si="22"/>
        <v>0</v>
      </c>
      <c r="N60" s="179">
        <f t="shared" ca="1" si="23"/>
        <v>0</v>
      </c>
      <c r="O60" s="180">
        <f ca="1">IFERROR(__xludf.DUMMYFUNCTION("IMPORTRANGE(""https://docs.google.com/spreadsheets/d/1-uDff_7J0KD5mKrp0Vvzr7lt3OU09vwQwhkpOPPYv2Y/edit?usp=sharing"",""งบพรบ!CS60"")"),0)</f>
        <v>0</v>
      </c>
      <c r="P60" s="180">
        <f t="shared" ca="1" si="24"/>
        <v>0</v>
      </c>
      <c r="Q60" s="179">
        <f t="shared" ca="1" si="25"/>
        <v>0</v>
      </c>
      <c r="R60" s="92">
        <f ca="1">IFERROR(__xludf.DUMMYFUNCTION("IMPORTRANGE(""https://docs.google.com/spreadsheets/d/1YTZo6WM2dQ6Ix6FSdnL5P7uVnVKu40sxZu975tgG10E/edit?usp=sharing"",""นครปฐม!I183"")"),7)</f>
        <v>7</v>
      </c>
      <c r="S60" s="92">
        <f ca="1">IFERROR(__xludf.DUMMYFUNCTION("IMPORTRANGE(""https://docs.google.com/spreadsheets/d/1YTZo6WM2dQ6Ix6FSdnL5P7uVnVKu40sxZu975tgG10E/edit?usp=sharing"",""นครปฐม!J183"")"),0)</f>
        <v>0</v>
      </c>
      <c r="T60" s="93">
        <f t="shared" ca="1" si="27"/>
        <v>0</v>
      </c>
      <c r="U60" s="258"/>
      <c r="V60" s="258"/>
      <c r="W60" s="259"/>
      <c r="X60" s="206"/>
      <c r="Y60" s="206"/>
      <c r="Z60" s="206"/>
    </row>
    <row r="61" spans="1:26" ht="21" customHeight="1" x14ac:dyDescent="0.3">
      <c r="A61" s="84">
        <v>9</v>
      </c>
      <c r="B61" s="85" t="s">
        <v>83</v>
      </c>
      <c r="C61" s="174">
        <f t="shared" ca="1" si="18"/>
        <v>19590</v>
      </c>
      <c r="D61" s="175">
        <f t="shared" ca="1" si="37"/>
        <v>19590</v>
      </c>
      <c r="E61" s="176">
        <f ca="1">IFERROR(__xludf.DUMMYFUNCTION("IMPORTRANGE(""https://docs.google.com/spreadsheets/d/1-uDff_7J0KD5mKrp0Vvzr7lt3OU09vwQwhkpOPPYv2Y/edit?usp=sharing"",""งบพรบ!CL61"")"),0)</f>
        <v>0</v>
      </c>
      <c r="F61" s="176">
        <f ca="1">IFERROR(__xludf.DUMMYFUNCTION("IMPORTRANGE(""https://docs.google.com/spreadsheets/d/1-uDff_7J0KD5mKrp0Vvzr7lt3OU09vwQwhkpOPPYv2Y/edit?usp=sharing"",""งบพรบ!CM61"")"),19590)</f>
        <v>19590</v>
      </c>
      <c r="G61" s="176">
        <f ca="1">IFERROR(__xludf.DUMMYFUNCTION("IMPORTRANGE(""https://docs.google.com/spreadsheets/d/1-uDff_7J0KD5mKrp0Vvzr7lt3OU09vwQwhkpOPPYv2Y/edit?usp=sharing"",""งบพรบ!CN61"")"),0)</f>
        <v>0</v>
      </c>
      <c r="H61" s="176">
        <f ca="1">IFERROR(__xludf.DUMMYFUNCTION("IMPORTRANGE(""https://docs.google.com/spreadsheets/d/1-uDff_7J0KD5mKrp0Vvzr7lt3OU09vwQwhkpOPPYv2Y/edit?usp=sharing"",""งบพรบ!CP61"")"),19590)</f>
        <v>19590</v>
      </c>
      <c r="I61" s="176">
        <f ca="1">IFERROR(__xludf.DUMMYFUNCTION("IMPORTRANGE(""https://docs.google.com/spreadsheets/d/1-uDff_7J0KD5mKrp0Vvzr7lt3OU09vwQwhkpOPPYv2Y/edit?usp=sharing"",""งบพรบ!CQ61"")"),0)</f>
        <v>0</v>
      </c>
      <c r="J61" s="176">
        <f t="shared" ca="1" si="20"/>
        <v>19590</v>
      </c>
      <c r="K61" s="181">
        <f t="shared" ca="1" si="21"/>
        <v>100</v>
      </c>
      <c r="L61" s="176">
        <f ca="1">IFERROR(__xludf.DUMMYFUNCTION("IMPORTRANGE(""https://docs.google.com/spreadsheets/d/1-uDff_7J0KD5mKrp0Vvzr7lt3OU09vwQwhkpOPPYv2Y/edit?usp=sharing"",""งบพรบ!CR61"")"),19590)</f>
        <v>19590</v>
      </c>
      <c r="M61" s="179">
        <f t="shared" ca="1" si="22"/>
        <v>100</v>
      </c>
      <c r="N61" s="179">
        <f t="shared" ca="1" si="23"/>
        <v>100</v>
      </c>
      <c r="O61" s="180">
        <f ca="1">IFERROR(__xludf.DUMMYFUNCTION("IMPORTRANGE(""https://docs.google.com/spreadsheets/d/1-uDff_7J0KD5mKrp0Vvzr7lt3OU09vwQwhkpOPPYv2Y/edit?usp=sharing"",""งบพรบ!CS61"")"),0)</f>
        <v>0</v>
      </c>
      <c r="P61" s="180">
        <f t="shared" ca="1" si="24"/>
        <v>0</v>
      </c>
      <c r="Q61" s="179">
        <f t="shared" ca="1" si="25"/>
        <v>0</v>
      </c>
      <c r="R61" s="92">
        <f ca="1">IFERROR(__xludf.DUMMYFUNCTION("IMPORTRANGE(""https://docs.google.com/spreadsheets/d/1OYoGg4WDg5RIzwGeB10padOxJF9E_Vljuvvct_M7RDo/edit?usp=sharing"",""ปทุมธานี!I183"")"),7)</f>
        <v>7</v>
      </c>
      <c r="S61" s="92">
        <f ca="1">IFERROR(__xludf.DUMMYFUNCTION("IMPORTRANGE(""https://docs.google.com/spreadsheets/d/1OYoGg4WDg5RIzwGeB10padOxJF9E_Vljuvvct_M7RDo/edit?usp=sharing"",""ปทุมธานี!J183"")"),0)</f>
        <v>0</v>
      </c>
      <c r="T61" s="93">
        <f t="shared" ca="1" si="27"/>
        <v>0</v>
      </c>
      <c r="U61" s="258"/>
      <c r="V61" s="258"/>
      <c r="W61" s="259"/>
      <c r="X61" s="206"/>
      <c r="Y61" s="206"/>
      <c r="Z61" s="206"/>
    </row>
    <row r="62" spans="1:26" ht="21" customHeight="1" x14ac:dyDescent="0.3">
      <c r="A62" s="84">
        <v>10</v>
      </c>
      <c r="B62" s="85" t="s">
        <v>84</v>
      </c>
      <c r="C62" s="174">
        <f t="shared" ca="1" si="18"/>
        <v>19590</v>
      </c>
      <c r="D62" s="175">
        <f t="shared" ca="1" si="37"/>
        <v>19590</v>
      </c>
      <c r="E62" s="176">
        <f ca="1">IFERROR(__xludf.DUMMYFUNCTION("IMPORTRANGE(""https://docs.google.com/spreadsheets/d/1-uDff_7J0KD5mKrp0Vvzr7lt3OU09vwQwhkpOPPYv2Y/edit?usp=sharing"",""งบพรบ!CL62"")"),0)</f>
        <v>0</v>
      </c>
      <c r="F62" s="176">
        <f ca="1">IFERROR(__xludf.DUMMYFUNCTION("IMPORTRANGE(""https://docs.google.com/spreadsheets/d/1-uDff_7J0KD5mKrp0Vvzr7lt3OU09vwQwhkpOPPYv2Y/edit?usp=sharing"",""งบพรบ!CM62"")"),19590)</f>
        <v>19590</v>
      </c>
      <c r="G62" s="176">
        <f ca="1">IFERROR(__xludf.DUMMYFUNCTION("IMPORTRANGE(""https://docs.google.com/spreadsheets/d/1-uDff_7J0KD5mKrp0Vvzr7lt3OU09vwQwhkpOPPYv2Y/edit?usp=sharing"",""งบพรบ!CN62"")"),0)</f>
        <v>0</v>
      </c>
      <c r="H62" s="176">
        <f ca="1">IFERROR(__xludf.DUMMYFUNCTION("IMPORTRANGE(""https://docs.google.com/spreadsheets/d/1-uDff_7J0KD5mKrp0Vvzr7lt3OU09vwQwhkpOPPYv2Y/edit?usp=sharing"",""งบพรบ!CP62"")"),19590)</f>
        <v>19590</v>
      </c>
      <c r="I62" s="176">
        <f ca="1">IFERROR(__xludf.DUMMYFUNCTION("IMPORTRANGE(""https://docs.google.com/spreadsheets/d/1-uDff_7J0KD5mKrp0Vvzr7lt3OU09vwQwhkpOPPYv2Y/edit?usp=sharing"",""งบพรบ!CQ62"")"),0)</f>
        <v>0</v>
      </c>
      <c r="J62" s="176">
        <f t="shared" ca="1" si="20"/>
        <v>0</v>
      </c>
      <c r="K62" s="181">
        <f t="shared" ca="1" si="21"/>
        <v>0</v>
      </c>
      <c r="L62" s="176">
        <f ca="1">IFERROR(__xludf.DUMMYFUNCTION("IMPORTRANGE(""https://docs.google.com/spreadsheets/d/1-uDff_7J0KD5mKrp0Vvzr7lt3OU09vwQwhkpOPPYv2Y/edit?usp=sharing"",""งบพรบ!CR62"")"),0)</f>
        <v>0</v>
      </c>
      <c r="M62" s="179">
        <f t="shared" ca="1" si="22"/>
        <v>0</v>
      </c>
      <c r="N62" s="179">
        <f t="shared" ca="1" si="23"/>
        <v>0</v>
      </c>
      <c r="O62" s="180">
        <f ca="1">IFERROR(__xludf.DUMMYFUNCTION("IMPORTRANGE(""https://docs.google.com/spreadsheets/d/1-uDff_7J0KD5mKrp0Vvzr7lt3OU09vwQwhkpOPPYv2Y/edit?usp=sharing"",""งบพรบ!CS62"")"),0)</f>
        <v>0</v>
      </c>
      <c r="P62" s="180">
        <f t="shared" ca="1" si="24"/>
        <v>0</v>
      </c>
      <c r="Q62" s="179">
        <f t="shared" ca="1" si="25"/>
        <v>0</v>
      </c>
      <c r="R62" s="92">
        <f ca="1">IFERROR(__xludf.DUMMYFUNCTION("IMPORTRANGE(""https://docs.google.com/spreadsheets/d/1GbCIE4D4wk9FUozzqk7SxfDMxDVBwVmI5zcaVUSzKAc/edit?usp=sharing"",""ประจวบคีรีขันธ์!I183"")"),7)</f>
        <v>7</v>
      </c>
      <c r="S62" s="92">
        <f ca="1">IFERROR(__xludf.DUMMYFUNCTION("IMPORTRANGE(""https://docs.google.com/spreadsheets/d/1GbCIE4D4wk9FUozzqk7SxfDMxDVBwVmI5zcaVUSzKAc/edit?usp=sharing"",""ประจวบคีรีขันธ์!J183"")"),0)</f>
        <v>0</v>
      </c>
      <c r="T62" s="93">
        <f t="shared" ca="1" si="27"/>
        <v>0</v>
      </c>
      <c r="U62" s="258"/>
      <c r="V62" s="258"/>
      <c r="W62" s="259"/>
      <c r="X62" s="206"/>
      <c r="Y62" s="206"/>
      <c r="Z62" s="206"/>
    </row>
    <row r="63" spans="1:26" ht="21" customHeight="1" x14ac:dyDescent="0.3">
      <c r="A63" s="84">
        <v>11</v>
      </c>
      <c r="B63" s="85" t="s">
        <v>85</v>
      </c>
      <c r="C63" s="174">
        <f t="shared" ca="1" si="18"/>
        <v>19590</v>
      </c>
      <c r="D63" s="175">
        <f t="shared" ca="1" si="37"/>
        <v>19590</v>
      </c>
      <c r="E63" s="176">
        <f ca="1">IFERROR(__xludf.DUMMYFUNCTION("IMPORTRANGE(""https://docs.google.com/spreadsheets/d/1-uDff_7J0KD5mKrp0Vvzr7lt3OU09vwQwhkpOPPYv2Y/edit?usp=sharing"",""งบพรบ!CL63"")"),0)</f>
        <v>0</v>
      </c>
      <c r="F63" s="176">
        <f ca="1">IFERROR(__xludf.DUMMYFUNCTION("IMPORTRANGE(""https://docs.google.com/spreadsheets/d/1-uDff_7J0KD5mKrp0Vvzr7lt3OU09vwQwhkpOPPYv2Y/edit?usp=sharing"",""งบพรบ!CM63"")"),19590)</f>
        <v>19590</v>
      </c>
      <c r="G63" s="176">
        <f ca="1">IFERROR(__xludf.DUMMYFUNCTION("IMPORTRANGE(""https://docs.google.com/spreadsheets/d/1-uDff_7J0KD5mKrp0Vvzr7lt3OU09vwQwhkpOPPYv2Y/edit?usp=sharing"",""งบพรบ!CN63"")"),0)</f>
        <v>0</v>
      </c>
      <c r="H63" s="176">
        <f ca="1">IFERROR(__xludf.DUMMYFUNCTION("IMPORTRANGE(""https://docs.google.com/spreadsheets/d/1-uDff_7J0KD5mKrp0Vvzr7lt3OU09vwQwhkpOPPYv2Y/edit?usp=sharing"",""งบพรบ!CP63"")"),19590)</f>
        <v>19590</v>
      </c>
      <c r="I63" s="176">
        <f ca="1">IFERROR(__xludf.DUMMYFUNCTION("IMPORTRANGE(""https://docs.google.com/spreadsheets/d/1-uDff_7J0KD5mKrp0Vvzr7lt3OU09vwQwhkpOPPYv2Y/edit?usp=sharing"",""งบพรบ!CQ63"")"),0)</f>
        <v>0</v>
      </c>
      <c r="J63" s="176">
        <f t="shared" ca="1" si="20"/>
        <v>18440</v>
      </c>
      <c r="K63" s="181">
        <f t="shared" ca="1" si="21"/>
        <v>94.129657988769779</v>
      </c>
      <c r="L63" s="176">
        <f ca="1">IFERROR(__xludf.DUMMYFUNCTION("IMPORTRANGE(""https://docs.google.com/spreadsheets/d/1-uDff_7J0KD5mKrp0Vvzr7lt3OU09vwQwhkpOPPYv2Y/edit?usp=sharing"",""งบพรบ!CR63"")"),18440)</f>
        <v>18440</v>
      </c>
      <c r="M63" s="179">
        <f t="shared" ca="1" si="22"/>
        <v>94.129657988769779</v>
      </c>
      <c r="N63" s="179">
        <f t="shared" ca="1" si="23"/>
        <v>94.129657988769779</v>
      </c>
      <c r="O63" s="180">
        <f ca="1">IFERROR(__xludf.DUMMYFUNCTION("IMPORTRANGE(""https://docs.google.com/spreadsheets/d/1-uDff_7J0KD5mKrp0Vvzr7lt3OU09vwQwhkpOPPYv2Y/edit?usp=sharing"",""งบพรบ!CS63"")"),0)</f>
        <v>0</v>
      </c>
      <c r="P63" s="180">
        <f t="shared" ca="1" si="24"/>
        <v>0</v>
      </c>
      <c r="Q63" s="179">
        <f t="shared" ca="1" si="25"/>
        <v>0</v>
      </c>
      <c r="R63" s="92">
        <f ca="1">IFERROR(__xludf.DUMMYFUNCTION("IMPORTRANGE(""https://docs.google.com/spreadsheets/d/1vVf6wykvW_lAyu7Yo9L4hUTqHqIeP_qcVuxCtosJEbg/edit?usp=sharing"",""ปราจีนบุรี!I183"")"),7)</f>
        <v>7</v>
      </c>
      <c r="S63" s="92">
        <f ca="1">IFERROR(__xludf.DUMMYFUNCTION("IMPORTRANGE(""https://docs.google.com/spreadsheets/d/1vVf6wykvW_lAyu7Yo9L4hUTqHqIeP_qcVuxCtosJEbg/edit?usp=sharing"",""ปราจีนบุรี!J183"")"),0)</f>
        <v>0</v>
      </c>
      <c r="T63" s="93">
        <f t="shared" ca="1" si="27"/>
        <v>0</v>
      </c>
      <c r="U63" s="258"/>
      <c r="V63" s="258"/>
      <c r="W63" s="259"/>
      <c r="X63" s="206"/>
      <c r="Y63" s="206"/>
      <c r="Z63" s="206"/>
    </row>
    <row r="64" spans="1:26" ht="21" customHeight="1" x14ac:dyDescent="0.3">
      <c r="A64" s="84">
        <v>12</v>
      </c>
      <c r="B64" s="85" t="s">
        <v>86</v>
      </c>
      <c r="C64" s="174">
        <f t="shared" ca="1" si="18"/>
        <v>19590</v>
      </c>
      <c r="D64" s="175">
        <f t="shared" ca="1" si="37"/>
        <v>19590</v>
      </c>
      <c r="E64" s="176">
        <f ca="1">IFERROR(__xludf.DUMMYFUNCTION("IMPORTRANGE(""https://docs.google.com/spreadsheets/d/1-uDff_7J0KD5mKrp0Vvzr7lt3OU09vwQwhkpOPPYv2Y/edit?usp=sharing"",""งบพรบ!CL64"")"),0)</f>
        <v>0</v>
      </c>
      <c r="F64" s="176">
        <f ca="1">IFERROR(__xludf.DUMMYFUNCTION("IMPORTRANGE(""https://docs.google.com/spreadsheets/d/1-uDff_7J0KD5mKrp0Vvzr7lt3OU09vwQwhkpOPPYv2Y/edit?usp=sharing"",""งบพรบ!CM64"")"),19590)</f>
        <v>19590</v>
      </c>
      <c r="G64" s="176">
        <f ca="1">IFERROR(__xludf.DUMMYFUNCTION("IMPORTRANGE(""https://docs.google.com/spreadsheets/d/1-uDff_7J0KD5mKrp0Vvzr7lt3OU09vwQwhkpOPPYv2Y/edit?usp=sharing"",""งบพรบ!CN64"")"),0)</f>
        <v>0</v>
      </c>
      <c r="H64" s="176">
        <f ca="1">IFERROR(__xludf.DUMMYFUNCTION("IMPORTRANGE(""https://docs.google.com/spreadsheets/d/1-uDff_7J0KD5mKrp0Vvzr7lt3OU09vwQwhkpOPPYv2Y/edit?usp=sharing"",""งบพรบ!CP64"")"),19590)</f>
        <v>19590</v>
      </c>
      <c r="I64" s="176">
        <f ca="1">IFERROR(__xludf.DUMMYFUNCTION("IMPORTRANGE(""https://docs.google.com/spreadsheets/d/1-uDff_7J0KD5mKrp0Vvzr7lt3OU09vwQwhkpOPPYv2Y/edit?usp=sharing"",""งบพรบ!CQ64"")"),0)</f>
        <v>0</v>
      </c>
      <c r="J64" s="176">
        <f t="shared" ca="1" si="20"/>
        <v>0</v>
      </c>
      <c r="K64" s="181">
        <f t="shared" ca="1" si="21"/>
        <v>0</v>
      </c>
      <c r="L64" s="176">
        <f ca="1">IFERROR(__xludf.DUMMYFUNCTION("IMPORTRANGE(""https://docs.google.com/spreadsheets/d/1-uDff_7J0KD5mKrp0Vvzr7lt3OU09vwQwhkpOPPYv2Y/edit?usp=sharing"",""งบพรบ!CR64"")"),0)</f>
        <v>0</v>
      </c>
      <c r="M64" s="179">
        <f t="shared" ca="1" si="22"/>
        <v>0</v>
      </c>
      <c r="N64" s="179">
        <f t="shared" ca="1" si="23"/>
        <v>0</v>
      </c>
      <c r="O64" s="180">
        <f ca="1">IFERROR(__xludf.DUMMYFUNCTION("IMPORTRANGE(""https://docs.google.com/spreadsheets/d/1-uDff_7J0KD5mKrp0Vvzr7lt3OU09vwQwhkpOPPYv2Y/edit?usp=sharing"",""งบพรบ!CS64"")"),0)</f>
        <v>0</v>
      </c>
      <c r="P64" s="180">
        <f t="shared" ca="1" si="24"/>
        <v>0</v>
      </c>
      <c r="Q64" s="179">
        <f t="shared" ca="1" si="25"/>
        <v>0</v>
      </c>
      <c r="R64" s="92">
        <f ca="1">IFERROR(__xludf.DUMMYFUNCTION("IMPORTRANGE(""https://docs.google.com/spreadsheets/d/1BIDqLLg5jk3v59G8NlR8rk5xfQDKne0sAvZHSj7TI6I/edit?usp=sharing"",""พระนครศรีอยุธยา!I183"")"),7)</f>
        <v>7</v>
      </c>
      <c r="S64" s="92">
        <f ca="1">IFERROR(__xludf.DUMMYFUNCTION("IMPORTRANGE(""https://docs.google.com/spreadsheets/d/1BIDqLLg5jk3v59G8NlR8rk5xfQDKne0sAvZHSj7TI6I/edit?usp=sharing"",""พระนครศรีอยุธยา!J183"")"),0)</f>
        <v>0</v>
      </c>
      <c r="T64" s="93">
        <f t="shared" ca="1" si="27"/>
        <v>0</v>
      </c>
      <c r="U64" s="258"/>
      <c r="V64" s="258"/>
      <c r="W64" s="259"/>
      <c r="X64" s="206"/>
      <c r="Y64" s="206"/>
      <c r="Z64" s="206"/>
    </row>
    <row r="65" spans="1:26" ht="21" customHeight="1" x14ac:dyDescent="0.3">
      <c r="A65" s="84">
        <v>13</v>
      </c>
      <c r="B65" s="85" t="s">
        <v>87</v>
      </c>
      <c r="C65" s="174">
        <f t="shared" ca="1" si="18"/>
        <v>19590</v>
      </c>
      <c r="D65" s="175">
        <f t="shared" ca="1" si="37"/>
        <v>19590</v>
      </c>
      <c r="E65" s="176">
        <f ca="1">IFERROR(__xludf.DUMMYFUNCTION("IMPORTRANGE(""https://docs.google.com/spreadsheets/d/1-uDff_7J0KD5mKrp0Vvzr7lt3OU09vwQwhkpOPPYv2Y/edit?usp=sharing"",""งบพรบ!CL65"")"),0)</f>
        <v>0</v>
      </c>
      <c r="F65" s="176">
        <f ca="1">IFERROR(__xludf.DUMMYFUNCTION("IMPORTRANGE(""https://docs.google.com/spreadsheets/d/1-uDff_7J0KD5mKrp0Vvzr7lt3OU09vwQwhkpOPPYv2Y/edit?usp=sharing"",""งบพรบ!CM65"")"),19590)</f>
        <v>19590</v>
      </c>
      <c r="G65" s="176">
        <f ca="1">IFERROR(__xludf.DUMMYFUNCTION("IMPORTRANGE(""https://docs.google.com/spreadsheets/d/1-uDff_7J0KD5mKrp0Vvzr7lt3OU09vwQwhkpOPPYv2Y/edit?usp=sharing"",""งบพรบ!CN65"")"),0)</f>
        <v>0</v>
      </c>
      <c r="H65" s="176">
        <f ca="1">IFERROR(__xludf.DUMMYFUNCTION("IMPORTRANGE(""https://docs.google.com/spreadsheets/d/1-uDff_7J0KD5mKrp0Vvzr7lt3OU09vwQwhkpOPPYv2Y/edit?usp=sharing"",""งบพรบ!CP65"")"),19590)</f>
        <v>19590</v>
      </c>
      <c r="I65" s="176">
        <f ca="1">IFERROR(__xludf.DUMMYFUNCTION("IMPORTRANGE(""https://docs.google.com/spreadsheets/d/1-uDff_7J0KD5mKrp0Vvzr7lt3OU09vwQwhkpOPPYv2Y/edit?usp=sharing"",""งบพรบ!CQ65"")"),0)</f>
        <v>0</v>
      </c>
      <c r="J65" s="176">
        <f t="shared" ca="1" si="20"/>
        <v>0</v>
      </c>
      <c r="K65" s="181">
        <f t="shared" ca="1" si="21"/>
        <v>0</v>
      </c>
      <c r="L65" s="176">
        <f ca="1">IFERROR(__xludf.DUMMYFUNCTION("IMPORTRANGE(""https://docs.google.com/spreadsheets/d/1-uDff_7J0KD5mKrp0Vvzr7lt3OU09vwQwhkpOPPYv2Y/edit?usp=sharing"",""งบพรบ!CR65"")"),0)</f>
        <v>0</v>
      </c>
      <c r="M65" s="179">
        <f t="shared" ca="1" si="22"/>
        <v>0</v>
      </c>
      <c r="N65" s="179">
        <f t="shared" ca="1" si="23"/>
        <v>0</v>
      </c>
      <c r="O65" s="180">
        <f ca="1">IFERROR(__xludf.DUMMYFUNCTION("IMPORTRANGE(""https://docs.google.com/spreadsheets/d/1-uDff_7J0KD5mKrp0Vvzr7lt3OU09vwQwhkpOPPYv2Y/edit?usp=sharing"",""งบพรบ!CS65"")"),0)</f>
        <v>0</v>
      </c>
      <c r="P65" s="180">
        <f t="shared" ca="1" si="24"/>
        <v>0</v>
      </c>
      <c r="Q65" s="179">
        <f t="shared" ca="1" si="25"/>
        <v>0</v>
      </c>
      <c r="R65" s="92">
        <f ca="1">IFERROR(__xludf.DUMMYFUNCTION("IMPORTRANGE(""https://docs.google.com/spreadsheets/d/1YXvxf8Yu6_rV4hTBrwMqAcAnv6DfhUxh5emyM3CJp_w/edit?usp=sharing"",""เพชรบุรี!I183"")"),7)</f>
        <v>7</v>
      </c>
      <c r="S65" s="92">
        <f ca="1">IFERROR(__xludf.DUMMYFUNCTION("IMPORTRANGE(""https://docs.google.com/spreadsheets/d/1YXvxf8Yu6_rV4hTBrwMqAcAnv6DfhUxh5emyM3CJp_w/edit?usp=sharing"",""เพชรบุรี!J183"")"),0)</f>
        <v>0</v>
      </c>
      <c r="T65" s="93">
        <f t="shared" ca="1" si="27"/>
        <v>0</v>
      </c>
      <c r="U65" s="258"/>
      <c r="V65" s="258"/>
      <c r="W65" s="259"/>
      <c r="X65" s="206"/>
      <c r="Y65" s="206"/>
      <c r="Z65" s="206"/>
    </row>
    <row r="66" spans="1:26" ht="21" customHeight="1" x14ac:dyDescent="0.3">
      <c r="A66" s="84">
        <v>14</v>
      </c>
      <c r="B66" s="85" t="s">
        <v>88</v>
      </c>
      <c r="C66" s="174">
        <f t="shared" ca="1" si="18"/>
        <v>19590</v>
      </c>
      <c r="D66" s="175">
        <f t="shared" ca="1" si="37"/>
        <v>19590</v>
      </c>
      <c r="E66" s="176">
        <f ca="1">IFERROR(__xludf.DUMMYFUNCTION("IMPORTRANGE(""https://docs.google.com/spreadsheets/d/1-uDff_7J0KD5mKrp0Vvzr7lt3OU09vwQwhkpOPPYv2Y/edit?usp=sharing"",""งบพรบ!CL66"")"),0)</f>
        <v>0</v>
      </c>
      <c r="F66" s="176">
        <f ca="1">IFERROR(__xludf.DUMMYFUNCTION("IMPORTRANGE(""https://docs.google.com/spreadsheets/d/1-uDff_7J0KD5mKrp0Vvzr7lt3OU09vwQwhkpOPPYv2Y/edit?usp=sharing"",""งบพรบ!CM66"")"),19590)</f>
        <v>19590</v>
      </c>
      <c r="G66" s="176">
        <f ca="1">IFERROR(__xludf.DUMMYFUNCTION("IMPORTRANGE(""https://docs.google.com/spreadsheets/d/1-uDff_7J0KD5mKrp0Vvzr7lt3OU09vwQwhkpOPPYv2Y/edit?usp=sharing"",""งบพรบ!CN66"")"),0)</f>
        <v>0</v>
      </c>
      <c r="H66" s="176">
        <f ca="1">IFERROR(__xludf.DUMMYFUNCTION("IMPORTRANGE(""https://docs.google.com/spreadsheets/d/1-uDff_7J0KD5mKrp0Vvzr7lt3OU09vwQwhkpOPPYv2Y/edit?usp=sharing"",""งบพรบ!CP66"")"),19590)</f>
        <v>19590</v>
      </c>
      <c r="I66" s="176">
        <f ca="1">IFERROR(__xludf.DUMMYFUNCTION("IMPORTRANGE(""https://docs.google.com/spreadsheets/d/1-uDff_7J0KD5mKrp0Vvzr7lt3OU09vwQwhkpOPPYv2Y/edit?usp=sharing"",""งบพรบ!CQ66"")"),0)</f>
        <v>0</v>
      </c>
      <c r="J66" s="176">
        <f t="shared" ca="1" si="20"/>
        <v>0</v>
      </c>
      <c r="K66" s="181">
        <f t="shared" ca="1" si="21"/>
        <v>0</v>
      </c>
      <c r="L66" s="176">
        <f ca="1">IFERROR(__xludf.DUMMYFUNCTION("IMPORTRANGE(""https://docs.google.com/spreadsheets/d/1-uDff_7J0KD5mKrp0Vvzr7lt3OU09vwQwhkpOPPYv2Y/edit?usp=sharing"",""งบพรบ!CR66"")"),0)</f>
        <v>0</v>
      </c>
      <c r="M66" s="179">
        <f t="shared" ca="1" si="22"/>
        <v>0</v>
      </c>
      <c r="N66" s="179">
        <f t="shared" ca="1" si="23"/>
        <v>0</v>
      </c>
      <c r="O66" s="180">
        <f ca="1">IFERROR(__xludf.DUMMYFUNCTION("IMPORTRANGE(""https://docs.google.com/spreadsheets/d/1-uDff_7J0KD5mKrp0Vvzr7lt3OU09vwQwhkpOPPYv2Y/edit?usp=sharing"",""งบพรบ!CS66"")"),0)</f>
        <v>0</v>
      </c>
      <c r="P66" s="180">
        <f t="shared" ca="1" si="24"/>
        <v>0</v>
      </c>
      <c r="Q66" s="179">
        <f t="shared" ca="1" si="25"/>
        <v>0</v>
      </c>
      <c r="R66" s="92">
        <f ca="1">IFERROR(__xludf.DUMMYFUNCTION("IMPORTRANGE(""https://docs.google.com/spreadsheets/d/19KBlQQs7uwvsao6t2n-KvW3Ax8J8uRRfZPq1zPbXgKc/edit?usp=sharing"",""ระยอง!I183"")"),7)</f>
        <v>7</v>
      </c>
      <c r="S66" s="92">
        <f ca="1">IFERROR(__xludf.DUMMYFUNCTION("IMPORTRANGE(""https://docs.google.com/spreadsheets/d/19KBlQQs7uwvsao6t2n-KvW3Ax8J8uRRfZPq1zPbXgKc/edit?usp=sharing"",""ระยอง!J183"")"),0)</f>
        <v>0</v>
      </c>
      <c r="T66" s="93">
        <f t="shared" ca="1" si="27"/>
        <v>0</v>
      </c>
      <c r="U66" s="258"/>
      <c r="V66" s="258"/>
      <c r="W66" s="259"/>
      <c r="X66" s="206"/>
      <c r="Y66" s="206"/>
      <c r="Z66" s="206"/>
    </row>
    <row r="67" spans="1:26" ht="21" customHeight="1" x14ac:dyDescent="0.3">
      <c r="A67" s="84">
        <v>15</v>
      </c>
      <c r="B67" s="85" t="s">
        <v>89</v>
      </c>
      <c r="C67" s="174">
        <f t="shared" ca="1" si="18"/>
        <v>19590</v>
      </c>
      <c r="D67" s="175">
        <f t="shared" ca="1" si="37"/>
        <v>19590</v>
      </c>
      <c r="E67" s="176">
        <f ca="1">IFERROR(__xludf.DUMMYFUNCTION("IMPORTRANGE(""https://docs.google.com/spreadsheets/d/1-uDff_7J0KD5mKrp0Vvzr7lt3OU09vwQwhkpOPPYv2Y/edit?usp=sharing"",""งบพรบ!CL67"")"),0)</f>
        <v>0</v>
      </c>
      <c r="F67" s="176">
        <f ca="1">IFERROR(__xludf.DUMMYFUNCTION("IMPORTRANGE(""https://docs.google.com/spreadsheets/d/1-uDff_7J0KD5mKrp0Vvzr7lt3OU09vwQwhkpOPPYv2Y/edit?usp=sharing"",""งบพรบ!CM67"")"),19590)</f>
        <v>19590</v>
      </c>
      <c r="G67" s="176">
        <f ca="1">IFERROR(__xludf.DUMMYFUNCTION("IMPORTRANGE(""https://docs.google.com/spreadsheets/d/1-uDff_7J0KD5mKrp0Vvzr7lt3OU09vwQwhkpOPPYv2Y/edit?usp=sharing"",""งบพรบ!CN67"")"),0)</f>
        <v>0</v>
      </c>
      <c r="H67" s="176">
        <f ca="1">IFERROR(__xludf.DUMMYFUNCTION("IMPORTRANGE(""https://docs.google.com/spreadsheets/d/1-uDff_7J0KD5mKrp0Vvzr7lt3OU09vwQwhkpOPPYv2Y/edit?usp=sharing"",""งบพรบ!CP67"")"),19590)</f>
        <v>19590</v>
      </c>
      <c r="I67" s="176">
        <f ca="1">IFERROR(__xludf.DUMMYFUNCTION("IMPORTRANGE(""https://docs.google.com/spreadsheets/d/1-uDff_7J0KD5mKrp0Vvzr7lt3OU09vwQwhkpOPPYv2Y/edit?usp=sharing"",""งบพรบ!CQ67"")"),0)</f>
        <v>0</v>
      </c>
      <c r="J67" s="176">
        <f t="shared" ca="1" si="20"/>
        <v>240</v>
      </c>
      <c r="K67" s="181">
        <f t="shared" ca="1" si="21"/>
        <v>1.2251148545176109</v>
      </c>
      <c r="L67" s="176">
        <f ca="1">IFERROR(__xludf.DUMMYFUNCTION("IMPORTRANGE(""https://docs.google.com/spreadsheets/d/1-uDff_7J0KD5mKrp0Vvzr7lt3OU09vwQwhkpOPPYv2Y/edit?usp=sharing"",""งบพรบ!CR67"")"),240)</f>
        <v>240</v>
      </c>
      <c r="M67" s="179">
        <f t="shared" ca="1" si="22"/>
        <v>1.2251148545176109</v>
      </c>
      <c r="N67" s="179">
        <f t="shared" ca="1" si="23"/>
        <v>1.2251148545176109</v>
      </c>
      <c r="O67" s="180">
        <f ca="1">IFERROR(__xludf.DUMMYFUNCTION("IMPORTRANGE(""https://docs.google.com/spreadsheets/d/1-uDff_7J0KD5mKrp0Vvzr7lt3OU09vwQwhkpOPPYv2Y/edit?usp=sharing"",""งบพรบ!CS67"")"),0)</f>
        <v>0</v>
      </c>
      <c r="P67" s="180">
        <f t="shared" ca="1" si="24"/>
        <v>0</v>
      </c>
      <c r="Q67" s="179">
        <f t="shared" ca="1" si="25"/>
        <v>0</v>
      </c>
      <c r="R67" s="92">
        <f ca="1">IFERROR(__xludf.DUMMYFUNCTION("IMPORTRANGE(""https://docs.google.com/spreadsheets/d/1jQ6P4QcrGM89YfqcC_PxOHGCMq5ezhucwJd8ci-NHng/edit?usp=sharing"",""ราชบุรี!I183"")"),7)</f>
        <v>7</v>
      </c>
      <c r="S67" s="92">
        <f ca="1">IFERROR(__xludf.DUMMYFUNCTION("IMPORTRANGE(""https://docs.google.com/spreadsheets/d/1jQ6P4QcrGM89YfqcC_PxOHGCMq5ezhucwJd8ci-NHng/edit?usp=sharing"",""ราชบุรี!J183"")"),0)</f>
        <v>0</v>
      </c>
      <c r="T67" s="93">
        <f t="shared" ca="1" si="27"/>
        <v>0</v>
      </c>
      <c r="U67" s="258"/>
      <c r="V67" s="258"/>
      <c r="W67" s="259"/>
      <c r="X67" s="206"/>
      <c r="Y67" s="206"/>
      <c r="Z67" s="206"/>
    </row>
    <row r="68" spans="1:26" ht="24" customHeight="1" x14ac:dyDescent="0.3">
      <c r="A68" s="84">
        <v>16</v>
      </c>
      <c r="B68" s="85" t="s">
        <v>90</v>
      </c>
      <c r="C68" s="174">
        <f t="shared" ca="1" si="18"/>
        <v>19590</v>
      </c>
      <c r="D68" s="175">
        <f t="shared" ca="1" si="37"/>
        <v>19590</v>
      </c>
      <c r="E68" s="176">
        <f ca="1">IFERROR(__xludf.DUMMYFUNCTION("IMPORTRANGE(""https://docs.google.com/spreadsheets/d/1-uDff_7J0KD5mKrp0Vvzr7lt3OU09vwQwhkpOPPYv2Y/edit?usp=sharing"",""งบพรบ!CL68"")"),0)</f>
        <v>0</v>
      </c>
      <c r="F68" s="176">
        <f ca="1">IFERROR(__xludf.DUMMYFUNCTION("IMPORTRANGE(""https://docs.google.com/spreadsheets/d/1-uDff_7J0KD5mKrp0Vvzr7lt3OU09vwQwhkpOPPYv2Y/edit?usp=sharing"",""งบพรบ!CM68"")"),19590)</f>
        <v>19590</v>
      </c>
      <c r="G68" s="176">
        <f ca="1">IFERROR(__xludf.DUMMYFUNCTION("IMPORTRANGE(""https://docs.google.com/spreadsheets/d/1-uDff_7J0KD5mKrp0Vvzr7lt3OU09vwQwhkpOPPYv2Y/edit?usp=sharing"",""งบพรบ!CN68"")"),0)</f>
        <v>0</v>
      </c>
      <c r="H68" s="176">
        <f ca="1">IFERROR(__xludf.DUMMYFUNCTION("IMPORTRANGE(""https://docs.google.com/spreadsheets/d/1-uDff_7J0KD5mKrp0Vvzr7lt3OU09vwQwhkpOPPYv2Y/edit?usp=sharing"",""งบพรบ!CP68"")"),19590)</f>
        <v>19590</v>
      </c>
      <c r="I68" s="176">
        <f ca="1">IFERROR(__xludf.DUMMYFUNCTION("IMPORTRANGE(""https://docs.google.com/spreadsheets/d/1-uDff_7J0KD5mKrp0Vvzr7lt3OU09vwQwhkpOPPYv2Y/edit?usp=sharing"",""งบพรบ!CQ68"")"),0)</f>
        <v>0</v>
      </c>
      <c r="J68" s="176">
        <f t="shared" ca="1" si="20"/>
        <v>18710</v>
      </c>
      <c r="K68" s="181">
        <f t="shared" ca="1" si="21"/>
        <v>95.507912200102098</v>
      </c>
      <c r="L68" s="176">
        <f ca="1">IFERROR(__xludf.DUMMYFUNCTION("IMPORTRANGE(""https://docs.google.com/spreadsheets/d/1-uDff_7J0KD5mKrp0Vvzr7lt3OU09vwQwhkpOPPYv2Y/edit?usp=sharing"",""งบพรบ!CR68"")"),18710)</f>
        <v>18710</v>
      </c>
      <c r="M68" s="179">
        <f t="shared" ca="1" si="22"/>
        <v>95.507912200102098</v>
      </c>
      <c r="N68" s="179">
        <f t="shared" ca="1" si="23"/>
        <v>95.507912200102098</v>
      </c>
      <c r="O68" s="180">
        <f ca="1">IFERROR(__xludf.DUMMYFUNCTION("IMPORTRANGE(""https://docs.google.com/spreadsheets/d/1-uDff_7J0KD5mKrp0Vvzr7lt3OU09vwQwhkpOPPYv2Y/edit?usp=sharing"",""งบพรบ!CS68"")"),0)</f>
        <v>0</v>
      </c>
      <c r="P68" s="180">
        <f t="shared" ca="1" si="24"/>
        <v>0</v>
      </c>
      <c r="Q68" s="179">
        <f t="shared" ca="1" si="25"/>
        <v>0</v>
      </c>
      <c r="R68" s="92">
        <f ca="1">IFERROR(__xludf.DUMMYFUNCTION("IMPORTRANGE(""https://docs.google.com/spreadsheets/d/1lufeA2cfFqM-elVq2hznhDzC6Pr7wkJ9ZG_sYNGCMCU/edit?usp=sharing"",""ลพบุรี!I183"")"),7)</f>
        <v>7</v>
      </c>
      <c r="S68" s="92">
        <f ca="1">IFERROR(__xludf.DUMMYFUNCTION("IMPORTRANGE(""https://docs.google.com/spreadsheets/d/1lufeA2cfFqM-elVq2hznhDzC6Pr7wkJ9ZG_sYNGCMCU/edit?usp=sharing"",""ลพบุรี!J183"")"),0)</f>
        <v>0</v>
      </c>
      <c r="T68" s="93">
        <f t="shared" ca="1" si="27"/>
        <v>0</v>
      </c>
      <c r="U68" s="258"/>
      <c r="V68" s="258"/>
      <c r="W68" s="259"/>
      <c r="X68" s="206"/>
      <c r="Y68" s="206"/>
      <c r="Z68" s="206"/>
    </row>
    <row r="69" spans="1:26" ht="21" customHeight="1" x14ac:dyDescent="0.3">
      <c r="A69" s="84">
        <v>17</v>
      </c>
      <c r="B69" s="85" t="s">
        <v>91</v>
      </c>
      <c r="C69" s="174">
        <f t="shared" ca="1" si="18"/>
        <v>19590</v>
      </c>
      <c r="D69" s="175">
        <f t="shared" ca="1" si="37"/>
        <v>19590</v>
      </c>
      <c r="E69" s="176">
        <f ca="1">IFERROR(__xludf.DUMMYFUNCTION("IMPORTRANGE(""https://docs.google.com/spreadsheets/d/1-uDff_7J0KD5mKrp0Vvzr7lt3OU09vwQwhkpOPPYv2Y/edit?usp=sharing"",""งบพรบ!CL69"")"),0)</f>
        <v>0</v>
      </c>
      <c r="F69" s="176">
        <f ca="1">IFERROR(__xludf.DUMMYFUNCTION("IMPORTRANGE(""https://docs.google.com/spreadsheets/d/1-uDff_7J0KD5mKrp0Vvzr7lt3OU09vwQwhkpOPPYv2Y/edit?usp=sharing"",""งบพรบ!CM69"")"),19590)</f>
        <v>19590</v>
      </c>
      <c r="G69" s="176">
        <f ca="1">IFERROR(__xludf.DUMMYFUNCTION("IMPORTRANGE(""https://docs.google.com/spreadsheets/d/1-uDff_7J0KD5mKrp0Vvzr7lt3OU09vwQwhkpOPPYv2Y/edit?usp=sharing"",""งบพรบ!CN69"")"),0)</f>
        <v>0</v>
      </c>
      <c r="H69" s="176">
        <f ca="1">IFERROR(__xludf.DUMMYFUNCTION("IMPORTRANGE(""https://docs.google.com/spreadsheets/d/1-uDff_7J0KD5mKrp0Vvzr7lt3OU09vwQwhkpOPPYv2Y/edit?usp=sharing"",""งบพรบ!CP69"")"),19590)</f>
        <v>19590</v>
      </c>
      <c r="I69" s="176">
        <f ca="1">IFERROR(__xludf.DUMMYFUNCTION("IMPORTRANGE(""https://docs.google.com/spreadsheets/d/1-uDff_7J0KD5mKrp0Vvzr7lt3OU09vwQwhkpOPPYv2Y/edit?usp=sharing"",""งบพรบ!CQ69"")"),0)</f>
        <v>0</v>
      </c>
      <c r="J69" s="176">
        <f t="shared" ca="1" si="20"/>
        <v>0</v>
      </c>
      <c r="K69" s="181">
        <f t="shared" ca="1" si="21"/>
        <v>0</v>
      </c>
      <c r="L69" s="176">
        <f ca="1">IFERROR(__xludf.DUMMYFUNCTION("IMPORTRANGE(""https://docs.google.com/spreadsheets/d/1-uDff_7J0KD5mKrp0Vvzr7lt3OU09vwQwhkpOPPYv2Y/edit?usp=sharing"",""งบพรบ!CR69"")"),0)</f>
        <v>0</v>
      </c>
      <c r="M69" s="179">
        <f t="shared" ca="1" si="22"/>
        <v>0</v>
      </c>
      <c r="N69" s="179">
        <f t="shared" ca="1" si="23"/>
        <v>0</v>
      </c>
      <c r="O69" s="180">
        <f ca="1">IFERROR(__xludf.DUMMYFUNCTION("IMPORTRANGE(""https://docs.google.com/spreadsheets/d/1-uDff_7J0KD5mKrp0Vvzr7lt3OU09vwQwhkpOPPYv2Y/edit?usp=sharing"",""งบพรบ!CS69"")"),0)</f>
        <v>0</v>
      </c>
      <c r="P69" s="180">
        <f t="shared" ca="1" si="24"/>
        <v>0</v>
      </c>
      <c r="Q69" s="179">
        <f t="shared" ca="1" si="25"/>
        <v>0</v>
      </c>
      <c r="R69" s="92">
        <f ca="1">IFERROR(__xludf.DUMMYFUNCTION("IMPORTRANGE(""https://docs.google.com/spreadsheets/d/10oOiF7loTyfsTkbd4MpaIm0HQ9SwB7IYHdIUvt-U1Uc/edit?usp=sharing"",""สระแก้ว!I183"")"),7)</f>
        <v>7</v>
      </c>
      <c r="S69" s="92">
        <f ca="1">IFERROR(__xludf.DUMMYFUNCTION("IMPORTRANGE(""https://docs.google.com/spreadsheets/d/10oOiF7loTyfsTkbd4MpaIm0HQ9SwB7IYHdIUvt-U1Uc/edit?usp=sharing"",""สระแก้ว!J183"")"),0)</f>
        <v>0</v>
      </c>
      <c r="T69" s="93">
        <f t="shared" ca="1" si="27"/>
        <v>0</v>
      </c>
      <c r="U69" s="258"/>
      <c r="V69" s="258"/>
      <c r="W69" s="259"/>
      <c r="X69" s="206"/>
      <c r="Y69" s="206"/>
      <c r="Z69" s="206"/>
    </row>
    <row r="70" spans="1:26" ht="21" customHeight="1" x14ac:dyDescent="0.3">
      <c r="A70" s="84">
        <v>18</v>
      </c>
      <c r="B70" s="85" t="s">
        <v>92</v>
      </c>
      <c r="C70" s="174">
        <f t="shared" ca="1" si="18"/>
        <v>19590</v>
      </c>
      <c r="D70" s="175">
        <f t="shared" ca="1" si="37"/>
        <v>19590</v>
      </c>
      <c r="E70" s="176">
        <f ca="1">IFERROR(__xludf.DUMMYFUNCTION("IMPORTRANGE(""https://docs.google.com/spreadsheets/d/1-uDff_7J0KD5mKrp0Vvzr7lt3OU09vwQwhkpOPPYv2Y/edit?usp=sharing"",""งบพรบ!CL70"")"),0)</f>
        <v>0</v>
      </c>
      <c r="F70" s="176">
        <f ca="1">IFERROR(__xludf.DUMMYFUNCTION("IMPORTRANGE(""https://docs.google.com/spreadsheets/d/1-uDff_7J0KD5mKrp0Vvzr7lt3OU09vwQwhkpOPPYv2Y/edit?usp=sharing"",""งบพรบ!CM70"")"),19590)</f>
        <v>19590</v>
      </c>
      <c r="G70" s="176">
        <f ca="1">IFERROR(__xludf.DUMMYFUNCTION("IMPORTRANGE(""https://docs.google.com/spreadsheets/d/1-uDff_7J0KD5mKrp0Vvzr7lt3OU09vwQwhkpOPPYv2Y/edit?usp=sharing"",""งบพรบ!CN70"")"),0)</f>
        <v>0</v>
      </c>
      <c r="H70" s="176">
        <f ca="1">IFERROR(__xludf.DUMMYFUNCTION("IMPORTRANGE(""https://docs.google.com/spreadsheets/d/1-uDff_7J0KD5mKrp0Vvzr7lt3OU09vwQwhkpOPPYv2Y/edit?usp=sharing"",""งบพรบ!CP70"")"),19590)</f>
        <v>19590</v>
      </c>
      <c r="I70" s="176">
        <f ca="1">IFERROR(__xludf.DUMMYFUNCTION("IMPORTRANGE(""https://docs.google.com/spreadsheets/d/1-uDff_7J0KD5mKrp0Vvzr7lt3OU09vwQwhkpOPPYv2Y/edit?usp=sharing"",""งบพรบ!CQ70"")"),0)</f>
        <v>0</v>
      </c>
      <c r="J70" s="176">
        <f t="shared" ca="1" si="20"/>
        <v>0</v>
      </c>
      <c r="K70" s="181">
        <f t="shared" ca="1" si="21"/>
        <v>0</v>
      </c>
      <c r="L70" s="176">
        <f ca="1">IFERROR(__xludf.DUMMYFUNCTION("IMPORTRANGE(""https://docs.google.com/spreadsheets/d/1-uDff_7J0KD5mKrp0Vvzr7lt3OU09vwQwhkpOPPYv2Y/edit?usp=sharing"",""งบพรบ!CR70"")"),0)</f>
        <v>0</v>
      </c>
      <c r="M70" s="179">
        <f t="shared" ca="1" si="22"/>
        <v>0</v>
      </c>
      <c r="N70" s="179">
        <f t="shared" ca="1" si="23"/>
        <v>0</v>
      </c>
      <c r="O70" s="180">
        <f ca="1">IFERROR(__xludf.DUMMYFUNCTION("IMPORTRANGE(""https://docs.google.com/spreadsheets/d/1-uDff_7J0KD5mKrp0Vvzr7lt3OU09vwQwhkpOPPYv2Y/edit?usp=sharing"",""งบพรบ!CS70"")"),0)</f>
        <v>0</v>
      </c>
      <c r="P70" s="180">
        <f t="shared" ca="1" si="24"/>
        <v>0</v>
      </c>
      <c r="Q70" s="179">
        <f t="shared" ca="1" si="25"/>
        <v>0</v>
      </c>
      <c r="R70" s="92">
        <f ca="1">IFERROR(__xludf.DUMMYFUNCTION("IMPORTRANGE(""https://docs.google.com/spreadsheets/d/1xmPlrr1QbdSIKvl1dWUl9K4PjAfSL9oeMr_37QVzcxc/edit?usp=sharing"",""สระบุรี!I183"")"),7)</f>
        <v>7</v>
      </c>
      <c r="S70" s="92">
        <f ca="1">IFERROR(__xludf.DUMMYFUNCTION("IMPORTRANGE(""https://docs.google.com/spreadsheets/d/1xmPlrr1QbdSIKvl1dWUl9K4PjAfSL9oeMr_37QVzcxc/edit?usp=sharing"",""สระบุรี!J183"")"),0)</f>
        <v>0</v>
      </c>
      <c r="T70" s="93">
        <f t="shared" ca="1" si="27"/>
        <v>0</v>
      </c>
      <c r="U70" s="258"/>
      <c r="V70" s="258"/>
      <c r="W70" s="259"/>
      <c r="X70" s="206"/>
      <c r="Y70" s="206"/>
      <c r="Z70" s="206"/>
    </row>
    <row r="71" spans="1:26" ht="21" customHeight="1" x14ac:dyDescent="0.3">
      <c r="A71" s="84">
        <v>19</v>
      </c>
      <c r="B71" s="85" t="s">
        <v>93</v>
      </c>
      <c r="C71" s="174">
        <f t="shared" ca="1" si="18"/>
        <v>19590</v>
      </c>
      <c r="D71" s="175">
        <f t="shared" ca="1" si="37"/>
        <v>19590</v>
      </c>
      <c r="E71" s="176">
        <f ca="1">IFERROR(__xludf.DUMMYFUNCTION("IMPORTRANGE(""https://docs.google.com/spreadsheets/d/1-uDff_7J0KD5mKrp0Vvzr7lt3OU09vwQwhkpOPPYv2Y/edit?usp=sharing"",""งบพรบ!CL71"")"),0)</f>
        <v>0</v>
      </c>
      <c r="F71" s="176">
        <f ca="1">IFERROR(__xludf.DUMMYFUNCTION("IMPORTRANGE(""https://docs.google.com/spreadsheets/d/1-uDff_7J0KD5mKrp0Vvzr7lt3OU09vwQwhkpOPPYv2Y/edit?usp=sharing"",""งบพรบ!CM71"")"),19590)</f>
        <v>19590</v>
      </c>
      <c r="G71" s="176">
        <f ca="1">IFERROR(__xludf.DUMMYFUNCTION("IMPORTRANGE(""https://docs.google.com/spreadsheets/d/1-uDff_7J0KD5mKrp0Vvzr7lt3OU09vwQwhkpOPPYv2Y/edit?usp=sharing"",""งบพรบ!CN71"")"),0)</f>
        <v>0</v>
      </c>
      <c r="H71" s="176">
        <f ca="1">IFERROR(__xludf.DUMMYFUNCTION("IMPORTRANGE(""https://docs.google.com/spreadsheets/d/1-uDff_7J0KD5mKrp0Vvzr7lt3OU09vwQwhkpOPPYv2Y/edit?usp=sharing"",""งบพรบ!CP71"")"),19590)</f>
        <v>19590</v>
      </c>
      <c r="I71" s="176">
        <f ca="1">IFERROR(__xludf.DUMMYFUNCTION("IMPORTRANGE(""https://docs.google.com/spreadsheets/d/1-uDff_7J0KD5mKrp0Vvzr7lt3OU09vwQwhkpOPPYv2Y/edit?usp=sharing"",""งบพรบ!CQ71"")"),0)</f>
        <v>0</v>
      </c>
      <c r="J71" s="176">
        <f t="shared" ca="1" si="20"/>
        <v>18640</v>
      </c>
      <c r="K71" s="181">
        <f t="shared" ca="1" si="21"/>
        <v>95.150587034201124</v>
      </c>
      <c r="L71" s="176">
        <f ca="1">IFERROR(__xludf.DUMMYFUNCTION("IMPORTRANGE(""https://docs.google.com/spreadsheets/d/1-uDff_7J0KD5mKrp0Vvzr7lt3OU09vwQwhkpOPPYv2Y/edit?usp=sharing"",""งบพรบ!CR71"")"),18640)</f>
        <v>18640</v>
      </c>
      <c r="M71" s="179">
        <f t="shared" ca="1" si="22"/>
        <v>95.150587034201124</v>
      </c>
      <c r="N71" s="179">
        <f t="shared" ca="1" si="23"/>
        <v>95.150587034201124</v>
      </c>
      <c r="O71" s="180">
        <f ca="1">IFERROR(__xludf.DUMMYFUNCTION("IMPORTRANGE(""https://docs.google.com/spreadsheets/d/1-uDff_7J0KD5mKrp0Vvzr7lt3OU09vwQwhkpOPPYv2Y/edit?usp=sharing"",""งบพรบ!CS71"")"),0)</f>
        <v>0</v>
      </c>
      <c r="P71" s="180">
        <f t="shared" ca="1" si="24"/>
        <v>0</v>
      </c>
      <c r="Q71" s="179">
        <f t="shared" ca="1" si="25"/>
        <v>0</v>
      </c>
      <c r="R71" s="92">
        <f ca="1">IFERROR(__xludf.DUMMYFUNCTION("IMPORTRANGE(""https://docs.google.com/spreadsheets/d/1j51vR6CYVGhABJpv6tkstgok82RLpXieLzW1yOY5rHw/edit?usp=sharing"",""สิงห์บุรี!I183"")"),7)</f>
        <v>7</v>
      </c>
      <c r="S71" s="92">
        <f ca="1">IFERROR(__xludf.DUMMYFUNCTION("IMPORTRANGE(""https://docs.google.com/spreadsheets/d/1j51vR6CYVGhABJpv6tkstgok82RLpXieLzW1yOY5rHw/edit?usp=sharing"",""สิงห์บุรี!J183"")"),7)</f>
        <v>7</v>
      </c>
      <c r="T71" s="93">
        <f t="shared" ca="1" si="27"/>
        <v>100</v>
      </c>
      <c r="U71" s="258"/>
      <c r="V71" s="258"/>
      <c r="W71" s="259"/>
      <c r="X71" s="206"/>
      <c r="Y71" s="206"/>
      <c r="Z71" s="206"/>
    </row>
    <row r="72" spans="1:26" ht="21" customHeight="1" x14ac:dyDescent="0.3">
      <c r="A72" s="84">
        <v>20</v>
      </c>
      <c r="B72" s="85" t="s">
        <v>94</v>
      </c>
      <c r="C72" s="174">
        <f t="shared" ca="1" si="18"/>
        <v>19590</v>
      </c>
      <c r="D72" s="175">
        <f t="shared" ca="1" si="37"/>
        <v>19590</v>
      </c>
      <c r="E72" s="176">
        <f ca="1">IFERROR(__xludf.DUMMYFUNCTION("IMPORTRANGE(""https://docs.google.com/spreadsheets/d/1-uDff_7J0KD5mKrp0Vvzr7lt3OU09vwQwhkpOPPYv2Y/edit?usp=sharing"",""งบพรบ!CL72"")"),0)</f>
        <v>0</v>
      </c>
      <c r="F72" s="176">
        <f ca="1">IFERROR(__xludf.DUMMYFUNCTION("IMPORTRANGE(""https://docs.google.com/spreadsheets/d/1-uDff_7J0KD5mKrp0Vvzr7lt3OU09vwQwhkpOPPYv2Y/edit?usp=sharing"",""งบพรบ!CM72"")"),19590)</f>
        <v>19590</v>
      </c>
      <c r="G72" s="176">
        <f ca="1">IFERROR(__xludf.DUMMYFUNCTION("IMPORTRANGE(""https://docs.google.com/spreadsheets/d/1-uDff_7J0KD5mKrp0Vvzr7lt3OU09vwQwhkpOPPYv2Y/edit?usp=sharing"",""งบพรบ!CN72"")"),0)</f>
        <v>0</v>
      </c>
      <c r="H72" s="176">
        <f ca="1">IFERROR(__xludf.DUMMYFUNCTION("IMPORTRANGE(""https://docs.google.com/spreadsheets/d/1-uDff_7J0KD5mKrp0Vvzr7lt3OU09vwQwhkpOPPYv2Y/edit?usp=sharing"",""งบพรบ!CP72"")"),19590)</f>
        <v>19590</v>
      </c>
      <c r="I72" s="176">
        <f ca="1">IFERROR(__xludf.DUMMYFUNCTION("IMPORTRANGE(""https://docs.google.com/spreadsheets/d/1-uDff_7J0KD5mKrp0Vvzr7lt3OU09vwQwhkpOPPYv2Y/edit?usp=sharing"",""งบพรบ!CQ72"")"),0)</f>
        <v>0</v>
      </c>
      <c r="J72" s="176">
        <f t="shared" ca="1" si="20"/>
        <v>0</v>
      </c>
      <c r="K72" s="181">
        <f t="shared" ca="1" si="21"/>
        <v>0</v>
      </c>
      <c r="L72" s="176">
        <f ca="1">IFERROR(__xludf.DUMMYFUNCTION("IMPORTRANGE(""https://docs.google.com/spreadsheets/d/1-uDff_7J0KD5mKrp0Vvzr7lt3OU09vwQwhkpOPPYv2Y/edit?usp=sharing"",""งบพรบ!CR72"")"),0)</f>
        <v>0</v>
      </c>
      <c r="M72" s="179">
        <f t="shared" ca="1" si="22"/>
        <v>0</v>
      </c>
      <c r="N72" s="179">
        <f t="shared" ca="1" si="23"/>
        <v>0</v>
      </c>
      <c r="O72" s="180">
        <f ca="1">IFERROR(__xludf.DUMMYFUNCTION("IMPORTRANGE(""https://docs.google.com/spreadsheets/d/1-uDff_7J0KD5mKrp0Vvzr7lt3OU09vwQwhkpOPPYv2Y/edit?usp=sharing"",""งบพรบ!CS72"")"),0)</f>
        <v>0</v>
      </c>
      <c r="P72" s="180">
        <f t="shared" ca="1" si="24"/>
        <v>0</v>
      </c>
      <c r="Q72" s="179">
        <f t="shared" ca="1" si="25"/>
        <v>0</v>
      </c>
      <c r="R72" s="92">
        <f ca="1">IFERROR(__xludf.DUMMYFUNCTION("IMPORTRANGE(""https://docs.google.com/spreadsheets/d/1H1EalTWKUSzO4Z1-1CwzoDUaVffgrThEBe2sl74kKG0/edit?usp=sharing"",""สุพรรณบุรี!I183"")"),7)</f>
        <v>7</v>
      </c>
      <c r="S72" s="92">
        <f ca="1">IFERROR(__xludf.DUMMYFUNCTION("IMPORTRANGE(""https://docs.google.com/spreadsheets/d/1H1EalTWKUSzO4Z1-1CwzoDUaVffgrThEBe2sl74kKG0/edit?usp=sharing"",""สุพรรณบุรี!J183"")"),0)</f>
        <v>0</v>
      </c>
      <c r="T72" s="93">
        <f t="shared" ca="1" si="27"/>
        <v>0</v>
      </c>
      <c r="U72" s="258"/>
      <c r="V72" s="258"/>
      <c r="W72" s="259"/>
      <c r="X72" s="206"/>
      <c r="Y72" s="206"/>
      <c r="Z72" s="206"/>
    </row>
    <row r="73" spans="1:26" ht="21" customHeight="1" x14ac:dyDescent="0.3">
      <c r="A73" s="95">
        <v>21</v>
      </c>
      <c r="B73" s="96" t="s">
        <v>95</v>
      </c>
      <c r="C73" s="184">
        <f t="shared" ca="1" si="18"/>
        <v>19590</v>
      </c>
      <c r="D73" s="185">
        <f t="shared" ca="1" si="37"/>
        <v>19590</v>
      </c>
      <c r="E73" s="186">
        <f ca="1">IFERROR(__xludf.DUMMYFUNCTION("IMPORTRANGE(""https://docs.google.com/spreadsheets/d/1-uDff_7J0KD5mKrp0Vvzr7lt3OU09vwQwhkpOPPYv2Y/edit?usp=sharing"",""งบพรบ!CL73"")"),0)</f>
        <v>0</v>
      </c>
      <c r="F73" s="186">
        <f ca="1">IFERROR(__xludf.DUMMYFUNCTION("IMPORTRANGE(""https://docs.google.com/spreadsheets/d/1-uDff_7J0KD5mKrp0Vvzr7lt3OU09vwQwhkpOPPYv2Y/edit?usp=sharing"",""งบพรบ!CM73"")"),19590)</f>
        <v>19590</v>
      </c>
      <c r="G73" s="186">
        <f ca="1">IFERROR(__xludf.DUMMYFUNCTION("IMPORTRANGE(""https://docs.google.com/spreadsheets/d/1-uDff_7J0KD5mKrp0Vvzr7lt3OU09vwQwhkpOPPYv2Y/edit?usp=sharing"",""งบพรบ!CN73"")"),0)</f>
        <v>0</v>
      </c>
      <c r="H73" s="186">
        <f ca="1">IFERROR(__xludf.DUMMYFUNCTION("IMPORTRANGE(""https://docs.google.com/spreadsheets/d/1-uDff_7J0KD5mKrp0Vvzr7lt3OU09vwQwhkpOPPYv2Y/edit?usp=sharing"",""งบพรบ!CP73"")"),19590)</f>
        <v>19590</v>
      </c>
      <c r="I73" s="186">
        <f ca="1">IFERROR(__xludf.DUMMYFUNCTION("IMPORTRANGE(""https://docs.google.com/spreadsheets/d/1-uDff_7J0KD5mKrp0Vvzr7lt3OU09vwQwhkpOPPYv2Y/edit?usp=sharing"",""งบพรบ!CQ73"")"),0)</f>
        <v>0</v>
      </c>
      <c r="J73" s="186">
        <f t="shared" ca="1" si="20"/>
        <v>0</v>
      </c>
      <c r="K73" s="187">
        <f t="shared" ca="1" si="21"/>
        <v>0</v>
      </c>
      <c r="L73" s="186">
        <f ca="1">IFERROR(__xludf.DUMMYFUNCTION("IMPORTRANGE(""https://docs.google.com/spreadsheets/d/1-uDff_7J0KD5mKrp0Vvzr7lt3OU09vwQwhkpOPPYv2Y/edit?usp=sharing"",""งบพรบ!CR73"")"),0)</f>
        <v>0</v>
      </c>
      <c r="M73" s="188">
        <f t="shared" ca="1" si="22"/>
        <v>0</v>
      </c>
      <c r="N73" s="188">
        <f t="shared" ca="1" si="23"/>
        <v>0</v>
      </c>
      <c r="O73" s="189">
        <f ca="1">IFERROR(__xludf.DUMMYFUNCTION("IMPORTRANGE(""https://docs.google.com/spreadsheets/d/1-uDff_7J0KD5mKrp0Vvzr7lt3OU09vwQwhkpOPPYv2Y/edit?usp=sharing"",""งบพรบ!CS73"")"),0)</f>
        <v>0</v>
      </c>
      <c r="P73" s="189">
        <f t="shared" ca="1" si="24"/>
        <v>0</v>
      </c>
      <c r="Q73" s="188">
        <f t="shared" ca="1" si="25"/>
        <v>0</v>
      </c>
      <c r="R73" s="103">
        <f ca="1">IFERROR(__xludf.DUMMYFUNCTION("IMPORTRANGE(""https://docs.google.com/spreadsheets/d/1BmIruG_sIrJLYao_Pdr7zVArWsfoBt2692TMi6x_854/edit?usp=sharing"",""อ่างทอง!I183"")"),7)</f>
        <v>7</v>
      </c>
      <c r="S73" s="103">
        <f ca="1">IFERROR(__xludf.DUMMYFUNCTION("IMPORTRANGE(""https://docs.google.com/spreadsheets/d/1BmIruG_sIrJLYao_Pdr7zVArWsfoBt2692TMi6x_854/edit?usp=sharing"",""อ่างทอง!J183"")"),7)</f>
        <v>7</v>
      </c>
      <c r="T73" s="104">
        <f t="shared" ca="1" si="27"/>
        <v>100</v>
      </c>
      <c r="U73" s="260"/>
      <c r="V73" s="260"/>
      <c r="W73" s="261"/>
      <c r="X73" s="206"/>
      <c r="Y73" s="206"/>
      <c r="Z73" s="206"/>
    </row>
    <row r="74" spans="1:26" ht="21" customHeight="1" x14ac:dyDescent="0.3">
      <c r="A74" s="394" t="s">
        <v>96</v>
      </c>
      <c r="B74" s="374"/>
      <c r="C74" s="154" t="e">
        <f t="shared" ca="1" si="18"/>
        <v>#VALUE!</v>
      </c>
      <c r="D74" s="154" t="e">
        <f t="shared" ref="D74:I74" ca="1" si="38">SUM(D75:D88)</f>
        <v>#VALUE!</v>
      </c>
      <c r="E74" s="154">
        <f t="shared" ca="1" si="38"/>
        <v>0</v>
      </c>
      <c r="F74" s="154">
        <f t="shared" ca="1" si="38"/>
        <v>215490</v>
      </c>
      <c r="G74" s="154">
        <f t="shared" ca="1" si="38"/>
        <v>0</v>
      </c>
      <c r="H74" s="154">
        <f t="shared" ca="1" si="38"/>
        <v>215490</v>
      </c>
      <c r="I74" s="154">
        <f t="shared" ca="1" si="38"/>
        <v>0</v>
      </c>
      <c r="J74" s="154">
        <f t="shared" ca="1" si="20"/>
        <v>113076</v>
      </c>
      <c r="K74" s="155" t="e">
        <f t="shared" ca="1" si="21"/>
        <v>#VALUE!</v>
      </c>
      <c r="L74" s="154">
        <f ca="1">SUM(L75:L88)</f>
        <v>113076</v>
      </c>
      <c r="M74" s="156" t="e">
        <f t="shared" ca="1" si="22"/>
        <v>#VALUE!</v>
      </c>
      <c r="N74" s="156">
        <f t="shared" ca="1" si="23"/>
        <v>52.473896700542952</v>
      </c>
      <c r="O74" s="157">
        <f ca="1">SUM(O75:O88)</f>
        <v>0</v>
      </c>
      <c r="P74" s="157">
        <f t="shared" ca="1" si="24"/>
        <v>0</v>
      </c>
      <c r="Q74" s="156">
        <f t="shared" ca="1" si="25"/>
        <v>0</v>
      </c>
      <c r="R74" s="68">
        <f t="shared" ref="R74:S74" ca="1" si="39">SUM(R75:R88)</f>
        <v>77</v>
      </c>
      <c r="S74" s="68">
        <f t="shared" ca="1" si="39"/>
        <v>14</v>
      </c>
      <c r="T74" s="107">
        <f t="shared" ca="1" si="27"/>
        <v>18.181818181818183</v>
      </c>
      <c r="U74" s="250">
        <f t="shared" ref="U74:V74" si="40">SUM(U75:U88)</f>
        <v>0</v>
      </c>
      <c r="V74" s="250">
        <f t="shared" si="40"/>
        <v>0</v>
      </c>
      <c r="W74" s="251">
        <f>IF(U74&gt;0,V74*100/U74,0)</f>
        <v>0</v>
      </c>
      <c r="X74" s="206"/>
      <c r="Y74" s="206"/>
      <c r="Z74" s="206"/>
    </row>
    <row r="75" spans="1:26" ht="21" customHeight="1" x14ac:dyDescent="0.3">
      <c r="A75" s="74">
        <v>1</v>
      </c>
      <c r="B75" s="75" t="s">
        <v>97</v>
      </c>
      <c r="C75" s="174">
        <f t="shared" ca="1" si="18"/>
        <v>19590</v>
      </c>
      <c r="D75" s="175">
        <f t="shared" ref="D75:D88" ca="1" si="41">+E75+F75</f>
        <v>19590</v>
      </c>
      <c r="E75" s="176">
        <f ca="1">IFERROR(__xludf.DUMMYFUNCTION("IMPORTRANGE(""https://docs.google.com/spreadsheets/d/1-uDff_7J0KD5mKrp0Vvzr7lt3OU09vwQwhkpOPPYv2Y/edit?usp=sharing"",""งบพรบ!CL75"")"),0)</f>
        <v>0</v>
      </c>
      <c r="F75" s="176">
        <f ca="1">IFERROR(__xludf.DUMMYFUNCTION("IMPORTRANGE(""https://docs.google.com/spreadsheets/d/1-uDff_7J0KD5mKrp0Vvzr7lt3OU09vwQwhkpOPPYv2Y/edit?usp=sharing"",""งบพรบ!CM75"")"),19590)</f>
        <v>19590</v>
      </c>
      <c r="G75" s="176">
        <f ca="1">IFERROR(__xludf.DUMMYFUNCTION("IMPORTRANGE(""https://docs.google.com/spreadsheets/d/1-uDff_7J0KD5mKrp0Vvzr7lt3OU09vwQwhkpOPPYv2Y/edit?usp=sharing"",""งบพรบ!CN75"")"),0)</f>
        <v>0</v>
      </c>
      <c r="H75" s="176">
        <f ca="1">IFERROR(__xludf.DUMMYFUNCTION("IMPORTRANGE(""https://docs.google.com/spreadsheets/d/1-uDff_7J0KD5mKrp0Vvzr7lt3OU09vwQwhkpOPPYv2Y/edit?usp=sharing"",""งบพรบ!CP75"")"),19590)</f>
        <v>19590</v>
      </c>
      <c r="I75" s="176">
        <f ca="1">IFERROR(__xludf.DUMMYFUNCTION("IMPORTRANGE(""https://docs.google.com/spreadsheets/d/1-uDff_7J0KD5mKrp0Vvzr7lt3OU09vwQwhkpOPPYv2Y/edit?usp=sharing"",""งบพรบ!CQ75"")"),0)</f>
        <v>0</v>
      </c>
      <c r="J75" s="176">
        <f t="shared" ca="1" si="20"/>
        <v>17629</v>
      </c>
      <c r="K75" s="181">
        <f t="shared" ca="1" si="21"/>
        <v>89.989790709545687</v>
      </c>
      <c r="L75" s="176">
        <f ca="1">IFERROR(__xludf.DUMMYFUNCTION("IMPORTRANGE(""https://docs.google.com/spreadsheets/d/1-uDff_7J0KD5mKrp0Vvzr7lt3OU09vwQwhkpOPPYv2Y/edit?usp=sharing"",""งบพรบ!CR75"")"),17629)</f>
        <v>17629</v>
      </c>
      <c r="M75" s="179">
        <f t="shared" ca="1" si="22"/>
        <v>89.989790709545687</v>
      </c>
      <c r="N75" s="179">
        <f t="shared" ca="1" si="23"/>
        <v>89.989790709545687</v>
      </c>
      <c r="O75" s="180">
        <f ca="1">IFERROR(__xludf.DUMMYFUNCTION("IMPORTRANGE(""https://docs.google.com/spreadsheets/d/1-uDff_7J0KD5mKrp0Vvzr7lt3OU09vwQwhkpOPPYv2Y/edit?usp=sharing"",""งบพรบ!CS75"")"),0)</f>
        <v>0</v>
      </c>
      <c r="P75" s="180">
        <f t="shared" ca="1" si="24"/>
        <v>0</v>
      </c>
      <c r="Q75" s="179">
        <f t="shared" ca="1" si="25"/>
        <v>0</v>
      </c>
      <c r="R75" s="79">
        <f ca="1">IFERROR(__xludf.DUMMYFUNCTION("IMPORTRANGE(""https://docs.google.com/spreadsheets/d/1kKUcYdkIfrgTSj8iHHHB2MD2FAtwyyocFgqGQn6ADyI/edit?usp=sharing"",""กระบี่!I183"")"),7)</f>
        <v>7</v>
      </c>
      <c r="S75" s="79">
        <f ca="1">IFERROR(__xludf.DUMMYFUNCTION("IMPORTRANGE(""https://docs.google.com/spreadsheets/d/1kKUcYdkIfrgTSj8iHHHB2MD2FAtwyyocFgqGQn6ADyI/edit?usp=sharing"",""กระบี่!J183"")"),0)</f>
        <v>0</v>
      </c>
      <c r="T75" s="83">
        <f t="shared" ca="1" si="27"/>
        <v>0</v>
      </c>
      <c r="U75" s="258"/>
      <c r="V75" s="258"/>
      <c r="W75" s="259"/>
      <c r="X75" s="206"/>
      <c r="Y75" s="206"/>
      <c r="Z75" s="206"/>
    </row>
    <row r="76" spans="1:26" ht="21" customHeight="1" x14ac:dyDescent="0.3">
      <c r="A76" s="84">
        <v>2</v>
      </c>
      <c r="B76" s="85" t="s">
        <v>98</v>
      </c>
      <c r="C76" s="174" t="e">
        <f t="shared" ca="1" si="18"/>
        <v>#VALUE!</v>
      </c>
      <c r="D76" s="175" t="e">
        <f t="shared" ca="1" si="41"/>
        <v>#VALUE!</v>
      </c>
      <c r="E76" s="176">
        <f ca="1">IFERROR(__xludf.DUMMYFUNCTION("IMPORTRANGE(""https://docs.google.com/spreadsheets/d/1-uDff_7J0KD5mKrp0Vvzr7lt3OU09vwQwhkpOPPYv2Y/edit?usp=sharing"",""งบพรบ!CL76"")"),0)</f>
        <v>0</v>
      </c>
      <c r="F76" s="176" t="str">
        <f ca="1">IFERROR(__xludf.DUMMYFUNCTION("IMPORTRANGE(""https://docs.google.com/spreadsheets/d/1-uDff_7J0KD5mKrp0Vvzr7lt3OU09vwQwhkpOPPYv2Y/edit?usp=sharing"",""งบพรบ!CM76"")"),"")</f>
        <v/>
      </c>
      <c r="G76" s="176">
        <f ca="1">IFERROR(__xludf.DUMMYFUNCTION("IMPORTRANGE(""https://docs.google.com/spreadsheets/d/1-uDff_7J0KD5mKrp0Vvzr7lt3OU09vwQwhkpOPPYv2Y/edit?usp=sharing"",""งบพรบ!CN76"")"),0)</f>
        <v>0</v>
      </c>
      <c r="H76" s="176">
        <f ca="1">IFERROR(__xludf.DUMMYFUNCTION("IMPORTRANGE(""https://docs.google.com/spreadsheets/d/1-uDff_7J0KD5mKrp0Vvzr7lt3OU09vwQwhkpOPPYv2Y/edit?usp=sharing"",""งบพรบ!CP76"")"),0)</f>
        <v>0</v>
      </c>
      <c r="I76" s="176">
        <f ca="1">IFERROR(__xludf.DUMMYFUNCTION("IMPORTRANGE(""https://docs.google.com/spreadsheets/d/1-uDff_7J0KD5mKrp0Vvzr7lt3OU09vwQwhkpOPPYv2Y/edit?usp=sharing"",""งบพรบ!CQ76"")"),0)</f>
        <v>0</v>
      </c>
      <c r="J76" s="176">
        <f t="shared" ca="1" si="20"/>
        <v>0</v>
      </c>
      <c r="K76" s="181" t="e">
        <f t="shared" ca="1" si="21"/>
        <v>#VALUE!</v>
      </c>
      <c r="L76" s="176">
        <f ca="1">IFERROR(__xludf.DUMMYFUNCTION("IMPORTRANGE(""https://docs.google.com/spreadsheets/d/1-uDff_7J0KD5mKrp0Vvzr7lt3OU09vwQwhkpOPPYv2Y/edit?usp=sharing"",""งบพรบ!CR76"")"),0)</f>
        <v>0</v>
      </c>
      <c r="M76" s="179" t="e">
        <f t="shared" ca="1" si="22"/>
        <v>#VALUE!</v>
      </c>
      <c r="N76" s="179">
        <f t="shared" ca="1" si="23"/>
        <v>0</v>
      </c>
      <c r="O76" s="180">
        <f ca="1">IFERROR(__xludf.DUMMYFUNCTION("IMPORTRANGE(""https://docs.google.com/spreadsheets/d/1-uDff_7J0KD5mKrp0Vvzr7lt3OU09vwQwhkpOPPYv2Y/edit?usp=sharing"",""งบพรบ!CS76"")"),0)</f>
        <v>0</v>
      </c>
      <c r="P76" s="180">
        <f t="shared" ca="1" si="24"/>
        <v>0</v>
      </c>
      <c r="Q76" s="179">
        <f t="shared" ca="1" si="25"/>
        <v>0</v>
      </c>
      <c r="R76" s="92">
        <f ca="1">IFERROR(__xludf.DUMMYFUNCTION("IMPORTRANGE(""https://docs.google.com/spreadsheets/d/1GwtLaSlNZkLk7iDqcyZz22giiy40b_usZZBXYciEN1U/edit?usp=sharing"",""ชุมพร!I183"")"),0)</f>
        <v>0</v>
      </c>
      <c r="S76" s="92">
        <f ca="1">IFERROR(__xludf.DUMMYFUNCTION("IMPORTRANGE(""https://docs.google.com/spreadsheets/d/1GwtLaSlNZkLk7iDqcyZz22giiy40b_usZZBXYciEN1U/edit?usp=sharing"",""ชุมพร!J183"")"),0)</f>
        <v>0</v>
      </c>
      <c r="T76" s="93">
        <f t="shared" ca="1" si="27"/>
        <v>0</v>
      </c>
      <c r="U76" s="258"/>
      <c r="V76" s="258"/>
      <c r="W76" s="259"/>
      <c r="X76" s="206"/>
      <c r="Y76" s="206"/>
      <c r="Z76" s="206"/>
    </row>
    <row r="77" spans="1:26" ht="21" customHeight="1" x14ac:dyDescent="0.3">
      <c r="A77" s="84">
        <v>3</v>
      </c>
      <c r="B77" s="85" t="s">
        <v>99</v>
      </c>
      <c r="C77" s="174">
        <f t="shared" ca="1" si="18"/>
        <v>19590</v>
      </c>
      <c r="D77" s="175">
        <f t="shared" ca="1" si="41"/>
        <v>19590</v>
      </c>
      <c r="E77" s="176">
        <f ca="1">IFERROR(__xludf.DUMMYFUNCTION("IMPORTRANGE(""https://docs.google.com/spreadsheets/d/1-uDff_7J0KD5mKrp0Vvzr7lt3OU09vwQwhkpOPPYv2Y/edit?usp=sharing"",""งบพรบ!CL77"")"),0)</f>
        <v>0</v>
      </c>
      <c r="F77" s="176">
        <f ca="1">IFERROR(__xludf.DUMMYFUNCTION("IMPORTRANGE(""https://docs.google.com/spreadsheets/d/1-uDff_7J0KD5mKrp0Vvzr7lt3OU09vwQwhkpOPPYv2Y/edit?usp=sharing"",""งบพรบ!CM77"")"),19590)</f>
        <v>19590</v>
      </c>
      <c r="G77" s="176">
        <f ca="1">IFERROR(__xludf.DUMMYFUNCTION("IMPORTRANGE(""https://docs.google.com/spreadsheets/d/1-uDff_7J0KD5mKrp0Vvzr7lt3OU09vwQwhkpOPPYv2Y/edit?usp=sharing"",""งบพรบ!CN77"")"),0)</f>
        <v>0</v>
      </c>
      <c r="H77" s="176">
        <f ca="1">IFERROR(__xludf.DUMMYFUNCTION("IMPORTRANGE(""https://docs.google.com/spreadsheets/d/1-uDff_7J0KD5mKrp0Vvzr7lt3OU09vwQwhkpOPPYv2Y/edit?usp=sharing"",""งบพรบ!CP77"")"),19590)</f>
        <v>19590</v>
      </c>
      <c r="I77" s="176">
        <f ca="1">IFERROR(__xludf.DUMMYFUNCTION("IMPORTRANGE(""https://docs.google.com/spreadsheets/d/1-uDff_7J0KD5mKrp0Vvzr7lt3OU09vwQwhkpOPPYv2Y/edit?usp=sharing"",""งบพรบ!CQ77"")"),0)</f>
        <v>0</v>
      </c>
      <c r="J77" s="176">
        <f t="shared" ca="1" si="20"/>
        <v>0</v>
      </c>
      <c r="K77" s="181">
        <f t="shared" ca="1" si="21"/>
        <v>0</v>
      </c>
      <c r="L77" s="176">
        <f ca="1">IFERROR(__xludf.DUMMYFUNCTION("IMPORTRANGE(""https://docs.google.com/spreadsheets/d/1-uDff_7J0KD5mKrp0Vvzr7lt3OU09vwQwhkpOPPYv2Y/edit?usp=sharing"",""งบพรบ!CR77"")"),0)</f>
        <v>0</v>
      </c>
      <c r="M77" s="179">
        <f t="shared" ca="1" si="22"/>
        <v>0</v>
      </c>
      <c r="N77" s="179">
        <f t="shared" ca="1" si="23"/>
        <v>0</v>
      </c>
      <c r="O77" s="180">
        <f ca="1">IFERROR(__xludf.DUMMYFUNCTION("IMPORTRANGE(""https://docs.google.com/spreadsheets/d/1-uDff_7J0KD5mKrp0Vvzr7lt3OU09vwQwhkpOPPYv2Y/edit?usp=sharing"",""งบพรบ!CS77"")"),0)</f>
        <v>0</v>
      </c>
      <c r="P77" s="180">
        <f t="shared" ca="1" si="24"/>
        <v>0</v>
      </c>
      <c r="Q77" s="179">
        <f t="shared" ca="1" si="25"/>
        <v>0</v>
      </c>
      <c r="R77" s="92">
        <f ca="1">IFERROR(__xludf.DUMMYFUNCTION("IMPORTRANGE(""https://docs.google.com/spreadsheets/d/16pAz3pOhQEZBhvFNMa5KGgZS6iKWpsKX0pg6tQmwFpo/edit?usp=sharing"",""ตรัง!I183"")"),7)</f>
        <v>7</v>
      </c>
      <c r="S77" s="92">
        <f ca="1">IFERROR(__xludf.DUMMYFUNCTION("IMPORTRANGE(""https://docs.google.com/spreadsheets/d/16pAz3pOhQEZBhvFNMa5KGgZS6iKWpsKX0pg6tQmwFpo/edit?usp=sharing"",""ตรัง!J183"")"),0)</f>
        <v>0</v>
      </c>
      <c r="T77" s="93">
        <f t="shared" ca="1" si="27"/>
        <v>0</v>
      </c>
      <c r="U77" s="258"/>
      <c r="V77" s="258"/>
      <c r="W77" s="259"/>
      <c r="X77" s="206"/>
      <c r="Y77" s="206"/>
      <c r="Z77" s="206"/>
    </row>
    <row r="78" spans="1:26" ht="21" customHeight="1" x14ac:dyDescent="0.3">
      <c r="A78" s="84">
        <v>4</v>
      </c>
      <c r="B78" s="85" t="s">
        <v>100</v>
      </c>
      <c r="C78" s="174">
        <f t="shared" ca="1" si="18"/>
        <v>19590</v>
      </c>
      <c r="D78" s="175">
        <f t="shared" ca="1" si="41"/>
        <v>19590</v>
      </c>
      <c r="E78" s="176">
        <f ca="1">IFERROR(__xludf.DUMMYFUNCTION("IMPORTRANGE(""https://docs.google.com/spreadsheets/d/1-uDff_7J0KD5mKrp0Vvzr7lt3OU09vwQwhkpOPPYv2Y/edit?usp=sharing"",""งบพรบ!CL78"")"),0)</f>
        <v>0</v>
      </c>
      <c r="F78" s="176">
        <f ca="1">IFERROR(__xludf.DUMMYFUNCTION("IMPORTRANGE(""https://docs.google.com/spreadsheets/d/1-uDff_7J0KD5mKrp0Vvzr7lt3OU09vwQwhkpOPPYv2Y/edit?usp=sharing"",""งบพรบ!CM78"")"),19590)</f>
        <v>19590</v>
      </c>
      <c r="G78" s="176">
        <f ca="1">IFERROR(__xludf.DUMMYFUNCTION("IMPORTRANGE(""https://docs.google.com/spreadsheets/d/1-uDff_7J0KD5mKrp0Vvzr7lt3OU09vwQwhkpOPPYv2Y/edit?usp=sharing"",""งบพรบ!CN78"")"),0)</f>
        <v>0</v>
      </c>
      <c r="H78" s="176">
        <f ca="1">IFERROR(__xludf.DUMMYFUNCTION("IMPORTRANGE(""https://docs.google.com/spreadsheets/d/1-uDff_7J0KD5mKrp0Vvzr7lt3OU09vwQwhkpOPPYv2Y/edit?usp=sharing"",""งบพรบ!CP78"")"),19590)</f>
        <v>19590</v>
      </c>
      <c r="I78" s="176">
        <f ca="1">IFERROR(__xludf.DUMMYFUNCTION("IMPORTRANGE(""https://docs.google.com/spreadsheets/d/1-uDff_7J0KD5mKrp0Vvzr7lt3OU09vwQwhkpOPPYv2Y/edit?usp=sharing"",""งบพรบ!CQ78"")"),0)</f>
        <v>0</v>
      </c>
      <c r="J78" s="176">
        <f t="shared" ca="1" si="20"/>
        <v>17455</v>
      </c>
      <c r="K78" s="181">
        <f t="shared" ca="1" si="21"/>
        <v>89.101582440020422</v>
      </c>
      <c r="L78" s="176">
        <f ca="1">IFERROR(__xludf.DUMMYFUNCTION("IMPORTRANGE(""https://docs.google.com/spreadsheets/d/1-uDff_7J0KD5mKrp0Vvzr7lt3OU09vwQwhkpOPPYv2Y/edit?usp=sharing"",""งบพรบ!CR78"")"),17455)</f>
        <v>17455</v>
      </c>
      <c r="M78" s="179">
        <f t="shared" ca="1" si="22"/>
        <v>89.101582440020422</v>
      </c>
      <c r="N78" s="179">
        <f t="shared" ca="1" si="23"/>
        <v>89.101582440020422</v>
      </c>
      <c r="O78" s="180">
        <f ca="1">IFERROR(__xludf.DUMMYFUNCTION("IMPORTRANGE(""https://docs.google.com/spreadsheets/d/1-uDff_7J0KD5mKrp0Vvzr7lt3OU09vwQwhkpOPPYv2Y/edit?usp=sharing"",""งบพรบ!CS78"")"),0)</f>
        <v>0</v>
      </c>
      <c r="P78" s="180">
        <f t="shared" ca="1" si="24"/>
        <v>0</v>
      </c>
      <c r="Q78" s="179">
        <f t="shared" ca="1" si="25"/>
        <v>0</v>
      </c>
      <c r="R78" s="92">
        <f ca="1">IFERROR(__xludf.DUMMYFUNCTION("IMPORTRANGE(""https://docs.google.com/spreadsheets/d/1Dj4jcHCTV9JXKCaMoheSXS52JE63kDKyG7bPXnFogHk/edit?usp=sharing"",""นครศรีธรรมราช!I183"")"),7)</f>
        <v>7</v>
      </c>
      <c r="S78" s="92">
        <f ca="1">IFERROR(__xludf.DUMMYFUNCTION("IMPORTRANGE(""https://docs.google.com/spreadsheets/d/1Dj4jcHCTV9JXKCaMoheSXS52JE63kDKyG7bPXnFogHk/edit?usp=sharing"",""นครศรีธรรมราช!J183"")"),0)</f>
        <v>0</v>
      </c>
      <c r="T78" s="93">
        <f t="shared" ca="1" si="27"/>
        <v>0</v>
      </c>
      <c r="U78" s="258"/>
      <c r="V78" s="258"/>
      <c r="W78" s="259"/>
      <c r="X78" s="206"/>
      <c r="Y78" s="206"/>
      <c r="Z78" s="206"/>
    </row>
    <row r="79" spans="1:26" ht="21" customHeight="1" x14ac:dyDescent="0.3">
      <c r="A79" s="84">
        <v>5</v>
      </c>
      <c r="B79" s="85" t="s">
        <v>101</v>
      </c>
      <c r="C79" s="174">
        <f t="shared" ca="1" si="18"/>
        <v>19590</v>
      </c>
      <c r="D79" s="175">
        <f t="shared" ca="1" si="41"/>
        <v>19590</v>
      </c>
      <c r="E79" s="176">
        <f ca="1">IFERROR(__xludf.DUMMYFUNCTION("IMPORTRANGE(""https://docs.google.com/spreadsheets/d/1-uDff_7J0KD5mKrp0Vvzr7lt3OU09vwQwhkpOPPYv2Y/edit?usp=sharing"",""งบพรบ!CL79"")"),0)</f>
        <v>0</v>
      </c>
      <c r="F79" s="176">
        <f ca="1">IFERROR(__xludf.DUMMYFUNCTION("IMPORTRANGE(""https://docs.google.com/spreadsheets/d/1-uDff_7J0KD5mKrp0Vvzr7lt3OU09vwQwhkpOPPYv2Y/edit?usp=sharing"",""งบพรบ!CM79"")"),19590)</f>
        <v>19590</v>
      </c>
      <c r="G79" s="176">
        <f ca="1">IFERROR(__xludf.DUMMYFUNCTION("IMPORTRANGE(""https://docs.google.com/spreadsheets/d/1-uDff_7J0KD5mKrp0Vvzr7lt3OU09vwQwhkpOPPYv2Y/edit?usp=sharing"",""งบพรบ!CN79"")"),0)</f>
        <v>0</v>
      </c>
      <c r="H79" s="176">
        <f ca="1">IFERROR(__xludf.DUMMYFUNCTION("IMPORTRANGE(""https://docs.google.com/spreadsheets/d/1-uDff_7J0KD5mKrp0Vvzr7lt3OU09vwQwhkpOPPYv2Y/edit?usp=sharing"",""งบพรบ!CP79"")"),19590)</f>
        <v>19590</v>
      </c>
      <c r="I79" s="176">
        <f ca="1">IFERROR(__xludf.DUMMYFUNCTION("IMPORTRANGE(""https://docs.google.com/spreadsheets/d/1-uDff_7J0KD5mKrp0Vvzr7lt3OU09vwQwhkpOPPYv2Y/edit?usp=sharing"",""งบพรบ!CQ79"")"),0)</f>
        <v>0</v>
      </c>
      <c r="J79" s="176">
        <f t="shared" ca="1" si="20"/>
        <v>19590</v>
      </c>
      <c r="K79" s="181">
        <f t="shared" ca="1" si="21"/>
        <v>100</v>
      </c>
      <c r="L79" s="176">
        <f ca="1">IFERROR(__xludf.DUMMYFUNCTION("IMPORTRANGE(""https://docs.google.com/spreadsheets/d/1-uDff_7J0KD5mKrp0Vvzr7lt3OU09vwQwhkpOPPYv2Y/edit?usp=sharing"",""งบพรบ!CR79"")"),19590)</f>
        <v>19590</v>
      </c>
      <c r="M79" s="179">
        <f t="shared" ca="1" si="22"/>
        <v>100</v>
      </c>
      <c r="N79" s="179">
        <f t="shared" ca="1" si="23"/>
        <v>100</v>
      </c>
      <c r="O79" s="180">
        <f ca="1">IFERROR(__xludf.DUMMYFUNCTION("IMPORTRANGE(""https://docs.google.com/spreadsheets/d/1-uDff_7J0KD5mKrp0Vvzr7lt3OU09vwQwhkpOPPYv2Y/edit?usp=sharing"",""งบพรบ!CS79"")"),0)</f>
        <v>0</v>
      </c>
      <c r="P79" s="180">
        <f t="shared" ca="1" si="24"/>
        <v>0</v>
      </c>
      <c r="Q79" s="179">
        <f t="shared" ca="1" si="25"/>
        <v>0</v>
      </c>
      <c r="R79" s="92">
        <f ca="1">IFERROR(__xludf.DUMMYFUNCTION("IMPORTRANGE(""https://docs.google.com/spreadsheets/d/1iodCdmuK2GR3jzUwk8tpccY2JHQQA-87DLOtJP-ooyU/edit?usp=sharing"",""นราธิวาส!I183"")"),7)</f>
        <v>7</v>
      </c>
      <c r="S79" s="92">
        <f ca="1">IFERROR(__xludf.DUMMYFUNCTION("IMPORTRANGE(""https://docs.google.com/spreadsheets/d/1iodCdmuK2GR3jzUwk8tpccY2JHQQA-87DLOtJP-ooyU/edit?usp=sharing"",""นราธิวาส!J183"")"),7)</f>
        <v>7</v>
      </c>
      <c r="T79" s="93">
        <f t="shared" ca="1" si="27"/>
        <v>100</v>
      </c>
      <c r="U79" s="258"/>
      <c r="V79" s="258"/>
      <c r="W79" s="259"/>
      <c r="X79" s="206"/>
      <c r="Y79" s="206"/>
      <c r="Z79" s="206"/>
    </row>
    <row r="80" spans="1:26" ht="21" customHeight="1" x14ac:dyDescent="0.3">
      <c r="A80" s="84">
        <v>6</v>
      </c>
      <c r="B80" s="85" t="s">
        <v>102</v>
      </c>
      <c r="C80" s="174">
        <f t="shared" ca="1" si="18"/>
        <v>19590</v>
      </c>
      <c r="D80" s="175">
        <f t="shared" ca="1" si="41"/>
        <v>19590</v>
      </c>
      <c r="E80" s="176">
        <f ca="1">IFERROR(__xludf.DUMMYFUNCTION("IMPORTRANGE(""https://docs.google.com/spreadsheets/d/1-uDff_7J0KD5mKrp0Vvzr7lt3OU09vwQwhkpOPPYv2Y/edit?usp=sharing"",""งบพรบ!CL80"")"),0)</f>
        <v>0</v>
      </c>
      <c r="F80" s="176">
        <f ca="1">IFERROR(__xludf.DUMMYFUNCTION("IMPORTRANGE(""https://docs.google.com/spreadsheets/d/1-uDff_7J0KD5mKrp0Vvzr7lt3OU09vwQwhkpOPPYv2Y/edit?usp=sharing"",""งบพรบ!CM80"")"),19590)</f>
        <v>19590</v>
      </c>
      <c r="G80" s="176">
        <f ca="1">IFERROR(__xludf.DUMMYFUNCTION("IMPORTRANGE(""https://docs.google.com/spreadsheets/d/1-uDff_7J0KD5mKrp0Vvzr7lt3OU09vwQwhkpOPPYv2Y/edit?usp=sharing"",""งบพรบ!CN80"")"),0)</f>
        <v>0</v>
      </c>
      <c r="H80" s="176">
        <f ca="1">IFERROR(__xludf.DUMMYFUNCTION("IMPORTRANGE(""https://docs.google.com/spreadsheets/d/1-uDff_7J0KD5mKrp0Vvzr7lt3OU09vwQwhkpOPPYv2Y/edit?usp=sharing"",""งบพรบ!CP80"")"),19590)</f>
        <v>19590</v>
      </c>
      <c r="I80" s="176">
        <f ca="1">IFERROR(__xludf.DUMMYFUNCTION("IMPORTRANGE(""https://docs.google.com/spreadsheets/d/1-uDff_7J0KD5mKrp0Vvzr7lt3OU09vwQwhkpOPPYv2Y/edit?usp=sharing"",""งบพรบ!CQ80"")"),0)</f>
        <v>0</v>
      </c>
      <c r="J80" s="176">
        <f t="shared" ca="1" si="20"/>
        <v>6200</v>
      </c>
      <c r="K80" s="181">
        <f t="shared" ca="1" si="21"/>
        <v>31.648800408371617</v>
      </c>
      <c r="L80" s="176">
        <f ca="1">IFERROR(__xludf.DUMMYFUNCTION("IMPORTRANGE(""https://docs.google.com/spreadsheets/d/1-uDff_7J0KD5mKrp0Vvzr7lt3OU09vwQwhkpOPPYv2Y/edit?usp=sharing"",""งบพรบ!CR80"")"),6200)</f>
        <v>6200</v>
      </c>
      <c r="M80" s="179">
        <f t="shared" ca="1" si="22"/>
        <v>31.648800408371617</v>
      </c>
      <c r="N80" s="179">
        <f t="shared" ca="1" si="23"/>
        <v>31.648800408371617</v>
      </c>
      <c r="O80" s="180">
        <f ca="1">IFERROR(__xludf.DUMMYFUNCTION("IMPORTRANGE(""https://docs.google.com/spreadsheets/d/1-uDff_7J0KD5mKrp0Vvzr7lt3OU09vwQwhkpOPPYv2Y/edit?usp=sharing"",""งบพรบ!CS80"")"),0)</f>
        <v>0</v>
      </c>
      <c r="P80" s="180">
        <f t="shared" ca="1" si="24"/>
        <v>0</v>
      </c>
      <c r="Q80" s="179">
        <f t="shared" ca="1" si="25"/>
        <v>0</v>
      </c>
      <c r="R80" s="92">
        <f ca="1">IFERROR(__xludf.DUMMYFUNCTION("IMPORTRANGE(""https://docs.google.com/spreadsheets/d/1SDNX3JhDdYRuIOsj0Wh2M-Qa_eaXl0NbWmhAOTbfQAs/edit?usp=sharing"",""ปัตตานี!I183"")"),7)</f>
        <v>7</v>
      </c>
      <c r="S80" s="92">
        <f ca="1">IFERROR(__xludf.DUMMYFUNCTION("IMPORTRANGE(""https://docs.google.com/spreadsheets/d/1SDNX3JhDdYRuIOsj0Wh2M-Qa_eaXl0NbWmhAOTbfQAs/edit?usp=sharing"",""ปัตตานี!J183"")"),0)</f>
        <v>0</v>
      </c>
      <c r="T80" s="93">
        <f t="shared" ca="1" si="27"/>
        <v>0</v>
      </c>
      <c r="U80" s="258"/>
      <c r="V80" s="258"/>
      <c r="W80" s="259"/>
      <c r="X80" s="206"/>
      <c r="Y80" s="206"/>
      <c r="Z80" s="206"/>
    </row>
    <row r="81" spans="1:26" ht="21" customHeight="1" x14ac:dyDescent="0.3">
      <c r="A81" s="84">
        <v>7</v>
      </c>
      <c r="B81" s="85" t="s">
        <v>103</v>
      </c>
      <c r="C81" s="174">
        <f t="shared" ca="1" si="18"/>
        <v>19590</v>
      </c>
      <c r="D81" s="175">
        <f t="shared" ca="1" si="41"/>
        <v>19590</v>
      </c>
      <c r="E81" s="176">
        <f ca="1">IFERROR(__xludf.DUMMYFUNCTION("IMPORTRANGE(""https://docs.google.com/spreadsheets/d/1-uDff_7J0KD5mKrp0Vvzr7lt3OU09vwQwhkpOPPYv2Y/edit?usp=sharing"",""งบพรบ!CL81"")"),0)</f>
        <v>0</v>
      </c>
      <c r="F81" s="176">
        <f ca="1">IFERROR(__xludf.DUMMYFUNCTION("IMPORTRANGE(""https://docs.google.com/spreadsheets/d/1-uDff_7J0KD5mKrp0Vvzr7lt3OU09vwQwhkpOPPYv2Y/edit?usp=sharing"",""งบพรบ!CM81"")"),19590)</f>
        <v>19590</v>
      </c>
      <c r="G81" s="176">
        <f ca="1">IFERROR(__xludf.DUMMYFUNCTION("IMPORTRANGE(""https://docs.google.com/spreadsheets/d/1-uDff_7J0KD5mKrp0Vvzr7lt3OU09vwQwhkpOPPYv2Y/edit?usp=sharing"",""งบพรบ!CN81"")"),0)</f>
        <v>0</v>
      </c>
      <c r="H81" s="176">
        <f ca="1">IFERROR(__xludf.DUMMYFUNCTION("IMPORTRANGE(""https://docs.google.com/spreadsheets/d/1-uDff_7J0KD5mKrp0Vvzr7lt3OU09vwQwhkpOPPYv2Y/edit?usp=sharing"",""งบพรบ!CP81"")"),19590)</f>
        <v>19590</v>
      </c>
      <c r="I81" s="176">
        <f ca="1">IFERROR(__xludf.DUMMYFUNCTION("IMPORTRANGE(""https://docs.google.com/spreadsheets/d/1-uDff_7J0KD5mKrp0Vvzr7lt3OU09vwQwhkpOPPYv2Y/edit?usp=sharing"",""งบพรบ!CQ81"")"),0)</f>
        <v>0</v>
      </c>
      <c r="J81" s="176">
        <f t="shared" ca="1" si="20"/>
        <v>0</v>
      </c>
      <c r="K81" s="181">
        <f t="shared" ca="1" si="21"/>
        <v>0</v>
      </c>
      <c r="L81" s="176">
        <f ca="1">IFERROR(__xludf.DUMMYFUNCTION("IMPORTRANGE(""https://docs.google.com/spreadsheets/d/1-uDff_7J0KD5mKrp0Vvzr7lt3OU09vwQwhkpOPPYv2Y/edit?usp=sharing"",""งบพรบ!CR81"")"),0)</f>
        <v>0</v>
      </c>
      <c r="M81" s="179">
        <f t="shared" ca="1" si="22"/>
        <v>0</v>
      </c>
      <c r="N81" s="179">
        <f t="shared" ca="1" si="23"/>
        <v>0</v>
      </c>
      <c r="O81" s="180">
        <f ca="1">IFERROR(__xludf.DUMMYFUNCTION("IMPORTRANGE(""https://docs.google.com/spreadsheets/d/1-uDff_7J0KD5mKrp0Vvzr7lt3OU09vwQwhkpOPPYv2Y/edit?usp=sharing"",""งบพรบ!CS81"")"),0)</f>
        <v>0</v>
      </c>
      <c r="P81" s="180">
        <f t="shared" ca="1" si="24"/>
        <v>0</v>
      </c>
      <c r="Q81" s="179">
        <f t="shared" ca="1" si="25"/>
        <v>0</v>
      </c>
      <c r="R81" s="92">
        <f ca="1">IFERROR(__xludf.DUMMYFUNCTION("IMPORTRANGE(""https://docs.google.com/spreadsheets/d/16JDLGguT8s5DsGCND1KcwHP_AWR_zDMTqLHPLJUKhaU/edit?usp=sharing"",""พังงา!I183"")"),7)</f>
        <v>7</v>
      </c>
      <c r="S81" s="92">
        <f ca="1">IFERROR(__xludf.DUMMYFUNCTION("IMPORTRANGE(""https://docs.google.com/spreadsheets/d/16JDLGguT8s5DsGCND1KcwHP_AWR_zDMTqLHPLJUKhaU/edit?usp=sharing"",""พังงา!J183"")"),0)</f>
        <v>0</v>
      </c>
      <c r="T81" s="93">
        <f t="shared" ca="1" si="27"/>
        <v>0</v>
      </c>
      <c r="U81" s="258"/>
      <c r="V81" s="258"/>
      <c r="W81" s="259"/>
      <c r="X81" s="206"/>
      <c r="Y81" s="206"/>
      <c r="Z81" s="206"/>
    </row>
    <row r="82" spans="1:26" ht="21" customHeight="1" x14ac:dyDescent="0.3">
      <c r="A82" s="84">
        <v>8</v>
      </c>
      <c r="B82" s="85" t="s">
        <v>104</v>
      </c>
      <c r="C82" s="174" t="e">
        <f t="shared" ca="1" si="18"/>
        <v>#VALUE!</v>
      </c>
      <c r="D82" s="175" t="e">
        <f t="shared" ca="1" si="41"/>
        <v>#VALUE!</v>
      </c>
      <c r="E82" s="176">
        <f ca="1">IFERROR(__xludf.DUMMYFUNCTION("IMPORTRANGE(""https://docs.google.com/spreadsheets/d/1-uDff_7J0KD5mKrp0Vvzr7lt3OU09vwQwhkpOPPYv2Y/edit?usp=sharing"",""งบพรบ!CL82"")"),0)</f>
        <v>0</v>
      </c>
      <c r="F82" s="176" t="str">
        <f ca="1">IFERROR(__xludf.DUMMYFUNCTION("IMPORTRANGE(""https://docs.google.com/spreadsheets/d/1-uDff_7J0KD5mKrp0Vvzr7lt3OU09vwQwhkpOPPYv2Y/edit?usp=sharing"",""งบพรบ!CM82"")"),"")</f>
        <v/>
      </c>
      <c r="G82" s="176">
        <f ca="1">IFERROR(__xludf.DUMMYFUNCTION("IMPORTRANGE(""https://docs.google.com/spreadsheets/d/1-uDff_7J0KD5mKrp0Vvzr7lt3OU09vwQwhkpOPPYv2Y/edit?usp=sharing"",""งบพรบ!CN82"")"),0)</f>
        <v>0</v>
      </c>
      <c r="H82" s="176">
        <f ca="1">IFERROR(__xludf.DUMMYFUNCTION("IMPORTRANGE(""https://docs.google.com/spreadsheets/d/1-uDff_7J0KD5mKrp0Vvzr7lt3OU09vwQwhkpOPPYv2Y/edit?usp=sharing"",""งบพรบ!CP82"")"),0)</f>
        <v>0</v>
      </c>
      <c r="I82" s="176">
        <f ca="1">IFERROR(__xludf.DUMMYFUNCTION("IMPORTRANGE(""https://docs.google.com/spreadsheets/d/1-uDff_7J0KD5mKrp0Vvzr7lt3OU09vwQwhkpOPPYv2Y/edit?usp=sharing"",""งบพรบ!CQ82"")"),0)</f>
        <v>0</v>
      </c>
      <c r="J82" s="176">
        <f t="shared" ca="1" si="20"/>
        <v>0</v>
      </c>
      <c r="K82" s="181" t="e">
        <f t="shared" ca="1" si="21"/>
        <v>#VALUE!</v>
      </c>
      <c r="L82" s="176">
        <f ca="1">IFERROR(__xludf.DUMMYFUNCTION("IMPORTRANGE(""https://docs.google.com/spreadsheets/d/1-uDff_7J0KD5mKrp0Vvzr7lt3OU09vwQwhkpOPPYv2Y/edit?usp=sharing"",""งบพรบ!CR82"")"),0)</f>
        <v>0</v>
      </c>
      <c r="M82" s="179" t="e">
        <f t="shared" ca="1" si="22"/>
        <v>#VALUE!</v>
      </c>
      <c r="N82" s="179">
        <f t="shared" ca="1" si="23"/>
        <v>0</v>
      </c>
      <c r="O82" s="180">
        <f ca="1">IFERROR(__xludf.DUMMYFUNCTION("IMPORTRANGE(""https://docs.google.com/spreadsheets/d/1-uDff_7J0KD5mKrp0Vvzr7lt3OU09vwQwhkpOPPYv2Y/edit?usp=sharing"",""งบพรบ!CS82"")"),0)</f>
        <v>0</v>
      </c>
      <c r="P82" s="180">
        <f t="shared" ca="1" si="24"/>
        <v>0</v>
      </c>
      <c r="Q82" s="179">
        <f t="shared" ca="1" si="25"/>
        <v>0</v>
      </c>
      <c r="R82" s="92">
        <f ca="1">IFERROR(__xludf.DUMMYFUNCTION("IMPORTRANGE(""https://docs.google.com/spreadsheets/d/17ht0gPKzzT3PObBL1XJkeRmntBXI7wGjpLV7QorqlTk/edit?usp=sharing"",""พัทลุง!I183"")"),0)</f>
        <v>0</v>
      </c>
      <c r="S82" s="92">
        <f ca="1">IFERROR(__xludf.DUMMYFUNCTION("IMPORTRANGE(""https://docs.google.com/spreadsheets/d/17ht0gPKzzT3PObBL1XJkeRmntBXI7wGjpLV7QorqlTk/edit?usp=sharing"",""พัทลุง!J183"")"),0)</f>
        <v>0</v>
      </c>
      <c r="T82" s="93">
        <f t="shared" ca="1" si="27"/>
        <v>0</v>
      </c>
      <c r="U82" s="258"/>
      <c r="V82" s="258"/>
      <c r="W82" s="259"/>
      <c r="X82" s="206"/>
      <c r="Y82" s="206"/>
      <c r="Z82" s="206"/>
    </row>
    <row r="83" spans="1:26" ht="21" customHeight="1" x14ac:dyDescent="0.3">
      <c r="A83" s="84">
        <v>9</v>
      </c>
      <c r="B83" s="85" t="s">
        <v>105</v>
      </c>
      <c r="C83" s="174" t="e">
        <f t="shared" ca="1" si="18"/>
        <v>#VALUE!</v>
      </c>
      <c r="D83" s="175" t="e">
        <f t="shared" ca="1" si="41"/>
        <v>#VALUE!</v>
      </c>
      <c r="E83" s="176">
        <f ca="1">IFERROR(__xludf.DUMMYFUNCTION("IMPORTRANGE(""https://docs.google.com/spreadsheets/d/1-uDff_7J0KD5mKrp0Vvzr7lt3OU09vwQwhkpOPPYv2Y/edit?usp=sharing"",""งบพรบ!CL83"")"),0)</f>
        <v>0</v>
      </c>
      <c r="F83" s="176" t="str">
        <f ca="1">IFERROR(__xludf.DUMMYFUNCTION("IMPORTRANGE(""https://docs.google.com/spreadsheets/d/1-uDff_7J0KD5mKrp0Vvzr7lt3OU09vwQwhkpOPPYv2Y/edit?usp=sharing"",""งบพรบ!CM83"")"),"")</f>
        <v/>
      </c>
      <c r="G83" s="176">
        <f ca="1">IFERROR(__xludf.DUMMYFUNCTION("IMPORTRANGE(""https://docs.google.com/spreadsheets/d/1-uDff_7J0KD5mKrp0Vvzr7lt3OU09vwQwhkpOPPYv2Y/edit?usp=sharing"",""งบพรบ!CN83"")"),0)</f>
        <v>0</v>
      </c>
      <c r="H83" s="176">
        <f ca="1">IFERROR(__xludf.DUMMYFUNCTION("IMPORTRANGE(""https://docs.google.com/spreadsheets/d/1-uDff_7J0KD5mKrp0Vvzr7lt3OU09vwQwhkpOPPYv2Y/edit?usp=sharing"",""งบพรบ!CP83"")"),0)</f>
        <v>0</v>
      </c>
      <c r="I83" s="176">
        <f ca="1">IFERROR(__xludf.DUMMYFUNCTION("IMPORTRANGE(""https://docs.google.com/spreadsheets/d/1-uDff_7J0KD5mKrp0Vvzr7lt3OU09vwQwhkpOPPYv2Y/edit?usp=sharing"",""งบพรบ!CQ83"")"),0)</f>
        <v>0</v>
      </c>
      <c r="J83" s="176">
        <f t="shared" ca="1" si="20"/>
        <v>0</v>
      </c>
      <c r="K83" s="181" t="e">
        <f t="shared" ca="1" si="21"/>
        <v>#VALUE!</v>
      </c>
      <c r="L83" s="176">
        <f ca="1">IFERROR(__xludf.DUMMYFUNCTION("IMPORTRANGE(""https://docs.google.com/spreadsheets/d/1-uDff_7J0KD5mKrp0Vvzr7lt3OU09vwQwhkpOPPYv2Y/edit?usp=sharing"",""งบพรบ!CR83"")"),0)</f>
        <v>0</v>
      </c>
      <c r="M83" s="179" t="e">
        <f t="shared" ca="1" si="22"/>
        <v>#VALUE!</v>
      </c>
      <c r="N83" s="179">
        <f t="shared" ca="1" si="23"/>
        <v>0</v>
      </c>
      <c r="O83" s="180">
        <f ca="1">IFERROR(__xludf.DUMMYFUNCTION("IMPORTRANGE(""https://docs.google.com/spreadsheets/d/1-uDff_7J0KD5mKrp0Vvzr7lt3OU09vwQwhkpOPPYv2Y/edit?usp=sharing"",""งบพรบ!CS83"")"),0)</f>
        <v>0</v>
      </c>
      <c r="P83" s="180">
        <f t="shared" ca="1" si="24"/>
        <v>0</v>
      </c>
      <c r="Q83" s="179">
        <f t="shared" ca="1" si="25"/>
        <v>0</v>
      </c>
      <c r="R83" s="92">
        <f ca="1">IFERROR(__xludf.DUMMYFUNCTION("IMPORTRANGE(""https://docs.google.com/spreadsheets/d/1rd4qoM1q_hsgaolqNGfrim9gbsoLxQsda4-vOz5x_BM/edit?usp=sharing"",""ภูเก็ต!I183"")"),0)</f>
        <v>0</v>
      </c>
      <c r="S83" s="92">
        <f ca="1">IFERROR(__xludf.DUMMYFUNCTION("IMPORTRANGE(""https://docs.google.com/spreadsheets/d/1rd4qoM1q_hsgaolqNGfrim9gbsoLxQsda4-vOz5x_BM/edit?usp=sharing"",""ภูเก็ต!J183"")"),0)</f>
        <v>0</v>
      </c>
      <c r="T83" s="93">
        <f t="shared" ca="1" si="27"/>
        <v>0</v>
      </c>
      <c r="U83" s="258"/>
      <c r="V83" s="258"/>
      <c r="W83" s="259"/>
      <c r="X83" s="206"/>
      <c r="Y83" s="206"/>
      <c r="Z83" s="206"/>
    </row>
    <row r="84" spans="1:26" ht="21" customHeight="1" x14ac:dyDescent="0.3">
      <c r="A84" s="84">
        <v>10</v>
      </c>
      <c r="B84" s="85" t="s">
        <v>106</v>
      </c>
      <c r="C84" s="174">
        <f t="shared" ca="1" si="18"/>
        <v>19590</v>
      </c>
      <c r="D84" s="175">
        <f t="shared" ca="1" si="41"/>
        <v>19590</v>
      </c>
      <c r="E84" s="176">
        <f ca="1">IFERROR(__xludf.DUMMYFUNCTION("IMPORTRANGE(""https://docs.google.com/spreadsheets/d/1-uDff_7J0KD5mKrp0Vvzr7lt3OU09vwQwhkpOPPYv2Y/edit?usp=sharing"",""งบพรบ!CL84"")"),0)</f>
        <v>0</v>
      </c>
      <c r="F84" s="176">
        <f ca="1">IFERROR(__xludf.DUMMYFUNCTION("IMPORTRANGE(""https://docs.google.com/spreadsheets/d/1-uDff_7J0KD5mKrp0Vvzr7lt3OU09vwQwhkpOPPYv2Y/edit?usp=sharing"",""งบพรบ!CM84"")"),19590)</f>
        <v>19590</v>
      </c>
      <c r="G84" s="176">
        <f ca="1">IFERROR(__xludf.DUMMYFUNCTION("IMPORTRANGE(""https://docs.google.com/spreadsheets/d/1-uDff_7J0KD5mKrp0Vvzr7lt3OU09vwQwhkpOPPYv2Y/edit?usp=sharing"",""งบพรบ!CN84"")"),0)</f>
        <v>0</v>
      </c>
      <c r="H84" s="176">
        <f ca="1">IFERROR(__xludf.DUMMYFUNCTION("IMPORTRANGE(""https://docs.google.com/spreadsheets/d/1-uDff_7J0KD5mKrp0Vvzr7lt3OU09vwQwhkpOPPYv2Y/edit?usp=sharing"",""งบพรบ!CP84"")"),19590)</f>
        <v>19590</v>
      </c>
      <c r="I84" s="176">
        <f ca="1">IFERROR(__xludf.DUMMYFUNCTION("IMPORTRANGE(""https://docs.google.com/spreadsheets/d/1-uDff_7J0KD5mKrp0Vvzr7lt3OU09vwQwhkpOPPYv2Y/edit?usp=sharing"",""งบพรบ!CQ84"")"),0)</f>
        <v>0</v>
      </c>
      <c r="J84" s="176">
        <f t="shared" ca="1" si="20"/>
        <v>17090</v>
      </c>
      <c r="K84" s="181">
        <f t="shared" ca="1" si="21"/>
        <v>87.238386932108213</v>
      </c>
      <c r="L84" s="176">
        <f ca="1">IFERROR(__xludf.DUMMYFUNCTION("IMPORTRANGE(""https://docs.google.com/spreadsheets/d/1-uDff_7J0KD5mKrp0Vvzr7lt3OU09vwQwhkpOPPYv2Y/edit?usp=sharing"",""งบพรบ!CR84"")"),17090)</f>
        <v>17090</v>
      </c>
      <c r="M84" s="179">
        <f t="shared" ca="1" si="22"/>
        <v>87.238386932108213</v>
      </c>
      <c r="N84" s="179">
        <f t="shared" ca="1" si="23"/>
        <v>87.238386932108213</v>
      </c>
      <c r="O84" s="180">
        <f ca="1">IFERROR(__xludf.DUMMYFUNCTION("IMPORTRANGE(""https://docs.google.com/spreadsheets/d/1-uDff_7J0KD5mKrp0Vvzr7lt3OU09vwQwhkpOPPYv2Y/edit?usp=sharing"",""งบพรบ!CS84"")"),0)</f>
        <v>0</v>
      </c>
      <c r="P84" s="180">
        <f t="shared" ca="1" si="24"/>
        <v>0</v>
      </c>
      <c r="Q84" s="179">
        <f t="shared" ca="1" si="25"/>
        <v>0</v>
      </c>
      <c r="R84" s="92">
        <f ca="1">IFERROR(__xludf.DUMMYFUNCTION("IMPORTRANGE(""https://docs.google.com/spreadsheets/d/1woKwKjgoLssDvPcPeVyezB5izizAn4X1JDrys69n6xI/edit?usp=sharing"",""ยะลา!I183"")"),7)</f>
        <v>7</v>
      </c>
      <c r="S84" s="92">
        <f ca="1">IFERROR(__xludf.DUMMYFUNCTION("IMPORTRANGE(""https://docs.google.com/spreadsheets/d/1woKwKjgoLssDvPcPeVyezB5izizAn4X1JDrys69n6xI/edit?usp=sharing"",""ยะลา!J183"")"),0)</f>
        <v>0</v>
      </c>
      <c r="T84" s="93">
        <f t="shared" ca="1" si="27"/>
        <v>0</v>
      </c>
      <c r="U84" s="258"/>
      <c r="V84" s="258"/>
      <c r="W84" s="259"/>
      <c r="X84" s="206"/>
      <c r="Y84" s="206"/>
      <c r="Z84" s="206"/>
    </row>
    <row r="85" spans="1:26" ht="21" customHeight="1" x14ac:dyDescent="0.3">
      <c r="A85" s="84">
        <v>11</v>
      </c>
      <c r="B85" s="85" t="s">
        <v>107</v>
      </c>
      <c r="C85" s="174">
        <f t="shared" ca="1" si="18"/>
        <v>19590</v>
      </c>
      <c r="D85" s="175">
        <f t="shared" ca="1" si="41"/>
        <v>19590</v>
      </c>
      <c r="E85" s="176">
        <f ca="1">IFERROR(__xludf.DUMMYFUNCTION("IMPORTRANGE(""https://docs.google.com/spreadsheets/d/1-uDff_7J0KD5mKrp0Vvzr7lt3OU09vwQwhkpOPPYv2Y/edit?usp=sharing"",""งบพรบ!CL85"")"),0)</f>
        <v>0</v>
      </c>
      <c r="F85" s="176">
        <f ca="1">IFERROR(__xludf.DUMMYFUNCTION("IMPORTRANGE(""https://docs.google.com/spreadsheets/d/1-uDff_7J0KD5mKrp0Vvzr7lt3OU09vwQwhkpOPPYv2Y/edit?usp=sharing"",""งบพรบ!CM85"")"),19590)</f>
        <v>19590</v>
      </c>
      <c r="G85" s="176">
        <f ca="1">IFERROR(__xludf.DUMMYFUNCTION("IMPORTRANGE(""https://docs.google.com/spreadsheets/d/1-uDff_7J0KD5mKrp0Vvzr7lt3OU09vwQwhkpOPPYv2Y/edit?usp=sharing"",""งบพรบ!CN85"")"),0)</f>
        <v>0</v>
      </c>
      <c r="H85" s="176">
        <f ca="1">IFERROR(__xludf.DUMMYFUNCTION("IMPORTRANGE(""https://docs.google.com/spreadsheets/d/1-uDff_7J0KD5mKrp0Vvzr7lt3OU09vwQwhkpOPPYv2Y/edit?usp=sharing"",""งบพรบ!CP85"")"),19590)</f>
        <v>19590</v>
      </c>
      <c r="I85" s="176">
        <f ca="1">IFERROR(__xludf.DUMMYFUNCTION("IMPORTRANGE(""https://docs.google.com/spreadsheets/d/1-uDff_7J0KD5mKrp0Vvzr7lt3OU09vwQwhkpOPPYv2Y/edit?usp=sharing"",""งบพรบ!CQ85"")"),0)</f>
        <v>0</v>
      </c>
      <c r="J85" s="176">
        <f t="shared" ca="1" si="20"/>
        <v>0</v>
      </c>
      <c r="K85" s="181">
        <f t="shared" ca="1" si="21"/>
        <v>0</v>
      </c>
      <c r="L85" s="176">
        <f ca="1">IFERROR(__xludf.DUMMYFUNCTION("IMPORTRANGE(""https://docs.google.com/spreadsheets/d/1-uDff_7J0KD5mKrp0Vvzr7lt3OU09vwQwhkpOPPYv2Y/edit?usp=sharing"",""งบพรบ!CR85"")"),0)</f>
        <v>0</v>
      </c>
      <c r="M85" s="179">
        <f t="shared" ca="1" si="22"/>
        <v>0</v>
      </c>
      <c r="N85" s="179">
        <f t="shared" ca="1" si="23"/>
        <v>0</v>
      </c>
      <c r="O85" s="180">
        <f ca="1">IFERROR(__xludf.DUMMYFUNCTION("IMPORTRANGE(""https://docs.google.com/spreadsheets/d/1-uDff_7J0KD5mKrp0Vvzr7lt3OU09vwQwhkpOPPYv2Y/edit?usp=sharing"",""งบพรบ!CS85"")"),0)</f>
        <v>0</v>
      </c>
      <c r="P85" s="180">
        <f t="shared" ca="1" si="24"/>
        <v>0</v>
      </c>
      <c r="Q85" s="179">
        <f t="shared" ca="1" si="25"/>
        <v>0</v>
      </c>
      <c r="R85" s="92">
        <f ca="1">IFERROR(__xludf.DUMMYFUNCTION("IMPORTRANGE(""https://docs.google.com/spreadsheets/d/1qfrKjzMhm2HJfxQ-qVlJlJQ25Hne1d0khsySbZyGtPA/edit?usp=sharing"",""ระนอง!I183"")"),7)</f>
        <v>7</v>
      </c>
      <c r="S85" s="92">
        <f ca="1">IFERROR(__xludf.DUMMYFUNCTION("IMPORTRANGE(""https://docs.google.com/spreadsheets/d/1qfrKjzMhm2HJfxQ-qVlJlJQ25Hne1d0khsySbZyGtPA/edit?usp=sharing"",""ระนอง!J183"")"),0)</f>
        <v>0</v>
      </c>
      <c r="T85" s="93">
        <f t="shared" ca="1" si="27"/>
        <v>0</v>
      </c>
      <c r="U85" s="258"/>
      <c r="V85" s="258"/>
      <c r="W85" s="259"/>
      <c r="X85" s="206"/>
      <c r="Y85" s="206"/>
      <c r="Z85" s="206"/>
    </row>
    <row r="86" spans="1:26" ht="24" customHeight="1" x14ac:dyDescent="0.3">
      <c r="A86" s="84">
        <v>12</v>
      </c>
      <c r="B86" s="85" t="s">
        <v>108</v>
      </c>
      <c r="C86" s="174">
        <f t="shared" ca="1" si="18"/>
        <v>19590</v>
      </c>
      <c r="D86" s="175">
        <f t="shared" ca="1" si="41"/>
        <v>19590</v>
      </c>
      <c r="E86" s="176">
        <f ca="1">IFERROR(__xludf.DUMMYFUNCTION("IMPORTRANGE(""https://docs.google.com/spreadsheets/d/1-uDff_7J0KD5mKrp0Vvzr7lt3OU09vwQwhkpOPPYv2Y/edit?usp=sharing"",""งบพรบ!CL86"")"),0)</f>
        <v>0</v>
      </c>
      <c r="F86" s="176">
        <f ca="1">IFERROR(__xludf.DUMMYFUNCTION("IMPORTRANGE(""https://docs.google.com/spreadsheets/d/1-uDff_7J0KD5mKrp0Vvzr7lt3OU09vwQwhkpOPPYv2Y/edit?usp=sharing"",""งบพรบ!CM86"")"),19590)</f>
        <v>19590</v>
      </c>
      <c r="G86" s="176">
        <f ca="1">IFERROR(__xludf.DUMMYFUNCTION("IMPORTRANGE(""https://docs.google.com/spreadsheets/d/1-uDff_7J0KD5mKrp0Vvzr7lt3OU09vwQwhkpOPPYv2Y/edit?usp=sharing"",""งบพรบ!CN86"")"),0)</f>
        <v>0</v>
      </c>
      <c r="H86" s="176">
        <f ca="1">IFERROR(__xludf.DUMMYFUNCTION("IMPORTRANGE(""https://docs.google.com/spreadsheets/d/1-uDff_7J0KD5mKrp0Vvzr7lt3OU09vwQwhkpOPPYv2Y/edit?usp=sharing"",""งบพรบ!CP86"")"),19590)</f>
        <v>19590</v>
      </c>
      <c r="I86" s="176">
        <f ca="1">IFERROR(__xludf.DUMMYFUNCTION("IMPORTRANGE(""https://docs.google.com/spreadsheets/d/1-uDff_7J0KD5mKrp0Vvzr7lt3OU09vwQwhkpOPPYv2Y/edit?usp=sharing"",""งบพรบ!CQ86"")"),0)</f>
        <v>0</v>
      </c>
      <c r="J86" s="176">
        <f t="shared" ca="1" si="20"/>
        <v>0</v>
      </c>
      <c r="K86" s="181">
        <f t="shared" ca="1" si="21"/>
        <v>0</v>
      </c>
      <c r="L86" s="176">
        <f ca="1">IFERROR(__xludf.DUMMYFUNCTION("IMPORTRANGE(""https://docs.google.com/spreadsheets/d/1-uDff_7J0KD5mKrp0Vvzr7lt3OU09vwQwhkpOPPYv2Y/edit?usp=sharing"",""งบพรบ!CR86"")"),0)</f>
        <v>0</v>
      </c>
      <c r="M86" s="179">
        <f t="shared" ca="1" si="22"/>
        <v>0</v>
      </c>
      <c r="N86" s="179">
        <f t="shared" ca="1" si="23"/>
        <v>0</v>
      </c>
      <c r="O86" s="180">
        <f ca="1">IFERROR(__xludf.DUMMYFUNCTION("IMPORTRANGE(""https://docs.google.com/spreadsheets/d/1-uDff_7J0KD5mKrp0Vvzr7lt3OU09vwQwhkpOPPYv2Y/edit?usp=sharing"",""งบพรบ!CS86"")"),0)</f>
        <v>0</v>
      </c>
      <c r="P86" s="180">
        <f t="shared" ca="1" si="24"/>
        <v>0</v>
      </c>
      <c r="Q86" s="179">
        <f t="shared" ca="1" si="25"/>
        <v>0</v>
      </c>
      <c r="R86" s="92">
        <f ca="1">IFERROR(__xludf.DUMMYFUNCTION("IMPORTRANGE(""https://docs.google.com/spreadsheets/d/1IbSCnFOKpZsnFogBHJnL_isstZVaOMnFiIN0fGTPZZw/edit?usp=sharing"",""สงขลา!I183"")"),7)</f>
        <v>7</v>
      </c>
      <c r="S86" s="92">
        <f ca="1">IFERROR(__xludf.DUMMYFUNCTION("IMPORTRANGE(""https://docs.google.com/spreadsheets/d/1IbSCnFOKpZsnFogBHJnL_isstZVaOMnFiIN0fGTPZZw/edit?usp=sharing"",""สงขลา!J183"")"),0)</f>
        <v>0</v>
      </c>
      <c r="T86" s="93">
        <f t="shared" ca="1" si="27"/>
        <v>0</v>
      </c>
      <c r="U86" s="258"/>
      <c r="V86" s="258"/>
      <c r="W86" s="259"/>
      <c r="X86" s="206"/>
      <c r="Y86" s="206"/>
      <c r="Z86" s="206"/>
    </row>
    <row r="87" spans="1:26" ht="24" customHeight="1" x14ac:dyDescent="0.3">
      <c r="A87" s="84">
        <v>13</v>
      </c>
      <c r="B87" s="85" t="s">
        <v>109</v>
      </c>
      <c r="C87" s="174">
        <f t="shared" ca="1" si="18"/>
        <v>19590</v>
      </c>
      <c r="D87" s="175">
        <f t="shared" ca="1" si="41"/>
        <v>19590</v>
      </c>
      <c r="E87" s="176">
        <f ca="1">IFERROR(__xludf.DUMMYFUNCTION("IMPORTRANGE(""https://docs.google.com/spreadsheets/d/1-uDff_7J0KD5mKrp0Vvzr7lt3OU09vwQwhkpOPPYv2Y/edit?usp=sharing"",""งบพรบ!CL87"")"),0)</f>
        <v>0</v>
      </c>
      <c r="F87" s="176">
        <f ca="1">IFERROR(__xludf.DUMMYFUNCTION("IMPORTRANGE(""https://docs.google.com/spreadsheets/d/1-uDff_7J0KD5mKrp0Vvzr7lt3OU09vwQwhkpOPPYv2Y/edit?usp=sharing"",""งบพรบ!CM87"")"),19590)</f>
        <v>19590</v>
      </c>
      <c r="G87" s="176">
        <f ca="1">IFERROR(__xludf.DUMMYFUNCTION("IMPORTRANGE(""https://docs.google.com/spreadsheets/d/1-uDff_7J0KD5mKrp0Vvzr7lt3OU09vwQwhkpOPPYv2Y/edit?usp=sharing"",""งบพรบ!CN87"")"),0)</f>
        <v>0</v>
      </c>
      <c r="H87" s="176">
        <f ca="1">IFERROR(__xludf.DUMMYFUNCTION("IMPORTRANGE(""https://docs.google.com/spreadsheets/d/1-uDff_7J0KD5mKrp0Vvzr7lt3OU09vwQwhkpOPPYv2Y/edit?usp=sharing"",""งบพรบ!CP87"")"),19590)</f>
        <v>19590</v>
      </c>
      <c r="I87" s="176">
        <f ca="1">IFERROR(__xludf.DUMMYFUNCTION("IMPORTRANGE(""https://docs.google.com/spreadsheets/d/1-uDff_7J0KD5mKrp0Vvzr7lt3OU09vwQwhkpOPPYv2Y/edit?usp=sharing"",""งบพรบ!CQ87"")"),0)</f>
        <v>0</v>
      </c>
      <c r="J87" s="176">
        <f t="shared" ca="1" si="20"/>
        <v>19590</v>
      </c>
      <c r="K87" s="181">
        <f t="shared" ca="1" si="21"/>
        <v>100</v>
      </c>
      <c r="L87" s="176">
        <f ca="1">IFERROR(__xludf.DUMMYFUNCTION("IMPORTRANGE(""https://docs.google.com/spreadsheets/d/1-uDff_7J0KD5mKrp0Vvzr7lt3OU09vwQwhkpOPPYv2Y/edit?usp=sharing"",""งบพรบ!CR87"")"),19590)</f>
        <v>19590</v>
      </c>
      <c r="M87" s="179">
        <f t="shared" ca="1" si="22"/>
        <v>100</v>
      </c>
      <c r="N87" s="179">
        <f t="shared" ca="1" si="23"/>
        <v>100</v>
      </c>
      <c r="O87" s="180">
        <f ca="1">IFERROR(__xludf.DUMMYFUNCTION("IMPORTRANGE(""https://docs.google.com/spreadsheets/d/1-uDff_7J0KD5mKrp0Vvzr7lt3OU09vwQwhkpOPPYv2Y/edit?usp=sharing"",""งบพรบ!CS87"")"),0)</f>
        <v>0</v>
      </c>
      <c r="P87" s="180">
        <f t="shared" ca="1" si="24"/>
        <v>0</v>
      </c>
      <c r="Q87" s="179">
        <f t="shared" ca="1" si="25"/>
        <v>0</v>
      </c>
      <c r="R87" s="92">
        <f ca="1">IFERROR(__xludf.DUMMYFUNCTION("IMPORTRANGE(""https://docs.google.com/spreadsheets/d/1q9nWasZJ-K8bFGvbE9n0qSRuKGA4Toe3Y89cKCiVtCU/edit?usp=sharing"",""สตูล!I183"")"),7)</f>
        <v>7</v>
      </c>
      <c r="S87" s="92">
        <f ca="1">IFERROR(__xludf.DUMMYFUNCTION("IMPORTRANGE(""https://docs.google.com/spreadsheets/d/1q9nWasZJ-K8bFGvbE9n0qSRuKGA4Toe3Y89cKCiVtCU/edit?usp=sharing"",""สตูล!J183"")"),7)</f>
        <v>7</v>
      </c>
      <c r="T87" s="93">
        <f t="shared" ca="1" si="27"/>
        <v>100</v>
      </c>
      <c r="U87" s="258"/>
      <c r="V87" s="258"/>
      <c r="W87" s="259"/>
      <c r="X87" s="206"/>
      <c r="Y87" s="206"/>
      <c r="Z87" s="206"/>
    </row>
    <row r="88" spans="1:26" ht="24" customHeight="1" x14ac:dyDescent="0.3">
      <c r="A88" s="95">
        <v>14</v>
      </c>
      <c r="B88" s="96" t="s">
        <v>110</v>
      </c>
      <c r="C88" s="184">
        <f t="shared" ca="1" si="18"/>
        <v>19590</v>
      </c>
      <c r="D88" s="185">
        <f t="shared" ca="1" si="41"/>
        <v>19590</v>
      </c>
      <c r="E88" s="186">
        <f ca="1">IFERROR(__xludf.DUMMYFUNCTION("IMPORTRANGE(""https://docs.google.com/spreadsheets/d/1-uDff_7J0KD5mKrp0Vvzr7lt3OU09vwQwhkpOPPYv2Y/edit?usp=sharing"",""งบพรบ!CL88"")"),0)</f>
        <v>0</v>
      </c>
      <c r="F88" s="186">
        <f ca="1">IFERROR(__xludf.DUMMYFUNCTION("IMPORTRANGE(""https://docs.google.com/spreadsheets/d/1-uDff_7J0KD5mKrp0Vvzr7lt3OU09vwQwhkpOPPYv2Y/edit?usp=sharing"",""งบพรบ!CM88"")"),19590)</f>
        <v>19590</v>
      </c>
      <c r="G88" s="186">
        <f ca="1">IFERROR(__xludf.DUMMYFUNCTION("IMPORTRANGE(""https://docs.google.com/spreadsheets/d/1-uDff_7J0KD5mKrp0Vvzr7lt3OU09vwQwhkpOPPYv2Y/edit?usp=sharing"",""งบพรบ!CN88"")"),0)</f>
        <v>0</v>
      </c>
      <c r="H88" s="186">
        <f ca="1">IFERROR(__xludf.DUMMYFUNCTION("IMPORTRANGE(""https://docs.google.com/spreadsheets/d/1-uDff_7J0KD5mKrp0Vvzr7lt3OU09vwQwhkpOPPYv2Y/edit?usp=sharing"",""งบพรบ!CP88"")"),19590)</f>
        <v>19590</v>
      </c>
      <c r="I88" s="186">
        <f ca="1">IFERROR(__xludf.DUMMYFUNCTION("IMPORTRANGE(""https://docs.google.com/spreadsheets/d/1-uDff_7J0KD5mKrp0Vvzr7lt3OU09vwQwhkpOPPYv2Y/edit?usp=sharing"",""งบพรบ!CQ88"")"),0)</f>
        <v>0</v>
      </c>
      <c r="J88" s="186">
        <f t="shared" ca="1" si="20"/>
        <v>15522</v>
      </c>
      <c r="K88" s="187">
        <f t="shared" ca="1" si="21"/>
        <v>79.234303215926488</v>
      </c>
      <c r="L88" s="186">
        <f ca="1">IFERROR(__xludf.DUMMYFUNCTION("IMPORTRANGE(""https://docs.google.com/spreadsheets/d/1-uDff_7J0KD5mKrp0Vvzr7lt3OU09vwQwhkpOPPYv2Y/edit?usp=sharing"",""งบพรบ!CR88"")"),15522)</f>
        <v>15522</v>
      </c>
      <c r="M88" s="188">
        <f t="shared" ca="1" si="22"/>
        <v>79.234303215926488</v>
      </c>
      <c r="N88" s="188">
        <f t="shared" ca="1" si="23"/>
        <v>79.234303215926488</v>
      </c>
      <c r="O88" s="189">
        <f ca="1">IFERROR(__xludf.DUMMYFUNCTION("IMPORTRANGE(""https://docs.google.com/spreadsheets/d/1-uDff_7J0KD5mKrp0Vvzr7lt3OU09vwQwhkpOPPYv2Y/edit?usp=sharing"",""งบพรบ!CS88"")"),0)</f>
        <v>0</v>
      </c>
      <c r="P88" s="189">
        <f t="shared" ca="1" si="24"/>
        <v>0</v>
      </c>
      <c r="Q88" s="188">
        <f t="shared" ca="1" si="25"/>
        <v>0</v>
      </c>
      <c r="R88" s="103">
        <f ca="1">IFERROR(__xludf.DUMMYFUNCTION("IMPORTRANGE(""https://docs.google.com/spreadsheets/d/18T20gbkS_WBjdscyTOV05cvq_JqvqQ17C81mpxf7Ncs/edit?usp=sharing"",""สุราษฎร์ธานี!I183"")"),7)</f>
        <v>7</v>
      </c>
      <c r="S88" s="103">
        <f ca="1">IFERROR(__xludf.DUMMYFUNCTION("IMPORTRANGE(""https://docs.google.com/spreadsheets/d/18T20gbkS_WBjdscyTOV05cvq_JqvqQ17C81mpxf7Ncs/edit?usp=sharing"",""สุราษฎร์ธานี!J183"")"),0)</f>
        <v>0</v>
      </c>
      <c r="T88" s="104">
        <f t="shared" ca="1" si="27"/>
        <v>0</v>
      </c>
      <c r="U88" s="260"/>
      <c r="V88" s="260"/>
      <c r="W88" s="261"/>
      <c r="X88" s="206"/>
      <c r="Y88" s="206"/>
      <c r="Z88" s="206"/>
    </row>
    <row r="89" spans="1:26" ht="21" customHeight="1" x14ac:dyDescent="0.3">
      <c r="A89" s="424" t="s">
        <v>111</v>
      </c>
      <c r="B89" s="422"/>
      <c r="C89" s="47">
        <f t="shared" ref="C89:Q89" ca="1" si="42">SUM(C90:C106)</f>
        <v>13701400</v>
      </c>
      <c r="D89" s="46">
        <f t="shared" ca="1" si="42"/>
        <v>13701400</v>
      </c>
      <c r="E89" s="46">
        <f t="shared" ca="1" si="42"/>
        <v>6756900</v>
      </c>
      <c r="F89" s="46">
        <f t="shared" ca="1" si="42"/>
        <v>6944500</v>
      </c>
      <c r="G89" s="46">
        <f t="shared" ca="1" si="42"/>
        <v>0</v>
      </c>
      <c r="H89" s="46">
        <f t="shared" ca="1" si="42"/>
        <v>9457200</v>
      </c>
      <c r="I89" s="46">
        <f t="shared" ca="1" si="42"/>
        <v>0</v>
      </c>
      <c r="J89" s="46">
        <f t="shared" ca="1" si="42"/>
        <v>4577207.9800000004</v>
      </c>
      <c r="K89" s="48">
        <f t="shared" ca="1" si="42"/>
        <v>89.510954358917587</v>
      </c>
      <c r="L89" s="46">
        <f t="shared" ca="1" si="42"/>
        <v>4577207.9800000004</v>
      </c>
      <c r="M89" s="48">
        <f t="shared" ca="1" si="42"/>
        <v>89.510954358917587</v>
      </c>
      <c r="N89" s="48">
        <f t="shared" ca="1" si="42"/>
        <v>152.60119455338241</v>
      </c>
      <c r="O89" s="46">
        <f t="shared" ca="1" si="42"/>
        <v>0</v>
      </c>
      <c r="P89" s="46">
        <f t="shared" ca="1" si="42"/>
        <v>0</v>
      </c>
      <c r="Q89" s="46">
        <f t="shared" ca="1" si="42"/>
        <v>0</v>
      </c>
      <c r="R89" s="46"/>
      <c r="S89" s="46"/>
      <c r="T89" s="49"/>
      <c r="U89" s="254"/>
      <c r="V89" s="254"/>
      <c r="W89" s="253"/>
      <c r="X89" s="206"/>
      <c r="Y89" s="206"/>
      <c r="Z89" s="206"/>
    </row>
    <row r="90" spans="1:26" ht="24" customHeight="1" x14ac:dyDescent="0.3">
      <c r="A90" s="192"/>
      <c r="B90" s="114" t="s">
        <v>112</v>
      </c>
      <c r="C90" s="193">
        <f t="shared" ref="C90:C106" ca="1" si="43">D90+G90</f>
        <v>0</v>
      </c>
      <c r="D90" s="194">
        <f t="shared" ref="D90:D106" ca="1" si="44">+E90+F90</f>
        <v>0</v>
      </c>
      <c r="E90" s="78">
        <f ca="1">IFERROR(__xludf.DUMMYFUNCTION("IMPORTRANGE(""https://docs.google.com/spreadsheets/d/1-uDff_7J0KD5mKrp0Vvzr7lt3OU09vwQwhkpOPPYv2Y/edit?usp=sharing"",""งบพรบ!CL90"")"),0)</f>
        <v>0</v>
      </c>
      <c r="F90" s="78">
        <f ca="1">IFERROR(__xludf.DUMMYFUNCTION("IMPORTRANGE(""https://docs.google.com/spreadsheets/d/1-uDff_7J0KD5mKrp0Vvzr7lt3OU09vwQwhkpOPPYv2Y/edit?usp=sharing"",""งบพรบ!CM90"")"),0)</f>
        <v>0</v>
      </c>
      <c r="G90" s="78">
        <f ca="1">IFERROR(__xludf.DUMMYFUNCTION("IMPORTRANGE(""https://docs.google.com/spreadsheets/d/1-uDff_7J0KD5mKrp0Vvzr7lt3OU09vwQwhkpOPPYv2Y/edit?usp=sharing"",""งบพรบ!CN90"")"),0)</f>
        <v>0</v>
      </c>
      <c r="H90" s="78">
        <f ca="1">IFERROR(__xludf.DUMMYFUNCTION("IMPORTRANGE(""https://docs.google.com/spreadsheets/d/1-uDff_7J0KD5mKrp0Vvzr7lt3OU09vwQwhkpOPPYv2Y/edit?usp=sharing"",""งบพรบ!CP90"")"),0)</f>
        <v>0</v>
      </c>
      <c r="I90" s="78">
        <f ca="1">IFERROR(__xludf.DUMMYFUNCTION("IMPORTRANGE(""https://docs.google.com/spreadsheets/d/1-uDff_7J0KD5mKrp0Vvzr7lt3OU09vwQwhkpOPPYv2Y/edit?usp=sharing"",""งบพรบ!CQ90"")"),0)</f>
        <v>0</v>
      </c>
      <c r="J90" s="78">
        <f t="shared" ref="J90:J106" ca="1" si="45">L90+O90</f>
        <v>0</v>
      </c>
      <c r="K90" s="115">
        <f t="shared" ref="K90:K106" ca="1" si="46">IF(C90&gt;0,J90*100/C90,0)</f>
        <v>0</v>
      </c>
      <c r="L90" s="78">
        <f ca="1">IFERROR(__xludf.DUMMYFUNCTION("IMPORTRANGE(""https://docs.google.com/spreadsheets/d/1-uDff_7J0KD5mKrp0Vvzr7lt3OU09vwQwhkpOPPYv2Y/edit?usp=sharing"",""งบพรบ!CR90"")"),0)</f>
        <v>0</v>
      </c>
      <c r="M90" s="81">
        <f t="shared" ref="M90:M106" ca="1" si="47">IF(D90&gt;0,L90*100/D90,0)</f>
        <v>0</v>
      </c>
      <c r="N90" s="81">
        <f t="shared" ref="N90:N106" ca="1" si="48">IF(H90&gt;0,L90*100/H90,0)</f>
        <v>0</v>
      </c>
      <c r="O90" s="82">
        <f ca="1">IFERROR(__xludf.DUMMYFUNCTION("IMPORTRANGE(""https://docs.google.com/spreadsheets/d/1-uDff_7J0KD5mKrp0Vvzr7lt3OU09vwQwhkpOPPYv2Y/edit?usp=sharing"",""งบพรบ!CS90"")"),0)</f>
        <v>0</v>
      </c>
      <c r="P90" s="82">
        <f t="shared" ref="P90:P106" ca="1" si="49">IF(G90&gt;0,O90*100/G90,0)</f>
        <v>0</v>
      </c>
      <c r="Q90" s="81">
        <f t="shared" ref="Q90:Q106" ca="1" si="50">IF(I90&gt;0,O90*100/I90,0)</f>
        <v>0</v>
      </c>
      <c r="R90" s="78"/>
      <c r="S90" s="78"/>
      <c r="T90" s="81"/>
      <c r="U90" s="262"/>
      <c r="V90" s="262"/>
      <c r="W90" s="263"/>
      <c r="X90" s="206"/>
      <c r="Y90" s="206"/>
      <c r="Z90" s="206"/>
    </row>
    <row r="91" spans="1:26" ht="24" customHeight="1" x14ac:dyDescent="0.3">
      <c r="A91" s="196"/>
      <c r="B91" s="117" t="s">
        <v>113</v>
      </c>
      <c r="C91" s="197">
        <f t="shared" ca="1" si="43"/>
        <v>0</v>
      </c>
      <c r="D91" s="198">
        <f t="shared" ca="1" si="44"/>
        <v>0</v>
      </c>
      <c r="E91" s="88">
        <f ca="1">IFERROR(__xludf.DUMMYFUNCTION("IMPORTRANGE(""https://docs.google.com/spreadsheets/d/1-uDff_7J0KD5mKrp0Vvzr7lt3OU09vwQwhkpOPPYv2Y/edit?usp=sharing"",""งบพรบ!CL91"")"),0)</f>
        <v>0</v>
      </c>
      <c r="F91" s="88">
        <f ca="1">IFERROR(__xludf.DUMMYFUNCTION("IMPORTRANGE(""https://docs.google.com/spreadsheets/d/1-uDff_7J0KD5mKrp0Vvzr7lt3OU09vwQwhkpOPPYv2Y/edit?usp=sharing"",""งบพรบ!CM91"")"),0)</f>
        <v>0</v>
      </c>
      <c r="G91" s="88">
        <f ca="1">IFERROR(__xludf.DUMMYFUNCTION("IMPORTRANGE(""https://docs.google.com/spreadsheets/d/1-uDff_7J0KD5mKrp0Vvzr7lt3OU09vwQwhkpOPPYv2Y/edit?usp=sharing"",""งบพรบ!CN91"")"),0)</f>
        <v>0</v>
      </c>
      <c r="H91" s="88">
        <f ca="1">IFERROR(__xludf.DUMMYFUNCTION("IMPORTRANGE(""https://docs.google.com/spreadsheets/d/1-uDff_7J0KD5mKrp0Vvzr7lt3OU09vwQwhkpOPPYv2Y/edit?usp=sharing"",""งบพรบ!CP91"")"),0)</f>
        <v>0</v>
      </c>
      <c r="I91" s="88">
        <f ca="1">IFERROR(__xludf.DUMMYFUNCTION("IMPORTRANGE(""https://docs.google.com/spreadsheets/d/1-uDff_7J0KD5mKrp0Vvzr7lt3OU09vwQwhkpOPPYv2Y/edit?usp=sharing"",""งบพรบ!CQ91"")"),0)</f>
        <v>0</v>
      </c>
      <c r="J91" s="88">
        <f t="shared" ca="1" si="45"/>
        <v>0</v>
      </c>
      <c r="K91" s="89">
        <f t="shared" ca="1" si="46"/>
        <v>0</v>
      </c>
      <c r="L91" s="88">
        <f ca="1">IFERROR(__xludf.DUMMYFUNCTION("IMPORTRANGE(""https://docs.google.com/spreadsheets/d/1-uDff_7J0KD5mKrp0Vvzr7lt3OU09vwQwhkpOPPYv2Y/edit?usp=sharing"",""งบพรบ!CR91"")"),0)</f>
        <v>0</v>
      </c>
      <c r="M91" s="90">
        <f t="shared" ca="1" si="47"/>
        <v>0</v>
      </c>
      <c r="N91" s="90">
        <f t="shared" ca="1" si="48"/>
        <v>0</v>
      </c>
      <c r="O91" s="91">
        <f ca="1">IFERROR(__xludf.DUMMYFUNCTION("IMPORTRANGE(""https://docs.google.com/spreadsheets/d/1-uDff_7J0KD5mKrp0Vvzr7lt3OU09vwQwhkpOPPYv2Y/edit?usp=sharing"",""งบพรบ!CS91"")"),0)</f>
        <v>0</v>
      </c>
      <c r="P91" s="91">
        <f t="shared" ca="1" si="49"/>
        <v>0</v>
      </c>
      <c r="Q91" s="90">
        <f t="shared" ca="1" si="50"/>
        <v>0</v>
      </c>
      <c r="R91" s="88"/>
      <c r="S91" s="88"/>
      <c r="T91" s="90"/>
      <c r="U91" s="262"/>
      <c r="V91" s="262"/>
      <c r="W91" s="263"/>
      <c r="X91" s="206"/>
      <c r="Y91" s="206"/>
      <c r="Z91" s="206"/>
    </row>
    <row r="92" spans="1:26" ht="24" customHeight="1" x14ac:dyDescent="0.3">
      <c r="A92" s="196"/>
      <c r="B92" s="117" t="s">
        <v>114</v>
      </c>
      <c r="C92" s="197">
        <f t="shared" ca="1" si="43"/>
        <v>0</v>
      </c>
      <c r="D92" s="198">
        <f t="shared" ca="1" si="44"/>
        <v>0</v>
      </c>
      <c r="E92" s="88">
        <f ca="1">IFERROR(__xludf.DUMMYFUNCTION("IMPORTRANGE(""https://docs.google.com/spreadsheets/d/1-uDff_7J0KD5mKrp0Vvzr7lt3OU09vwQwhkpOPPYv2Y/edit?usp=sharing"",""งบพรบ!CL92"")"),0)</f>
        <v>0</v>
      </c>
      <c r="F92" s="88">
        <f ca="1">IFERROR(__xludf.DUMMYFUNCTION("IMPORTRANGE(""https://docs.google.com/spreadsheets/d/1-uDff_7J0KD5mKrp0Vvzr7lt3OU09vwQwhkpOPPYv2Y/edit?usp=sharing"",""งบพรบ!CM92"")"),0)</f>
        <v>0</v>
      </c>
      <c r="G92" s="88">
        <f ca="1">IFERROR(__xludf.DUMMYFUNCTION("IMPORTRANGE(""https://docs.google.com/spreadsheets/d/1-uDff_7J0KD5mKrp0Vvzr7lt3OU09vwQwhkpOPPYv2Y/edit?usp=sharing"",""งบพรบ!CN92"")"),0)</f>
        <v>0</v>
      </c>
      <c r="H92" s="88">
        <f ca="1">IFERROR(__xludf.DUMMYFUNCTION("IMPORTRANGE(""https://docs.google.com/spreadsheets/d/1-uDff_7J0KD5mKrp0Vvzr7lt3OU09vwQwhkpOPPYv2Y/edit?usp=sharing"",""งบพรบ!CP92"")"),0)</f>
        <v>0</v>
      </c>
      <c r="I92" s="88">
        <f ca="1">IFERROR(__xludf.DUMMYFUNCTION("IMPORTRANGE(""https://docs.google.com/spreadsheets/d/1-uDff_7J0KD5mKrp0Vvzr7lt3OU09vwQwhkpOPPYv2Y/edit?usp=sharing"",""งบพรบ!CQ92"")"),0)</f>
        <v>0</v>
      </c>
      <c r="J92" s="88">
        <f t="shared" ca="1" si="45"/>
        <v>0</v>
      </c>
      <c r="K92" s="89">
        <f t="shared" ca="1" si="46"/>
        <v>0</v>
      </c>
      <c r="L92" s="88">
        <f ca="1">IFERROR(__xludf.DUMMYFUNCTION("IMPORTRANGE(""https://docs.google.com/spreadsheets/d/1-uDff_7J0KD5mKrp0Vvzr7lt3OU09vwQwhkpOPPYv2Y/edit?usp=sharing"",""งบพรบ!CR92"")"),0)</f>
        <v>0</v>
      </c>
      <c r="M92" s="90">
        <f t="shared" ca="1" si="47"/>
        <v>0</v>
      </c>
      <c r="N92" s="90">
        <f t="shared" ca="1" si="48"/>
        <v>0</v>
      </c>
      <c r="O92" s="91">
        <f ca="1">IFERROR(__xludf.DUMMYFUNCTION("IMPORTRANGE(""https://docs.google.com/spreadsheets/d/1-uDff_7J0KD5mKrp0Vvzr7lt3OU09vwQwhkpOPPYv2Y/edit?usp=sharing"",""งบพรบ!CS92"")"),0)</f>
        <v>0</v>
      </c>
      <c r="P92" s="91">
        <f t="shared" ca="1" si="49"/>
        <v>0</v>
      </c>
      <c r="Q92" s="90">
        <f t="shared" ca="1" si="50"/>
        <v>0</v>
      </c>
      <c r="R92" s="88"/>
      <c r="S92" s="88"/>
      <c r="T92" s="90"/>
      <c r="U92" s="262"/>
      <c r="V92" s="262"/>
      <c r="W92" s="263"/>
      <c r="X92" s="206"/>
      <c r="Y92" s="206"/>
      <c r="Z92" s="206"/>
    </row>
    <row r="93" spans="1:26" ht="24" customHeight="1" x14ac:dyDescent="0.3">
      <c r="A93" s="196"/>
      <c r="B93" s="117" t="s">
        <v>115</v>
      </c>
      <c r="C93" s="197">
        <f t="shared" ca="1" si="43"/>
        <v>0</v>
      </c>
      <c r="D93" s="198">
        <f t="shared" ca="1" si="44"/>
        <v>0</v>
      </c>
      <c r="E93" s="88">
        <f ca="1">IFERROR(__xludf.DUMMYFUNCTION("IMPORTRANGE(""https://docs.google.com/spreadsheets/d/1-uDff_7J0KD5mKrp0Vvzr7lt3OU09vwQwhkpOPPYv2Y/edit?usp=sharing"",""งบพรบ!CL93"")"),0)</f>
        <v>0</v>
      </c>
      <c r="F93" s="88">
        <f ca="1">IFERROR(__xludf.DUMMYFUNCTION("IMPORTRANGE(""https://docs.google.com/spreadsheets/d/1-uDff_7J0KD5mKrp0Vvzr7lt3OU09vwQwhkpOPPYv2Y/edit?usp=sharing"",""งบพรบ!CM93"")"),0)</f>
        <v>0</v>
      </c>
      <c r="G93" s="88">
        <f ca="1">IFERROR(__xludf.DUMMYFUNCTION("IMPORTRANGE(""https://docs.google.com/spreadsheets/d/1-uDff_7J0KD5mKrp0Vvzr7lt3OU09vwQwhkpOPPYv2Y/edit?usp=sharing"",""งบพรบ!CN93"")"),0)</f>
        <v>0</v>
      </c>
      <c r="H93" s="88">
        <f ca="1">IFERROR(__xludf.DUMMYFUNCTION("IMPORTRANGE(""https://docs.google.com/spreadsheets/d/1-uDff_7J0KD5mKrp0Vvzr7lt3OU09vwQwhkpOPPYv2Y/edit?usp=sharing"",""งบพรบ!CP93"")"),725100)</f>
        <v>725100</v>
      </c>
      <c r="I93" s="88">
        <f ca="1">IFERROR(__xludf.DUMMYFUNCTION("IMPORTRANGE(""https://docs.google.com/spreadsheets/d/1-uDff_7J0KD5mKrp0Vvzr7lt3OU09vwQwhkpOPPYv2Y/edit?usp=sharing"",""งบพรบ!CQ93"")"),0)</f>
        <v>0</v>
      </c>
      <c r="J93" s="88">
        <f t="shared" ca="1" si="45"/>
        <v>305125</v>
      </c>
      <c r="K93" s="89">
        <f t="shared" ca="1" si="46"/>
        <v>0</v>
      </c>
      <c r="L93" s="88">
        <f ca="1">IFERROR(__xludf.DUMMYFUNCTION("IMPORTRANGE(""https://docs.google.com/spreadsheets/d/1-uDff_7J0KD5mKrp0Vvzr7lt3OU09vwQwhkpOPPYv2Y/edit?usp=sharing"",""งบพรบ!CR93"")"),305125)</f>
        <v>305125</v>
      </c>
      <c r="M93" s="90">
        <f t="shared" ca="1" si="47"/>
        <v>0</v>
      </c>
      <c r="N93" s="90">
        <f t="shared" ca="1" si="48"/>
        <v>42.080402703075436</v>
      </c>
      <c r="O93" s="91">
        <f ca="1">IFERROR(__xludf.DUMMYFUNCTION("IMPORTRANGE(""https://docs.google.com/spreadsheets/d/1-uDff_7J0KD5mKrp0Vvzr7lt3OU09vwQwhkpOPPYv2Y/edit?usp=sharing"",""งบพรบ!CS93"")"),0)</f>
        <v>0</v>
      </c>
      <c r="P93" s="91">
        <f t="shared" ca="1" si="49"/>
        <v>0</v>
      </c>
      <c r="Q93" s="90">
        <f t="shared" ca="1" si="50"/>
        <v>0</v>
      </c>
      <c r="R93" s="88"/>
      <c r="S93" s="88"/>
      <c r="T93" s="90"/>
      <c r="U93" s="262"/>
      <c r="V93" s="262"/>
      <c r="W93" s="263"/>
      <c r="X93" s="206"/>
      <c r="Y93" s="206"/>
      <c r="Z93" s="206"/>
    </row>
    <row r="94" spans="1:26" ht="24" customHeight="1" x14ac:dyDescent="0.3">
      <c r="A94" s="196"/>
      <c r="B94" s="117" t="s">
        <v>116</v>
      </c>
      <c r="C94" s="197">
        <f t="shared" ca="1" si="43"/>
        <v>0</v>
      </c>
      <c r="D94" s="198">
        <f t="shared" ca="1" si="44"/>
        <v>0</v>
      </c>
      <c r="E94" s="88">
        <f ca="1">IFERROR(__xludf.DUMMYFUNCTION("IMPORTRANGE(""https://docs.google.com/spreadsheets/d/1-uDff_7J0KD5mKrp0Vvzr7lt3OU09vwQwhkpOPPYv2Y/edit?usp=sharing"",""งบพรบ!CL94"")"),0)</f>
        <v>0</v>
      </c>
      <c r="F94" s="88">
        <f ca="1">IFERROR(__xludf.DUMMYFUNCTION("IMPORTRANGE(""https://docs.google.com/spreadsheets/d/1-uDff_7J0KD5mKrp0Vvzr7lt3OU09vwQwhkpOPPYv2Y/edit?usp=sharing"",""งบพรบ!CM94"")"),0)</f>
        <v>0</v>
      </c>
      <c r="G94" s="88">
        <f ca="1">IFERROR(__xludf.DUMMYFUNCTION("IMPORTRANGE(""https://docs.google.com/spreadsheets/d/1-uDff_7J0KD5mKrp0Vvzr7lt3OU09vwQwhkpOPPYv2Y/edit?usp=sharing"",""งบพรบ!CN94"")"),0)</f>
        <v>0</v>
      </c>
      <c r="H94" s="88">
        <f ca="1">IFERROR(__xludf.DUMMYFUNCTION("IMPORTRANGE(""https://docs.google.com/spreadsheets/d/1-uDff_7J0KD5mKrp0Vvzr7lt3OU09vwQwhkpOPPYv2Y/edit?usp=sharing"",""งบพรบ!CP94"")"),0)</f>
        <v>0</v>
      </c>
      <c r="I94" s="88">
        <f ca="1">IFERROR(__xludf.DUMMYFUNCTION("IMPORTRANGE(""https://docs.google.com/spreadsheets/d/1-uDff_7J0KD5mKrp0Vvzr7lt3OU09vwQwhkpOPPYv2Y/edit?usp=sharing"",""งบพรบ!CQ94"")"),0)</f>
        <v>0</v>
      </c>
      <c r="J94" s="88">
        <f t="shared" ca="1" si="45"/>
        <v>0</v>
      </c>
      <c r="K94" s="89">
        <f t="shared" ca="1" si="46"/>
        <v>0</v>
      </c>
      <c r="L94" s="88">
        <f ca="1">IFERROR(__xludf.DUMMYFUNCTION("IMPORTRANGE(""https://docs.google.com/spreadsheets/d/1-uDff_7J0KD5mKrp0Vvzr7lt3OU09vwQwhkpOPPYv2Y/edit?usp=sharing"",""งบพรบ!CR94"")"),0)</f>
        <v>0</v>
      </c>
      <c r="M94" s="90">
        <f t="shared" ca="1" si="47"/>
        <v>0</v>
      </c>
      <c r="N94" s="90">
        <f t="shared" ca="1" si="48"/>
        <v>0</v>
      </c>
      <c r="O94" s="91">
        <f ca="1">IFERROR(__xludf.DUMMYFUNCTION("IMPORTRANGE(""https://docs.google.com/spreadsheets/d/1-uDff_7J0KD5mKrp0Vvzr7lt3OU09vwQwhkpOPPYv2Y/edit?usp=sharing"",""งบพรบ!CS94"")"),0)</f>
        <v>0</v>
      </c>
      <c r="P94" s="91">
        <f t="shared" ca="1" si="49"/>
        <v>0</v>
      </c>
      <c r="Q94" s="90">
        <f t="shared" ca="1" si="50"/>
        <v>0</v>
      </c>
      <c r="R94" s="88"/>
      <c r="S94" s="88"/>
      <c r="T94" s="90"/>
      <c r="U94" s="262"/>
      <c r="V94" s="262"/>
      <c r="W94" s="263"/>
      <c r="X94" s="206"/>
      <c r="Y94" s="206"/>
      <c r="Z94" s="206"/>
    </row>
    <row r="95" spans="1:26" ht="24" customHeight="1" x14ac:dyDescent="0.3">
      <c r="A95" s="196"/>
      <c r="B95" s="117" t="s">
        <v>117</v>
      </c>
      <c r="C95" s="197">
        <f t="shared" ca="1" si="43"/>
        <v>0</v>
      </c>
      <c r="D95" s="198">
        <f t="shared" ca="1" si="44"/>
        <v>0</v>
      </c>
      <c r="E95" s="88">
        <f ca="1">IFERROR(__xludf.DUMMYFUNCTION("IMPORTRANGE(""https://docs.google.com/spreadsheets/d/1-uDff_7J0KD5mKrp0Vvzr7lt3OU09vwQwhkpOPPYv2Y/edit?usp=sharing"",""งบพรบ!CL95"")"),0)</f>
        <v>0</v>
      </c>
      <c r="F95" s="88">
        <f ca="1">IFERROR(__xludf.DUMMYFUNCTION("IMPORTRANGE(""https://docs.google.com/spreadsheets/d/1-uDff_7J0KD5mKrp0Vvzr7lt3OU09vwQwhkpOPPYv2Y/edit?usp=sharing"",""งบพรบ!CM95"")"),0)</f>
        <v>0</v>
      </c>
      <c r="G95" s="88">
        <f ca="1">IFERROR(__xludf.DUMMYFUNCTION("IMPORTRANGE(""https://docs.google.com/spreadsheets/d/1-uDff_7J0KD5mKrp0Vvzr7lt3OU09vwQwhkpOPPYv2Y/edit?usp=sharing"",""งบพรบ!CN95"")"),0)</f>
        <v>0</v>
      </c>
      <c r="H95" s="88">
        <f ca="1">IFERROR(__xludf.DUMMYFUNCTION("IMPORTRANGE(""https://docs.google.com/spreadsheets/d/1-uDff_7J0KD5mKrp0Vvzr7lt3OU09vwQwhkpOPPYv2Y/edit?usp=sharing"",""งบพรบ!CP95"")"),0)</f>
        <v>0</v>
      </c>
      <c r="I95" s="88">
        <f ca="1">IFERROR(__xludf.DUMMYFUNCTION("IMPORTRANGE(""https://docs.google.com/spreadsheets/d/1-uDff_7J0KD5mKrp0Vvzr7lt3OU09vwQwhkpOPPYv2Y/edit?usp=sharing"",""งบพรบ!CQ95"")"),0)</f>
        <v>0</v>
      </c>
      <c r="J95" s="88">
        <f t="shared" ca="1" si="45"/>
        <v>0</v>
      </c>
      <c r="K95" s="89">
        <f t="shared" ca="1" si="46"/>
        <v>0</v>
      </c>
      <c r="L95" s="88">
        <f ca="1">IFERROR(__xludf.DUMMYFUNCTION("IMPORTRANGE(""https://docs.google.com/spreadsheets/d/1-uDff_7J0KD5mKrp0Vvzr7lt3OU09vwQwhkpOPPYv2Y/edit?usp=sharing"",""งบพรบ!CR95"")"),0)</f>
        <v>0</v>
      </c>
      <c r="M95" s="90">
        <f t="shared" ca="1" si="47"/>
        <v>0</v>
      </c>
      <c r="N95" s="90">
        <f t="shared" ca="1" si="48"/>
        <v>0</v>
      </c>
      <c r="O95" s="91">
        <f ca="1">IFERROR(__xludf.DUMMYFUNCTION("IMPORTRANGE(""https://docs.google.com/spreadsheets/d/1-uDff_7J0KD5mKrp0Vvzr7lt3OU09vwQwhkpOPPYv2Y/edit?usp=sharing"",""งบพรบ!CS95"")"),0)</f>
        <v>0</v>
      </c>
      <c r="P95" s="91">
        <f t="shared" ca="1" si="49"/>
        <v>0</v>
      </c>
      <c r="Q95" s="90">
        <f t="shared" ca="1" si="50"/>
        <v>0</v>
      </c>
      <c r="R95" s="88"/>
      <c r="S95" s="88"/>
      <c r="T95" s="90"/>
      <c r="U95" s="262"/>
      <c r="V95" s="262"/>
      <c r="W95" s="263"/>
      <c r="X95" s="206"/>
      <c r="Y95" s="206"/>
      <c r="Z95" s="206"/>
    </row>
    <row r="96" spans="1:26" ht="24" customHeight="1" x14ac:dyDescent="0.3">
      <c r="A96" s="196"/>
      <c r="B96" s="117" t="s">
        <v>118</v>
      </c>
      <c r="C96" s="197">
        <f t="shared" ca="1" si="43"/>
        <v>0</v>
      </c>
      <c r="D96" s="198">
        <f t="shared" ca="1" si="44"/>
        <v>0</v>
      </c>
      <c r="E96" s="88">
        <f ca="1">IFERROR(__xludf.DUMMYFUNCTION("IMPORTRANGE(""https://docs.google.com/spreadsheets/d/1-uDff_7J0KD5mKrp0Vvzr7lt3OU09vwQwhkpOPPYv2Y/edit?usp=sharing"",""งบพรบ!CL96"")"),0)</f>
        <v>0</v>
      </c>
      <c r="F96" s="88">
        <f ca="1">IFERROR(__xludf.DUMMYFUNCTION("IMPORTRANGE(""https://docs.google.com/spreadsheets/d/1-uDff_7J0KD5mKrp0Vvzr7lt3OU09vwQwhkpOPPYv2Y/edit?usp=sharing"",""งบพรบ!CM96"")"),0)</f>
        <v>0</v>
      </c>
      <c r="G96" s="88">
        <f ca="1">IFERROR(__xludf.DUMMYFUNCTION("IMPORTRANGE(""https://docs.google.com/spreadsheets/d/1-uDff_7J0KD5mKrp0Vvzr7lt3OU09vwQwhkpOPPYv2Y/edit?usp=sharing"",""งบพรบ!CN96"")"),0)</f>
        <v>0</v>
      </c>
      <c r="H96" s="88">
        <f ca="1">IFERROR(__xludf.DUMMYFUNCTION("IMPORTRANGE(""https://docs.google.com/spreadsheets/d/1-uDff_7J0KD5mKrp0Vvzr7lt3OU09vwQwhkpOPPYv2Y/edit?usp=sharing"",""งบพรบ!CP96"")"),0)</f>
        <v>0</v>
      </c>
      <c r="I96" s="88">
        <f ca="1">IFERROR(__xludf.DUMMYFUNCTION("IMPORTRANGE(""https://docs.google.com/spreadsheets/d/1-uDff_7J0KD5mKrp0Vvzr7lt3OU09vwQwhkpOPPYv2Y/edit?usp=sharing"",""งบพรบ!CQ96"")"),0)</f>
        <v>0</v>
      </c>
      <c r="J96" s="88">
        <f t="shared" ca="1" si="45"/>
        <v>0</v>
      </c>
      <c r="K96" s="89">
        <f t="shared" ca="1" si="46"/>
        <v>0</v>
      </c>
      <c r="L96" s="88">
        <f ca="1">IFERROR(__xludf.DUMMYFUNCTION("IMPORTRANGE(""https://docs.google.com/spreadsheets/d/1-uDff_7J0KD5mKrp0Vvzr7lt3OU09vwQwhkpOPPYv2Y/edit?usp=sharing"",""งบพรบ!CR96"")"),0)</f>
        <v>0</v>
      </c>
      <c r="M96" s="90">
        <f t="shared" ca="1" si="47"/>
        <v>0</v>
      </c>
      <c r="N96" s="90">
        <f t="shared" ca="1" si="48"/>
        <v>0</v>
      </c>
      <c r="O96" s="91">
        <f ca="1">IFERROR(__xludf.DUMMYFUNCTION("IMPORTRANGE(""https://docs.google.com/spreadsheets/d/1-uDff_7J0KD5mKrp0Vvzr7lt3OU09vwQwhkpOPPYv2Y/edit?usp=sharing"",""งบพรบ!CS96"")"),0)</f>
        <v>0</v>
      </c>
      <c r="P96" s="91">
        <f t="shared" ca="1" si="49"/>
        <v>0</v>
      </c>
      <c r="Q96" s="90">
        <f t="shared" ca="1" si="50"/>
        <v>0</v>
      </c>
      <c r="R96" s="88"/>
      <c r="S96" s="88"/>
      <c r="T96" s="90"/>
      <c r="U96" s="262"/>
      <c r="V96" s="262"/>
      <c r="W96" s="263"/>
      <c r="X96" s="206"/>
      <c r="Y96" s="206"/>
      <c r="Z96" s="206"/>
    </row>
    <row r="97" spans="1:26" ht="24" customHeight="1" x14ac:dyDescent="0.3">
      <c r="A97" s="196"/>
      <c r="B97" s="117" t="s">
        <v>119</v>
      </c>
      <c r="C97" s="197">
        <f t="shared" ca="1" si="43"/>
        <v>0</v>
      </c>
      <c r="D97" s="198">
        <f t="shared" ca="1" si="44"/>
        <v>0</v>
      </c>
      <c r="E97" s="88">
        <f ca="1">IFERROR(__xludf.DUMMYFUNCTION("IMPORTRANGE(""https://docs.google.com/spreadsheets/d/1-uDff_7J0KD5mKrp0Vvzr7lt3OU09vwQwhkpOPPYv2Y/edit?usp=sharing"",""งบพรบ!CL97"")"),0)</f>
        <v>0</v>
      </c>
      <c r="F97" s="88">
        <f ca="1">IFERROR(__xludf.DUMMYFUNCTION("IMPORTRANGE(""https://docs.google.com/spreadsheets/d/1-uDff_7J0KD5mKrp0Vvzr7lt3OU09vwQwhkpOPPYv2Y/edit?usp=sharing"",""งบพรบ!CM97"")"),0)</f>
        <v>0</v>
      </c>
      <c r="G97" s="88">
        <f ca="1">IFERROR(__xludf.DUMMYFUNCTION("IMPORTRANGE(""https://docs.google.com/spreadsheets/d/1-uDff_7J0KD5mKrp0Vvzr7lt3OU09vwQwhkpOPPYv2Y/edit?usp=sharing"",""งบพรบ!CN97"")"),0)</f>
        <v>0</v>
      </c>
      <c r="H97" s="88">
        <f ca="1">IFERROR(__xludf.DUMMYFUNCTION("IMPORTRANGE(""https://docs.google.com/spreadsheets/d/1-uDff_7J0KD5mKrp0Vvzr7lt3OU09vwQwhkpOPPYv2Y/edit?usp=sharing"",""งบพรบ!CP97"")"),0)</f>
        <v>0</v>
      </c>
      <c r="I97" s="88">
        <f ca="1">IFERROR(__xludf.DUMMYFUNCTION("IMPORTRANGE(""https://docs.google.com/spreadsheets/d/1-uDff_7J0KD5mKrp0Vvzr7lt3OU09vwQwhkpOPPYv2Y/edit?usp=sharing"",""งบพรบ!CQ97"")"),0)</f>
        <v>0</v>
      </c>
      <c r="J97" s="88">
        <f t="shared" ca="1" si="45"/>
        <v>0</v>
      </c>
      <c r="K97" s="89">
        <f t="shared" ca="1" si="46"/>
        <v>0</v>
      </c>
      <c r="L97" s="88">
        <f ca="1">IFERROR(__xludf.DUMMYFUNCTION("IMPORTRANGE(""https://docs.google.com/spreadsheets/d/1-uDff_7J0KD5mKrp0Vvzr7lt3OU09vwQwhkpOPPYv2Y/edit?usp=sharing"",""งบพรบ!CR97"")"),0)</f>
        <v>0</v>
      </c>
      <c r="M97" s="90">
        <f t="shared" ca="1" si="47"/>
        <v>0</v>
      </c>
      <c r="N97" s="90">
        <f t="shared" ca="1" si="48"/>
        <v>0</v>
      </c>
      <c r="O97" s="91">
        <f ca="1">IFERROR(__xludf.DUMMYFUNCTION("IMPORTRANGE(""https://docs.google.com/spreadsheets/d/1-uDff_7J0KD5mKrp0Vvzr7lt3OU09vwQwhkpOPPYv2Y/edit?usp=sharing"",""งบพรบ!CS97"")"),0)</f>
        <v>0</v>
      </c>
      <c r="P97" s="91">
        <f t="shared" ca="1" si="49"/>
        <v>0</v>
      </c>
      <c r="Q97" s="90">
        <f t="shared" ca="1" si="50"/>
        <v>0</v>
      </c>
      <c r="R97" s="88"/>
      <c r="S97" s="88"/>
      <c r="T97" s="90"/>
      <c r="U97" s="262"/>
      <c r="V97" s="262"/>
      <c r="W97" s="263"/>
      <c r="X97" s="206"/>
      <c r="Y97" s="206"/>
      <c r="Z97" s="206"/>
    </row>
    <row r="98" spans="1:26" ht="24" customHeight="1" x14ac:dyDescent="0.3">
      <c r="A98" s="196"/>
      <c r="B98" s="117" t="s">
        <v>120</v>
      </c>
      <c r="C98" s="197">
        <f t="shared" ca="1" si="43"/>
        <v>171500</v>
      </c>
      <c r="D98" s="198">
        <f t="shared" ca="1" si="44"/>
        <v>171500</v>
      </c>
      <c r="E98" s="88">
        <f ca="1">IFERROR(__xludf.DUMMYFUNCTION("IMPORTRANGE(""https://docs.google.com/spreadsheets/d/1-uDff_7J0KD5mKrp0Vvzr7lt3OU09vwQwhkpOPPYv2Y/edit?usp=sharing"",""งบพรบ!CL98"")"),171500)</f>
        <v>171500</v>
      </c>
      <c r="F98" s="88">
        <f ca="1">IFERROR(__xludf.DUMMYFUNCTION("IMPORTRANGE(""https://docs.google.com/spreadsheets/d/1-uDff_7J0KD5mKrp0Vvzr7lt3OU09vwQwhkpOPPYv2Y/edit?usp=sharing"",""งบพรบ!CM98"")"),0)</f>
        <v>0</v>
      </c>
      <c r="G98" s="88">
        <f ca="1">IFERROR(__xludf.DUMMYFUNCTION("IMPORTRANGE(""https://docs.google.com/spreadsheets/d/1-uDff_7J0KD5mKrp0Vvzr7lt3OU09vwQwhkpOPPYv2Y/edit?usp=sharing"",""งบพรบ!CN98"")"),0)</f>
        <v>0</v>
      </c>
      <c r="H98" s="88">
        <f ca="1">IFERROR(__xludf.DUMMYFUNCTION("IMPORTRANGE(""https://docs.google.com/spreadsheets/d/1-uDff_7J0KD5mKrp0Vvzr7lt3OU09vwQwhkpOPPYv2Y/edit?usp=sharing"",""งบพรบ!CP98"")"),122500)</f>
        <v>122500</v>
      </c>
      <c r="I98" s="88">
        <f ca="1">IFERROR(__xludf.DUMMYFUNCTION("IMPORTRANGE(""https://docs.google.com/spreadsheets/d/1-uDff_7J0KD5mKrp0Vvzr7lt3OU09vwQwhkpOPPYv2Y/edit?usp=sharing"",""งบพรบ!CQ98"")"),0)</f>
        <v>0</v>
      </c>
      <c r="J98" s="88">
        <f t="shared" ca="1" si="45"/>
        <v>49000</v>
      </c>
      <c r="K98" s="89">
        <f t="shared" ca="1" si="46"/>
        <v>28.571428571428573</v>
      </c>
      <c r="L98" s="88">
        <f ca="1">IFERROR(__xludf.DUMMYFUNCTION("IMPORTRANGE(""https://docs.google.com/spreadsheets/d/1-uDff_7J0KD5mKrp0Vvzr7lt3OU09vwQwhkpOPPYv2Y/edit?usp=sharing"",""งบพรบ!CR98"")"),49000)</f>
        <v>49000</v>
      </c>
      <c r="M98" s="90">
        <f t="shared" ca="1" si="47"/>
        <v>28.571428571428573</v>
      </c>
      <c r="N98" s="90">
        <f t="shared" ca="1" si="48"/>
        <v>40</v>
      </c>
      <c r="O98" s="91">
        <f ca="1">IFERROR(__xludf.DUMMYFUNCTION("IMPORTRANGE(""https://docs.google.com/spreadsheets/d/1-uDff_7J0KD5mKrp0Vvzr7lt3OU09vwQwhkpOPPYv2Y/edit?usp=sharing"",""งบพรบ!CS98"")"),0)</f>
        <v>0</v>
      </c>
      <c r="P98" s="91">
        <f t="shared" ca="1" si="49"/>
        <v>0</v>
      </c>
      <c r="Q98" s="90">
        <f t="shared" ca="1" si="50"/>
        <v>0</v>
      </c>
      <c r="R98" s="88"/>
      <c r="S98" s="88"/>
      <c r="T98" s="90"/>
      <c r="U98" s="262"/>
      <c r="V98" s="262"/>
      <c r="W98" s="263"/>
      <c r="X98" s="206"/>
      <c r="Y98" s="206"/>
      <c r="Z98" s="206"/>
    </row>
    <row r="99" spans="1:26" ht="24" customHeight="1" x14ac:dyDescent="0.3">
      <c r="A99" s="196"/>
      <c r="B99" s="117" t="s">
        <v>121</v>
      </c>
      <c r="C99" s="197">
        <f t="shared" ca="1" si="43"/>
        <v>0</v>
      </c>
      <c r="D99" s="198">
        <f t="shared" ca="1" si="44"/>
        <v>0</v>
      </c>
      <c r="E99" s="88">
        <f ca="1">IFERROR(__xludf.DUMMYFUNCTION("IMPORTRANGE(""https://docs.google.com/spreadsheets/d/1-uDff_7J0KD5mKrp0Vvzr7lt3OU09vwQwhkpOPPYv2Y/edit?usp=sharing"",""งบพรบ!CL99"")"),0)</f>
        <v>0</v>
      </c>
      <c r="F99" s="88">
        <f ca="1">IFERROR(__xludf.DUMMYFUNCTION("IMPORTRANGE(""https://docs.google.com/spreadsheets/d/1-uDff_7J0KD5mKrp0Vvzr7lt3OU09vwQwhkpOPPYv2Y/edit?usp=sharing"",""งบพรบ!CM99"")"),0)</f>
        <v>0</v>
      </c>
      <c r="G99" s="88">
        <f ca="1">IFERROR(__xludf.DUMMYFUNCTION("IMPORTRANGE(""https://docs.google.com/spreadsheets/d/1-uDff_7J0KD5mKrp0Vvzr7lt3OU09vwQwhkpOPPYv2Y/edit?usp=sharing"",""งบพรบ!CN99"")"),0)</f>
        <v>0</v>
      </c>
      <c r="H99" s="88">
        <f ca="1">IFERROR(__xludf.DUMMYFUNCTION("IMPORTRANGE(""https://docs.google.com/spreadsheets/d/1-uDff_7J0KD5mKrp0Vvzr7lt3OU09vwQwhkpOPPYv2Y/edit?usp=sharing"",""งบพรบ!CP99"")"),0)</f>
        <v>0</v>
      </c>
      <c r="I99" s="88">
        <f ca="1">IFERROR(__xludf.DUMMYFUNCTION("IMPORTRANGE(""https://docs.google.com/spreadsheets/d/1-uDff_7J0KD5mKrp0Vvzr7lt3OU09vwQwhkpOPPYv2Y/edit?usp=sharing"",""งบพรบ!CQ99"")"),0)</f>
        <v>0</v>
      </c>
      <c r="J99" s="88">
        <f t="shared" ca="1" si="45"/>
        <v>0</v>
      </c>
      <c r="K99" s="89">
        <f t="shared" ca="1" si="46"/>
        <v>0</v>
      </c>
      <c r="L99" s="88">
        <f ca="1">IFERROR(__xludf.DUMMYFUNCTION("IMPORTRANGE(""https://docs.google.com/spreadsheets/d/1-uDff_7J0KD5mKrp0Vvzr7lt3OU09vwQwhkpOPPYv2Y/edit?usp=sharing"",""งบพรบ!CR99"")"),0)</f>
        <v>0</v>
      </c>
      <c r="M99" s="90">
        <f t="shared" ca="1" si="47"/>
        <v>0</v>
      </c>
      <c r="N99" s="90">
        <f t="shared" ca="1" si="48"/>
        <v>0</v>
      </c>
      <c r="O99" s="91">
        <f ca="1">IFERROR(__xludf.DUMMYFUNCTION("IMPORTRANGE(""https://docs.google.com/spreadsheets/d/1-uDff_7J0KD5mKrp0Vvzr7lt3OU09vwQwhkpOPPYv2Y/edit?usp=sharing"",""งบพรบ!CS99"")"),0)</f>
        <v>0</v>
      </c>
      <c r="P99" s="91">
        <f t="shared" ca="1" si="49"/>
        <v>0</v>
      </c>
      <c r="Q99" s="90">
        <f t="shared" ca="1" si="50"/>
        <v>0</v>
      </c>
      <c r="R99" s="88"/>
      <c r="S99" s="88"/>
      <c r="T99" s="90"/>
      <c r="U99" s="262"/>
      <c r="V99" s="262"/>
      <c r="W99" s="263"/>
      <c r="X99" s="206"/>
      <c r="Y99" s="206"/>
      <c r="Z99" s="206"/>
    </row>
    <row r="100" spans="1:26" ht="24" customHeight="1" x14ac:dyDescent="0.3">
      <c r="A100" s="196"/>
      <c r="B100" s="117" t="s">
        <v>122</v>
      </c>
      <c r="C100" s="197">
        <f t="shared" ca="1" si="43"/>
        <v>0</v>
      </c>
      <c r="D100" s="198">
        <f t="shared" ca="1" si="44"/>
        <v>0</v>
      </c>
      <c r="E100" s="88">
        <f ca="1">IFERROR(__xludf.DUMMYFUNCTION("IMPORTRANGE(""https://docs.google.com/spreadsheets/d/1-uDff_7J0KD5mKrp0Vvzr7lt3OU09vwQwhkpOPPYv2Y/edit?usp=sharing"",""งบพรบ!CL100"")"),0)</f>
        <v>0</v>
      </c>
      <c r="F100" s="88">
        <f ca="1">IFERROR(__xludf.DUMMYFUNCTION("IMPORTRANGE(""https://docs.google.com/spreadsheets/d/1-uDff_7J0KD5mKrp0Vvzr7lt3OU09vwQwhkpOPPYv2Y/edit?usp=sharing"",""งบพรบ!CM100"")"),0)</f>
        <v>0</v>
      </c>
      <c r="G100" s="88">
        <f ca="1">IFERROR(__xludf.DUMMYFUNCTION("IMPORTRANGE(""https://docs.google.com/spreadsheets/d/1-uDff_7J0KD5mKrp0Vvzr7lt3OU09vwQwhkpOPPYv2Y/edit?usp=sharing"",""งบพรบ!CN100"")"),0)</f>
        <v>0</v>
      </c>
      <c r="H100" s="88">
        <f ca="1">IFERROR(__xludf.DUMMYFUNCTION("IMPORTRANGE(""https://docs.google.com/spreadsheets/d/1-uDff_7J0KD5mKrp0Vvzr7lt3OU09vwQwhkpOPPYv2Y/edit?usp=sharing"",""งบพรบ!CP100"")"),0)</f>
        <v>0</v>
      </c>
      <c r="I100" s="88">
        <f ca="1">IFERROR(__xludf.DUMMYFUNCTION("IMPORTRANGE(""https://docs.google.com/spreadsheets/d/1-uDff_7J0KD5mKrp0Vvzr7lt3OU09vwQwhkpOPPYv2Y/edit?usp=sharing"",""งบพรบ!CQ100"")"),0)</f>
        <v>0</v>
      </c>
      <c r="J100" s="88">
        <f t="shared" ca="1" si="45"/>
        <v>0</v>
      </c>
      <c r="K100" s="89">
        <f t="shared" ca="1" si="46"/>
        <v>0</v>
      </c>
      <c r="L100" s="88">
        <f ca="1">IFERROR(__xludf.DUMMYFUNCTION("IMPORTRANGE(""https://docs.google.com/spreadsheets/d/1-uDff_7J0KD5mKrp0Vvzr7lt3OU09vwQwhkpOPPYv2Y/edit?usp=sharing"",""งบพรบ!CR100"")"),0)</f>
        <v>0</v>
      </c>
      <c r="M100" s="90">
        <f t="shared" ca="1" si="47"/>
        <v>0</v>
      </c>
      <c r="N100" s="90">
        <f t="shared" ca="1" si="48"/>
        <v>0</v>
      </c>
      <c r="O100" s="91">
        <f ca="1">IFERROR(__xludf.DUMMYFUNCTION("IMPORTRANGE(""https://docs.google.com/spreadsheets/d/1-uDff_7J0KD5mKrp0Vvzr7lt3OU09vwQwhkpOPPYv2Y/edit?usp=sharing"",""งบพรบ!CS100"")"),0)</f>
        <v>0</v>
      </c>
      <c r="P100" s="91">
        <f t="shared" ca="1" si="49"/>
        <v>0</v>
      </c>
      <c r="Q100" s="90">
        <f t="shared" ca="1" si="50"/>
        <v>0</v>
      </c>
      <c r="R100" s="88"/>
      <c r="S100" s="88"/>
      <c r="T100" s="90"/>
      <c r="U100" s="262"/>
      <c r="V100" s="262"/>
      <c r="W100" s="263"/>
      <c r="X100" s="206"/>
      <c r="Y100" s="206"/>
      <c r="Z100" s="206"/>
    </row>
    <row r="101" spans="1:26" ht="24" customHeight="1" x14ac:dyDescent="0.3">
      <c r="A101" s="196"/>
      <c r="B101" s="117" t="s">
        <v>123</v>
      </c>
      <c r="C101" s="197">
        <f t="shared" ca="1" si="43"/>
        <v>6944500</v>
      </c>
      <c r="D101" s="198">
        <f t="shared" ca="1" si="44"/>
        <v>6944500</v>
      </c>
      <c r="E101" s="88">
        <f ca="1">IFERROR(__xludf.DUMMYFUNCTION("IMPORTRANGE(""https://docs.google.com/spreadsheets/d/1-uDff_7J0KD5mKrp0Vvzr7lt3OU09vwQwhkpOPPYv2Y/edit?usp=sharing"",""งบพรบ!CL101"")"),0)</f>
        <v>0</v>
      </c>
      <c r="F101" s="88">
        <f ca="1">IFERROR(__xludf.DUMMYFUNCTION("IMPORTRANGE(""https://docs.google.com/spreadsheets/d/1-uDff_7J0KD5mKrp0Vvzr7lt3OU09vwQwhkpOPPYv2Y/edit?usp=sharing"",""งบพรบ!CM101"")"),6944500)</f>
        <v>6944500</v>
      </c>
      <c r="G101" s="88">
        <f ca="1">IFERROR(__xludf.DUMMYFUNCTION("IMPORTRANGE(""https://docs.google.com/spreadsheets/d/1-uDff_7J0KD5mKrp0Vvzr7lt3OU09vwQwhkpOPPYv2Y/edit?usp=sharing"",""งบพรบ!CN101"")"),0)</f>
        <v>0</v>
      </c>
      <c r="H101" s="88">
        <f ca="1">IFERROR(__xludf.DUMMYFUNCTION("IMPORTRANGE(""https://docs.google.com/spreadsheets/d/1-uDff_7J0KD5mKrp0Vvzr7lt3OU09vwQwhkpOPPYv2Y/edit?usp=sharing"",""งบพรบ!CP101"")"),6480520)</f>
        <v>6480520</v>
      </c>
      <c r="I101" s="88">
        <f ca="1">IFERROR(__xludf.DUMMYFUNCTION("IMPORTRANGE(""https://docs.google.com/spreadsheets/d/1-uDff_7J0KD5mKrp0Vvzr7lt3OU09vwQwhkpOPPYv2Y/edit?usp=sharing"",""งบพรบ!CQ101"")"),0)</f>
        <v>0</v>
      </c>
      <c r="J101" s="88">
        <f t="shared" ca="1" si="45"/>
        <v>4060558.97</v>
      </c>
      <c r="K101" s="89">
        <f t="shared" ca="1" si="46"/>
        <v>58.471581395348835</v>
      </c>
      <c r="L101" s="88">
        <f ca="1">IFERROR(__xludf.DUMMYFUNCTION("IMPORTRANGE(""https://docs.google.com/spreadsheets/d/1-uDff_7J0KD5mKrp0Vvzr7lt3OU09vwQwhkpOPPYv2Y/edit?usp=sharing"",""งบพรบ!CR101"")"),4060558.97)</f>
        <v>4060558.97</v>
      </c>
      <c r="M101" s="90">
        <f t="shared" ca="1" si="47"/>
        <v>58.471581395348835</v>
      </c>
      <c r="N101" s="90">
        <f t="shared" ca="1" si="48"/>
        <v>62.657918963293071</v>
      </c>
      <c r="O101" s="91">
        <f ca="1">IFERROR(__xludf.DUMMYFUNCTION("IMPORTRANGE(""https://docs.google.com/spreadsheets/d/1-uDff_7J0KD5mKrp0Vvzr7lt3OU09vwQwhkpOPPYv2Y/edit?usp=sharing"",""งบพรบ!CS101"")"),0)</f>
        <v>0</v>
      </c>
      <c r="P101" s="91">
        <f t="shared" ca="1" si="49"/>
        <v>0</v>
      </c>
      <c r="Q101" s="90">
        <f t="shared" ca="1" si="50"/>
        <v>0</v>
      </c>
      <c r="R101" s="88"/>
      <c r="S101" s="88"/>
      <c r="T101" s="90"/>
      <c r="U101" s="262"/>
      <c r="V101" s="262"/>
      <c r="W101" s="263"/>
      <c r="X101" s="206"/>
      <c r="Y101" s="206"/>
      <c r="Z101" s="206"/>
    </row>
    <row r="102" spans="1:26" ht="24" customHeight="1" x14ac:dyDescent="0.3">
      <c r="A102" s="196"/>
      <c r="B102" s="117" t="s">
        <v>124</v>
      </c>
      <c r="C102" s="197">
        <f t="shared" ca="1" si="43"/>
        <v>0</v>
      </c>
      <c r="D102" s="198">
        <f t="shared" ca="1" si="44"/>
        <v>0</v>
      </c>
      <c r="E102" s="88">
        <f ca="1">IFERROR(__xludf.DUMMYFUNCTION("IMPORTRANGE(""https://docs.google.com/spreadsheets/d/1-uDff_7J0KD5mKrp0Vvzr7lt3OU09vwQwhkpOPPYv2Y/edit?usp=sharing"",""งบพรบ!CL102"")"),0)</f>
        <v>0</v>
      </c>
      <c r="F102" s="88">
        <f ca="1">IFERROR(__xludf.DUMMYFUNCTION("IMPORTRANGE(""https://docs.google.com/spreadsheets/d/1-uDff_7J0KD5mKrp0Vvzr7lt3OU09vwQwhkpOPPYv2Y/edit?usp=sharing"",""งบพรบ!CM102"")"),0)</f>
        <v>0</v>
      </c>
      <c r="G102" s="88">
        <f ca="1">IFERROR(__xludf.DUMMYFUNCTION("IMPORTRANGE(""https://docs.google.com/spreadsheets/d/1-uDff_7J0KD5mKrp0Vvzr7lt3OU09vwQwhkpOPPYv2Y/edit?usp=sharing"",""งบพรบ!CN102"")"),0)</f>
        <v>0</v>
      </c>
      <c r="H102" s="88">
        <f ca="1">IFERROR(__xludf.DUMMYFUNCTION("IMPORTRANGE(""https://docs.google.com/spreadsheets/d/1-uDff_7J0KD5mKrp0Vvzr7lt3OU09vwQwhkpOPPYv2Y/edit?usp=sharing"",""งบพรบ!CP102"")"),0)</f>
        <v>0</v>
      </c>
      <c r="I102" s="88">
        <f ca="1">IFERROR(__xludf.DUMMYFUNCTION("IMPORTRANGE(""https://docs.google.com/spreadsheets/d/1-uDff_7J0KD5mKrp0Vvzr7lt3OU09vwQwhkpOPPYv2Y/edit?usp=sharing"",""งบพรบ!CQ102"")"),0)</f>
        <v>0</v>
      </c>
      <c r="J102" s="88">
        <f t="shared" ca="1" si="45"/>
        <v>0</v>
      </c>
      <c r="K102" s="89">
        <f t="shared" ca="1" si="46"/>
        <v>0</v>
      </c>
      <c r="L102" s="88">
        <f ca="1">IFERROR(__xludf.DUMMYFUNCTION("IMPORTRANGE(""https://docs.google.com/spreadsheets/d/1-uDff_7J0KD5mKrp0Vvzr7lt3OU09vwQwhkpOPPYv2Y/edit?usp=sharing"",""งบพรบ!CR102"")"),0)</f>
        <v>0</v>
      </c>
      <c r="M102" s="90">
        <f t="shared" ca="1" si="47"/>
        <v>0</v>
      </c>
      <c r="N102" s="90">
        <f t="shared" ca="1" si="48"/>
        <v>0</v>
      </c>
      <c r="O102" s="91">
        <f ca="1">IFERROR(__xludf.DUMMYFUNCTION("IMPORTRANGE(""https://docs.google.com/spreadsheets/d/1-uDff_7J0KD5mKrp0Vvzr7lt3OU09vwQwhkpOPPYv2Y/edit?usp=sharing"",""งบพรบ!CS102"")"),0)</f>
        <v>0</v>
      </c>
      <c r="P102" s="91">
        <f t="shared" ca="1" si="49"/>
        <v>0</v>
      </c>
      <c r="Q102" s="90">
        <f t="shared" ca="1" si="50"/>
        <v>0</v>
      </c>
      <c r="R102" s="88"/>
      <c r="S102" s="88"/>
      <c r="T102" s="90"/>
      <c r="U102" s="262"/>
      <c r="V102" s="262"/>
      <c r="W102" s="263"/>
      <c r="X102" s="206"/>
      <c r="Y102" s="206"/>
      <c r="Z102" s="206"/>
    </row>
    <row r="103" spans="1:26" ht="24" customHeight="1" x14ac:dyDescent="0.3">
      <c r="A103" s="196"/>
      <c r="B103" s="117" t="s">
        <v>125</v>
      </c>
      <c r="C103" s="197">
        <f t="shared" ca="1" si="43"/>
        <v>0</v>
      </c>
      <c r="D103" s="198">
        <f t="shared" ca="1" si="44"/>
        <v>0</v>
      </c>
      <c r="E103" s="88">
        <f ca="1">IFERROR(__xludf.DUMMYFUNCTION("IMPORTRANGE(""https://docs.google.com/spreadsheets/d/1-uDff_7J0KD5mKrp0Vvzr7lt3OU09vwQwhkpOPPYv2Y/edit?usp=sharing"",""งบพรบ!CL103"")"),0)</f>
        <v>0</v>
      </c>
      <c r="F103" s="88">
        <f ca="1">IFERROR(__xludf.DUMMYFUNCTION("IMPORTRANGE(""https://docs.google.com/spreadsheets/d/1-uDff_7J0KD5mKrp0Vvzr7lt3OU09vwQwhkpOPPYv2Y/edit?usp=sharing"",""งบพรบ!CM103"")"),0)</f>
        <v>0</v>
      </c>
      <c r="G103" s="88">
        <f ca="1">IFERROR(__xludf.DUMMYFUNCTION("IMPORTRANGE(""https://docs.google.com/spreadsheets/d/1-uDff_7J0KD5mKrp0Vvzr7lt3OU09vwQwhkpOPPYv2Y/edit?usp=sharing"",""งบพรบ!CN103"")"),0)</f>
        <v>0</v>
      </c>
      <c r="H103" s="88">
        <f ca="1">IFERROR(__xludf.DUMMYFUNCTION("IMPORTRANGE(""https://docs.google.com/spreadsheets/d/1-uDff_7J0KD5mKrp0Vvzr7lt3OU09vwQwhkpOPPYv2Y/edit?usp=sharing"",""งบพรบ!CP103"")"),0)</f>
        <v>0</v>
      </c>
      <c r="I103" s="88">
        <f ca="1">IFERROR(__xludf.DUMMYFUNCTION("IMPORTRANGE(""https://docs.google.com/spreadsheets/d/1-uDff_7J0KD5mKrp0Vvzr7lt3OU09vwQwhkpOPPYv2Y/edit?usp=sharing"",""งบพรบ!CQ103"")"),0)</f>
        <v>0</v>
      </c>
      <c r="J103" s="88">
        <f t="shared" ca="1" si="45"/>
        <v>0</v>
      </c>
      <c r="K103" s="89">
        <f t="shared" ca="1" si="46"/>
        <v>0</v>
      </c>
      <c r="L103" s="88">
        <f ca="1">IFERROR(__xludf.DUMMYFUNCTION("IMPORTRANGE(""https://docs.google.com/spreadsheets/d/1-uDff_7J0KD5mKrp0Vvzr7lt3OU09vwQwhkpOPPYv2Y/edit?usp=sharing"",""งบพรบ!CR103"")"),0)</f>
        <v>0</v>
      </c>
      <c r="M103" s="90">
        <f t="shared" ca="1" si="47"/>
        <v>0</v>
      </c>
      <c r="N103" s="90">
        <f t="shared" ca="1" si="48"/>
        <v>0</v>
      </c>
      <c r="O103" s="91">
        <f ca="1">IFERROR(__xludf.DUMMYFUNCTION("IMPORTRANGE(""https://docs.google.com/spreadsheets/d/1-uDff_7J0KD5mKrp0Vvzr7lt3OU09vwQwhkpOPPYv2Y/edit?usp=sharing"",""งบพรบ!CS103"")"),0)</f>
        <v>0</v>
      </c>
      <c r="P103" s="91">
        <f t="shared" ca="1" si="49"/>
        <v>0</v>
      </c>
      <c r="Q103" s="90">
        <f t="shared" ca="1" si="50"/>
        <v>0</v>
      </c>
      <c r="R103" s="233"/>
      <c r="S103" s="233"/>
      <c r="T103" s="234"/>
      <c r="U103" s="264"/>
      <c r="V103" s="264"/>
      <c r="W103" s="265"/>
      <c r="X103" s="206"/>
      <c r="Y103" s="206"/>
      <c r="Z103" s="206"/>
    </row>
    <row r="104" spans="1:26" ht="24" customHeight="1" x14ac:dyDescent="0.3">
      <c r="A104" s="196"/>
      <c r="B104" s="117" t="s">
        <v>126</v>
      </c>
      <c r="C104" s="197">
        <f t="shared" ca="1" si="43"/>
        <v>6585400</v>
      </c>
      <c r="D104" s="198">
        <f t="shared" ca="1" si="44"/>
        <v>6585400</v>
      </c>
      <c r="E104" s="88">
        <f ca="1">IFERROR(__xludf.DUMMYFUNCTION("IMPORTRANGE(""https://docs.google.com/spreadsheets/d/1-uDff_7J0KD5mKrp0Vvzr7lt3OU09vwQwhkpOPPYv2Y/edit?usp=sharing"",""งบพรบ!CL104"")"),6585400)</f>
        <v>6585400</v>
      </c>
      <c r="F104" s="88">
        <f ca="1">IFERROR(__xludf.DUMMYFUNCTION("IMPORTRANGE(""https://docs.google.com/spreadsheets/d/1-uDff_7J0KD5mKrp0Vvzr7lt3OU09vwQwhkpOPPYv2Y/edit?usp=sharing"",""งบพรบ!CM104"")"),0)</f>
        <v>0</v>
      </c>
      <c r="G104" s="88">
        <f ca="1">IFERROR(__xludf.DUMMYFUNCTION("IMPORTRANGE(""https://docs.google.com/spreadsheets/d/1-uDff_7J0KD5mKrp0Vvzr7lt3OU09vwQwhkpOPPYv2Y/edit?usp=sharing"",""งบพรบ!CN104"")"),0)</f>
        <v>0</v>
      </c>
      <c r="H104" s="88">
        <f ca="1">IFERROR(__xludf.DUMMYFUNCTION("IMPORTRANGE(""https://docs.google.com/spreadsheets/d/1-uDff_7J0KD5mKrp0Vvzr7lt3OU09vwQwhkpOPPYv2Y/edit?usp=sharing"",""งบพรบ!CP104"")"),2066980)</f>
        <v>2066980</v>
      </c>
      <c r="I104" s="88">
        <f ca="1">IFERROR(__xludf.DUMMYFUNCTION("IMPORTRANGE(""https://docs.google.com/spreadsheets/d/1-uDff_7J0KD5mKrp0Vvzr7lt3OU09vwQwhkpOPPYv2Y/edit?usp=sharing"",""งบพรบ!CQ104"")"),0)</f>
        <v>0</v>
      </c>
      <c r="J104" s="88">
        <f t="shared" ca="1" si="45"/>
        <v>162524.01</v>
      </c>
      <c r="K104" s="89">
        <f t="shared" ca="1" si="46"/>
        <v>2.4679443921401889</v>
      </c>
      <c r="L104" s="88">
        <f ca="1">IFERROR(__xludf.DUMMYFUNCTION("IMPORTRANGE(""https://docs.google.com/spreadsheets/d/1-uDff_7J0KD5mKrp0Vvzr7lt3OU09vwQwhkpOPPYv2Y/edit?usp=sharing"",""งบพรบ!CR104"")"),162524.01)</f>
        <v>162524.01</v>
      </c>
      <c r="M104" s="90">
        <f t="shared" ca="1" si="47"/>
        <v>2.4679443921401889</v>
      </c>
      <c r="N104" s="90">
        <f t="shared" ca="1" si="48"/>
        <v>7.8628728870139044</v>
      </c>
      <c r="O104" s="91">
        <f ca="1">IFERROR(__xludf.DUMMYFUNCTION("IMPORTRANGE(""https://docs.google.com/spreadsheets/d/1-uDff_7J0KD5mKrp0Vvzr7lt3OU09vwQwhkpOPPYv2Y/edit?usp=sharing"",""งบพรบ!CS104"")"),0)</f>
        <v>0</v>
      </c>
      <c r="P104" s="91">
        <f t="shared" ca="1" si="49"/>
        <v>0</v>
      </c>
      <c r="Q104" s="90">
        <f t="shared" ca="1" si="50"/>
        <v>0</v>
      </c>
      <c r="R104" s="88"/>
      <c r="S104" s="88"/>
      <c r="T104" s="90"/>
      <c r="U104" s="266"/>
      <c r="V104" s="266"/>
      <c r="W104" s="267"/>
      <c r="X104" s="206"/>
      <c r="Y104" s="206"/>
      <c r="Z104" s="206"/>
    </row>
    <row r="105" spans="1:26" ht="24" customHeight="1" x14ac:dyDescent="0.3">
      <c r="A105" s="196"/>
      <c r="B105" s="118" t="s">
        <v>127</v>
      </c>
      <c r="C105" s="197">
        <f t="shared" ca="1" si="43"/>
        <v>0</v>
      </c>
      <c r="D105" s="198">
        <f t="shared" ca="1" si="44"/>
        <v>0</v>
      </c>
      <c r="E105" s="88">
        <f ca="1">IFERROR(__xludf.DUMMYFUNCTION("IMPORTRANGE(""https://docs.google.com/spreadsheets/d/1-uDff_7J0KD5mKrp0Vvzr7lt3OU09vwQwhkpOPPYv2Y/edit?usp=sharing"",""งบพรบ!CL105"")"),0)</f>
        <v>0</v>
      </c>
      <c r="F105" s="88">
        <f ca="1">IFERROR(__xludf.DUMMYFUNCTION("IMPORTRANGE(""https://docs.google.com/spreadsheets/d/1-uDff_7J0KD5mKrp0Vvzr7lt3OU09vwQwhkpOPPYv2Y/edit?usp=sharing"",""งบพรบ!CM105"")"),0)</f>
        <v>0</v>
      </c>
      <c r="G105" s="88">
        <f ca="1">IFERROR(__xludf.DUMMYFUNCTION("IMPORTRANGE(""https://docs.google.com/spreadsheets/d/1-uDff_7J0KD5mKrp0Vvzr7lt3OU09vwQwhkpOPPYv2Y/edit?usp=sharing"",""งบพรบ!CN105"")"),0)</f>
        <v>0</v>
      </c>
      <c r="H105" s="88">
        <f ca="1">IFERROR(__xludf.DUMMYFUNCTION("IMPORTRANGE(""https://docs.google.com/spreadsheets/d/1-uDff_7J0KD5mKrp0Vvzr7lt3OU09vwQwhkpOPPYv2Y/edit?usp=sharing"",""งบพรบ!CP105"")"),0)</f>
        <v>0</v>
      </c>
      <c r="I105" s="88">
        <f ca="1">IFERROR(__xludf.DUMMYFUNCTION("IMPORTRANGE(""https://docs.google.com/spreadsheets/d/1-uDff_7J0KD5mKrp0Vvzr7lt3OU09vwQwhkpOPPYv2Y/edit?usp=sharing"",""งบพรบ!CQ105"")"),0)</f>
        <v>0</v>
      </c>
      <c r="J105" s="88">
        <f t="shared" ca="1" si="45"/>
        <v>0</v>
      </c>
      <c r="K105" s="89">
        <f t="shared" ca="1" si="46"/>
        <v>0</v>
      </c>
      <c r="L105" s="88">
        <f ca="1">IFERROR(__xludf.DUMMYFUNCTION("IMPORTRANGE(""https://docs.google.com/spreadsheets/d/1-uDff_7J0KD5mKrp0Vvzr7lt3OU09vwQwhkpOPPYv2Y/edit?usp=sharing"",""งบพรบ!CR105"")"),0)</f>
        <v>0</v>
      </c>
      <c r="M105" s="90">
        <f t="shared" ca="1" si="47"/>
        <v>0</v>
      </c>
      <c r="N105" s="90">
        <f t="shared" ca="1" si="48"/>
        <v>0</v>
      </c>
      <c r="O105" s="91">
        <f ca="1">IFERROR(__xludf.DUMMYFUNCTION("IMPORTRANGE(""https://docs.google.com/spreadsheets/d/1-uDff_7J0KD5mKrp0Vvzr7lt3OU09vwQwhkpOPPYv2Y/edit?usp=sharing"",""งบพรบ!CS105"")"),0)</f>
        <v>0</v>
      </c>
      <c r="P105" s="91">
        <f t="shared" ca="1" si="49"/>
        <v>0</v>
      </c>
      <c r="Q105" s="90">
        <f t="shared" ca="1" si="50"/>
        <v>0</v>
      </c>
      <c r="R105" s="111"/>
      <c r="S105" s="111"/>
      <c r="T105" s="111"/>
      <c r="U105" s="262"/>
      <c r="V105" s="262"/>
      <c r="W105" s="262"/>
      <c r="X105" s="206"/>
      <c r="Y105" s="206"/>
      <c r="Z105" s="206"/>
    </row>
    <row r="106" spans="1:26" ht="24" customHeight="1" x14ac:dyDescent="0.3">
      <c r="A106" s="200"/>
      <c r="B106" s="120" t="s">
        <v>128</v>
      </c>
      <c r="C106" s="201">
        <f t="shared" ca="1" si="43"/>
        <v>0</v>
      </c>
      <c r="D106" s="202">
        <f t="shared" ca="1" si="44"/>
        <v>0</v>
      </c>
      <c r="E106" s="99">
        <f ca="1">IFERROR(__xludf.DUMMYFUNCTION("IMPORTRANGE(""https://docs.google.com/spreadsheets/d/1-uDff_7J0KD5mKrp0Vvzr7lt3OU09vwQwhkpOPPYv2Y/edit?usp=sharing"",""งบพรบ!CL106"")"),0)</f>
        <v>0</v>
      </c>
      <c r="F106" s="99">
        <f ca="1">IFERROR(__xludf.DUMMYFUNCTION("IMPORTRANGE(""https://docs.google.com/spreadsheets/d/1-uDff_7J0KD5mKrp0Vvzr7lt3OU09vwQwhkpOPPYv2Y/edit?usp=sharing"",""งบพรบ!CM106"")"),0)</f>
        <v>0</v>
      </c>
      <c r="G106" s="99">
        <f ca="1">IFERROR(__xludf.DUMMYFUNCTION("IMPORTRANGE(""https://docs.google.com/spreadsheets/d/1-uDff_7J0KD5mKrp0Vvzr7lt3OU09vwQwhkpOPPYv2Y/edit?usp=sharing"",""งบพรบ!CN106"")"),0)</f>
        <v>0</v>
      </c>
      <c r="H106" s="99">
        <f ca="1">IFERROR(__xludf.DUMMYFUNCTION("IMPORTRANGE(""https://docs.google.com/spreadsheets/d/1-uDff_7J0KD5mKrp0Vvzr7lt3OU09vwQwhkpOPPYv2Y/edit?usp=sharing"",""งบพรบ!CP106"")"),62100)</f>
        <v>62100</v>
      </c>
      <c r="I106" s="99">
        <f ca="1">IFERROR(__xludf.DUMMYFUNCTION("IMPORTRANGE(""https://docs.google.com/spreadsheets/d/1-uDff_7J0KD5mKrp0Vvzr7lt3OU09vwQwhkpOPPYv2Y/edit?usp=sharing"",""งบพรบ!CQ106"")"),0)</f>
        <v>0</v>
      </c>
      <c r="J106" s="99">
        <f t="shared" ca="1" si="45"/>
        <v>0</v>
      </c>
      <c r="K106" s="100">
        <f t="shared" ca="1" si="46"/>
        <v>0</v>
      </c>
      <c r="L106" s="99">
        <f ca="1">IFERROR(__xludf.DUMMYFUNCTION("IMPORTRANGE(""https://docs.google.com/spreadsheets/d/1-uDff_7J0KD5mKrp0Vvzr7lt3OU09vwQwhkpOPPYv2Y/edit?usp=sharing"",""งบพรบ!CR106"")"),0)</f>
        <v>0</v>
      </c>
      <c r="M106" s="101">
        <f t="shared" ca="1" si="47"/>
        <v>0</v>
      </c>
      <c r="N106" s="101">
        <f t="shared" ca="1" si="48"/>
        <v>0</v>
      </c>
      <c r="O106" s="102">
        <f ca="1">IFERROR(__xludf.DUMMYFUNCTION("IMPORTRANGE(""https://docs.google.com/spreadsheets/d/1-uDff_7J0KD5mKrp0Vvzr7lt3OU09vwQwhkpOPPYv2Y/edit?usp=sharing"",""งบพรบ!CS106"")"),0)</f>
        <v>0</v>
      </c>
      <c r="P106" s="102">
        <f t="shared" ca="1" si="49"/>
        <v>0</v>
      </c>
      <c r="Q106" s="101">
        <f t="shared" ca="1" si="50"/>
        <v>0</v>
      </c>
      <c r="R106" s="99"/>
      <c r="S106" s="99"/>
      <c r="T106" s="99"/>
      <c r="U106" s="268"/>
      <c r="V106" s="268"/>
      <c r="W106" s="268"/>
      <c r="X106" s="206"/>
      <c r="Y106" s="206"/>
      <c r="Z106" s="206"/>
    </row>
    <row r="107" spans="1:26" ht="24" customHeight="1" x14ac:dyDescent="0.2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69"/>
      <c r="N107" s="269"/>
      <c r="O107" s="270"/>
      <c r="P107" s="270"/>
      <c r="Q107" s="270"/>
      <c r="R107" s="203"/>
      <c r="S107" s="203"/>
      <c r="T107" s="269"/>
      <c r="U107" s="203"/>
      <c r="V107" s="203"/>
      <c r="W107" s="269"/>
      <c r="X107" s="206"/>
      <c r="Y107" s="206"/>
      <c r="Z107" s="206"/>
    </row>
    <row r="108" spans="1:26" ht="24" customHeight="1" x14ac:dyDescent="0.2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69"/>
      <c r="N108" s="269"/>
      <c r="O108" s="270"/>
      <c r="P108" s="270"/>
      <c r="Q108" s="270"/>
      <c r="R108" s="203"/>
      <c r="S108" s="203"/>
      <c r="T108" s="269"/>
      <c r="U108" s="203"/>
      <c r="V108" s="203"/>
      <c r="W108" s="269"/>
      <c r="X108" s="206"/>
      <c r="Y108" s="206"/>
      <c r="Z108" s="206"/>
    </row>
    <row r="109" spans="1:26" ht="24" customHeight="1" x14ac:dyDescent="0.2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69"/>
      <c r="N109" s="269"/>
      <c r="O109" s="270"/>
      <c r="P109" s="270"/>
      <c r="Q109" s="270"/>
      <c r="R109" s="203"/>
      <c r="S109" s="203"/>
      <c r="T109" s="269"/>
      <c r="U109" s="203"/>
      <c r="V109" s="203"/>
      <c r="W109" s="269"/>
      <c r="X109" s="206"/>
      <c r="Y109" s="206"/>
      <c r="Z109" s="206"/>
    </row>
    <row r="110" spans="1:26" ht="24" customHeight="1" x14ac:dyDescent="0.2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69"/>
      <c r="N110" s="269"/>
      <c r="O110" s="270"/>
      <c r="P110" s="270"/>
      <c r="Q110" s="270"/>
      <c r="R110" s="203"/>
      <c r="S110" s="203"/>
      <c r="T110" s="269"/>
      <c r="U110" s="203"/>
      <c r="V110" s="203"/>
      <c r="W110" s="269"/>
      <c r="X110" s="206"/>
      <c r="Y110" s="206"/>
      <c r="Z110" s="206"/>
    </row>
    <row r="111" spans="1:26" ht="24" customHeight="1" x14ac:dyDescent="0.2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69"/>
      <c r="N111" s="269"/>
      <c r="O111" s="270"/>
      <c r="P111" s="270"/>
      <c r="Q111" s="270"/>
      <c r="R111" s="203"/>
      <c r="S111" s="203"/>
      <c r="T111" s="269"/>
      <c r="U111" s="203"/>
      <c r="V111" s="203"/>
      <c r="W111" s="269"/>
      <c r="X111" s="206"/>
      <c r="Y111" s="206"/>
      <c r="Z111" s="206"/>
    </row>
    <row r="112" spans="1:26" ht="24" customHeight="1" x14ac:dyDescent="0.2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69"/>
      <c r="N112" s="269"/>
      <c r="O112" s="270"/>
      <c r="P112" s="270"/>
      <c r="Q112" s="270"/>
      <c r="R112" s="203"/>
      <c r="S112" s="203"/>
      <c r="T112" s="269"/>
      <c r="U112" s="203"/>
      <c r="V112" s="203"/>
      <c r="W112" s="269"/>
      <c r="X112" s="206"/>
      <c r="Y112" s="206"/>
      <c r="Z112" s="206"/>
    </row>
    <row r="113" spans="1:26" ht="24" customHeight="1" x14ac:dyDescent="0.2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69"/>
      <c r="N113" s="269"/>
      <c r="O113" s="270"/>
      <c r="P113" s="270"/>
      <c r="Q113" s="270"/>
      <c r="R113" s="203"/>
      <c r="S113" s="203"/>
      <c r="T113" s="269"/>
      <c r="U113" s="203"/>
      <c r="V113" s="203"/>
      <c r="W113" s="269"/>
      <c r="X113" s="206"/>
      <c r="Y113" s="206"/>
      <c r="Z113" s="206"/>
    </row>
    <row r="114" spans="1:26" ht="24" customHeight="1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69"/>
      <c r="N114" s="269"/>
      <c r="O114" s="270"/>
      <c r="P114" s="270"/>
      <c r="Q114" s="270"/>
      <c r="R114" s="203"/>
      <c r="S114" s="203"/>
      <c r="T114" s="269"/>
      <c r="U114" s="203"/>
      <c r="V114" s="203"/>
      <c r="W114" s="269"/>
      <c r="X114" s="206"/>
      <c r="Y114" s="206"/>
      <c r="Z114" s="206"/>
    </row>
    <row r="115" spans="1:26" ht="24" customHeight="1" x14ac:dyDescent="0.2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69"/>
      <c r="N115" s="269"/>
      <c r="O115" s="270"/>
      <c r="P115" s="270"/>
      <c r="Q115" s="270"/>
      <c r="R115" s="203"/>
      <c r="S115" s="203"/>
      <c r="T115" s="269"/>
      <c r="U115" s="203"/>
      <c r="V115" s="203"/>
      <c r="W115" s="269"/>
      <c r="X115" s="206"/>
      <c r="Y115" s="206"/>
      <c r="Z115" s="206"/>
    </row>
    <row r="116" spans="1:26" ht="24" customHeight="1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69"/>
      <c r="N116" s="269"/>
      <c r="O116" s="270"/>
      <c r="P116" s="270"/>
      <c r="Q116" s="270"/>
      <c r="R116" s="203"/>
      <c r="S116" s="203"/>
      <c r="T116" s="269"/>
      <c r="U116" s="203"/>
      <c r="V116" s="203"/>
      <c r="W116" s="269"/>
      <c r="X116" s="206"/>
      <c r="Y116" s="206"/>
      <c r="Z116" s="206"/>
    </row>
    <row r="117" spans="1:26" ht="24" customHeight="1" x14ac:dyDescent="0.2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69"/>
      <c r="N117" s="269"/>
      <c r="O117" s="270"/>
      <c r="P117" s="270"/>
      <c r="Q117" s="270"/>
      <c r="R117" s="203"/>
      <c r="S117" s="203"/>
      <c r="T117" s="269"/>
      <c r="U117" s="203"/>
      <c r="V117" s="203"/>
      <c r="W117" s="269"/>
      <c r="X117" s="206"/>
      <c r="Y117" s="206"/>
      <c r="Z117" s="206"/>
    </row>
    <row r="118" spans="1:26" ht="24" customHeight="1" x14ac:dyDescent="0.2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69"/>
      <c r="N118" s="269"/>
      <c r="O118" s="270"/>
      <c r="P118" s="270"/>
      <c r="Q118" s="270"/>
      <c r="R118" s="203"/>
      <c r="S118" s="203"/>
      <c r="T118" s="269"/>
      <c r="U118" s="203"/>
      <c r="V118" s="203"/>
      <c r="W118" s="269"/>
      <c r="X118" s="206"/>
      <c r="Y118" s="206"/>
      <c r="Z118" s="206"/>
    </row>
    <row r="119" spans="1:26" ht="24" customHeight="1" x14ac:dyDescent="0.2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69"/>
      <c r="N119" s="269"/>
      <c r="O119" s="270"/>
      <c r="P119" s="270"/>
      <c r="Q119" s="270"/>
      <c r="R119" s="203"/>
      <c r="S119" s="203"/>
      <c r="T119" s="269"/>
      <c r="U119" s="203"/>
      <c r="V119" s="203"/>
      <c r="W119" s="269"/>
      <c r="X119" s="206"/>
      <c r="Y119" s="206"/>
      <c r="Z119" s="206"/>
    </row>
    <row r="120" spans="1:26" ht="24" customHeight="1" x14ac:dyDescent="0.2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69"/>
      <c r="N120" s="269"/>
      <c r="O120" s="270"/>
      <c r="P120" s="270"/>
      <c r="Q120" s="270"/>
      <c r="R120" s="203"/>
      <c r="S120" s="203"/>
      <c r="T120" s="269"/>
      <c r="U120" s="203"/>
      <c r="V120" s="203"/>
      <c r="W120" s="269"/>
      <c r="X120" s="206"/>
      <c r="Y120" s="206"/>
      <c r="Z120" s="206"/>
    </row>
    <row r="121" spans="1:26" ht="24" customHeight="1" x14ac:dyDescent="0.2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69"/>
      <c r="N121" s="269"/>
      <c r="O121" s="270"/>
      <c r="P121" s="270"/>
      <c r="Q121" s="270"/>
      <c r="R121" s="203"/>
      <c r="S121" s="203"/>
      <c r="T121" s="269"/>
      <c r="U121" s="203"/>
      <c r="V121" s="203"/>
      <c r="W121" s="269"/>
      <c r="X121" s="206"/>
      <c r="Y121" s="206"/>
      <c r="Z121" s="206"/>
    </row>
    <row r="122" spans="1:26" ht="24" customHeight="1" x14ac:dyDescent="0.2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69"/>
      <c r="N122" s="269"/>
      <c r="O122" s="270"/>
      <c r="P122" s="270"/>
      <c r="Q122" s="270"/>
      <c r="R122" s="203"/>
      <c r="S122" s="203"/>
      <c r="T122" s="269"/>
      <c r="U122" s="203"/>
      <c r="V122" s="203"/>
      <c r="W122" s="269"/>
      <c r="X122" s="206"/>
      <c r="Y122" s="206"/>
      <c r="Z122" s="206"/>
    </row>
    <row r="123" spans="1:26" ht="24" customHeight="1" x14ac:dyDescent="0.2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69"/>
      <c r="N123" s="269"/>
      <c r="O123" s="270"/>
      <c r="P123" s="270"/>
      <c r="Q123" s="270"/>
      <c r="R123" s="203"/>
      <c r="S123" s="203"/>
      <c r="T123" s="269"/>
      <c r="U123" s="203"/>
      <c r="V123" s="203"/>
      <c r="W123" s="269"/>
      <c r="X123" s="206"/>
      <c r="Y123" s="206"/>
      <c r="Z123" s="206"/>
    </row>
    <row r="124" spans="1:26" ht="24" customHeight="1" x14ac:dyDescent="0.2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69"/>
      <c r="N124" s="269"/>
      <c r="O124" s="270"/>
      <c r="P124" s="270"/>
      <c r="Q124" s="270"/>
      <c r="R124" s="203"/>
      <c r="S124" s="203"/>
      <c r="T124" s="269"/>
      <c r="U124" s="203"/>
      <c r="V124" s="203"/>
      <c r="W124" s="269"/>
      <c r="X124" s="206"/>
      <c r="Y124" s="206"/>
      <c r="Z124" s="206"/>
    </row>
    <row r="125" spans="1:26" ht="24" customHeight="1" x14ac:dyDescent="0.2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69"/>
      <c r="N125" s="269"/>
      <c r="O125" s="270"/>
      <c r="P125" s="270"/>
      <c r="Q125" s="270"/>
      <c r="R125" s="203"/>
      <c r="S125" s="203"/>
      <c r="T125" s="269"/>
      <c r="U125" s="203"/>
      <c r="V125" s="203"/>
      <c r="W125" s="269"/>
      <c r="X125" s="206"/>
      <c r="Y125" s="206"/>
      <c r="Z125" s="206"/>
    </row>
    <row r="126" spans="1:26" ht="24" customHeight="1" x14ac:dyDescent="0.2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69"/>
      <c r="N126" s="269"/>
      <c r="O126" s="270"/>
      <c r="P126" s="270"/>
      <c r="Q126" s="270"/>
      <c r="R126" s="203"/>
      <c r="S126" s="203"/>
      <c r="T126" s="269"/>
      <c r="U126" s="203"/>
      <c r="V126" s="203"/>
      <c r="W126" s="269"/>
      <c r="X126" s="206"/>
      <c r="Y126" s="206"/>
      <c r="Z126" s="206"/>
    </row>
    <row r="127" spans="1:26" ht="24" customHeight="1" x14ac:dyDescent="0.2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69"/>
      <c r="N127" s="269"/>
      <c r="O127" s="270"/>
      <c r="P127" s="270"/>
      <c r="Q127" s="270"/>
      <c r="R127" s="203"/>
      <c r="S127" s="203"/>
      <c r="T127" s="269"/>
      <c r="U127" s="203"/>
      <c r="V127" s="203"/>
      <c r="W127" s="269"/>
      <c r="X127" s="206"/>
      <c r="Y127" s="206"/>
      <c r="Z127" s="206"/>
    </row>
    <row r="128" spans="1:26" ht="24" customHeight="1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69"/>
      <c r="N128" s="269"/>
      <c r="O128" s="270"/>
      <c r="P128" s="270"/>
      <c r="Q128" s="270"/>
      <c r="R128" s="203"/>
      <c r="S128" s="203"/>
      <c r="T128" s="269"/>
      <c r="U128" s="203"/>
      <c r="V128" s="203"/>
      <c r="W128" s="269"/>
      <c r="X128" s="206"/>
      <c r="Y128" s="206"/>
      <c r="Z128" s="206"/>
    </row>
    <row r="129" spans="1:26" ht="24" customHeight="1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69"/>
      <c r="N129" s="269"/>
      <c r="O129" s="270"/>
      <c r="P129" s="270"/>
      <c r="Q129" s="270"/>
      <c r="R129" s="203"/>
      <c r="S129" s="203"/>
      <c r="T129" s="269"/>
      <c r="U129" s="203"/>
      <c r="V129" s="203"/>
      <c r="W129" s="269"/>
      <c r="X129" s="206"/>
      <c r="Y129" s="206"/>
      <c r="Z129" s="206"/>
    </row>
    <row r="130" spans="1:26" ht="24" customHeight="1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69"/>
      <c r="N130" s="269"/>
      <c r="O130" s="270"/>
      <c r="P130" s="270"/>
      <c r="Q130" s="270"/>
      <c r="R130" s="203"/>
      <c r="S130" s="203"/>
      <c r="T130" s="269"/>
      <c r="U130" s="203"/>
      <c r="V130" s="203"/>
      <c r="W130" s="269"/>
      <c r="X130" s="206"/>
      <c r="Y130" s="206"/>
      <c r="Z130" s="206"/>
    </row>
    <row r="131" spans="1:26" ht="24" customHeight="1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69"/>
      <c r="N131" s="269"/>
      <c r="O131" s="270"/>
      <c r="P131" s="270"/>
      <c r="Q131" s="270"/>
      <c r="R131" s="203"/>
      <c r="S131" s="203"/>
      <c r="T131" s="269"/>
      <c r="U131" s="203"/>
      <c r="V131" s="203"/>
      <c r="W131" s="269"/>
      <c r="X131" s="206"/>
      <c r="Y131" s="206"/>
      <c r="Z131" s="206"/>
    </row>
    <row r="132" spans="1:26" ht="24" customHeight="1" x14ac:dyDescent="0.2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69"/>
      <c r="N132" s="269"/>
      <c r="O132" s="270"/>
      <c r="P132" s="270"/>
      <c r="Q132" s="270"/>
      <c r="R132" s="203"/>
      <c r="S132" s="203"/>
      <c r="T132" s="269"/>
      <c r="U132" s="203"/>
      <c r="V132" s="203"/>
      <c r="W132" s="269"/>
      <c r="X132" s="206"/>
      <c r="Y132" s="206"/>
      <c r="Z132" s="206"/>
    </row>
    <row r="133" spans="1:26" ht="24" customHeight="1" x14ac:dyDescent="0.2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69"/>
      <c r="N133" s="269"/>
      <c r="O133" s="270"/>
      <c r="P133" s="270"/>
      <c r="Q133" s="270"/>
      <c r="R133" s="203"/>
      <c r="S133" s="203"/>
      <c r="T133" s="269"/>
      <c r="U133" s="203"/>
      <c r="V133" s="203"/>
      <c r="W133" s="269"/>
      <c r="X133" s="206"/>
      <c r="Y133" s="206"/>
      <c r="Z133" s="206"/>
    </row>
    <row r="134" spans="1:26" ht="24" customHeight="1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69"/>
      <c r="N134" s="269"/>
      <c r="O134" s="270"/>
      <c r="P134" s="270"/>
      <c r="Q134" s="270"/>
      <c r="R134" s="203"/>
      <c r="S134" s="203"/>
      <c r="T134" s="269"/>
      <c r="U134" s="203"/>
      <c r="V134" s="203"/>
      <c r="W134" s="269"/>
      <c r="X134" s="206"/>
      <c r="Y134" s="206"/>
      <c r="Z134" s="206"/>
    </row>
    <row r="135" spans="1:26" ht="24" customHeight="1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69"/>
      <c r="N135" s="269"/>
      <c r="O135" s="270"/>
      <c r="P135" s="270"/>
      <c r="Q135" s="270"/>
      <c r="R135" s="203"/>
      <c r="S135" s="203"/>
      <c r="T135" s="269"/>
      <c r="U135" s="203"/>
      <c r="V135" s="203"/>
      <c r="W135" s="269"/>
      <c r="X135" s="206"/>
      <c r="Y135" s="206"/>
      <c r="Z135" s="206"/>
    </row>
    <row r="136" spans="1:26" ht="24" customHeight="1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69"/>
      <c r="N136" s="269"/>
      <c r="O136" s="270"/>
      <c r="P136" s="270"/>
      <c r="Q136" s="270"/>
      <c r="R136" s="203"/>
      <c r="S136" s="203"/>
      <c r="T136" s="269"/>
      <c r="U136" s="203"/>
      <c r="V136" s="203"/>
      <c r="W136" s="269"/>
      <c r="X136" s="206"/>
      <c r="Y136" s="206"/>
      <c r="Z136" s="206"/>
    </row>
    <row r="137" spans="1:26" ht="24" customHeight="1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69"/>
      <c r="N137" s="269"/>
      <c r="O137" s="270"/>
      <c r="P137" s="270"/>
      <c r="Q137" s="270"/>
      <c r="R137" s="203"/>
      <c r="S137" s="203"/>
      <c r="T137" s="269"/>
      <c r="U137" s="203"/>
      <c r="V137" s="203"/>
      <c r="W137" s="269"/>
      <c r="X137" s="206"/>
      <c r="Y137" s="206"/>
      <c r="Z137" s="206"/>
    </row>
    <row r="138" spans="1:26" ht="24" customHeight="1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69"/>
      <c r="N138" s="269"/>
      <c r="O138" s="270"/>
      <c r="P138" s="270"/>
      <c r="Q138" s="270"/>
      <c r="R138" s="203"/>
      <c r="S138" s="203"/>
      <c r="T138" s="269"/>
      <c r="U138" s="203"/>
      <c r="V138" s="203"/>
      <c r="W138" s="269"/>
      <c r="X138" s="206"/>
      <c r="Y138" s="206"/>
      <c r="Z138" s="206"/>
    </row>
    <row r="139" spans="1:26" ht="24" customHeight="1" x14ac:dyDescent="0.2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69"/>
      <c r="N139" s="269"/>
      <c r="O139" s="270"/>
      <c r="P139" s="270"/>
      <c r="Q139" s="270"/>
      <c r="R139" s="203"/>
      <c r="S139" s="203"/>
      <c r="T139" s="269"/>
      <c r="U139" s="203"/>
      <c r="V139" s="203"/>
      <c r="W139" s="269"/>
      <c r="X139" s="206"/>
      <c r="Y139" s="206"/>
      <c r="Z139" s="206"/>
    </row>
    <row r="140" spans="1:26" ht="24" customHeight="1" x14ac:dyDescent="0.2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69"/>
      <c r="N140" s="269"/>
      <c r="O140" s="270"/>
      <c r="P140" s="270"/>
      <c r="Q140" s="270"/>
      <c r="R140" s="203"/>
      <c r="S140" s="203"/>
      <c r="T140" s="269"/>
      <c r="U140" s="203"/>
      <c r="V140" s="203"/>
      <c r="W140" s="269"/>
      <c r="X140" s="206"/>
      <c r="Y140" s="206"/>
      <c r="Z140" s="206"/>
    </row>
    <row r="141" spans="1:26" ht="24" customHeight="1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69"/>
      <c r="N141" s="269"/>
      <c r="O141" s="270"/>
      <c r="P141" s="270"/>
      <c r="Q141" s="270"/>
      <c r="R141" s="203"/>
      <c r="S141" s="203"/>
      <c r="T141" s="269"/>
      <c r="U141" s="203"/>
      <c r="V141" s="203"/>
      <c r="W141" s="269"/>
      <c r="X141" s="206"/>
      <c r="Y141" s="206"/>
      <c r="Z141" s="206"/>
    </row>
    <row r="142" spans="1:26" ht="24" customHeight="1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69"/>
      <c r="N142" s="269"/>
      <c r="O142" s="270"/>
      <c r="P142" s="270"/>
      <c r="Q142" s="270"/>
      <c r="R142" s="203"/>
      <c r="S142" s="203"/>
      <c r="T142" s="269"/>
      <c r="U142" s="203"/>
      <c r="V142" s="203"/>
      <c r="W142" s="269"/>
      <c r="X142" s="206"/>
      <c r="Y142" s="206"/>
      <c r="Z142" s="206"/>
    </row>
    <row r="143" spans="1:26" ht="24" customHeight="1" x14ac:dyDescent="0.2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69"/>
      <c r="N143" s="269"/>
      <c r="O143" s="270"/>
      <c r="P143" s="270"/>
      <c r="Q143" s="270"/>
      <c r="R143" s="203"/>
      <c r="S143" s="203"/>
      <c r="T143" s="269"/>
      <c r="U143" s="203"/>
      <c r="V143" s="203"/>
      <c r="W143" s="269"/>
      <c r="X143" s="206"/>
      <c r="Y143" s="206"/>
      <c r="Z143" s="206"/>
    </row>
    <row r="144" spans="1:26" ht="24" customHeight="1" x14ac:dyDescent="0.2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69"/>
      <c r="N144" s="269"/>
      <c r="O144" s="270"/>
      <c r="P144" s="270"/>
      <c r="Q144" s="270"/>
      <c r="R144" s="203"/>
      <c r="S144" s="203"/>
      <c r="T144" s="269"/>
      <c r="U144" s="203"/>
      <c r="V144" s="203"/>
      <c r="W144" s="269"/>
      <c r="X144" s="206"/>
      <c r="Y144" s="206"/>
      <c r="Z144" s="206"/>
    </row>
    <row r="145" spans="1:26" ht="24" customHeight="1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69"/>
      <c r="N145" s="269"/>
      <c r="O145" s="270"/>
      <c r="P145" s="270"/>
      <c r="Q145" s="270"/>
      <c r="R145" s="203"/>
      <c r="S145" s="203"/>
      <c r="T145" s="269"/>
      <c r="U145" s="203"/>
      <c r="V145" s="203"/>
      <c r="W145" s="269"/>
      <c r="X145" s="206"/>
      <c r="Y145" s="206"/>
      <c r="Z145" s="206"/>
    </row>
    <row r="146" spans="1:26" ht="24" customHeight="1" x14ac:dyDescent="0.2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69"/>
      <c r="N146" s="269"/>
      <c r="O146" s="270"/>
      <c r="P146" s="270"/>
      <c r="Q146" s="270"/>
      <c r="R146" s="203"/>
      <c r="S146" s="203"/>
      <c r="T146" s="269"/>
      <c r="U146" s="203"/>
      <c r="V146" s="203"/>
      <c r="W146" s="269"/>
      <c r="X146" s="206"/>
      <c r="Y146" s="206"/>
      <c r="Z146" s="206"/>
    </row>
    <row r="147" spans="1:26" ht="24" customHeight="1" x14ac:dyDescent="0.2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69"/>
      <c r="N147" s="269"/>
      <c r="O147" s="270"/>
      <c r="P147" s="270"/>
      <c r="Q147" s="270"/>
      <c r="R147" s="203"/>
      <c r="S147" s="203"/>
      <c r="T147" s="269"/>
      <c r="U147" s="203"/>
      <c r="V147" s="203"/>
      <c r="W147" s="269"/>
      <c r="X147" s="206"/>
      <c r="Y147" s="206"/>
      <c r="Z147" s="206"/>
    </row>
    <row r="148" spans="1:26" ht="24" customHeight="1" x14ac:dyDescent="0.2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69"/>
      <c r="N148" s="269"/>
      <c r="O148" s="270"/>
      <c r="P148" s="270"/>
      <c r="Q148" s="270"/>
      <c r="R148" s="203"/>
      <c r="S148" s="203"/>
      <c r="T148" s="269"/>
      <c r="U148" s="203"/>
      <c r="V148" s="203"/>
      <c r="W148" s="269"/>
      <c r="X148" s="206"/>
      <c r="Y148" s="206"/>
      <c r="Z148" s="206"/>
    </row>
    <row r="149" spans="1:26" ht="24" customHeight="1" x14ac:dyDescent="0.2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69"/>
      <c r="N149" s="269"/>
      <c r="O149" s="270"/>
      <c r="P149" s="270"/>
      <c r="Q149" s="270"/>
      <c r="R149" s="203"/>
      <c r="S149" s="203"/>
      <c r="T149" s="269"/>
      <c r="U149" s="203"/>
      <c r="V149" s="203"/>
      <c r="W149" s="269"/>
      <c r="X149" s="206"/>
      <c r="Y149" s="206"/>
      <c r="Z149" s="206"/>
    </row>
    <row r="150" spans="1:26" ht="24" customHeight="1" x14ac:dyDescent="0.2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69"/>
      <c r="N150" s="269"/>
      <c r="O150" s="270"/>
      <c r="P150" s="270"/>
      <c r="Q150" s="270"/>
      <c r="R150" s="203"/>
      <c r="S150" s="203"/>
      <c r="T150" s="269"/>
      <c r="U150" s="203"/>
      <c r="V150" s="203"/>
      <c r="W150" s="269"/>
      <c r="X150" s="206"/>
      <c r="Y150" s="206"/>
      <c r="Z150" s="206"/>
    </row>
    <row r="151" spans="1:26" ht="24" customHeight="1" x14ac:dyDescent="0.2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69"/>
      <c r="N151" s="269"/>
      <c r="O151" s="270"/>
      <c r="P151" s="270"/>
      <c r="Q151" s="270"/>
      <c r="R151" s="203"/>
      <c r="S151" s="203"/>
      <c r="T151" s="269"/>
      <c r="U151" s="203"/>
      <c r="V151" s="203"/>
      <c r="W151" s="269"/>
      <c r="X151" s="206"/>
      <c r="Y151" s="206"/>
      <c r="Z151" s="206"/>
    </row>
    <row r="152" spans="1:26" ht="24" customHeight="1" x14ac:dyDescent="0.2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69"/>
      <c r="N152" s="269"/>
      <c r="O152" s="270"/>
      <c r="P152" s="270"/>
      <c r="Q152" s="270"/>
      <c r="R152" s="203"/>
      <c r="S152" s="203"/>
      <c r="T152" s="269"/>
      <c r="U152" s="203"/>
      <c r="V152" s="203"/>
      <c r="W152" s="269"/>
      <c r="X152" s="206"/>
      <c r="Y152" s="206"/>
      <c r="Z152" s="206"/>
    </row>
    <row r="153" spans="1:26" ht="24" customHeight="1" x14ac:dyDescent="0.2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69"/>
      <c r="N153" s="269"/>
      <c r="O153" s="270"/>
      <c r="P153" s="270"/>
      <c r="Q153" s="270"/>
      <c r="R153" s="203"/>
      <c r="S153" s="203"/>
      <c r="T153" s="269"/>
      <c r="U153" s="203"/>
      <c r="V153" s="203"/>
      <c r="W153" s="269"/>
      <c r="X153" s="206"/>
      <c r="Y153" s="206"/>
      <c r="Z153" s="206"/>
    </row>
    <row r="154" spans="1:26" ht="24" customHeight="1" x14ac:dyDescent="0.2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69"/>
      <c r="N154" s="269"/>
      <c r="O154" s="270"/>
      <c r="P154" s="270"/>
      <c r="Q154" s="270"/>
      <c r="R154" s="203"/>
      <c r="S154" s="203"/>
      <c r="T154" s="269"/>
      <c r="U154" s="203"/>
      <c r="V154" s="203"/>
      <c r="W154" s="269"/>
      <c r="X154" s="206"/>
      <c r="Y154" s="206"/>
      <c r="Z154" s="206"/>
    </row>
    <row r="155" spans="1:26" ht="24" customHeight="1" x14ac:dyDescent="0.2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69"/>
      <c r="N155" s="269"/>
      <c r="O155" s="270"/>
      <c r="P155" s="270"/>
      <c r="Q155" s="270"/>
      <c r="R155" s="203"/>
      <c r="S155" s="203"/>
      <c r="T155" s="269"/>
      <c r="U155" s="203"/>
      <c r="V155" s="203"/>
      <c r="W155" s="269"/>
      <c r="X155" s="206"/>
      <c r="Y155" s="206"/>
      <c r="Z155" s="206"/>
    </row>
    <row r="156" spans="1:26" ht="24" customHeight="1" x14ac:dyDescent="0.2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69"/>
      <c r="N156" s="269"/>
      <c r="O156" s="270"/>
      <c r="P156" s="270"/>
      <c r="Q156" s="270"/>
      <c r="R156" s="203"/>
      <c r="S156" s="203"/>
      <c r="T156" s="269"/>
      <c r="U156" s="203"/>
      <c r="V156" s="203"/>
      <c r="W156" s="269"/>
      <c r="X156" s="206"/>
      <c r="Y156" s="206"/>
      <c r="Z156" s="206"/>
    </row>
    <row r="157" spans="1:26" ht="24" customHeight="1" x14ac:dyDescent="0.2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69"/>
      <c r="N157" s="269"/>
      <c r="O157" s="270"/>
      <c r="P157" s="270"/>
      <c r="Q157" s="270"/>
      <c r="R157" s="203"/>
      <c r="S157" s="203"/>
      <c r="T157" s="269"/>
      <c r="U157" s="203"/>
      <c r="V157" s="203"/>
      <c r="W157" s="269"/>
      <c r="X157" s="206"/>
      <c r="Y157" s="206"/>
      <c r="Z157" s="206"/>
    </row>
    <row r="158" spans="1:26" ht="24" customHeight="1" x14ac:dyDescent="0.2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69"/>
      <c r="N158" s="269"/>
      <c r="O158" s="270"/>
      <c r="P158" s="270"/>
      <c r="Q158" s="270"/>
      <c r="R158" s="203"/>
      <c r="S158" s="203"/>
      <c r="T158" s="269"/>
      <c r="U158" s="203"/>
      <c r="V158" s="203"/>
      <c r="W158" s="269"/>
      <c r="X158" s="206"/>
      <c r="Y158" s="206"/>
      <c r="Z158" s="206"/>
    </row>
    <row r="159" spans="1:26" ht="24" customHeight="1" x14ac:dyDescent="0.2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69"/>
      <c r="N159" s="269"/>
      <c r="O159" s="270"/>
      <c r="P159" s="270"/>
      <c r="Q159" s="270"/>
      <c r="R159" s="203"/>
      <c r="S159" s="203"/>
      <c r="T159" s="269"/>
      <c r="U159" s="203"/>
      <c r="V159" s="203"/>
      <c r="W159" s="269"/>
      <c r="X159" s="206"/>
      <c r="Y159" s="206"/>
      <c r="Z159" s="206"/>
    </row>
    <row r="160" spans="1:26" ht="24" customHeight="1" x14ac:dyDescent="0.2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69"/>
      <c r="N160" s="269"/>
      <c r="O160" s="270"/>
      <c r="P160" s="270"/>
      <c r="Q160" s="270"/>
      <c r="R160" s="203"/>
      <c r="S160" s="203"/>
      <c r="T160" s="269"/>
      <c r="U160" s="203"/>
      <c r="V160" s="203"/>
      <c r="W160" s="269"/>
      <c r="X160" s="206"/>
      <c r="Y160" s="206"/>
      <c r="Z160" s="206"/>
    </row>
    <row r="161" spans="1:26" ht="24" customHeight="1" x14ac:dyDescent="0.2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69"/>
      <c r="N161" s="269"/>
      <c r="O161" s="270"/>
      <c r="P161" s="270"/>
      <c r="Q161" s="270"/>
      <c r="R161" s="203"/>
      <c r="S161" s="203"/>
      <c r="T161" s="269"/>
      <c r="U161" s="203"/>
      <c r="V161" s="203"/>
      <c r="W161" s="269"/>
      <c r="X161" s="206"/>
      <c r="Y161" s="206"/>
      <c r="Z161" s="206"/>
    </row>
    <row r="162" spans="1:26" ht="24" customHeight="1" x14ac:dyDescent="0.2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69"/>
      <c r="N162" s="269"/>
      <c r="O162" s="270"/>
      <c r="P162" s="270"/>
      <c r="Q162" s="270"/>
      <c r="R162" s="203"/>
      <c r="S162" s="203"/>
      <c r="T162" s="269"/>
      <c r="U162" s="203"/>
      <c r="V162" s="203"/>
      <c r="W162" s="269"/>
      <c r="X162" s="206"/>
      <c r="Y162" s="206"/>
      <c r="Z162" s="206"/>
    </row>
    <row r="163" spans="1:26" ht="24" customHeight="1" x14ac:dyDescent="0.2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69"/>
      <c r="N163" s="269"/>
      <c r="O163" s="270"/>
      <c r="P163" s="270"/>
      <c r="Q163" s="270"/>
      <c r="R163" s="203"/>
      <c r="S163" s="203"/>
      <c r="T163" s="269"/>
      <c r="U163" s="203"/>
      <c r="V163" s="203"/>
      <c r="W163" s="269"/>
      <c r="X163" s="206"/>
      <c r="Y163" s="206"/>
      <c r="Z163" s="206"/>
    </row>
    <row r="164" spans="1:26" ht="24" customHeight="1" x14ac:dyDescent="0.2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69"/>
      <c r="N164" s="269"/>
      <c r="O164" s="270"/>
      <c r="P164" s="270"/>
      <c r="Q164" s="270"/>
      <c r="R164" s="203"/>
      <c r="S164" s="203"/>
      <c r="T164" s="269"/>
      <c r="U164" s="203"/>
      <c r="V164" s="203"/>
      <c r="W164" s="269"/>
      <c r="X164" s="206"/>
      <c r="Y164" s="206"/>
      <c r="Z164" s="206"/>
    </row>
    <row r="165" spans="1:26" ht="24" customHeight="1" x14ac:dyDescent="0.2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69"/>
      <c r="N165" s="269"/>
      <c r="O165" s="270"/>
      <c r="P165" s="270"/>
      <c r="Q165" s="270"/>
      <c r="R165" s="203"/>
      <c r="S165" s="203"/>
      <c r="T165" s="269"/>
      <c r="U165" s="203"/>
      <c r="V165" s="203"/>
      <c r="W165" s="269"/>
      <c r="X165" s="206"/>
      <c r="Y165" s="206"/>
      <c r="Z165" s="206"/>
    </row>
    <row r="166" spans="1:26" ht="24" customHeight="1" x14ac:dyDescent="0.2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69"/>
      <c r="N166" s="269"/>
      <c r="O166" s="270"/>
      <c r="P166" s="270"/>
      <c r="Q166" s="270"/>
      <c r="R166" s="203"/>
      <c r="S166" s="203"/>
      <c r="T166" s="269"/>
      <c r="U166" s="203"/>
      <c r="V166" s="203"/>
      <c r="W166" s="269"/>
      <c r="X166" s="206"/>
      <c r="Y166" s="206"/>
      <c r="Z166" s="206"/>
    </row>
    <row r="167" spans="1:26" ht="24" customHeight="1" x14ac:dyDescent="0.2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69"/>
      <c r="N167" s="269"/>
      <c r="O167" s="270"/>
      <c r="P167" s="270"/>
      <c r="Q167" s="270"/>
      <c r="R167" s="203"/>
      <c r="S167" s="203"/>
      <c r="T167" s="269"/>
      <c r="U167" s="203"/>
      <c r="V167" s="203"/>
      <c r="W167" s="269"/>
      <c r="X167" s="206"/>
      <c r="Y167" s="206"/>
      <c r="Z167" s="206"/>
    </row>
    <row r="168" spans="1:26" ht="24" customHeight="1" x14ac:dyDescent="0.2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69"/>
      <c r="N168" s="269"/>
      <c r="O168" s="270"/>
      <c r="P168" s="270"/>
      <c r="Q168" s="270"/>
      <c r="R168" s="203"/>
      <c r="S168" s="203"/>
      <c r="T168" s="269"/>
      <c r="U168" s="203"/>
      <c r="V168" s="203"/>
      <c r="W168" s="269"/>
      <c r="X168" s="206"/>
      <c r="Y168" s="206"/>
      <c r="Z168" s="206"/>
    </row>
    <row r="169" spans="1:26" ht="24" customHeight="1" x14ac:dyDescent="0.2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69"/>
      <c r="N169" s="269"/>
      <c r="O169" s="270"/>
      <c r="P169" s="270"/>
      <c r="Q169" s="270"/>
      <c r="R169" s="203"/>
      <c r="S169" s="203"/>
      <c r="T169" s="269"/>
      <c r="U169" s="203"/>
      <c r="V169" s="203"/>
      <c r="W169" s="269"/>
      <c r="X169" s="206"/>
      <c r="Y169" s="206"/>
      <c r="Z169" s="206"/>
    </row>
    <row r="170" spans="1:26" ht="24" customHeight="1" x14ac:dyDescent="0.2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69"/>
      <c r="N170" s="269"/>
      <c r="O170" s="270"/>
      <c r="P170" s="270"/>
      <c r="Q170" s="270"/>
      <c r="R170" s="203"/>
      <c r="S170" s="203"/>
      <c r="T170" s="269"/>
      <c r="U170" s="203"/>
      <c r="V170" s="203"/>
      <c r="W170" s="269"/>
      <c r="X170" s="206"/>
      <c r="Y170" s="206"/>
      <c r="Z170" s="206"/>
    </row>
    <row r="171" spans="1:26" ht="24" customHeight="1" x14ac:dyDescent="0.2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69"/>
      <c r="N171" s="269"/>
      <c r="O171" s="270"/>
      <c r="P171" s="270"/>
      <c r="Q171" s="270"/>
      <c r="R171" s="203"/>
      <c r="S171" s="203"/>
      <c r="T171" s="269"/>
      <c r="U171" s="203"/>
      <c r="V171" s="203"/>
      <c r="W171" s="269"/>
      <c r="X171" s="206"/>
      <c r="Y171" s="206"/>
      <c r="Z171" s="206"/>
    </row>
    <row r="172" spans="1:26" ht="24" customHeight="1" x14ac:dyDescent="0.2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69"/>
      <c r="N172" s="269"/>
      <c r="O172" s="270"/>
      <c r="P172" s="270"/>
      <c r="Q172" s="270"/>
      <c r="R172" s="203"/>
      <c r="S172" s="203"/>
      <c r="T172" s="269"/>
      <c r="U172" s="203"/>
      <c r="V172" s="203"/>
      <c r="W172" s="269"/>
      <c r="X172" s="206"/>
      <c r="Y172" s="206"/>
      <c r="Z172" s="206"/>
    </row>
    <row r="173" spans="1:26" ht="24" customHeight="1" x14ac:dyDescent="0.2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69"/>
      <c r="N173" s="269"/>
      <c r="O173" s="270"/>
      <c r="P173" s="270"/>
      <c r="Q173" s="270"/>
      <c r="R173" s="203"/>
      <c r="S173" s="203"/>
      <c r="T173" s="269"/>
      <c r="U173" s="203"/>
      <c r="V173" s="203"/>
      <c r="W173" s="269"/>
      <c r="X173" s="206"/>
      <c r="Y173" s="206"/>
      <c r="Z173" s="206"/>
    </row>
    <row r="174" spans="1:26" ht="24" customHeight="1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69"/>
      <c r="N174" s="269"/>
      <c r="O174" s="270"/>
      <c r="P174" s="270"/>
      <c r="Q174" s="270"/>
      <c r="R174" s="203"/>
      <c r="S174" s="203"/>
      <c r="T174" s="269"/>
      <c r="U174" s="203"/>
      <c r="V174" s="203"/>
      <c r="W174" s="269"/>
      <c r="X174" s="206"/>
      <c r="Y174" s="206"/>
      <c r="Z174" s="206"/>
    </row>
    <row r="175" spans="1:26" ht="24" customHeight="1" x14ac:dyDescent="0.2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69"/>
      <c r="N175" s="269"/>
      <c r="O175" s="270"/>
      <c r="P175" s="270"/>
      <c r="Q175" s="270"/>
      <c r="R175" s="203"/>
      <c r="S175" s="203"/>
      <c r="T175" s="269"/>
      <c r="U175" s="203"/>
      <c r="V175" s="203"/>
      <c r="W175" s="269"/>
      <c r="X175" s="206"/>
      <c r="Y175" s="206"/>
      <c r="Z175" s="206"/>
    </row>
    <row r="176" spans="1:26" ht="24" customHeight="1" x14ac:dyDescent="0.2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69"/>
      <c r="N176" s="269"/>
      <c r="O176" s="270"/>
      <c r="P176" s="270"/>
      <c r="Q176" s="270"/>
      <c r="R176" s="203"/>
      <c r="S176" s="203"/>
      <c r="T176" s="269"/>
      <c r="U176" s="203"/>
      <c r="V176" s="203"/>
      <c r="W176" s="269"/>
      <c r="X176" s="206"/>
      <c r="Y176" s="206"/>
      <c r="Z176" s="206"/>
    </row>
    <row r="177" spans="1:26" ht="24" customHeight="1" x14ac:dyDescent="0.2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69"/>
      <c r="N177" s="269"/>
      <c r="O177" s="270"/>
      <c r="P177" s="270"/>
      <c r="Q177" s="270"/>
      <c r="R177" s="203"/>
      <c r="S177" s="203"/>
      <c r="T177" s="269"/>
      <c r="U177" s="203"/>
      <c r="V177" s="203"/>
      <c r="W177" s="269"/>
      <c r="X177" s="206"/>
      <c r="Y177" s="206"/>
      <c r="Z177" s="206"/>
    </row>
    <row r="178" spans="1:26" ht="24" customHeight="1" x14ac:dyDescent="0.2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69"/>
      <c r="N178" s="269"/>
      <c r="O178" s="270"/>
      <c r="P178" s="270"/>
      <c r="Q178" s="270"/>
      <c r="R178" s="203"/>
      <c r="S178" s="203"/>
      <c r="T178" s="269"/>
      <c r="U178" s="203"/>
      <c r="V178" s="203"/>
      <c r="W178" s="269"/>
      <c r="X178" s="206"/>
      <c r="Y178" s="206"/>
      <c r="Z178" s="206"/>
    </row>
    <row r="179" spans="1:26" ht="24" customHeight="1" x14ac:dyDescent="0.2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69"/>
      <c r="N179" s="269"/>
      <c r="O179" s="270"/>
      <c r="P179" s="270"/>
      <c r="Q179" s="270"/>
      <c r="R179" s="203"/>
      <c r="S179" s="203"/>
      <c r="T179" s="269"/>
      <c r="U179" s="203"/>
      <c r="V179" s="203"/>
      <c r="W179" s="269"/>
      <c r="X179" s="206"/>
      <c r="Y179" s="206"/>
      <c r="Z179" s="206"/>
    </row>
    <row r="180" spans="1:26" ht="24" customHeight="1" x14ac:dyDescent="0.2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69"/>
      <c r="N180" s="269"/>
      <c r="O180" s="270"/>
      <c r="P180" s="270"/>
      <c r="Q180" s="270"/>
      <c r="R180" s="203"/>
      <c r="S180" s="203"/>
      <c r="T180" s="269"/>
      <c r="U180" s="203"/>
      <c r="V180" s="203"/>
      <c r="W180" s="269"/>
      <c r="X180" s="206"/>
      <c r="Y180" s="206"/>
      <c r="Z180" s="206"/>
    </row>
    <row r="181" spans="1:26" ht="24" customHeight="1" x14ac:dyDescent="0.2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69"/>
      <c r="N181" s="269"/>
      <c r="O181" s="270"/>
      <c r="P181" s="270"/>
      <c r="Q181" s="270"/>
      <c r="R181" s="203"/>
      <c r="S181" s="203"/>
      <c r="T181" s="269"/>
      <c r="U181" s="203"/>
      <c r="V181" s="203"/>
      <c r="W181" s="269"/>
      <c r="X181" s="206"/>
      <c r="Y181" s="206"/>
      <c r="Z181" s="206"/>
    </row>
    <row r="182" spans="1:26" ht="24" customHeight="1" x14ac:dyDescent="0.2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69"/>
      <c r="N182" s="269"/>
      <c r="O182" s="270"/>
      <c r="P182" s="270"/>
      <c r="Q182" s="270"/>
      <c r="R182" s="203"/>
      <c r="S182" s="203"/>
      <c r="T182" s="269"/>
      <c r="U182" s="203"/>
      <c r="V182" s="203"/>
      <c r="W182" s="269"/>
      <c r="X182" s="206"/>
      <c r="Y182" s="206"/>
      <c r="Z182" s="206"/>
    </row>
    <row r="183" spans="1:26" ht="24" customHeight="1" x14ac:dyDescent="0.2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69"/>
      <c r="N183" s="269"/>
      <c r="O183" s="270"/>
      <c r="P183" s="270"/>
      <c r="Q183" s="270"/>
      <c r="R183" s="203"/>
      <c r="S183" s="203"/>
      <c r="T183" s="269"/>
      <c r="U183" s="203"/>
      <c r="V183" s="203"/>
      <c r="W183" s="269"/>
      <c r="X183" s="206"/>
      <c r="Y183" s="206"/>
      <c r="Z183" s="206"/>
    </row>
    <row r="184" spans="1:26" ht="24" customHeight="1" x14ac:dyDescent="0.2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69"/>
      <c r="N184" s="269"/>
      <c r="O184" s="270"/>
      <c r="P184" s="270"/>
      <c r="Q184" s="270"/>
      <c r="R184" s="203"/>
      <c r="S184" s="203"/>
      <c r="T184" s="269"/>
      <c r="U184" s="203"/>
      <c r="V184" s="203"/>
      <c r="W184" s="269"/>
      <c r="X184" s="206"/>
      <c r="Y184" s="206"/>
      <c r="Z184" s="206"/>
    </row>
    <row r="185" spans="1:26" ht="24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69"/>
      <c r="N185" s="269"/>
      <c r="O185" s="270"/>
      <c r="P185" s="270"/>
      <c r="Q185" s="270"/>
      <c r="R185" s="203"/>
      <c r="S185" s="203"/>
      <c r="T185" s="269"/>
      <c r="U185" s="203"/>
      <c r="V185" s="203"/>
      <c r="W185" s="269"/>
      <c r="X185" s="206"/>
      <c r="Y185" s="206"/>
      <c r="Z185" s="206"/>
    </row>
    <row r="186" spans="1:26" ht="24" customHeight="1" x14ac:dyDescent="0.2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69"/>
      <c r="N186" s="269"/>
      <c r="O186" s="270"/>
      <c r="P186" s="270"/>
      <c r="Q186" s="270"/>
      <c r="R186" s="203"/>
      <c r="S186" s="203"/>
      <c r="T186" s="269"/>
      <c r="U186" s="203"/>
      <c r="V186" s="203"/>
      <c r="W186" s="269"/>
      <c r="X186" s="206"/>
      <c r="Y186" s="206"/>
      <c r="Z186" s="206"/>
    </row>
    <row r="187" spans="1:26" ht="24" customHeight="1" x14ac:dyDescent="0.2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69"/>
      <c r="N187" s="269"/>
      <c r="O187" s="270"/>
      <c r="P187" s="270"/>
      <c r="Q187" s="270"/>
      <c r="R187" s="203"/>
      <c r="S187" s="203"/>
      <c r="T187" s="269"/>
      <c r="U187" s="203"/>
      <c r="V187" s="203"/>
      <c r="W187" s="269"/>
      <c r="X187" s="206"/>
      <c r="Y187" s="206"/>
      <c r="Z187" s="206"/>
    </row>
    <row r="188" spans="1:26" ht="24" customHeight="1" x14ac:dyDescent="0.2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69"/>
      <c r="N188" s="269"/>
      <c r="O188" s="270"/>
      <c r="P188" s="270"/>
      <c r="Q188" s="270"/>
      <c r="R188" s="203"/>
      <c r="S188" s="203"/>
      <c r="T188" s="269"/>
      <c r="U188" s="203"/>
      <c r="V188" s="203"/>
      <c r="W188" s="269"/>
      <c r="X188" s="206"/>
      <c r="Y188" s="206"/>
      <c r="Z188" s="206"/>
    </row>
    <row r="189" spans="1:26" ht="24" customHeight="1" x14ac:dyDescent="0.2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69"/>
      <c r="N189" s="269"/>
      <c r="O189" s="270"/>
      <c r="P189" s="270"/>
      <c r="Q189" s="270"/>
      <c r="R189" s="203"/>
      <c r="S189" s="203"/>
      <c r="T189" s="269"/>
      <c r="U189" s="203"/>
      <c r="V189" s="203"/>
      <c r="W189" s="269"/>
      <c r="X189" s="206"/>
      <c r="Y189" s="206"/>
      <c r="Z189" s="206"/>
    </row>
    <row r="190" spans="1:26" ht="24" customHeight="1" x14ac:dyDescent="0.2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69"/>
      <c r="N190" s="269"/>
      <c r="O190" s="270"/>
      <c r="P190" s="270"/>
      <c r="Q190" s="270"/>
      <c r="R190" s="203"/>
      <c r="S190" s="203"/>
      <c r="T190" s="269"/>
      <c r="U190" s="203"/>
      <c r="V190" s="203"/>
      <c r="W190" s="269"/>
      <c r="X190" s="206"/>
      <c r="Y190" s="206"/>
      <c r="Z190" s="206"/>
    </row>
    <row r="191" spans="1:26" ht="24" customHeight="1" x14ac:dyDescent="0.2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69"/>
      <c r="N191" s="269"/>
      <c r="O191" s="270"/>
      <c r="P191" s="270"/>
      <c r="Q191" s="270"/>
      <c r="R191" s="203"/>
      <c r="S191" s="203"/>
      <c r="T191" s="269"/>
      <c r="U191" s="203"/>
      <c r="V191" s="203"/>
      <c r="W191" s="269"/>
      <c r="X191" s="206"/>
      <c r="Y191" s="206"/>
      <c r="Z191" s="206"/>
    </row>
    <row r="192" spans="1:26" ht="24" customHeight="1" x14ac:dyDescent="0.2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69"/>
      <c r="N192" s="269"/>
      <c r="O192" s="270"/>
      <c r="P192" s="270"/>
      <c r="Q192" s="270"/>
      <c r="R192" s="203"/>
      <c r="S192" s="203"/>
      <c r="T192" s="269"/>
      <c r="U192" s="203"/>
      <c r="V192" s="203"/>
      <c r="W192" s="269"/>
      <c r="X192" s="206"/>
      <c r="Y192" s="206"/>
      <c r="Z192" s="206"/>
    </row>
    <row r="193" spans="1:26" ht="24" customHeight="1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69"/>
      <c r="N193" s="269"/>
      <c r="O193" s="270"/>
      <c r="P193" s="270"/>
      <c r="Q193" s="270"/>
      <c r="R193" s="203"/>
      <c r="S193" s="203"/>
      <c r="T193" s="269"/>
      <c r="U193" s="203"/>
      <c r="V193" s="203"/>
      <c r="W193" s="269"/>
      <c r="X193" s="206"/>
      <c r="Y193" s="206"/>
      <c r="Z193" s="206"/>
    </row>
    <row r="194" spans="1:26" ht="24" customHeight="1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69"/>
      <c r="N194" s="269"/>
      <c r="O194" s="270"/>
      <c r="P194" s="270"/>
      <c r="Q194" s="270"/>
      <c r="R194" s="203"/>
      <c r="S194" s="203"/>
      <c r="T194" s="269"/>
      <c r="U194" s="203"/>
      <c r="V194" s="203"/>
      <c r="W194" s="269"/>
      <c r="X194" s="206"/>
      <c r="Y194" s="206"/>
      <c r="Z194" s="206"/>
    </row>
    <row r="195" spans="1:26" ht="24" customHeight="1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69"/>
      <c r="N195" s="269"/>
      <c r="O195" s="270"/>
      <c r="P195" s="270"/>
      <c r="Q195" s="270"/>
      <c r="R195" s="203"/>
      <c r="S195" s="203"/>
      <c r="T195" s="269"/>
      <c r="U195" s="203"/>
      <c r="V195" s="203"/>
      <c r="W195" s="269"/>
      <c r="X195" s="206"/>
      <c r="Y195" s="206"/>
      <c r="Z195" s="206"/>
    </row>
    <row r="196" spans="1:26" ht="24" customHeight="1" x14ac:dyDescent="0.2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69"/>
      <c r="N196" s="269"/>
      <c r="O196" s="270"/>
      <c r="P196" s="270"/>
      <c r="Q196" s="270"/>
      <c r="R196" s="203"/>
      <c r="S196" s="203"/>
      <c r="T196" s="269"/>
      <c r="U196" s="203"/>
      <c r="V196" s="203"/>
      <c r="W196" s="269"/>
      <c r="X196" s="206"/>
      <c r="Y196" s="206"/>
      <c r="Z196" s="206"/>
    </row>
    <row r="197" spans="1:26" ht="24" customHeight="1" x14ac:dyDescent="0.2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69"/>
      <c r="N197" s="269"/>
      <c r="O197" s="270"/>
      <c r="P197" s="270"/>
      <c r="Q197" s="270"/>
      <c r="R197" s="203"/>
      <c r="S197" s="203"/>
      <c r="T197" s="269"/>
      <c r="U197" s="203"/>
      <c r="V197" s="203"/>
      <c r="W197" s="269"/>
      <c r="X197" s="206"/>
      <c r="Y197" s="206"/>
      <c r="Z197" s="206"/>
    </row>
    <row r="198" spans="1:26" ht="24" customHeight="1" x14ac:dyDescent="0.2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69"/>
      <c r="N198" s="269"/>
      <c r="O198" s="270"/>
      <c r="P198" s="270"/>
      <c r="Q198" s="270"/>
      <c r="R198" s="203"/>
      <c r="S198" s="203"/>
      <c r="T198" s="269"/>
      <c r="U198" s="203"/>
      <c r="V198" s="203"/>
      <c r="W198" s="269"/>
      <c r="X198" s="206"/>
      <c r="Y198" s="206"/>
      <c r="Z198" s="206"/>
    </row>
    <row r="199" spans="1:26" ht="24" customHeight="1" x14ac:dyDescent="0.2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69"/>
      <c r="N199" s="269"/>
      <c r="O199" s="270"/>
      <c r="P199" s="270"/>
      <c r="Q199" s="270"/>
      <c r="R199" s="203"/>
      <c r="S199" s="203"/>
      <c r="T199" s="269"/>
      <c r="U199" s="203"/>
      <c r="V199" s="203"/>
      <c r="W199" s="269"/>
      <c r="X199" s="206"/>
      <c r="Y199" s="206"/>
      <c r="Z199" s="206"/>
    </row>
    <row r="200" spans="1:26" ht="24" customHeight="1" x14ac:dyDescent="0.2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69"/>
      <c r="N200" s="269"/>
      <c r="O200" s="270"/>
      <c r="P200" s="270"/>
      <c r="Q200" s="270"/>
      <c r="R200" s="203"/>
      <c r="S200" s="203"/>
      <c r="T200" s="269"/>
      <c r="U200" s="203"/>
      <c r="V200" s="203"/>
      <c r="W200" s="269"/>
      <c r="X200" s="206"/>
      <c r="Y200" s="206"/>
      <c r="Z200" s="206"/>
    </row>
    <row r="201" spans="1:26" ht="24" customHeight="1" x14ac:dyDescent="0.2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69"/>
      <c r="N201" s="269"/>
      <c r="O201" s="270"/>
      <c r="P201" s="270"/>
      <c r="Q201" s="270"/>
      <c r="R201" s="203"/>
      <c r="S201" s="203"/>
      <c r="T201" s="269"/>
      <c r="U201" s="203"/>
      <c r="V201" s="203"/>
      <c r="W201" s="269"/>
      <c r="X201" s="206"/>
      <c r="Y201" s="206"/>
      <c r="Z201" s="206"/>
    </row>
    <row r="202" spans="1:26" ht="24" customHeight="1" x14ac:dyDescent="0.2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69"/>
      <c r="N202" s="269"/>
      <c r="O202" s="270"/>
      <c r="P202" s="270"/>
      <c r="Q202" s="270"/>
      <c r="R202" s="203"/>
      <c r="S202" s="203"/>
      <c r="T202" s="269"/>
      <c r="U202" s="203"/>
      <c r="V202" s="203"/>
      <c r="W202" s="269"/>
      <c r="X202" s="206"/>
      <c r="Y202" s="206"/>
      <c r="Z202" s="206"/>
    </row>
    <row r="203" spans="1:26" ht="24" customHeight="1" x14ac:dyDescent="0.2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69"/>
      <c r="N203" s="269"/>
      <c r="O203" s="270"/>
      <c r="P203" s="270"/>
      <c r="Q203" s="270"/>
      <c r="R203" s="203"/>
      <c r="S203" s="203"/>
      <c r="T203" s="269"/>
      <c r="U203" s="203"/>
      <c r="V203" s="203"/>
      <c r="W203" s="269"/>
      <c r="X203" s="206"/>
      <c r="Y203" s="206"/>
      <c r="Z203" s="206"/>
    </row>
    <row r="204" spans="1:26" ht="24" customHeight="1" x14ac:dyDescent="0.2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69"/>
      <c r="N204" s="269"/>
      <c r="O204" s="270"/>
      <c r="P204" s="270"/>
      <c r="Q204" s="270"/>
      <c r="R204" s="203"/>
      <c r="S204" s="203"/>
      <c r="T204" s="269"/>
      <c r="U204" s="203"/>
      <c r="V204" s="203"/>
      <c r="W204" s="269"/>
      <c r="X204" s="206"/>
      <c r="Y204" s="206"/>
      <c r="Z204" s="206"/>
    </row>
    <row r="205" spans="1:26" ht="24" customHeight="1" x14ac:dyDescent="0.2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69"/>
      <c r="N205" s="269"/>
      <c r="O205" s="270"/>
      <c r="P205" s="270"/>
      <c r="Q205" s="270"/>
      <c r="R205" s="203"/>
      <c r="S205" s="203"/>
      <c r="T205" s="269"/>
      <c r="U205" s="203"/>
      <c r="V205" s="203"/>
      <c r="W205" s="269"/>
      <c r="X205" s="206"/>
      <c r="Y205" s="206"/>
      <c r="Z205" s="206"/>
    </row>
    <row r="206" spans="1:26" ht="24" customHeight="1" x14ac:dyDescent="0.2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69"/>
      <c r="N206" s="269"/>
      <c r="O206" s="270"/>
      <c r="P206" s="270"/>
      <c r="Q206" s="270"/>
      <c r="R206" s="203"/>
      <c r="S206" s="203"/>
      <c r="T206" s="269"/>
      <c r="U206" s="203"/>
      <c r="V206" s="203"/>
      <c r="W206" s="269"/>
      <c r="X206" s="206"/>
      <c r="Y206" s="206"/>
      <c r="Z206" s="206"/>
    </row>
    <row r="207" spans="1:26" ht="24" customHeight="1" x14ac:dyDescent="0.2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69"/>
      <c r="N207" s="269"/>
      <c r="O207" s="270"/>
      <c r="P207" s="270"/>
      <c r="Q207" s="270"/>
      <c r="R207" s="203"/>
      <c r="S207" s="203"/>
      <c r="T207" s="269"/>
      <c r="U207" s="203"/>
      <c r="V207" s="203"/>
      <c r="W207" s="269"/>
      <c r="X207" s="206"/>
      <c r="Y207" s="206"/>
      <c r="Z207" s="206"/>
    </row>
    <row r="208" spans="1:26" ht="24" customHeight="1" x14ac:dyDescent="0.2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69"/>
      <c r="N208" s="269"/>
      <c r="O208" s="270"/>
      <c r="P208" s="270"/>
      <c r="Q208" s="270"/>
      <c r="R208" s="203"/>
      <c r="S208" s="203"/>
      <c r="T208" s="269"/>
      <c r="U208" s="203"/>
      <c r="V208" s="203"/>
      <c r="W208" s="269"/>
      <c r="X208" s="206"/>
      <c r="Y208" s="206"/>
      <c r="Z208" s="206"/>
    </row>
    <row r="209" spans="1:26" ht="24" customHeight="1" x14ac:dyDescent="0.2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69"/>
      <c r="N209" s="269"/>
      <c r="O209" s="270"/>
      <c r="P209" s="270"/>
      <c r="Q209" s="270"/>
      <c r="R209" s="203"/>
      <c r="S209" s="203"/>
      <c r="T209" s="269"/>
      <c r="U209" s="203"/>
      <c r="V209" s="203"/>
      <c r="W209" s="269"/>
      <c r="X209" s="206"/>
      <c r="Y209" s="206"/>
      <c r="Z209" s="206"/>
    </row>
    <row r="210" spans="1:26" ht="24" customHeight="1" x14ac:dyDescent="0.2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69"/>
      <c r="N210" s="269"/>
      <c r="O210" s="270"/>
      <c r="P210" s="270"/>
      <c r="Q210" s="270"/>
      <c r="R210" s="203"/>
      <c r="S210" s="203"/>
      <c r="T210" s="269"/>
      <c r="U210" s="203"/>
      <c r="V210" s="203"/>
      <c r="W210" s="269"/>
      <c r="X210" s="206"/>
      <c r="Y210" s="206"/>
      <c r="Z210" s="206"/>
    </row>
    <row r="211" spans="1:26" ht="24" customHeight="1" x14ac:dyDescent="0.2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69"/>
      <c r="N211" s="269"/>
      <c r="O211" s="270"/>
      <c r="P211" s="270"/>
      <c r="Q211" s="270"/>
      <c r="R211" s="203"/>
      <c r="S211" s="203"/>
      <c r="T211" s="269"/>
      <c r="U211" s="203"/>
      <c r="V211" s="203"/>
      <c r="W211" s="269"/>
      <c r="X211" s="206"/>
      <c r="Y211" s="206"/>
      <c r="Z211" s="206"/>
    </row>
    <row r="212" spans="1:26" ht="24" customHeight="1" x14ac:dyDescent="0.2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69"/>
      <c r="N212" s="269"/>
      <c r="O212" s="270"/>
      <c r="P212" s="270"/>
      <c r="Q212" s="270"/>
      <c r="R212" s="203"/>
      <c r="S212" s="203"/>
      <c r="T212" s="269"/>
      <c r="U212" s="203"/>
      <c r="V212" s="203"/>
      <c r="W212" s="269"/>
      <c r="X212" s="206"/>
      <c r="Y212" s="206"/>
      <c r="Z212" s="206"/>
    </row>
    <row r="213" spans="1:26" ht="24" customHeight="1" x14ac:dyDescent="0.2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69"/>
      <c r="N213" s="269"/>
      <c r="O213" s="270"/>
      <c r="P213" s="270"/>
      <c r="Q213" s="270"/>
      <c r="R213" s="203"/>
      <c r="S213" s="203"/>
      <c r="T213" s="269"/>
      <c r="U213" s="203"/>
      <c r="V213" s="203"/>
      <c r="W213" s="269"/>
      <c r="X213" s="206"/>
      <c r="Y213" s="206"/>
      <c r="Z213" s="206"/>
    </row>
    <row r="214" spans="1:26" ht="24" customHeight="1" x14ac:dyDescent="0.2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69"/>
      <c r="N214" s="269"/>
      <c r="O214" s="270"/>
      <c r="P214" s="270"/>
      <c r="Q214" s="270"/>
      <c r="R214" s="203"/>
      <c r="S214" s="203"/>
      <c r="T214" s="269"/>
      <c r="U214" s="203"/>
      <c r="V214" s="203"/>
      <c r="W214" s="269"/>
      <c r="X214" s="206"/>
      <c r="Y214" s="206"/>
      <c r="Z214" s="206"/>
    </row>
    <row r="215" spans="1:26" ht="24" customHeight="1" x14ac:dyDescent="0.2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69"/>
      <c r="N215" s="269"/>
      <c r="O215" s="270"/>
      <c r="P215" s="270"/>
      <c r="Q215" s="270"/>
      <c r="R215" s="203"/>
      <c r="S215" s="203"/>
      <c r="T215" s="269"/>
      <c r="U215" s="203"/>
      <c r="V215" s="203"/>
      <c r="W215" s="269"/>
      <c r="X215" s="206"/>
      <c r="Y215" s="206"/>
      <c r="Z215" s="206"/>
    </row>
    <row r="216" spans="1:26" ht="24" customHeight="1" x14ac:dyDescent="0.2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69"/>
      <c r="N216" s="269"/>
      <c r="O216" s="270"/>
      <c r="P216" s="270"/>
      <c r="Q216" s="270"/>
      <c r="R216" s="203"/>
      <c r="S216" s="203"/>
      <c r="T216" s="269"/>
      <c r="U216" s="203"/>
      <c r="V216" s="203"/>
      <c r="W216" s="269"/>
      <c r="X216" s="206"/>
      <c r="Y216" s="206"/>
      <c r="Z216" s="206"/>
    </row>
    <row r="217" spans="1:26" ht="24" customHeight="1" x14ac:dyDescent="0.2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69"/>
      <c r="N217" s="269"/>
      <c r="O217" s="270"/>
      <c r="P217" s="270"/>
      <c r="Q217" s="270"/>
      <c r="R217" s="203"/>
      <c r="S217" s="203"/>
      <c r="T217" s="269"/>
      <c r="U217" s="203"/>
      <c r="V217" s="203"/>
      <c r="W217" s="269"/>
      <c r="X217" s="206"/>
      <c r="Y217" s="206"/>
      <c r="Z217" s="206"/>
    </row>
    <row r="218" spans="1:26" ht="24" customHeight="1" x14ac:dyDescent="0.2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69"/>
      <c r="N218" s="269"/>
      <c r="O218" s="270"/>
      <c r="P218" s="270"/>
      <c r="Q218" s="270"/>
      <c r="R218" s="203"/>
      <c r="S218" s="203"/>
      <c r="T218" s="269"/>
      <c r="U218" s="203"/>
      <c r="V218" s="203"/>
      <c r="W218" s="269"/>
      <c r="X218" s="206"/>
      <c r="Y218" s="206"/>
      <c r="Z218" s="206"/>
    </row>
    <row r="219" spans="1:26" ht="24" customHeight="1" x14ac:dyDescent="0.2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69"/>
      <c r="N219" s="269"/>
      <c r="O219" s="270"/>
      <c r="P219" s="270"/>
      <c r="Q219" s="270"/>
      <c r="R219" s="203"/>
      <c r="S219" s="203"/>
      <c r="T219" s="269"/>
      <c r="U219" s="203"/>
      <c r="V219" s="203"/>
      <c r="W219" s="269"/>
      <c r="X219" s="206"/>
      <c r="Y219" s="206"/>
      <c r="Z219" s="206"/>
    </row>
    <row r="220" spans="1:26" ht="24" customHeight="1" x14ac:dyDescent="0.2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69"/>
      <c r="N220" s="269"/>
      <c r="O220" s="270"/>
      <c r="P220" s="270"/>
      <c r="Q220" s="270"/>
      <c r="R220" s="203"/>
      <c r="S220" s="203"/>
      <c r="T220" s="269"/>
      <c r="U220" s="203"/>
      <c r="V220" s="203"/>
      <c r="W220" s="269"/>
      <c r="X220" s="206"/>
      <c r="Y220" s="206"/>
      <c r="Z220" s="206"/>
    </row>
    <row r="221" spans="1:26" ht="24" customHeight="1" x14ac:dyDescent="0.2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69"/>
      <c r="N221" s="269"/>
      <c r="O221" s="270"/>
      <c r="P221" s="270"/>
      <c r="Q221" s="270"/>
      <c r="R221" s="203"/>
      <c r="S221" s="203"/>
      <c r="T221" s="269"/>
      <c r="U221" s="203"/>
      <c r="V221" s="203"/>
      <c r="W221" s="269"/>
      <c r="X221" s="206"/>
      <c r="Y221" s="206"/>
      <c r="Z221" s="206"/>
    </row>
    <row r="222" spans="1:26" ht="24" customHeight="1" x14ac:dyDescent="0.2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69"/>
      <c r="N222" s="269"/>
      <c r="O222" s="270"/>
      <c r="P222" s="270"/>
      <c r="Q222" s="270"/>
      <c r="R222" s="203"/>
      <c r="S222" s="203"/>
      <c r="T222" s="269"/>
      <c r="U222" s="203"/>
      <c r="V222" s="203"/>
      <c r="W222" s="269"/>
      <c r="X222" s="206"/>
      <c r="Y222" s="206"/>
      <c r="Z222" s="206"/>
    </row>
    <row r="223" spans="1:26" ht="24" customHeight="1" x14ac:dyDescent="0.2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69"/>
      <c r="N223" s="269"/>
      <c r="O223" s="270"/>
      <c r="P223" s="270"/>
      <c r="Q223" s="270"/>
      <c r="R223" s="203"/>
      <c r="S223" s="203"/>
      <c r="T223" s="269"/>
      <c r="U223" s="203"/>
      <c r="V223" s="203"/>
      <c r="W223" s="269"/>
      <c r="X223" s="206"/>
      <c r="Y223" s="206"/>
      <c r="Z223" s="206"/>
    </row>
    <row r="224" spans="1:26" ht="24" customHeight="1" x14ac:dyDescent="0.2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69"/>
      <c r="N224" s="269"/>
      <c r="O224" s="270"/>
      <c r="P224" s="270"/>
      <c r="Q224" s="270"/>
      <c r="R224" s="203"/>
      <c r="S224" s="203"/>
      <c r="T224" s="269"/>
      <c r="U224" s="203"/>
      <c r="V224" s="203"/>
      <c r="W224" s="269"/>
      <c r="X224" s="206"/>
      <c r="Y224" s="206"/>
      <c r="Z224" s="206"/>
    </row>
    <row r="225" spans="1:26" ht="24" customHeight="1" x14ac:dyDescent="0.2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69"/>
      <c r="N225" s="269"/>
      <c r="O225" s="270"/>
      <c r="P225" s="270"/>
      <c r="Q225" s="270"/>
      <c r="R225" s="203"/>
      <c r="S225" s="203"/>
      <c r="T225" s="269"/>
      <c r="U225" s="203"/>
      <c r="V225" s="203"/>
      <c r="W225" s="269"/>
      <c r="X225" s="206"/>
      <c r="Y225" s="206"/>
      <c r="Z225" s="206"/>
    </row>
    <row r="226" spans="1:26" ht="24" customHeight="1" x14ac:dyDescent="0.2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69"/>
      <c r="N226" s="269"/>
      <c r="O226" s="270"/>
      <c r="P226" s="270"/>
      <c r="Q226" s="270"/>
      <c r="R226" s="203"/>
      <c r="S226" s="203"/>
      <c r="T226" s="269"/>
      <c r="U226" s="203"/>
      <c r="V226" s="203"/>
      <c r="W226" s="269"/>
      <c r="X226" s="206"/>
      <c r="Y226" s="206"/>
      <c r="Z226" s="206"/>
    </row>
    <row r="227" spans="1:26" ht="24" customHeight="1" x14ac:dyDescent="0.2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69"/>
      <c r="N227" s="269"/>
      <c r="O227" s="270"/>
      <c r="P227" s="270"/>
      <c r="Q227" s="270"/>
      <c r="R227" s="203"/>
      <c r="S227" s="203"/>
      <c r="T227" s="269"/>
      <c r="U227" s="203"/>
      <c r="V227" s="203"/>
      <c r="W227" s="269"/>
      <c r="X227" s="206"/>
      <c r="Y227" s="206"/>
      <c r="Z227" s="206"/>
    </row>
    <row r="228" spans="1:26" ht="24" customHeight="1" x14ac:dyDescent="0.2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69"/>
      <c r="N228" s="269"/>
      <c r="O228" s="270"/>
      <c r="P228" s="270"/>
      <c r="Q228" s="270"/>
      <c r="R228" s="203"/>
      <c r="S228" s="203"/>
      <c r="T228" s="269"/>
      <c r="U228" s="203"/>
      <c r="V228" s="203"/>
      <c r="W228" s="269"/>
      <c r="X228" s="206"/>
      <c r="Y228" s="206"/>
      <c r="Z228" s="206"/>
    </row>
    <row r="229" spans="1:26" ht="24" customHeight="1" x14ac:dyDescent="0.2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69"/>
      <c r="N229" s="269"/>
      <c r="O229" s="270"/>
      <c r="P229" s="270"/>
      <c r="Q229" s="270"/>
      <c r="R229" s="203"/>
      <c r="S229" s="203"/>
      <c r="T229" s="269"/>
      <c r="U229" s="203"/>
      <c r="V229" s="203"/>
      <c r="W229" s="269"/>
      <c r="X229" s="206"/>
      <c r="Y229" s="206"/>
      <c r="Z229" s="206"/>
    </row>
    <row r="230" spans="1:26" ht="24" customHeight="1" x14ac:dyDescent="0.2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69"/>
      <c r="N230" s="269"/>
      <c r="O230" s="270"/>
      <c r="P230" s="270"/>
      <c r="Q230" s="270"/>
      <c r="R230" s="203"/>
      <c r="S230" s="203"/>
      <c r="T230" s="269"/>
      <c r="U230" s="203"/>
      <c r="V230" s="203"/>
      <c r="W230" s="269"/>
      <c r="X230" s="206"/>
      <c r="Y230" s="206"/>
      <c r="Z230" s="206"/>
    </row>
    <row r="231" spans="1:26" ht="24" customHeight="1" x14ac:dyDescent="0.2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69"/>
      <c r="N231" s="269"/>
      <c r="O231" s="270"/>
      <c r="P231" s="270"/>
      <c r="Q231" s="270"/>
      <c r="R231" s="203"/>
      <c r="S231" s="203"/>
      <c r="T231" s="269"/>
      <c r="U231" s="203"/>
      <c r="V231" s="203"/>
      <c r="W231" s="269"/>
      <c r="X231" s="206"/>
      <c r="Y231" s="206"/>
      <c r="Z231" s="206"/>
    </row>
    <row r="232" spans="1:26" ht="24" customHeight="1" x14ac:dyDescent="0.2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69"/>
      <c r="N232" s="269"/>
      <c r="O232" s="270"/>
      <c r="P232" s="270"/>
      <c r="Q232" s="270"/>
      <c r="R232" s="203"/>
      <c r="S232" s="203"/>
      <c r="T232" s="269"/>
      <c r="U232" s="203"/>
      <c r="V232" s="203"/>
      <c r="W232" s="269"/>
      <c r="X232" s="206"/>
      <c r="Y232" s="206"/>
      <c r="Z232" s="206"/>
    </row>
    <row r="233" spans="1:26" ht="24" customHeight="1" x14ac:dyDescent="0.2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69"/>
      <c r="N233" s="269"/>
      <c r="O233" s="270"/>
      <c r="P233" s="270"/>
      <c r="Q233" s="270"/>
      <c r="R233" s="203"/>
      <c r="S233" s="203"/>
      <c r="T233" s="269"/>
      <c r="U233" s="203"/>
      <c r="V233" s="203"/>
      <c r="W233" s="269"/>
      <c r="X233" s="206"/>
      <c r="Y233" s="206"/>
      <c r="Z233" s="206"/>
    </row>
    <row r="234" spans="1:26" ht="24" customHeight="1" x14ac:dyDescent="0.2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69"/>
      <c r="N234" s="269"/>
      <c r="O234" s="270"/>
      <c r="P234" s="270"/>
      <c r="Q234" s="270"/>
      <c r="R234" s="203"/>
      <c r="S234" s="203"/>
      <c r="T234" s="269"/>
      <c r="U234" s="203"/>
      <c r="V234" s="203"/>
      <c r="W234" s="269"/>
      <c r="X234" s="206"/>
      <c r="Y234" s="206"/>
      <c r="Z234" s="206"/>
    </row>
    <row r="235" spans="1:26" ht="24" customHeight="1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69"/>
      <c r="N235" s="269"/>
      <c r="O235" s="270"/>
      <c r="P235" s="270"/>
      <c r="Q235" s="270"/>
      <c r="R235" s="203"/>
      <c r="S235" s="203"/>
      <c r="T235" s="269"/>
      <c r="U235" s="203"/>
      <c r="V235" s="203"/>
      <c r="W235" s="269"/>
      <c r="X235" s="206"/>
      <c r="Y235" s="206"/>
      <c r="Z235" s="206"/>
    </row>
    <row r="236" spans="1:26" ht="24" customHeight="1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69"/>
      <c r="N236" s="269"/>
      <c r="O236" s="270"/>
      <c r="P236" s="270"/>
      <c r="Q236" s="270"/>
      <c r="R236" s="203"/>
      <c r="S236" s="203"/>
      <c r="T236" s="269"/>
      <c r="U236" s="203"/>
      <c r="V236" s="203"/>
      <c r="W236" s="269"/>
      <c r="X236" s="206"/>
      <c r="Y236" s="206"/>
      <c r="Z236" s="206"/>
    </row>
    <row r="237" spans="1:26" ht="24" customHeight="1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69"/>
      <c r="N237" s="269"/>
      <c r="O237" s="270"/>
      <c r="P237" s="270"/>
      <c r="Q237" s="270"/>
      <c r="R237" s="203"/>
      <c r="S237" s="203"/>
      <c r="T237" s="269"/>
      <c r="U237" s="203"/>
      <c r="V237" s="203"/>
      <c r="W237" s="269"/>
      <c r="X237" s="206"/>
      <c r="Y237" s="206"/>
      <c r="Z237" s="206"/>
    </row>
    <row r="238" spans="1:26" ht="24" customHeight="1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69"/>
      <c r="N238" s="269"/>
      <c r="O238" s="270"/>
      <c r="P238" s="270"/>
      <c r="Q238" s="270"/>
      <c r="R238" s="203"/>
      <c r="S238" s="203"/>
      <c r="T238" s="269"/>
      <c r="U238" s="203"/>
      <c r="V238" s="203"/>
      <c r="W238" s="269"/>
      <c r="X238" s="206"/>
      <c r="Y238" s="206"/>
      <c r="Z238" s="206"/>
    </row>
    <row r="239" spans="1:26" ht="24" customHeight="1" x14ac:dyDescent="0.2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69"/>
      <c r="N239" s="269"/>
      <c r="O239" s="270"/>
      <c r="P239" s="270"/>
      <c r="Q239" s="270"/>
      <c r="R239" s="203"/>
      <c r="S239" s="203"/>
      <c r="T239" s="269"/>
      <c r="U239" s="203"/>
      <c r="V239" s="203"/>
      <c r="W239" s="269"/>
      <c r="X239" s="206"/>
      <c r="Y239" s="206"/>
      <c r="Z239" s="206"/>
    </row>
    <row r="240" spans="1:26" ht="24" customHeight="1" x14ac:dyDescent="0.2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69"/>
      <c r="N240" s="269"/>
      <c r="O240" s="270"/>
      <c r="P240" s="270"/>
      <c r="Q240" s="270"/>
      <c r="R240" s="203"/>
      <c r="S240" s="203"/>
      <c r="T240" s="269"/>
      <c r="U240" s="203"/>
      <c r="V240" s="203"/>
      <c r="W240" s="269"/>
      <c r="X240" s="206"/>
      <c r="Y240" s="206"/>
      <c r="Z240" s="206"/>
    </row>
    <row r="241" spans="1:26" ht="24" customHeight="1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69"/>
      <c r="N241" s="269"/>
      <c r="O241" s="270"/>
      <c r="P241" s="270"/>
      <c r="Q241" s="270"/>
      <c r="R241" s="203"/>
      <c r="S241" s="203"/>
      <c r="T241" s="269"/>
      <c r="U241" s="203"/>
      <c r="V241" s="203"/>
      <c r="W241" s="269"/>
      <c r="X241" s="206"/>
      <c r="Y241" s="206"/>
      <c r="Z241" s="206"/>
    </row>
    <row r="242" spans="1:26" ht="24" customHeight="1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69"/>
      <c r="N242" s="269"/>
      <c r="O242" s="270"/>
      <c r="P242" s="270"/>
      <c r="Q242" s="270"/>
      <c r="R242" s="203"/>
      <c r="S242" s="203"/>
      <c r="T242" s="269"/>
      <c r="U242" s="203"/>
      <c r="V242" s="203"/>
      <c r="W242" s="269"/>
      <c r="X242" s="206"/>
      <c r="Y242" s="206"/>
      <c r="Z242" s="206"/>
    </row>
    <row r="243" spans="1:26" ht="24" customHeight="1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69"/>
      <c r="N243" s="269"/>
      <c r="O243" s="270"/>
      <c r="P243" s="270"/>
      <c r="Q243" s="270"/>
      <c r="R243" s="203"/>
      <c r="S243" s="203"/>
      <c r="T243" s="269"/>
      <c r="U243" s="203"/>
      <c r="V243" s="203"/>
      <c r="W243" s="269"/>
      <c r="X243" s="206"/>
      <c r="Y243" s="206"/>
      <c r="Z243" s="206"/>
    </row>
    <row r="244" spans="1:26" ht="24" customHeight="1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69"/>
      <c r="N244" s="269"/>
      <c r="O244" s="270"/>
      <c r="P244" s="270"/>
      <c r="Q244" s="270"/>
      <c r="R244" s="203"/>
      <c r="S244" s="203"/>
      <c r="T244" s="269"/>
      <c r="U244" s="203"/>
      <c r="V244" s="203"/>
      <c r="W244" s="269"/>
      <c r="X244" s="206"/>
      <c r="Y244" s="206"/>
      <c r="Z244" s="206"/>
    </row>
    <row r="245" spans="1:26" ht="24" customHeight="1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69"/>
      <c r="N245" s="269"/>
      <c r="O245" s="270"/>
      <c r="P245" s="270"/>
      <c r="Q245" s="270"/>
      <c r="R245" s="203"/>
      <c r="S245" s="203"/>
      <c r="T245" s="269"/>
      <c r="U245" s="203"/>
      <c r="V245" s="203"/>
      <c r="W245" s="269"/>
      <c r="X245" s="206"/>
      <c r="Y245" s="206"/>
      <c r="Z245" s="206"/>
    </row>
    <row r="246" spans="1:26" ht="24" customHeight="1" x14ac:dyDescent="0.2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69"/>
      <c r="N246" s="269"/>
      <c r="O246" s="270"/>
      <c r="P246" s="270"/>
      <c r="Q246" s="270"/>
      <c r="R246" s="203"/>
      <c r="S246" s="203"/>
      <c r="T246" s="269"/>
      <c r="U246" s="203"/>
      <c r="V246" s="203"/>
      <c r="W246" s="269"/>
      <c r="X246" s="206"/>
      <c r="Y246" s="206"/>
      <c r="Z246" s="206"/>
    </row>
    <row r="247" spans="1:26" ht="24" customHeight="1" x14ac:dyDescent="0.2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69"/>
      <c r="N247" s="269"/>
      <c r="O247" s="270"/>
      <c r="P247" s="270"/>
      <c r="Q247" s="270"/>
      <c r="R247" s="203"/>
      <c r="S247" s="203"/>
      <c r="T247" s="269"/>
      <c r="U247" s="203"/>
      <c r="V247" s="203"/>
      <c r="W247" s="269"/>
      <c r="X247" s="206"/>
      <c r="Y247" s="206"/>
      <c r="Z247" s="206"/>
    </row>
    <row r="248" spans="1:26" ht="24" customHeight="1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69"/>
      <c r="N248" s="269"/>
      <c r="O248" s="270"/>
      <c r="P248" s="270"/>
      <c r="Q248" s="270"/>
      <c r="R248" s="203"/>
      <c r="S248" s="203"/>
      <c r="T248" s="269"/>
      <c r="U248" s="203"/>
      <c r="V248" s="203"/>
      <c r="W248" s="269"/>
      <c r="X248" s="206"/>
      <c r="Y248" s="206"/>
      <c r="Z248" s="206"/>
    </row>
    <row r="249" spans="1:26" ht="24" customHeight="1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69"/>
      <c r="N249" s="269"/>
      <c r="O249" s="270"/>
      <c r="P249" s="270"/>
      <c r="Q249" s="270"/>
      <c r="R249" s="203"/>
      <c r="S249" s="203"/>
      <c r="T249" s="269"/>
      <c r="U249" s="203"/>
      <c r="V249" s="203"/>
      <c r="W249" s="269"/>
      <c r="X249" s="206"/>
      <c r="Y249" s="206"/>
      <c r="Z249" s="206"/>
    </row>
    <row r="250" spans="1:26" ht="24" customHeight="1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69"/>
      <c r="N250" s="269"/>
      <c r="O250" s="270"/>
      <c r="P250" s="270"/>
      <c r="Q250" s="270"/>
      <c r="R250" s="203"/>
      <c r="S250" s="203"/>
      <c r="T250" s="269"/>
      <c r="U250" s="203"/>
      <c r="V250" s="203"/>
      <c r="W250" s="269"/>
      <c r="X250" s="206"/>
      <c r="Y250" s="206"/>
      <c r="Z250" s="206"/>
    </row>
    <row r="251" spans="1:26" ht="24" customHeight="1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69"/>
      <c r="N251" s="269"/>
      <c r="O251" s="270"/>
      <c r="P251" s="270"/>
      <c r="Q251" s="270"/>
      <c r="R251" s="203"/>
      <c r="S251" s="203"/>
      <c r="T251" s="269"/>
      <c r="U251" s="203"/>
      <c r="V251" s="203"/>
      <c r="W251" s="269"/>
      <c r="X251" s="206"/>
      <c r="Y251" s="206"/>
      <c r="Z251" s="206"/>
    </row>
    <row r="252" spans="1:26" ht="24" customHeight="1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69"/>
      <c r="N252" s="269"/>
      <c r="O252" s="270"/>
      <c r="P252" s="270"/>
      <c r="Q252" s="270"/>
      <c r="R252" s="203"/>
      <c r="S252" s="203"/>
      <c r="T252" s="269"/>
      <c r="U252" s="203"/>
      <c r="V252" s="203"/>
      <c r="W252" s="269"/>
      <c r="X252" s="206"/>
      <c r="Y252" s="206"/>
      <c r="Z252" s="206"/>
    </row>
    <row r="253" spans="1:26" ht="24" customHeight="1" x14ac:dyDescent="0.2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69"/>
      <c r="N253" s="269"/>
      <c r="O253" s="270"/>
      <c r="P253" s="270"/>
      <c r="Q253" s="270"/>
      <c r="R253" s="203"/>
      <c r="S253" s="203"/>
      <c r="T253" s="269"/>
      <c r="U253" s="203"/>
      <c r="V253" s="203"/>
      <c r="W253" s="269"/>
      <c r="X253" s="206"/>
      <c r="Y253" s="206"/>
      <c r="Z253" s="206"/>
    </row>
    <row r="254" spans="1:26" ht="24" customHeight="1" x14ac:dyDescent="0.2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69"/>
      <c r="N254" s="269"/>
      <c r="O254" s="270"/>
      <c r="P254" s="270"/>
      <c r="Q254" s="270"/>
      <c r="R254" s="203"/>
      <c r="S254" s="203"/>
      <c r="T254" s="269"/>
      <c r="U254" s="203"/>
      <c r="V254" s="203"/>
      <c r="W254" s="269"/>
      <c r="X254" s="206"/>
      <c r="Y254" s="206"/>
      <c r="Z254" s="206"/>
    </row>
    <row r="255" spans="1:26" ht="24" customHeight="1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69"/>
      <c r="N255" s="269"/>
      <c r="O255" s="270"/>
      <c r="P255" s="270"/>
      <c r="Q255" s="270"/>
      <c r="R255" s="203"/>
      <c r="S255" s="203"/>
      <c r="T255" s="269"/>
      <c r="U255" s="203"/>
      <c r="V255" s="203"/>
      <c r="W255" s="269"/>
      <c r="X255" s="206"/>
      <c r="Y255" s="206"/>
      <c r="Z255" s="206"/>
    </row>
    <row r="256" spans="1:26" ht="24" customHeight="1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69"/>
      <c r="N256" s="269"/>
      <c r="O256" s="270"/>
      <c r="P256" s="270"/>
      <c r="Q256" s="270"/>
      <c r="R256" s="203"/>
      <c r="S256" s="203"/>
      <c r="T256" s="269"/>
      <c r="U256" s="203"/>
      <c r="V256" s="203"/>
      <c r="W256" s="269"/>
      <c r="X256" s="206"/>
      <c r="Y256" s="206"/>
      <c r="Z256" s="206"/>
    </row>
    <row r="257" spans="1:26" ht="24" customHeight="1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69"/>
      <c r="N257" s="269"/>
      <c r="O257" s="270"/>
      <c r="P257" s="270"/>
      <c r="Q257" s="270"/>
      <c r="R257" s="203"/>
      <c r="S257" s="203"/>
      <c r="T257" s="269"/>
      <c r="U257" s="203"/>
      <c r="V257" s="203"/>
      <c r="W257" s="269"/>
      <c r="X257" s="206"/>
      <c r="Y257" s="206"/>
      <c r="Z257" s="206"/>
    </row>
    <row r="258" spans="1:26" ht="24" customHeight="1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69"/>
      <c r="N258" s="269"/>
      <c r="O258" s="270"/>
      <c r="P258" s="270"/>
      <c r="Q258" s="270"/>
      <c r="R258" s="203"/>
      <c r="S258" s="203"/>
      <c r="T258" s="269"/>
      <c r="U258" s="203"/>
      <c r="V258" s="203"/>
      <c r="W258" s="269"/>
      <c r="X258" s="206"/>
      <c r="Y258" s="206"/>
      <c r="Z258" s="206"/>
    </row>
    <row r="259" spans="1:26" ht="24" customHeight="1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69"/>
      <c r="N259" s="269"/>
      <c r="O259" s="270"/>
      <c r="P259" s="270"/>
      <c r="Q259" s="270"/>
      <c r="R259" s="203"/>
      <c r="S259" s="203"/>
      <c r="T259" s="269"/>
      <c r="U259" s="203"/>
      <c r="V259" s="203"/>
      <c r="W259" s="269"/>
      <c r="X259" s="206"/>
      <c r="Y259" s="206"/>
      <c r="Z259" s="206"/>
    </row>
    <row r="260" spans="1:26" ht="24" customHeight="1" x14ac:dyDescent="0.2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69"/>
      <c r="N260" s="269"/>
      <c r="O260" s="270"/>
      <c r="P260" s="270"/>
      <c r="Q260" s="270"/>
      <c r="R260" s="203"/>
      <c r="S260" s="203"/>
      <c r="T260" s="269"/>
      <c r="U260" s="203"/>
      <c r="V260" s="203"/>
      <c r="W260" s="269"/>
      <c r="X260" s="206"/>
      <c r="Y260" s="206"/>
      <c r="Z260" s="206"/>
    </row>
    <row r="261" spans="1:26" ht="24" customHeight="1" x14ac:dyDescent="0.2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69"/>
      <c r="N261" s="269"/>
      <c r="O261" s="270"/>
      <c r="P261" s="270"/>
      <c r="Q261" s="270"/>
      <c r="R261" s="203"/>
      <c r="S261" s="203"/>
      <c r="T261" s="269"/>
      <c r="U261" s="203"/>
      <c r="V261" s="203"/>
      <c r="W261" s="269"/>
      <c r="X261" s="206"/>
      <c r="Y261" s="206"/>
      <c r="Z261" s="206"/>
    </row>
    <row r="262" spans="1:26" ht="24" customHeight="1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69"/>
      <c r="N262" s="269"/>
      <c r="O262" s="270"/>
      <c r="P262" s="270"/>
      <c r="Q262" s="270"/>
      <c r="R262" s="203"/>
      <c r="S262" s="203"/>
      <c r="T262" s="269"/>
      <c r="U262" s="203"/>
      <c r="V262" s="203"/>
      <c r="W262" s="269"/>
      <c r="X262" s="206"/>
      <c r="Y262" s="206"/>
      <c r="Z262" s="206"/>
    </row>
    <row r="263" spans="1:26" ht="24" customHeight="1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69"/>
      <c r="N263" s="269"/>
      <c r="O263" s="270"/>
      <c r="P263" s="270"/>
      <c r="Q263" s="270"/>
      <c r="R263" s="203"/>
      <c r="S263" s="203"/>
      <c r="T263" s="269"/>
      <c r="U263" s="203"/>
      <c r="V263" s="203"/>
      <c r="W263" s="269"/>
      <c r="X263" s="206"/>
      <c r="Y263" s="206"/>
      <c r="Z263" s="206"/>
    </row>
    <row r="264" spans="1:26" ht="24" customHeight="1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69"/>
      <c r="N264" s="269"/>
      <c r="O264" s="270"/>
      <c r="P264" s="270"/>
      <c r="Q264" s="270"/>
      <c r="R264" s="203"/>
      <c r="S264" s="203"/>
      <c r="T264" s="269"/>
      <c r="U264" s="203"/>
      <c r="V264" s="203"/>
      <c r="W264" s="269"/>
      <c r="X264" s="206"/>
      <c r="Y264" s="206"/>
      <c r="Z264" s="206"/>
    </row>
    <row r="265" spans="1:26" ht="24" customHeight="1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69"/>
      <c r="N265" s="269"/>
      <c r="O265" s="270"/>
      <c r="P265" s="270"/>
      <c r="Q265" s="270"/>
      <c r="R265" s="203"/>
      <c r="S265" s="203"/>
      <c r="T265" s="269"/>
      <c r="U265" s="203"/>
      <c r="V265" s="203"/>
      <c r="W265" s="269"/>
      <c r="X265" s="206"/>
      <c r="Y265" s="206"/>
      <c r="Z265" s="206"/>
    </row>
    <row r="266" spans="1:26" ht="24" customHeight="1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69"/>
      <c r="N266" s="269"/>
      <c r="O266" s="270"/>
      <c r="P266" s="270"/>
      <c r="Q266" s="270"/>
      <c r="R266" s="203"/>
      <c r="S266" s="203"/>
      <c r="T266" s="269"/>
      <c r="U266" s="203"/>
      <c r="V266" s="203"/>
      <c r="W266" s="269"/>
      <c r="X266" s="206"/>
      <c r="Y266" s="206"/>
      <c r="Z266" s="206"/>
    </row>
    <row r="267" spans="1:26" ht="24" customHeight="1" x14ac:dyDescent="0.2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69"/>
      <c r="N267" s="269"/>
      <c r="O267" s="270"/>
      <c r="P267" s="270"/>
      <c r="Q267" s="270"/>
      <c r="R267" s="203"/>
      <c r="S267" s="203"/>
      <c r="T267" s="269"/>
      <c r="U267" s="203"/>
      <c r="V267" s="203"/>
      <c r="W267" s="269"/>
      <c r="X267" s="206"/>
      <c r="Y267" s="206"/>
      <c r="Z267" s="206"/>
    </row>
    <row r="268" spans="1:26" ht="24" customHeight="1" x14ac:dyDescent="0.2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69"/>
      <c r="N268" s="269"/>
      <c r="O268" s="270"/>
      <c r="P268" s="270"/>
      <c r="Q268" s="270"/>
      <c r="R268" s="203"/>
      <c r="S268" s="203"/>
      <c r="T268" s="269"/>
      <c r="U268" s="203"/>
      <c r="V268" s="203"/>
      <c r="W268" s="269"/>
      <c r="X268" s="206"/>
      <c r="Y268" s="206"/>
      <c r="Z268" s="206"/>
    </row>
    <row r="269" spans="1:26" ht="24" customHeight="1" x14ac:dyDescent="0.2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69"/>
      <c r="N269" s="269"/>
      <c r="O269" s="270"/>
      <c r="P269" s="270"/>
      <c r="Q269" s="270"/>
      <c r="R269" s="203"/>
      <c r="S269" s="203"/>
      <c r="T269" s="269"/>
      <c r="U269" s="203"/>
      <c r="V269" s="203"/>
      <c r="W269" s="269"/>
      <c r="X269" s="206"/>
      <c r="Y269" s="206"/>
      <c r="Z269" s="206"/>
    </row>
    <row r="270" spans="1:26" ht="24" customHeight="1" x14ac:dyDescent="0.2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69"/>
      <c r="N270" s="269"/>
      <c r="O270" s="270"/>
      <c r="P270" s="270"/>
      <c r="Q270" s="270"/>
      <c r="R270" s="203"/>
      <c r="S270" s="203"/>
      <c r="T270" s="269"/>
      <c r="U270" s="203"/>
      <c r="V270" s="203"/>
      <c r="W270" s="269"/>
      <c r="X270" s="206"/>
      <c r="Y270" s="206"/>
      <c r="Z270" s="206"/>
    </row>
    <row r="271" spans="1:26" ht="24" customHeight="1" x14ac:dyDescent="0.2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69"/>
      <c r="N271" s="269"/>
      <c r="O271" s="270"/>
      <c r="P271" s="270"/>
      <c r="Q271" s="270"/>
      <c r="R271" s="203"/>
      <c r="S271" s="203"/>
      <c r="T271" s="269"/>
      <c r="U271" s="203"/>
      <c r="V271" s="203"/>
      <c r="W271" s="269"/>
      <c r="X271" s="206"/>
      <c r="Y271" s="206"/>
      <c r="Z271" s="206"/>
    </row>
    <row r="272" spans="1:26" ht="24" customHeight="1" x14ac:dyDescent="0.2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69"/>
      <c r="N272" s="269"/>
      <c r="O272" s="270"/>
      <c r="P272" s="270"/>
      <c r="Q272" s="270"/>
      <c r="R272" s="203"/>
      <c r="S272" s="203"/>
      <c r="T272" s="269"/>
      <c r="U272" s="203"/>
      <c r="V272" s="203"/>
      <c r="W272" s="269"/>
      <c r="X272" s="206"/>
      <c r="Y272" s="206"/>
      <c r="Z272" s="206"/>
    </row>
    <row r="273" spans="1:26" ht="24" customHeight="1" x14ac:dyDescent="0.2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69"/>
      <c r="N273" s="269"/>
      <c r="O273" s="270"/>
      <c r="P273" s="270"/>
      <c r="Q273" s="270"/>
      <c r="R273" s="203"/>
      <c r="S273" s="203"/>
      <c r="T273" s="269"/>
      <c r="U273" s="203"/>
      <c r="V273" s="203"/>
      <c r="W273" s="269"/>
      <c r="X273" s="206"/>
      <c r="Y273" s="206"/>
      <c r="Z273" s="206"/>
    </row>
    <row r="274" spans="1:26" ht="24" customHeight="1" x14ac:dyDescent="0.2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69"/>
      <c r="N274" s="269"/>
      <c r="O274" s="270"/>
      <c r="P274" s="270"/>
      <c r="Q274" s="270"/>
      <c r="R274" s="203"/>
      <c r="S274" s="203"/>
      <c r="T274" s="269"/>
      <c r="U274" s="203"/>
      <c r="V274" s="203"/>
      <c r="W274" s="269"/>
      <c r="X274" s="206"/>
      <c r="Y274" s="206"/>
      <c r="Z274" s="206"/>
    </row>
    <row r="275" spans="1:26" ht="24" customHeight="1" x14ac:dyDescent="0.2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69"/>
      <c r="N275" s="269"/>
      <c r="O275" s="270"/>
      <c r="P275" s="270"/>
      <c r="Q275" s="270"/>
      <c r="R275" s="203"/>
      <c r="S275" s="203"/>
      <c r="T275" s="269"/>
      <c r="U275" s="203"/>
      <c r="V275" s="203"/>
      <c r="W275" s="269"/>
      <c r="X275" s="206"/>
      <c r="Y275" s="206"/>
      <c r="Z275" s="206"/>
    </row>
    <row r="276" spans="1:26" ht="24" customHeight="1" x14ac:dyDescent="0.2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69"/>
      <c r="N276" s="269"/>
      <c r="O276" s="270"/>
      <c r="P276" s="270"/>
      <c r="Q276" s="270"/>
      <c r="R276" s="203"/>
      <c r="S276" s="203"/>
      <c r="T276" s="269"/>
      <c r="U276" s="203"/>
      <c r="V276" s="203"/>
      <c r="W276" s="269"/>
      <c r="X276" s="206"/>
      <c r="Y276" s="206"/>
      <c r="Z276" s="206"/>
    </row>
    <row r="277" spans="1:26" ht="24" customHeight="1" x14ac:dyDescent="0.2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69"/>
      <c r="N277" s="269"/>
      <c r="O277" s="270"/>
      <c r="P277" s="270"/>
      <c r="Q277" s="270"/>
      <c r="R277" s="203"/>
      <c r="S277" s="203"/>
      <c r="T277" s="269"/>
      <c r="U277" s="203"/>
      <c r="V277" s="203"/>
      <c r="W277" s="269"/>
      <c r="X277" s="206"/>
      <c r="Y277" s="206"/>
      <c r="Z277" s="206"/>
    </row>
    <row r="278" spans="1:26" ht="24" customHeight="1" x14ac:dyDescent="0.2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69"/>
      <c r="N278" s="269"/>
      <c r="O278" s="270"/>
      <c r="P278" s="270"/>
      <c r="Q278" s="270"/>
      <c r="R278" s="203"/>
      <c r="S278" s="203"/>
      <c r="T278" s="269"/>
      <c r="U278" s="203"/>
      <c r="V278" s="203"/>
      <c r="W278" s="269"/>
      <c r="X278" s="206"/>
      <c r="Y278" s="206"/>
      <c r="Z278" s="206"/>
    </row>
    <row r="279" spans="1:26" ht="24" customHeight="1" x14ac:dyDescent="0.2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69"/>
      <c r="N279" s="269"/>
      <c r="O279" s="270"/>
      <c r="P279" s="270"/>
      <c r="Q279" s="270"/>
      <c r="R279" s="203"/>
      <c r="S279" s="203"/>
      <c r="T279" s="269"/>
      <c r="U279" s="203"/>
      <c r="V279" s="203"/>
      <c r="W279" s="269"/>
      <c r="X279" s="206"/>
      <c r="Y279" s="206"/>
      <c r="Z279" s="206"/>
    </row>
    <row r="280" spans="1:26" ht="24" customHeight="1" x14ac:dyDescent="0.2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69"/>
      <c r="N280" s="269"/>
      <c r="O280" s="270"/>
      <c r="P280" s="270"/>
      <c r="Q280" s="270"/>
      <c r="R280" s="203"/>
      <c r="S280" s="203"/>
      <c r="T280" s="269"/>
      <c r="U280" s="203"/>
      <c r="V280" s="203"/>
      <c r="W280" s="269"/>
      <c r="X280" s="206"/>
      <c r="Y280" s="206"/>
      <c r="Z280" s="206"/>
    </row>
    <row r="281" spans="1:26" ht="24" customHeight="1" x14ac:dyDescent="0.2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69"/>
      <c r="N281" s="269"/>
      <c r="O281" s="270"/>
      <c r="P281" s="270"/>
      <c r="Q281" s="270"/>
      <c r="R281" s="203"/>
      <c r="S281" s="203"/>
      <c r="T281" s="269"/>
      <c r="U281" s="203"/>
      <c r="V281" s="203"/>
      <c r="W281" s="269"/>
      <c r="X281" s="206"/>
      <c r="Y281" s="206"/>
      <c r="Z281" s="206"/>
    </row>
    <row r="282" spans="1:26" ht="24" customHeight="1" x14ac:dyDescent="0.2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69"/>
      <c r="N282" s="269"/>
      <c r="O282" s="270"/>
      <c r="P282" s="270"/>
      <c r="Q282" s="270"/>
      <c r="R282" s="203"/>
      <c r="S282" s="203"/>
      <c r="T282" s="269"/>
      <c r="U282" s="203"/>
      <c r="V282" s="203"/>
      <c r="W282" s="269"/>
      <c r="X282" s="206"/>
      <c r="Y282" s="206"/>
      <c r="Z282" s="206"/>
    </row>
    <row r="283" spans="1:26" ht="24" customHeight="1" x14ac:dyDescent="0.2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69"/>
      <c r="N283" s="269"/>
      <c r="O283" s="270"/>
      <c r="P283" s="270"/>
      <c r="Q283" s="270"/>
      <c r="R283" s="203"/>
      <c r="S283" s="203"/>
      <c r="T283" s="269"/>
      <c r="U283" s="203"/>
      <c r="V283" s="203"/>
      <c r="W283" s="269"/>
      <c r="X283" s="206"/>
      <c r="Y283" s="206"/>
      <c r="Z283" s="206"/>
    </row>
    <row r="284" spans="1:26" ht="24" customHeight="1" x14ac:dyDescent="0.2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69"/>
      <c r="N284" s="269"/>
      <c r="O284" s="270"/>
      <c r="P284" s="270"/>
      <c r="Q284" s="270"/>
      <c r="R284" s="203"/>
      <c r="S284" s="203"/>
      <c r="T284" s="269"/>
      <c r="U284" s="203"/>
      <c r="V284" s="203"/>
      <c r="W284" s="269"/>
      <c r="X284" s="206"/>
      <c r="Y284" s="206"/>
      <c r="Z284" s="206"/>
    </row>
    <row r="285" spans="1:26" ht="24" customHeight="1" x14ac:dyDescent="0.2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69"/>
      <c r="N285" s="269"/>
      <c r="O285" s="270"/>
      <c r="P285" s="270"/>
      <c r="Q285" s="270"/>
      <c r="R285" s="203"/>
      <c r="S285" s="203"/>
      <c r="T285" s="269"/>
      <c r="U285" s="203"/>
      <c r="V285" s="203"/>
      <c r="W285" s="269"/>
      <c r="X285" s="206"/>
      <c r="Y285" s="206"/>
      <c r="Z285" s="206"/>
    </row>
    <row r="286" spans="1:26" ht="24" customHeight="1" x14ac:dyDescent="0.2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69"/>
      <c r="N286" s="269"/>
      <c r="O286" s="270"/>
      <c r="P286" s="270"/>
      <c r="Q286" s="270"/>
      <c r="R286" s="203"/>
      <c r="S286" s="203"/>
      <c r="T286" s="269"/>
      <c r="U286" s="203"/>
      <c r="V286" s="203"/>
      <c r="W286" s="269"/>
      <c r="X286" s="206"/>
      <c r="Y286" s="206"/>
      <c r="Z286" s="206"/>
    </row>
    <row r="287" spans="1:26" ht="24" customHeight="1" x14ac:dyDescent="0.2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69"/>
      <c r="N287" s="269"/>
      <c r="O287" s="270"/>
      <c r="P287" s="270"/>
      <c r="Q287" s="270"/>
      <c r="R287" s="203"/>
      <c r="S287" s="203"/>
      <c r="T287" s="269"/>
      <c r="U287" s="203"/>
      <c r="V287" s="203"/>
      <c r="W287" s="269"/>
      <c r="X287" s="206"/>
      <c r="Y287" s="206"/>
      <c r="Z287" s="206"/>
    </row>
    <row r="288" spans="1:26" ht="24" customHeight="1" x14ac:dyDescent="0.2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69"/>
      <c r="N288" s="269"/>
      <c r="O288" s="270"/>
      <c r="P288" s="270"/>
      <c r="Q288" s="270"/>
      <c r="R288" s="203"/>
      <c r="S288" s="203"/>
      <c r="T288" s="269"/>
      <c r="U288" s="203"/>
      <c r="V288" s="203"/>
      <c r="W288" s="269"/>
      <c r="X288" s="206"/>
      <c r="Y288" s="206"/>
      <c r="Z288" s="206"/>
    </row>
    <row r="289" spans="1:26" ht="24" customHeight="1" x14ac:dyDescent="0.2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69"/>
      <c r="N289" s="269"/>
      <c r="O289" s="270"/>
      <c r="P289" s="270"/>
      <c r="Q289" s="270"/>
      <c r="R289" s="203"/>
      <c r="S289" s="203"/>
      <c r="T289" s="269"/>
      <c r="U289" s="203"/>
      <c r="V289" s="203"/>
      <c r="W289" s="269"/>
      <c r="X289" s="206"/>
      <c r="Y289" s="206"/>
      <c r="Z289" s="206"/>
    </row>
    <row r="290" spans="1:26" ht="24" customHeight="1" x14ac:dyDescent="0.2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69"/>
      <c r="N290" s="269"/>
      <c r="O290" s="270"/>
      <c r="P290" s="270"/>
      <c r="Q290" s="270"/>
      <c r="R290" s="203"/>
      <c r="S290" s="203"/>
      <c r="T290" s="269"/>
      <c r="U290" s="203"/>
      <c r="V290" s="203"/>
      <c r="W290" s="269"/>
      <c r="X290" s="206"/>
      <c r="Y290" s="206"/>
      <c r="Z290" s="206"/>
    </row>
    <row r="291" spans="1:26" ht="24" customHeight="1" x14ac:dyDescent="0.2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69"/>
      <c r="N291" s="269"/>
      <c r="O291" s="270"/>
      <c r="P291" s="270"/>
      <c r="Q291" s="270"/>
      <c r="R291" s="203"/>
      <c r="S291" s="203"/>
      <c r="T291" s="269"/>
      <c r="U291" s="203"/>
      <c r="V291" s="203"/>
      <c r="W291" s="269"/>
      <c r="X291" s="206"/>
      <c r="Y291" s="206"/>
      <c r="Z291" s="206"/>
    </row>
    <row r="292" spans="1:26" ht="24" customHeight="1" x14ac:dyDescent="0.2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69"/>
      <c r="N292" s="269"/>
      <c r="O292" s="270"/>
      <c r="P292" s="270"/>
      <c r="Q292" s="270"/>
      <c r="R292" s="203"/>
      <c r="S292" s="203"/>
      <c r="T292" s="269"/>
      <c r="U292" s="203"/>
      <c r="V292" s="203"/>
      <c r="W292" s="269"/>
      <c r="X292" s="206"/>
      <c r="Y292" s="206"/>
      <c r="Z292" s="206"/>
    </row>
    <row r="293" spans="1:26" ht="24" customHeight="1" x14ac:dyDescent="0.2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69"/>
      <c r="N293" s="269"/>
      <c r="O293" s="270"/>
      <c r="P293" s="270"/>
      <c r="Q293" s="270"/>
      <c r="R293" s="203"/>
      <c r="S293" s="203"/>
      <c r="T293" s="269"/>
      <c r="U293" s="203"/>
      <c r="V293" s="203"/>
      <c r="W293" s="269"/>
      <c r="X293" s="206"/>
      <c r="Y293" s="206"/>
      <c r="Z293" s="206"/>
    </row>
    <row r="294" spans="1:26" ht="24" customHeight="1" x14ac:dyDescent="0.2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69"/>
      <c r="N294" s="269"/>
      <c r="O294" s="270"/>
      <c r="P294" s="270"/>
      <c r="Q294" s="270"/>
      <c r="R294" s="203"/>
      <c r="S294" s="203"/>
      <c r="T294" s="269"/>
      <c r="U294" s="203"/>
      <c r="V294" s="203"/>
      <c r="W294" s="269"/>
      <c r="X294" s="206"/>
      <c r="Y294" s="206"/>
      <c r="Z294" s="206"/>
    </row>
    <row r="295" spans="1:26" ht="24" customHeight="1" x14ac:dyDescent="0.2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69"/>
      <c r="N295" s="269"/>
      <c r="O295" s="270"/>
      <c r="P295" s="270"/>
      <c r="Q295" s="270"/>
      <c r="R295" s="203"/>
      <c r="S295" s="203"/>
      <c r="T295" s="269"/>
      <c r="U295" s="203"/>
      <c r="V295" s="203"/>
      <c r="W295" s="269"/>
      <c r="X295" s="206"/>
      <c r="Y295" s="206"/>
      <c r="Z295" s="206"/>
    </row>
    <row r="296" spans="1:26" ht="24" customHeight="1" x14ac:dyDescent="0.2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69"/>
      <c r="N296" s="269"/>
      <c r="O296" s="270"/>
      <c r="P296" s="270"/>
      <c r="Q296" s="270"/>
      <c r="R296" s="203"/>
      <c r="S296" s="203"/>
      <c r="T296" s="269"/>
      <c r="U296" s="203"/>
      <c r="V296" s="203"/>
      <c r="W296" s="269"/>
      <c r="X296" s="206"/>
      <c r="Y296" s="206"/>
      <c r="Z296" s="206"/>
    </row>
    <row r="297" spans="1:26" ht="24" customHeight="1" x14ac:dyDescent="0.2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69"/>
      <c r="N297" s="269"/>
      <c r="O297" s="270"/>
      <c r="P297" s="270"/>
      <c r="Q297" s="270"/>
      <c r="R297" s="203"/>
      <c r="S297" s="203"/>
      <c r="T297" s="269"/>
      <c r="U297" s="203"/>
      <c r="V297" s="203"/>
      <c r="W297" s="269"/>
      <c r="X297" s="206"/>
      <c r="Y297" s="206"/>
      <c r="Z297" s="206"/>
    </row>
    <row r="298" spans="1:26" ht="24" customHeight="1" x14ac:dyDescent="0.2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69"/>
      <c r="N298" s="269"/>
      <c r="O298" s="270"/>
      <c r="P298" s="270"/>
      <c r="Q298" s="270"/>
      <c r="R298" s="203"/>
      <c r="S298" s="203"/>
      <c r="T298" s="269"/>
      <c r="U298" s="203"/>
      <c r="V298" s="203"/>
      <c r="W298" s="269"/>
      <c r="X298" s="206"/>
      <c r="Y298" s="206"/>
      <c r="Z298" s="206"/>
    </row>
    <row r="299" spans="1:26" ht="24" customHeight="1" x14ac:dyDescent="0.2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69"/>
      <c r="N299" s="269"/>
      <c r="O299" s="270"/>
      <c r="P299" s="270"/>
      <c r="Q299" s="270"/>
      <c r="R299" s="203"/>
      <c r="S299" s="203"/>
      <c r="T299" s="269"/>
      <c r="U299" s="203"/>
      <c r="V299" s="203"/>
      <c r="W299" s="269"/>
      <c r="X299" s="206"/>
      <c r="Y299" s="206"/>
      <c r="Z299" s="206"/>
    </row>
    <row r="300" spans="1:26" ht="24" customHeight="1" x14ac:dyDescent="0.2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69"/>
      <c r="N300" s="269"/>
      <c r="O300" s="270"/>
      <c r="P300" s="270"/>
      <c r="Q300" s="270"/>
      <c r="R300" s="203"/>
      <c r="S300" s="203"/>
      <c r="T300" s="269"/>
      <c r="U300" s="203"/>
      <c r="V300" s="203"/>
      <c r="W300" s="269"/>
      <c r="X300" s="206"/>
      <c r="Y300" s="206"/>
      <c r="Z300" s="206"/>
    </row>
    <row r="301" spans="1:26" ht="24" customHeight="1" x14ac:dyDescent="0.2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69"/>
      <c r="N301" s="269"/>
      <c r="O301" s="270"/>
      <c r="P301" s="270"/>
      <c r="Q301" s="270"/>
      <c r="R301" s="203"/>
      <c r="S301" s="203"/>
      <c r="T301" s="269"/>
      <c r="U301" s="203"/>
      <c r="V301" s="203"/>
      <c r="W301" s="269"/>
      <c r="X301" s="206"/>
      <c r="Y301" s="206"/>
      <c r="Z301" s="206"/>
    </row>
    <row r="302" spans="1:26" ht="24" customHeight="1" x14ac:dyDescent="0.2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69"/>
      <c r="N302" s="269"/>
      <c r="O302" s="270"/>
      <c r="P302" s="270"/>
      <c r="Q302" s="270"/>
      <c r="R302" s="203"/>
      <c r="S302" s="203"/>
      <c r="T302" s="269"/>
      <c r="U302" s="203"/>
      <c r="V302" s="203"/>
      <c r="W302" s="269"/>
      <c r="X302" s="206"/>
      <c r="Y302" s="206"/>
      <c r="Z302" s="206"/>
    </row>
    <row r="303" spans="1:26" ht="24" customHeight="1" x14ac:dyDescent="0.2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69"/>
      <c r="N303" s="269"/>
      <c r="O303" s="270"/>
      <c r="P303" s="270"/>
      <c r="Q303" s="270"/>
      <c r="R303" s="203"/>
      <c r="S303" s="203"/>
      <c r="T303" s="269"/>
      <c r="U303" s="203"/>
      <c r="V303" s="203"/>
      <c r="W303" s="269"/>
      <c r="X303" s="206"/>
      <c r="Y303" s="206"/>
      <c r="Z303" s="206"/>
    </row>
    <row r="304" spans="1:26" ht="12.75" x14ac:dyDescent="0.2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69"/>
      <c r="N304" s="269"/>
      <c r="O304" s="270"/>
      <c r="P304" s="270"/>
      <c r="Q304" s="270"/>
      <c r="R304" s="203"/>
      <c r="S304" s="203"/>
      <c r="T304" s="269"/>
      <c r="U304" s="203"/>
      <c r="V304" s="203"/>
      <c r="W304" s="269"/>
      <c r="X304" s="206"/>
      <c r="Y304" s="206"/>
      <c r="Z304" s="206"/>
    </row>
    <row r="305" spans="1:26" ht="12.75" x14ac:dyDescent="0.2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69"/>
      <c r="N305" s="269"/>
      <c r="O305" s="270"/>
      <c r="P305" s="270"/>
      <c r="Q305" s="270"/>
      <c r="R305" s="203"/>
      <c r="S305" s="203"/>
      <c r="T305" s="269"/>
      <c r="U305" s="203"/>
      <c r="V305" s="203"/>
      <c r="W305" s="269"/>
      <c r="X305" s="206"/>
      <c r="Y305" s="206"/>
      <c r="Z305" s="206"/>
    </row>
    <row r="306" spans="1:26" ht="12.75" x14ac:dyDescent="0.2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69"/>
      <c r="N306" s="269"/>
      <c r="O306" s="270"/>
      <c r="P306" s="270"/>
      <c r="Q306" s="270"/>
      <c r="R306" s="203"/>
      <c r="S306" s="203"/>
      <c r="T306" s="269"/>
      <c r="U306" s="203"/>
      <c r="V306" s="203"/>
      <c r="W306" s="269"/>
      <c r="X306" s="206"/>
      <c r="Y306" s="206"/>
      <c r="Z306" s="206"/>
    </row>
    <row r="307" spans="1:26" ht="12.75" x14ac:dyDescent="0.2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69"/>
      <c r="N307" s="269"/>
      <c r="O307" s="270"/>
      <c r="P307" s="270"/>
      <c r="Q307" s="270"/>
      <c r="R307" s="203"/>
      <c r="S307" s="203"/>
      <c r="T307" s="269"/>
      <c r="U307" s="203"/>
      <c r="V307" s="203"/>
      <c r="W307" s="269"/>
      <c r="X307" s="206"/>
      <c r="Y307" s="206"/>
      <c r="Z307" s="206"/>
    </row>
    <row r="308" spans="1:26" ht="12.75" x14ac:dyDescent="0.2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69"/>
      <c r="N308" s="269"/>
      <c r="O308" s="270"/>
      <c r="P308" s="270"/>
      <c r="Q308" s="270"/>
      <c r="R308" s="203"/>
      <c r="S308" s="203"/>
      <c r="T308" s="269"/>
      <c r="U308" s="203"/>
      <c r="V308" s="203"/>
      <c r="W308" s="269"/>
      <c r="X308" s="206"/>
      <c r="Y308" s="206"/>
      <c r="Z308" s="206"/>
    </row>
    <row r="309" spans="1:26" ht="12.75" x14ac:dyDescent="0.2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69"/>
      <c r="N309" s="269"/>
      <c r="O309" s="270"/>
      <c r="P309" s="270"/>
      <c r="Q309" s="270"/>
      <c r="R309" s="203"/>
      <c r="S309" s="203"/>
      <c r="T309" s="269"/>
      <c r="U309" s="203"/>
      <c r="V309" s="203"/>
      <c r="W309" s="269"/>
      <c r="X309" s="206"/>
      <c r="Y309" s="206"/>
      <c r="Z309" s="206"/>
    </row>
    <row r="310" spans="1:26" ht="12.75" x14ac:dyDescent="0.2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69"/>
      <c r="N310" s="269"/>
      <c r="O310" s="270"/>
      <c r="P310" s="270"/>
      <c r="Q310" s="270"/>
      <c r="R310" s="203"/>
      <c r="S310" s="203"/>
      <c r="T310" s="269"/>
      <c r="U310" s="203"/>
      <c r="V310" s="203"/>
      <c r="W310" s="269"/>
      <c r="X310" s="206"/>
      <c r="Y310" s="206"/>
      <c r="Z310" s="206"/>
    </row>
    <row r="311" spans="1:26" ht="12.75" x14ac:dyDescent="0.2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69"/>
      <c r="N311" s="269"/>
      <c r="O311" s="270"/>
      <c r="P311" s="270"/>
      <c r="Q311" s="270"/>
      <c r="R311" s="203"/>
      <c r="S311" s="203"/>
      <c r="T311" s="269"/>
      <c r="U311" s="203"/>
      <c r="V311" s="203"/>
      <c r="W311" s="269"/>
      <c r="X311" s="206"/>
      <c r="Y311" s="206"/>
      <c r="Z311" s="206"/>
    </row>
    <row r="312" spans="1:26" ht="12.75" x14ac:dyDescent="0.2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69"/>
      <c r="N312" s="269"/>
      <c r="O312" s="270"/>
      <c r="P312" s="270"/>
      <c r="Q312" s="270"/>
      <c r="R312" s="203"/>
      <c r="S312" s="203"/>
      <c r="T312" s="269"/>
      <c r="U312" s="203"/>
      <c r="V312" s="203"/>
      <c r="W312" s="269"/>
      <c r="X312" s="206"/>
      <c r="Y312" s="206"/>
      <c r="Z312" s="206"/>
    </row>
    <row r="313" spans="1:26" ht="12.75" x14ac:dyDescent="0.2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69"/>
      <c r="N313" s="269"/>
      <c r="O313" s="270"/>
      <c r="P313" s="270"/>
      <c r="Q313" s="270"/>
      <c r="R313" s="203"/>
      <c r="S313" s="203"/>
      <c r="T313" s="269"/>
      <c r="U313" s="203"/>
      <c r="V313" s="203"/>
      <c r="W313" s="269"/>
      <c r="X313" s="206"/>
      <c r="Y313" s="206"/>
      <c r="Z313" s="206"/>
    </row>
    <row r="314" spans="1:26" ht="12.75" x14ac:dyDescent="0.2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69"/>
      <c r="N314" s="269"/>
      <c r="O314" s="270"/>
      <c r="P314" s="270"/>
      <c r="Q314" s="270"/>
      <c r="R314" s="203"/>
      <c r="S314" s="203"/>
      <c r="T314" s="269"/>
      <c r="U314" s="203"/>
      <c r="V314" s="203"/>
      <c r="W314" s="269"/>
      <c r="X314" s="206"/>
      <c r="Y314" s="206"/>
      <c r="Z314" s="206"/>
    </row>
    <row r="315" spans="1:26" ht="12.75" x14ac:dyDescent="0.2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69"/>
      <c r="N315" s="269"/>
      <c r="O315" s="270"/>
      <c r="P315" s="270"/>
      <c r="Q315" s="270"/>
      <c r="R315" s="203"/>
      <c r="S315" s="203"/>
      <c r="T315" s="269"/>
      <c r="U315" s="203"/>
      <c r="V315" s="203"/>
      <c r="W315" s="269"/>
      <c r="X315" s="206"/>
      <c r="Y315" s="206"/>
      <c r="Z315" s="206"/>
    </row>
    <row r="316" spans="1:26" ht="12.75" x14ac:dyDescent="0.2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69"/>
      <c r="N316" s="269"/>
      <c r="O316" s="270"/>
      <c r="P316" s="270"/>
      <c r="Q316" s="270"/>
      <c r="R316" s="203"/>
      <c r="S316" s="203"/>
      <c r="T316" s="269"/>
      <c r="U316" s="203"/>
      <c r="V316" s="203"/>
      <c r="W316" s="269"/>
      <c r="X316" s="206"/>
      <c r="Y316" s="206"/>
      <c r="Z316" s="206"/>
    </row>
    <row r="317" spans="1:26" ht="12.75" x14ac:dyDescent="0.2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69"/>
      <c r="N317" s="269"/>
      <c r="O317" s="270"/>
      <c r="P317" s="270"/>
      <c r="Q317" s="270"/>
      <c r="R317" s="203"/>
      <c r="S317" s="203"/>
      <c r="T317" s="269"/>
      <c r="U317" s="203"/>
      <c r="V317" s="203"/>
      <c r="W317" s="269"/>
      <c r="X317" s="206"/>
      <c r="Y317" s="206"/>
      <c r="Z317" s="206"/>
    </row>
    <row r="318" spans="1:26" ht="12.75" x14ac:dyDescent="0.2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69"/>
      <c r="N318" s="269"/>
      <c r="O318" s="270"/>
      <c r="P318" s="270"/>
      <c r="Q318" s="270"/>
      <c r="R318" s="203"/>
      <c r="S318" s="203"/>
      <c r="T318" s="269"/>
      <c r="U318" s="203"/>
      <c r="V318" s="203"/>
      <c r="W318" s="269"/>
      <c r="X318" s="206"/>
      <c r="Y318" s="206"/>
      <c r="Z318" s="206"/>
    </row>
    <row r="319" spans="1:26" ht="12.75" x14ac:dyDescent="0.2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69"/>
      <c r="N319" s="269"/>
      <c r="O319" s="270"/>
      <c r="P319" s="270"/>
      <c r="Q319" s="270"/>
      <c r="R319" s="203"/>
      <c r="S319" s="203"/>
      <c r="T319" s="269"/>
      <c r="U319" s="203"/>
      <c r="V319" s="203"/>
      <c r="W319" s="269"/>
      <c r="X319" s="206"/>
      <c r="Y319" s="206"/>
      <c r="Z319" s="206"/>
    </row>
    <row r="320" spans="1:26" ht="12.75" x14ac:dyDescent="0.2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69"/>
      <c r="N320" s="269"/>
      <c r="O320" s="270"/>
      <c r="P320" s="270"/>
      <c r="Q320" s="270"/>
      <c r="R320" s="203"/>
      <c r="S320" s="203"/>
      <c r="T320" s="269"/>
      <c r="U320" s="203"/>
      <c r="V320" s="203"/>
      <c r="W320" s="269"/>
      <c r="X320" s="206"/>
      <c r="Y320" s="206"/>
      <c r="Z320" s="206"/>
    </row>
    <row r="321" spans="1:26" ht="12.75" x14ac:dyDescent="0.2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69"/>
      <c r="N321" s="269"/>
      <c r="O321" s="270"/>
      <c r="P321" s="270"/>
      <c r="Q321" s="270"/>
      <c r="R321" s="203"/>
      <c r="S321" s="203"/>
      <c r="T321" s="269"/>
      <c r="U321" s="203"/>
      <c r="V321" s="203"/>
      <c r="W321" s="269"/>
      <c r="X321" s="206"/>
      <c r="Y321" s="206"/>
      <c r="Z321" s="206"/>
    </row>
    <row r="322" spans="1:26" ht="12.75" x14ac:dyDescent="0.2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69"/>
      <c r="N322" s="269"/>
      <c r="O322" s="270"/>
      <c r="P322" s="270"/>
      <c r="Q322" s="270"/>
      <c r="R322" s="203"/>
      <c r="S322" s="203"/>
      <c r="T322" s="269"/>
      <c r="U322" s="203"/>
      <c r="V322" s="203"/>
      <c r="W322" s="269"/>
      <c r="X322" s="206"/>
      <c r="Y322" s="206"/>
      <c r="Z322" s="206"/>
    </row>
    <row r="323" spans="1:26" ht="12.75" x14ac:dyDescent="0.2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69"/>
      <c r="N323" s="269"/>
      <c r="O323" s="270"/>
      <c r="P323" s="270"/>
      <c r="Q323" s="270"/>
      <c r="R323" s="203"/>
      <c r="S323" s="203"/>
      <c r="T323" s="269"/>
      <c r="U323" s="203"/>
      <c r="V323" s="203"/>
      <c r="W323" s="269"/>
      <c r="X323" s="206"/>
      <c r="Y323" s="206"/>
      <c r="Z323" s="206"/>
    </row>
    <row r="324" spans="1:26" ht="12.75" x14ac:dyDescent="0.2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69"/>
      <c r="N324" s="269"/>
      <c r="O324" s="270"/>
      <c r="P324" s="270"/>
      <c r="Q324" s="270"/>
      <c r="R324" s="203"/>
      <c r="S324" s="203"/>
      <c r="T324" s="269"/>
      <c r="U324" s="203"/>
      <c r="V324" s="203"/>
      <c r="W324" s="269"/>
      <c r="X324" s="206"/>
      <c r="Y324" s="206"/>
      <c r="Z324" s="206"/>
    </row>
    <row r="325" spans="1:26" ht="12.75" x14ac:dyDescent="0.2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69"/>
      <c r="N325" s="269"/>
      <c r="O325" s="270"/>
      <c r="P325" s="270"/>
      <c r="Q325" s="270"/>
      <c r="R325" s="203"/>
      <c r="S325" s="203"/>
      <c r="T325" s="269"/>
      <c r="U325" s="203"/>
      <c r="V325" s="203"/>
      <c r="W325" s="269"/>
      <c r="X325" s="206"/>
      <c r="Y325" s="206"/>
      <c r="Z325" s="206"/>
    </row>
    <row r="326" spans="1:26" ht="12.75" x14ac:dyDescent="0.2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69"/>
      <c r="N326" s="269"/>
      <c r="O326" s="270"/>
      <c r="P326" s="270"/>
      <c r="Q326" s="270"/>
      <c r="R326" s="203"/>
      <c r="S326" s="203"/>
      <c r="T326" s="269"/>
      <c r="U326" s="203"/>
      <c r="V326" s="203"/>
      <c r="W326" s="269"/>
      <c r="X326" s="206"/>
      <c r="Y326" s="206"/>
      <c r="Z326" s="206"/>
    </row>
    <row r="327" spans="1:26" ht="12.75" x14ac:dyDescent="0.2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69"/>
      <c r="N327" s="269"/>
      <c r="O327" s="270"/>
      <c r="P327" s="270"/>
      <c r="Q327" s="270"/>
      <c r="R327" s="203"/>
      <c r="S327" s="203"/>
      <c r="T327" s="269"/>
      <c r="U327" s="203"/>
      <c r="V327" s="203"/>
      <c r="W327" s="269"/>
      <c r="X327" s="206"/>
      <c r="Y327" s="206"/>
      <c r="Z327" s="206"/>
    </row>
    <row r="328" spans="1:26" ht="12.75" x14ac:dyDescent="0.2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69"/>
      <c r="N328" s="269"/>
      <c r="O328" s="270"/>
      <c r="P328" s="270"/>
      <c r="Q328" s="270"/>
      <c r="R328" s="203"/>
      <c r="S328" s="203"/>
      <c r="T328" s="269"/>
      <c r="U328" s="203"/>
      <c r="V328" s="203"/>
      <c r="W328" s="269"/>
      <c r="X328" s="206"/>
      <c r="Y328" s="206"/>
      <c r="Z328" s="206"/>
    </row>
    <row r="329" spans="1:26" ht="12.75" x14ac:dyDescent="0.2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69"/>
      <c r="N329" s="269"/>
      <c r="O329" s="270"/>
      <c r="P329" s="270"/>
      <c r="Q329" s="270"/>
      <c r="R329" s="203"/>
      <c r="S329" s="203"/>
      <c r="T329" s="269"/>
      <c r="U329" s="203"/>
      <c r="V329" s="203"/>
      <c r="W329" s="269"/>
      <c r="X329" s="206"/>
      <c r="Y329" s="206"/>
      <c r="Z329" s="206"/>
    </row>
    <row r="330" spans="1:26" ht="12.75" x14ac:dyDescent="0.2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69"/>
      <c r="N330" s="269"/>
      <c r="O330" s="270"/>
      <c r="P330" s="270"/>
      <c r="Q330" s="270"/>
      <c r="R330" s="203"/>
      <c r="S330" s="203"/>
      <c r="T330" s="269"/>
      <c r="U330" s="203"/>
      <c r="V330" s="203"/>
      <c r="W330" s="269"/>
      <c r="X330" s="206"/>
      <c r="Y330" s="206"/>
      <c r="Z330" s="206"/>
    </row>
    <row r="331" spans="1:26" ht="12.75" x14ac:dyDescent="0.2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69"/>
      <c r="N331" s="269"/>
      <c r="O331" s="270"/>
      <c r="P331" s="270"/>
      <c r="Q331" s="270"/>
      <c r="R331" s="203"/>
      <c r="S331" s="203"/>
      <c r="T331" s="269"/>
      <c r="U331" s="203"/>
      <c r="V331" s="203"/>
      <c r="W331" s="269"/>
      <c r="X331" s="206"/>
      <c r="Y331" s="206"/>
      <c r="Z331" s="206"/>
    </row>
    <row r="332" spans="1:26" ht="12.75" x14ac:dyDescent="0.2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69"/>
      <c r="N332" s="269"/>
      <c r="O332" s="270"/>
      <c r="P332" s="270"/>
      <c r="Q332" s="270"/>
      <c r="R332" s="203"/>
      <c r="S332" s="203"/>
      <c r="T332" s="269"/>
      <c r="U332" s="203"/>
      <c r="V332" s="203"/>
      <c r="W332" s="269"/>
      <c r="X332" s="206"/>
      <c r="Y332" s="206"/>
      <c r="Z332" s="206"/>
    </row>
    <row r="333" spans="1:26" ht="12.75" x14ac:dyDescent="0.2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69"/>
      <c r="N333" s="269"/>
      <c r="O333" s="270"/>
      <c r="P333" s="270"/>
      <c r="Q333" s="270"/>
      <c r="R333" s="203"/>
      <c r="S333" s="203"/>
      <c r="T333" s="269"/>
      <c r="U333" s="203"/>
      <c r="V333" s="203"/>
      <c r="W333" s="269"/>
      <c r="X333" s="206"/>
      <c r="Y333" s="206"/>
      <c r="Z333" s="206"/>
    </row>
    <row r="334" spans="1:26" ht="12.75" x14ac:dyDescent="0.2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69"/>
      <c r="N334" s="269"/>
      <c r="O334" s="270"/>
      <c r="P334" s="270"/>
      <c r="Q334" s="270"/>
      <c r="R334" s="203"/>
      <c r="S334" s="203"/>
      <c r="T334" s="269"/>
      <c r="U334" s="203"/>
      <c r="V334" s="203"/>
      <c r="W334" s="269"/>
      <c r="X334" s="206"/>
      <c r="Y334" s="206"/>
      <c r="Z334" s="206"/>
    </row>
    <row r="335" spans="1:26" ht="12.75" x14ac:dyDescent="0.2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69"/>
      <c r="N335" s="269"/>
      <c r="O335" s="270"/>
      <c r="P335" s="270"/>
      <c r="Q335" s="270"/>
      <c r="R335" s="203"/>
      <c r="S335" s="203"/>
      <c r="T335" s="269"/>
      <c r="U335" s="203"/>
      <c r="V335" s="203"/>
      <c r="W335" s="269"/>
      <c r="X335" s="206"/>
      <c r="Y335" s="206"/>
      <c r="Z335" s="206"/>
    </row>
    <row r="336" spans="1:26" ht="12.75" x14ac:dyDescent="0.2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69"/>
      <c r="N336" s="269"/>
      <c r="O336" s="270"/>
      <c r="P336" s="270"/>
      <c r="Q336" s="270"/>
      <c r="R336" s="203"/>
      <c r="S336" s="203"/>
      <c r="T336" s="269"/>
      <c r="U336" s="203"/>
      <c r="V336" s="203"/>
      <c r="W336" s="269"/>
      <c r="X336" s="206"/>
      <c r="Y336" s="206"/>
      <c r="Z336" s="206"/>
    </row>
    <row r="337" spans="1:26" ht="12.75" x14ac:dyDescent="0.2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69"/>
      <c r="N337" s="269"/>
      <c r="O337" s="270"/>
      <c r="P337" s="270"/>
      <c r="Q337" s="270"/>
      <c r="R337" s="203"/>
      <c r="S337" s="203"/>
      <c r="T337" s="269"/>
      <c r="U337" s="203"/>
      <c r="V337" s="203"/>
      <c r="W337" s="269"/>
      <c r="X337" s="206"/>
      <c r="Y337" s="206"/>
      <c r="Z337" s="206"/>
    </row>
    <row r="338" spans="1:26" ht="12.75" x14ac:dyDescent="0.2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69"/>
      <c r="N338" s="269"/>
      <c r="O338" s="270"/>
      <c r="P338" s="270"/>
      <c r="Q338" s="270"/>
      <c r="R338" s="203"/>
      <c r="S338" s="203"/>
      <c r="T338" s="269"/>
      <c r="U338" s="203"/>
      <c r="V338" s="203"/>
      <c r="W338" s="269"/>
      <c r="X338" s="206"/>
      <c r="Y338" s="206"/>
      <c r="Z338" s="206"/>
    </row>
    <row r="339" spans="1:26" ht="12.75" x14ac:dyDescent="0.2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69"/>
      <c r="N339" s="269"/>
      <c r="O339" s="270"/>
      <c r="P339" s="270"/>
      <c r="Q339" s="270"/>
      <c r="R339" s="203"/>
      <c r="S339" s="203"/>
      <c r="T339" s="269"/>
      <c r="U339" s="203"/>
      <c r="V339" s="203"/>
      <c r="W339" s="269"/>
      <c r="X339" s="206"/>
      <c r="Y339" s="206"/>
      <c r="Z339" s="206"/>
    </row>
    <row r="340" spans="1:26" ht="12.75" x14ac:dyDescent="0.2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69"/>
      <c r="N340" s="269"/>
      <c r="O340" s="270"/>
      <c r="P340" s="270"/>
      <c r="Q340" s="270"/>
      <c r="R340" s="203"/>
      <c r="S340" s="203"/>
      <c r="T340" s="269"/>
      <c r="U340" s="203"/>
      <c r="V340" s="203"/>
      <c r="W340" s="269"/>
      <c r="X340" s="206"/>
      <c r="Y340" s="206"/>
      <c r="Z340" s="206"/>
    </row>
    <row r="341" spans="1:26" ht="12.75" x14ac:dyDescent="0.2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69"/>
      <c r="N341" s="269"/>
      <c r="O341" s="270"/>
      <c r="P341" s="270"/>
      <c r="Q341" s="270"/>
      <c r="R341" s="203"/>
      <c r="S341" s="203"/>
      <c r="T341" s="269"/>
      <c r="U341" s="203"/>
      <c r="V341" s="203"/>
      <c r="W341" s="269"/>
      <c r="X341" s="206"/>
      <c r="Y341" s="206"/>
      <c r="Z341" s="206"/>
    </row>
    <row r="342" spans="1:26" ht="12.75" x14ac:dyDescent="0.2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69"/>
      <c r="N342" s="269"/>
      <c r="O342" s="270"/>
      <c r="P342" s="270"/>
      <c r="Q342" s="270"/>
      <c r="R342" s="203"/>
      <c r="S342" s="203"/>
      <c r="T342" s="269"/>
      <c r="U342" s="203"/>
      <c r="V342" s="203"/>
      <c r="W342" s="269"/>
      <c r="X342" s="206"/>
      <c r="Y342" s="206"/>
      <c r="Z342" s="206"/>
    </row>
    <row r="343" spans="1:26" ht="12.75" x14ac:dyDescent="0.2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69"/>
      <c r="N343" s="269"/>
      <c r="O343" s="270"/>
      <c r="P343" s="270"/>
      <c r="Q343" s="270"/>
      <c r="R343" s="203"/>
      <c r="S343" s="203"/>
      <c r="T343" s="269"/>
      <c r="U343" s="203"/>
      <c r="V343" s="203"/>
      <c r="W343" s="269"/>
      <c r="X343" s="206"/>
      <c r="Y343" s="206"/>
      <c r="Z343" s="206"/>
    </row>
    <row r="344" spans="1:26" ht="12.75" x14ac:dyDescent="0.2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69"/>
      <c r="N344" s="269"/>
      <c r="O344" s="270"/>
      <c r="P344" s="270"/>
      <c r="Q344" s="270"/>
      <c r="R344" s="203"/>
      <c r="S344" s="203"/>
      <c r="T344" s="269"/>
      <c r="U344" s="203"/>
      <c r="V344" s="203"/>
      <c r="W344" s="269"/>
      <c r="X344" s="206"/>
      <c r="Y344" s="206"/>
      <c r="Z344" s="206"/>
    </row>
    <row r="345" spans="1:26" ht="12.75" x14ac:dyDescent="0.2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69"/>
      <c r="N345" s="269"/>
      <c r="O345" s="270"/>
      <c r="P345" s="270"/>
      <c r="Q345" s="270"/>
      <c r="R345" s="203"/>
      <c r="S345" s="203"/>
      <c r="T345" s="269"/>
      <c r="U345" s="203"/>
      <c r="V345" s="203"/>
      <c r="W345" s="269"/>
      <c r="X345" s="206"/>
      <c r="Y345" s="206"/>
      <c r="Z345" s="206"/>
    </row>
    <row r="346" spans="1:26" ht="12.75" x14ac:dyDescent="0.2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69"/>
      <c r="N346" s="269"/>
      <c r="O346" s="270"/>
      <c r="P346" s="270"/>
      <c r="Q346" s="270"/>
      <c r="R346" s="203"/>
      <c r="S346" s="203"/>
      <c r="T346" s="269"/>
      <c r="U346" s="203"/>
      <c r="V346" s="203"/>
      <c r="W346" s="269"/>
      <c r="X346" s="206"/>
      <c r="Y346" s="206"/>
      <c r="Z346" s="206"/>
    </row>
    <row r="347" spans="1:26" ht="12.75" x14ac:dyDescent="0.2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69"/>
      <c r="N347" s="269"/>
      <c r="O347" s="270"/>
      <c r="P347" s="270"/>
      <c r="Q347" s="270"/>
      <c r="R347" s="203"/>
      <c r="S347" s="203"/>
      <c r="T347" s="269"/>
      <c r="U347" s="203"/>
      <c r="V347" s="203"/>
      <c r="W347" s="269"/>
      <c r="X347" s="206"/>
      <c r="Y347" s="206"/>
      <c r="Z347" s="206"/>
    </row>
    <row r="348" spans="1:26" ht="12.75" x14ac:dyDescent="0.2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69"/>
      <c r="N348" s="269"/>
      <c r="O348" s="270"/>
      <c r="P348" s="270"/>
      <c r="Q348" s="270"/>
      <c r="R348" s="203"/>
      <c r="S348" s="203"/>
      <c r="T348" s="269"/>
      <c r="U348" s="203"/>
      <c r="V348" s="203"/>
      <c r="W348" s="269"/>
      <c r="X348" s="206"/>
      <c r="Y348" s="206"/>
      <c r="Z348" s="206"/>
    </row>
    <row r="349" spans="1:26" ht="12.75" x14ac:dyDescent="0.2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69"/>
      <c r="N349" s="269"/>
      <c r="O349" s="270"/>
      <c r="P349" s="270"/>
      <c r="Q349" s="270"/>
      <c r="R349" s="203"/>
      <c r="S349" s="203"/>
      <c r="T349" s="269"/>
      <c r="U349" s="203"/>
      <c r="V349" s="203"/>
      <c r="W349" s="269"/>
      <c r="X349" s="206"/>
      <c r="Y349" s="206"/>
      <c r="Z349" s="206"/>
    </row>
    <row r="350" spans="1:26" ht="12.75" x14ac:dyDescent="0.2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69"/>
      <c r="N350" s="269"/>
      <c r="O350" s="270"/>
      <c r="P350" s="270"/>
      <c r="Q350" s="270"/>
      <c r="R350" s="203"/>
      <c r="S350" s="203"/>
      <c r="T350" s="269"/>
      <c r="U350" s="203"/>
      <c r="V350" s="203"/>
      <c r="W350" s="269"/>
      <c r="X350" s="206"/>
      <c r="Y350" s="206"/>
      <c r="Z350" s="206"/>
    </row>
    <row r="351" spans="1:26" ht="12.75" x14ac:dyDescent="0.2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69"/>
      <c r="N351" s="269"/>
      <c r="O351" s="270"/>
      <c r="P351" s="270"/>
      <c r="Q351" s="270"/>
      <c r="R351" s="203"/>
      <c r="S351" s="203"/>
      <c r="T351" s="269"/>
      <c r="U351" s="203"/>
      <c r="V351" s="203"/>
      <c r="W351" s="269"/>
      <c r="X351" s="206"/>
      <c r="Y351" s="206"/>
      <c r="Z351" s="206"/>
    </row>
    <row r="352" spans="1:26" ht="12.75" x14ac:dyDescent="0.2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69"/>
      <c r="N352" s="269"/>
      <c r="O352" s="270"/>
      <c r="P352" s="270"/>
      <c r="Q352" s="270"/>
      <c r="R352" s="203"/>
      <c r="S352" s="203"/>
      <c r="T352" s="269"/>
      <c r="U352" s="203"/>
      <c r="V352" s="203"/>
      <c r="W352" s="269"/>
      <c r="X352" s="206"/>
      <c r="Y352" s="206"/>
      <c r="Z352" s="206"/>
    </row>
    <row r="353" spans="1:26" ht="12.75" x14ac:dyDescent="0.2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69"/>
      <c r="N353" s="269"/>
      <c r="O353" s="270"/>
      <c r="P353" s="270"/>
      <c r="Q353" s="270"/>
      <c r="R353" s="203"/>
      <c r="S353" s="203"/>
      <c r="T353" s="269"/>
      <c r="U353" s="203"/>
      <c r="V353" s="203"/>
      <c r="W353" s="269"/>
      <c r="X353" s="206"/>
      <c r="Y353" s="206"/>
      <c r="Z353" s="206"/>
    </row>
    <row r="354" spans="1:26" ht="12.75" x14ac:dyDescent="0.2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69"/>
      <c r="N354" s="269"/>
      <c r="O354" s="270"/>
      <c r="P354" s="270"/>
      <c r="Q354" s="270"/>
      <c r="R354" s="203"/>
      <c r="S354" s="203"/>
      <c r="T354" s="269"/>
      <c r="U354" s="203"/>
      <c r="V354" s="203"/>
      <c r="W354" s="269"/>
      <c r="X354" s="206"/>
      <c r="Y354" s="206"/>
      <c r="Z354" s="206"/>
    </row>
    <row r="355" spans="1:26" ht="12.75" x14ac:dyDescent="0.2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69"/>
      <c r="N355" s="269"/>
      <c r="O355" s="270"/>
      <c r="P355" s="270"/>
      <c r="Q355" s="270"/>
      <c r="R355" s="203"/>
      <c r="S355" s="203"/>
      <c r="T355" s="269"/>
      <c r="U355" s="203"/>
      <c r="V355" s="203"/>
      <c r="W355" s="269"/>
      <c r="X355" s="206"/>
      <c r="Y355" s="206"/>
      <c r="Z355" s="206"/>
    </row>
    <row r="356" spans="1:26" ht="12.75" x14ac:dyDescent="0.2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69"/>
      <c r="N356" s="269"/>
      <c r="O356" s="270"/>
      <c r="P356" s="270"/>
      <c r="Q356" s="270"/>
      <c r="R356" s="203"/>
      <c r="S356" s="203"/>
      <c r="T356" s="269"/>
      <c r="U356" s="203"/>
      <c r="V356" s="203"/>
      <c r="W356" s="269"/>
      <c r="X356" s="206"/>
      <c r="Y356" s="206"/>
      <c r="Z356" s="206"/>
    </row>
    <row r="357" spans="1:26" ht="12.75" x14ac:dyDescent="0.2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69"/>
      <c r="N357" s="269"/>
      <c r="O357" s="270"/>
      <c r="P357" s="270"/>
      <c r="Q357" s="270"/>
      <c r="R357" s="203"/>
      <c r="S357" s="203"/>
      <c r="T357" s="269"/>
      <c r="U357" s="203"/>
      <c r="V357" s="203"/>
      <c r="W357" s="269"/>
      <c r="X357" s="206"/>
      <c r="Y357" s="206"/>
      <c r="Z357" s="206"/>
    </row>
    <row r="358" spans="1:26" ht="12.75" x14ac:dyDescent="0.2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69"/>
      <c r="N358" s="269"/>
      <c r="O358" s="270"/>
      <c r="P358" s="270"/>
      <c r="Q358" s="270"/>
      <c r="R358" s="203"/>
      <c r="S358" s="203"/>
      <c r="T358" s="269"/>
      <c r="U358" s="203"/>
      <c r="V358" s="203"/>
      <c r="W358" s="269"/>
      <c r="X358" s="206"/>
      <c r="Y358" s="206"/>
      <c r="Z358" s="206"/>
    </row>
    <row r="359" spans="1:26" ht="12.75" x14ac:dyDescent="0.2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69"/>
      <c r="N359" s="269"/>
      <c r="O359" s="270"/>
      <c r="P359" s="270"/>
      <c r="Q359" s="270"/>
      <c r="R359" s="203"/>
      <c r="S359" s="203"/>
      <c r="T359" s="269"/>
      <c r="U359" s="203"/>
      <c r="V359" s="203"/>
      <c r="W359" s="269"/>
      <c r="X359" s="206"/>
      <c r="Y359" s="206"/>
      <c r="Z359" s="206"/>
    </row>
    <row r="360" spans="1:26" ht="12.75" x14ac:dyDescent="0.2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69"/>
      <c r="N360" s="269"/>
      <c r="O360" s="270"/>
      <c r="P360" s="270"/>
      <c r="Q360" s="270"/>
      <c r="R360" s="203"/>
      <c r="S360" s="203"/>
      <c r="T360" s="269"/>
      <c r="U360" s="203"/>
      <c r="V360" s="203"/>
      <c r="W360" s="269"/>
      <c r="X360" s="206"/>
      <c r="Y360" s="206"/>
      <c r="Z360" s="206"/>
    </row>
    <row r="361" spans="1:26" ht="12.75" x14ac:dyDescent="0.2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69"/>
      <c r="N361" s="269"/>
      <c r="O361" s="270"/>
      <c r="P361" s="270"/>
      <c r="Q361" s="270"/>
      <c r="R361" s="203"/>
      <c r="S361" s="203"/>
      <c r="T361" s="269"/>
      <c r="U361" s="203"/>
      <c r="V361" s="203"/>
      <c r="W361" s="269"/>
      <c r="X361" s="206"/>
      <c r="Y361" s="206"/>
      <c r="Z361" s="206"/>
    </row>
    <row r="362" spans="1:26" ht="12.75" x14ac:dyDescent="0.2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69"/>
      <c r="N362" s="269"/>
      <c r="O362" s="270"/>
      <c r="P362" s="270"/>
      <c r="Q362" s="270"/>
      <c r="R362" s="203"/>
      <c r="S362" s="203"/>
      <c r="T362" s="269"/>
      <c r="U362" s="203"/>
      <c r="V362" s="203"/>
      <c r="W362" s="269"/>
      <c r="X362" s="206"/>
      <c r="Y362" s="206"/>
      <c r="Z362" s="206"/>
    </row>
    <row r="363" spans="1:26" ht="12.75" x14ac:dyDescent="0.2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69"/>
      <c r="N363" s="269"/>
      <c r="O363" s="270"/>
      <c r="P363" s="270"/>
      <c r="Q363" s="270"/>
      <c r="R363" s="203"/>
      <c r="S363" s="203"/>
      <c r="T363" s="269"/>
      <c r="U363" s="203"/>
      <c r="V363" s="203"/>
      <c r="W363" s="269"/>
      <c r="X363" s="206"/>
      <c r="Y363" s="206"/>
      <c r="Z363" s="206"/>
    </row>
    <row r="364" spans="1:26" ht="12.75" x14ac:dyDescent="0.2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69"/>
      <c r="N364" s="269"/>
      <c r="O364" s="270"/>
      <c r="P364" s="270"/>
      <c r="Q364" s="270"/>
      <c r="R364" s="203"/>
      <c r="S364" s="203"/>
      <c r="T364" s="269"/>
      <c r="U364" s="203"/>
      <c r="V364" s="203"/>
      <c r="W364" s="269"/>
      <c r="X364" s="206"/>
      <c r="Y364" s="206"/>
      <c r="Z364" s="206"/>
    </row>
    <row r="365" spans="1:26" ht="12.75" x14ac:dyDescent="0.2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69"/>
      <c r="N365" s="269"/>
      <c r="O365" s="270"/>
      <c r="P365" s="270"/>
      <c r="Q365" s="270"/>
      <c r="R365" s="203"/>
      <c r="S365" s="203"/>
      <c r="T365" s="269"/>
      <c r="U365" s="203"/>
      <c r="V365" s="203"/>
      <c r="W365" s="269"/>
      <c r="X365" s="206"/>
      <c r="Y365" s="206"/>
      <c r="Z365" s="206"/>
    </row>
    <row r="366" spans="1:26" ht="12.75" x14ac:dyDescent="0.2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69"/>
      <c r="N366" s="269"/>
      <c r="O366" s="270"/>
      <c r="P366" s="270"/>
      <c r="Q366" s="270"/>
      <c r="R366" s="203"/>
      <c r="S366" s="203"/>
      <c r="T366" s="269"/>
      <c r="U366" s="203"/>
      <c r="V366" s="203"/>
      <c r="W366" s="269"/>
      <c r="X366" s="206"/>
      <c r="Y366" s="206"/>
      <c r="Z366" s="206"/>
    </row>
    <row r="367" spans="1:26" ht="12.75" x14ac:dyDescent="0.2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69"/>
      <c r="N367" s="269"/>
      <c r="O367" s="270"/>
      <c r="P367" s="270"/>
      <c r="Q367" s="270"/>
      <c r="R367" s="203"/>
      <c r="S367" s="203"/>
      <c r="T367" s="269"/>
      <c r="U367" s="203"/>
      <c r="V367" s="203"/>
      <c r="W367" s="269"/>
      <c r="X367" s="206"/>
      <c r="Y367" s="206"/>
      <c r="Z367" s="206"/>
    </row>
    <row r="368" spans="1:26" ht="12.75" x14ac:dyDescent="0.2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69"/>
      <c r="N368" s="269"/>
      <c r="O368" s="270"/>
      <c r="P368" s="270"/>
      <c r="Q368" s="270"/>
      <c r="R368" s="203"/>
      <c r="S368" s="203"/>
      <c r="T368" s="269"/>
      <c r="U368" s="203"/>
      <c r="V368" s="203"/>
      <c r="W368" s="269"/>
      <c r="X368" s="206"/>
      <c r="Y368" s="206"/>
      <c r="Z368" s="206"/>
    </row>
    <row r="369" spans="1:26" ht="12.75" x14ac:dyDescent="0.2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69"/>
      <c r="N369" s="269"/>
      <c r="O369" s="270"/>
      <c r="P369" s="270"/>
      <c r="Q369" s="270"/>
      <c r="R369" s="203"/>
      <c r="S369" s="203"/>
      <c r="T369" s="269"/>
      <c r="U369" s="203"/>
      <c r="V369" s="203"/>
      <c r="W369" s="269"/>
      <c r="X369" s="206"/>
      <c r="Y369" s="206"/>
      <c r="Z369" s="206"/>
    </row>
    <row r="370" spans="1:26" ht="12.75" x14ac:dyDescent="0.2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69"/>
      <c r="N370" s="269"/>
      <c r="O370" s="270"/>
      <c r="P370" s="270"/>
      <c r="Q370" s="270"/>
      <c r="R370" s="203"/>
      <c r="S370" s="203"/>
      <c r="T370" s="269"/>
      <c r="U370" s="203"/>
      <c r="V370" s="203"/>
      <c r="W370" s="269"/>
      <c r="X370" s="206"/>
      <c r="Y370" s="206"/>
      <c r="Z370" s="206"/>
    </row>
    <row r="371" spans="1:26" ht="12.75" x14ac:dyDescent="0.2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69"/>
      <c r="N371" s="269"/>
      <c r="O371" s="270"/>
      <c r="P371" s="270"/>
      <c r="Q371" s="270"/>
      <c r="R371" s="203"/>
      <c r="S371" s="203"/>
      <c r="T371" s="269"/>
      <c r="U371" s="203"/>
      <c r="V371" s="203"/>
      <c r="W371" s="269"/>
      <c r="X371" s="206"/>
      <c r="Y371" s="206"/>
      <c r="Z371" s="206"/>
    </row>
    <row r="372" spans="1:26" ht="12.75" x14ac:dyDescent="0.2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69"/>
      <c r="N372" s="269"/>
      <c r="O372" s="270"/>
      <c r="P372" s="270"/>
      <c r="Q372" s="270"/>
      <c r="R372" s="203"/>
      <c r="S372" s="203"/>
      <c r="T372" s="269"/>
      <c r="U372" s="203"/>
      <c r="V372" s="203"/>
      <c r="W372" s="269"/>
      <c r="X372" s="206"/>
      <c r="Y372" s="206"/>
      <c r="Z372" s="206"/>
    </row>
    <row r="373" spans="1:26" ht="12.75" x14ac:dyDescent="0.2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69"/>
      <c r="N373" s="269"/>
      <c r="O373" s="270"/>
      <c r="P373" s="270"/>
      <c r="Q373" s="270"/>
      <c r="R373" s="203"/>
      <c r="S373" s="203"/>
      <c r="T373" s="269"/>
      <c r="U373" s="203"/>
      <c r="V373" s="203"/>
      <c r="W373" s="269"/>
      <c r="X373" s="206"/>
      <c r="Y373" s="206"/>
      <c r="Z373" s="206"/>
    </row>
    <row r="374" spans="1:26" ht="12.75" x14ac:dyDescent="0.2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69"/>
      <c r="N374" s="269"/>
      <c r="O374" s="270"/>
      <c r="P374" s="270"/>
      <c r="Q374" s="270"/>
      <c r="R374" s="203"/>
      <c r="S374" s="203"/>
      <c r="T374" s="269"/>
      <c r="U374" s="203"/>
      <c r="V374" s="203"/>
      <c r="W374" s="269"/>
      <c r="X374" s="206"/>
      <c r="Y374" s="206"/>
      <c r="Z374" s="206"/>
    </row>
    <row r="375" spans="1:26" ht="12.75" x14ac:dyDescent="0.2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69"/>
      <c r="N375" s="269"/>
      <c r="O375" s="270"/>
      <c r="P375" s="270"/>
      <c r="Q375" s="270"/>
      <c r="R375" s="203"/>
      <c r="S375" s="203"/>
      <c r="T375" s="269"/>
      <c r="U375" s="203"/>
      <c r="V375" s="203"/>
      <c r="W375" s="269"/>
      <c r="X375" s="206"/>
      <c r="Y375" s="206"/>
      <c r="Z375" s="206"/>
    </row>
    <row r="376" spans="1:26" ht="12.75" x14ac:dyDescent="0.2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69"/>
      <c r="N376" s="269"/>
      <c r="O376" s="270"/>
      <c r="P376" s="270"/>
      <c r="Q376" s="270"/>
      <c r="R376" s="203"/>
      <c r="S376" s="203"/>
      <c r="T376" s="269"/>
      <c r="U376" s="203"/>
      <c r="V376" s="203"/>
      <c r="W376" s="269"/>
      <c r="X376" s="206"/>
      <c r="Y376" s="206"/>
      <c r="Z376" s="206"/>
    </row>
    <row r="377" spans="1:26" ht="12.75" x14ac:dyDescent="0.2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69"/>
      <c r="N377" s="269"/>
      <c r="O377" s="270"/>
      <c r="P377" s="270"/>
      <c r="Q377" s="270"/>
      <c r="R377" s="203"/>
      <c r="S377" s="203"/>
      <c r="T377" s="269"/>
      <c r="U377" s="203"/>
      <c r="V377" s="203"/>
      <c r="W377" s="269"/>
      <c r="X377" s="206"/>
      <c r="Y377" s="206"/>
      <c r="Z377" s="206"/>
    </row>
    <row r="378" spans="1:26" ht="12.75" x14ac:dyDescent="0.2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69"/>
      <c r="N378" s="269"/>
      <c r="O378" s="270"/>
      <c r="P378" s="270"/>
      <c r="Q378" s="270"/>
      <c r="R378" s="203"/>
      <c r="S378" s="203"/>
      <c r="T378" s="269"/>
      <c r="U378" s="203"/>
      <c r="V378" s="203"/>
      <c r="W378" s="269"/>
      <c r="X378" s="206"/>
      <c r="Y378" s="206"/>
      <c r="Z378" s="206"/>
    </row>
    <row r="379" spans="1:26" ht="12.75" x14ac:dyDescent="0.2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69"/>
      <c r="N379" s="269"/>
      <c r="O379" s="270"/>
      <c r="P379" s="270"/>
      <c r="Q379" s="270"/>
      <c r="R379" s="203"/>
      <c r="S379" s="203"/>
      <c r="T379" s="269"/>
      <c r="U379" s="203"/>
      <c r="V379" s="203"/>
      <c r="W379" s="269"/>
      <c r="X379" s="206"/>
      <c r="Y379" s="206"/>
      <c r="Z379" s="206"/>
    </row>
    <row r="380" spans="1:26" ht="12.75" x14ac:dyDescent="0.2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69"/>
      <c r="N380" s="269"/>
      <c r="O380" s="270"/>
      <c r="P380" s="270"/>
      <c r="Q380" s="270"/>
      <c r="R380" s="203"/>
      <c r="S380" s="203"/>
      <c r="T380" s="269"/>
      <c r="U380" s="203"/>
      <c r="V380" s="203"/>
      <c r="W380" s="269"/>
      <c r="X380" s="206"/>
      <c r="Y380" s="206"/>
      <c r="Z380" s="206"/>
    </row>
    <row r="381" spans="1:26" ht="12.75" x14ac:dyDescent="0.2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69"/>
      <c r="N381" s="269"/>
      <c r="O381" s="270"/>
      <c r="P381" s="270"/>
      <c r="Q381" s="270"/>
      <c r="R381" s="203"/>
      <c r="S381" s="203"/>
      <c r="T381" s="269"/>
      <c r="U381" s="203"/>
      <c r="V381" s="203"/>
      <c r="W381" s="269"/>
      <c r="X381" s="206"/>
      <c r="Y381" s="206"/>
      <c r="Z381" s="206"/>
    </row>
    <row r="382" spans="1:26" ht="12.75" x14ac:dyDescent="0.2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69"/>
      <c r="N382" s="269"/>
      <c r="O382" s="270"/>
      <c r="P382" s="270"/>
      <c r="Q382" s="270"/>
      <c r="R382" s="203"/>
      <c r="S382" s="203"/>
      <c r="T382" s="269"/>
      <c r="U382" s="203"/>
      <c r="V382" s="203"/>
      <c r="W382" s="269"/>
      <c r="X382" s="206"/>
      <c r="Y382" s="206"/>
      <c r="Z382" s="206"/>
    </row>
    <row r="383" spans="1:26" ht="12.75" x14ac:dyDescent="0.2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69"/>
      <c r="N383" s="269"/>
      <c r="O383" s="270"/>
      <c r="P383" s="270"/>
      <c r="Q383" s="270"/>
      <c r="R383" s="203"/>
      <c r="S383" s="203"/>
      <c r="T383" s="269"/>
      <c r="U383" s="203"/>
      <c r="V383" s="203"/>
      <c r="W383" s="269"/>
      <c r="X383" s="206"/>
      <c r="Y383" s="206"/>
      <c r="Z383" s="206"/>
    </row>
    <row r="384" spans="1:26" ht="12.75" x14ac:dyDescent="0.2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69"/>
      <c r="N384" s="269"/>
      <c r="O384" s="270"/>
      <c r="P384" s="270"/>
      <c r="Q384" s="270"/>
      <c r="R384" s="203"/>
      <c r="S384" s="203"/>
      <c r="T384" s="269"/>
      <c r="U384" s="203"/>
      <c r="V384" s="203"/>
      <c r="W384" s="269"/>
      <c r="X384" s="206"/>
      <c r="Y384" s="206"/>
      <c r="Z384" s="206"/>
    </row>
    <row r="385" spans="1:26" ht="12.75" x14ac:dyDescent="0.2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69"/>
      <c r="N385" s="269"/>
      <c r="O385" s="270"/>
      <c r="P385" s="270"/>
      <c r="Q385" s="270"/>
      <c r="R385" s="203"/>
      <c r="S385" s="203"/>
      <c r="T385" s="269"/>
      <c r="U385" s="203"/>
      <c r="V385" s="203"/>
      <c r="W385" s="269"/>
      <c r="X385" s="206"/>
      <c r="Y385" s="206"/>
      <c r="Z385" s="206"/>
    </row>
    <row r="386" spans="1:26" ht="12.75" x14ac:dyDescent="0.2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69"/>
      <c r="N386" s="269"/>
      <c r="O386" s="270"/>
      <c r="P386" s="270"/>
      <c r="Q386" s="270"/>
      <c r="R386" s="203"/>
      <c r="S386" s="203"/>
      <c r="T386" s="269"/>
      <c r="U386" s="203"/>
      <c r="V386" s="203"/>
      <c r="W386" s="269"/>
      <c r="X386" s="206"/>
      <c r="Y386" s="206"/>
      <c r="Z386" s="206"/>
    </row>
    <row r="387" spans="1:26" ht="12.75" x14ac:dyDescent="0.2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69"/>
      <c r="N387" s="269"/>
      <c r="O387" s="270"/>
      <c r="P387" s="270"/>
      <c r="Q387" s="270"/>
      <c r="R387" s="203"/>
      <c r="S387" s="203"/>
      <c r="T387" s="269"/>
      <c r="U387" s="203"/>
      <c r="V387" s="203"/>
      <c r="W387" s="269"/>
      <c r="X387" s="206"/>
      <c r="Y387" s="206"/>
      <c r="Z387" s="206"/>
    </row>
    <row r="388" spans="1:26" ht="12.75" x14ac:dyDescent="0.2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69"/>
      <c r="N388" s="269"/>
      <c r="O388" s="270"/>
      <c r="P388" s="270"/>
      <c r="Q388" s="270"/>
      <c r="R388" s="203"/>
      <c r="S388" s="203"/>
      <c r="T388" s="269"/>
      <c r="U388" s="203"/>
      <c r="V388" s="203"/>
      <c r="W388" s="269"/>
      <c r="X388" s="206"/>
      <c r="Y388" s="206"/>
      <c r="Z388" s="206"/>
    </row>
    <row r="389" spans="1:26" ht="12.75" x14ac:dyDescent="0.2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69"/>
      <c r="N389" s="269"/>
      <c r="O389" s="270"/>
      <c r="P389" s="270"/>
      <c r="Q389" s="270"/>
      <c r="R389" s="203"/>
      <c r="S389" s="203"/>
      <c r="T389" s="269"/>
      <c r="U389" s="203"/>
      <c r="V389" s="203"/>
      <c r="W389" s="269"/>
      <c r="X389" s="206"/>
      <c r="Y389" s="206"/>
      <c r="Z389" s="206"/>
    </row>
    <row r="390" spans="1:26" ht="12.75" x14ac:dyDescent="0.2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69"/>
      <c r="N390" s="269"/>
      <c r="O390" s="270"/>
      <c r="P390" s="270"/>
      <c r="Q390" s="270"/>
      <c r="R390" s="203"/>
      <c r="S390" s="203"/>
      <c r="T390" s="269"/>
      <c r="U390" s="203"/>
      <c r="V390" s="203"/>
      <c r="W390" s="269"/>
      <c r="X390" s="206"/>
      <c r="Y390" s="206"/>
      <c r="Z390" s="206"/>
    </row>
    <row r="391" spans="1:26" ht="12.75" x14ac:dyDescent="0.2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69"/>
      <c r="N391" s="269"/>
      <c r="O391" s="270"/>
      <c r="P391" s="270"/>
      <c r="Q391" s="270"/>
      <c r="R391" s="203"/>
      <c r="S391" s="203"/>
      <c r="T391" s="269"/>
      <c r="U391" s="203"/>
      <c r="V391" s="203"/>
      <c r="W391" s="269"/>
      <c r="X391" s="206"/>
      <c r="Y391" s="206"/>
      <c r="Z391" s="206"/>
    </row>
    <row r="392" spans="1:26" ht="12.75" x14ac:dyDescent="0.2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69"/>
      <c r="N392" s="269"/>
      <c r="O392" s="270"/>
      <c r="P392" s="270"/>
      <c r="Q392" s="270"/>
      <c r="R392" s="203"/>
      <c r="S392" s="203"/>
      <c r="T392" s="269"/>
      <c r="U392" s="203"/>
      <c r="V392" s="203"/>
      <c r="W392" s="269"/>
      <c r="X392" s="206"/>
      <c r="Y392" s="206"/>
      <c r="Z392" s="206"/>
    </row>
    <row r="393" spans="1:26" ht="12.75" x14ac:dyDescent="0.2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69"/>
      <c r="N393" s="269"/>
      <c r="O393" s="270"/>
      <c r="P393" s="270"/>
      <c r="Q393" s="270"/>
      <c r="R393" s="203"/>
      <c r="S393" s="203"/>
      <c r="T393" s="269"/>
      <c r="U393" s="203"/>
      <c r="V393" s="203"/>
      <c r="W393" s="269"/>
      <c r="X393" s="206"/>
      <c r="Y393" s="206"/>
      <c r="Z393" s="206"/>
    </row>
    <row r="394" spans="1:26" ht="12.75" x14ac:dyDescent="0.2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69"/>
      <c r="N394" s="269"/>
      <c r="O394" s="270"/>
      <c r="P394" s="270"/>
      <c r="Q394" s="270"/>
      <c r="R394" s="203"/>
      <c r="S394" s="203"/>
      <c r="T394" s="269"/>
      <c r="U394" s="203"/>
      <c r="V394" s="203"/>
      <c r="W394" s="269"/>
      <c r="X394" s="206"/>
      <c r="Y394" s="206"/>
      <c r="Z394" s="206"/>
    </row>
    <row r="395" spans="1:26" ht="12.75" x14ac:dyDescent="0.2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69"/>
      <c r="N395" s="269"/>
      <c r="O395" s="270"/>
      <c r="P395" s="270"/>
      <c r="Q395" s="270"/>
      <c r="R395" s="203"/>
      <c r="S395" s="203"/>
      <c r="T395" s="269"/>
      <c r="U395" s="203"/>
      <c r="V395" s="203"/>
      <c r="W395" s="269"/>
      <c r="X395" s="206"/>
      <c r="Y395" s="206"/>
      <c r="Z395" s="206"/>
    </row>
    <row r="396" spans="1:26" ht="12.75" x14ac:dyDescent="0.2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69"/>
      <c r="N396" s="269"/>
      <c r="O396" s="270"/>
      <c r="P396" s="270"/>
      <c r="Q396" s="270"/>
      <c r="R396" s="203"/>
      <c r="S396" s="203"/>
      <c r="T396" s="269"/>
      <c r="U396" s="203"/>
      <c r="V396" s="203"/>
      <c r="W396" s="269"/>
      <c r="X396" s="206"/>
      <c r="Y396" s="206"/>
      <c r="Z396" s="206"/>
    </row>
    <row r="397" spans="1:26" ht="12.75" x14ac:dyDescent="0.2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69"/>
      <c r="N397" s="269"/>
      <c r="O397" s="270"/>
      <c r="P397" s="270"/>
      <c r="Q397" s="270"/>
      <c r="R397" s="203"/>
      <c r="S397" s="203"/>
      <c r="T397" s="269"/>
      <c r="U397" s="203"/>
      <c r="V397" s="203"/>
      <c r="W397" s="269"/>
      <c r="X397" s="206"/>
      <c r="Y397" s="206"/>
      <c r="Z397" s="206"/>
    </row>
    <row r="398" spans="1:26" ht="12.75" x14ac:dyDescent="0.2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69"/>
      <c r="N398" s="269"/>
      <c r="O398" s="270"/>
      <c r="P398" s="270"/>
      <c r="Q398" s="270"/>
      <c r="R398" s="203"/>
      <c r="S398" s="203"/>
      <c r="T398" s="269"/>
      <c r="U398" s="203"/>
      <c r="V398" s="203"/>
      <c r="W398" s="269"/>
      <c r="X398" s="206"/>
      <c r="Y398" s="206"/>
      <c r="Z398" s="206"/>
    </row>
    <row r="399" spans="1:26" ht="12.75" x14ac:dyDescent="0.2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69"/>
      <c r="N399" s="269"/>
      <c r="O399" s="270"/>
      <c r="P399" s="270"/>
      <c r="Q399" s="270"/>
      <c r="R399" s="203"/>
      <c r="S399" s="203"/>
      <c r="T399" s="269"/>
      <c r="U399" s="203"/>
      <c r="V399" s="203"/>
      <c r="W399" s="269"/>
      <c r="X399" s="206"/>
      <c r="Y399" s="206"/>
      <c r="Z399" s="206"/>
    </row>
    <row r="400" spans="1:26" ht="12.75" x14ac:dyDescent="0.2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69"/>
      <c r="N400" s="269"/>
      <c r="O400" s="270"/>
      <c r="P400" s="270"/>
      <c r="Q400" s="270"/>
      <c r="R400" s="203"/>
      <c r="S400" s="203"/>
      <c r="T400" s="269"/>
      <c r="U400" s="203"/>
      <c r="V400" s="203"/>
      <c r="W400" s="269"/>
      <c r="X400" s="206"/>
      <c r="Y400" s="206"/>
      <c r="Z400" s="206"/>
    </row>
    <row r="401" spans="1:26" ht="12.75" x14ac:dyDescent="0.2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69"/>
      <c r="N401" s="269"/>
      <c r="O401" s="270"/>
      <c r="P401" s="270"/>
      <c r="Q401" s="270"/>
      <c r="R401" s="203"/>
      <c r="S401" s="203"/>
      <c r="T401" s="269"/>
      <c r="U401" s="203"/>
      <c r="V401" s="203"/>
      <c r="W401" s="269"/>
      <c r="X401" s="206"/>
      <c r="Y401" s="206"/>
      <c r="Z401" s="206"/>
    </row>
    <row r="402" spans="1:26" ht="12.75" x14ac:dyDescent="0.2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69"/>
      <c r="N402" s="269"/>
      <c r="O402" s="270"/>
      <c r="P402" s="270"/>
      <c r="Q402" s="270"/>
      <c r="R402" s="203"/>
      <c r="S402" s="203"/>
      <c r="T402" s="269"/>
      <c r="U402" s="203"/>
      <c r="V402" s="203"/>
      <c r="W402" s="269"/>
      <c r="X402" s="206"/>
      <c r="Y402" s="206"/>
      <c r="Z402" s="206"/>
    </row>
    <row r="403" spans="1:26" ht="12.75" x14ac:dyDescent="0.2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69"/>
      <c r="N403" s="269"/>
      <c r="O403" s="270"/>
      <c r="P403" s="270"/>
      <c r="Q403" s="270"/>
      <c r="R403" s="203"/>
      <c r="S403" s="203"/>
      <c r="T403" s="269"/>
      <c r="U403" s="203"/>
      <c r="V403" s="203"/>
      <c r="W403" s="269"/>
      <c r="X403" s="206"/>
      <c r="Y403" s="206"/>
      <c r="Z403" s="206"/>
    </row>
    <row r="404" spans="1:26" ht="12.75" x14ac:dyDescent="0.2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69"/>
      <c r="N404" s="269"/>
      <c r="O404" s="270"/>
      <c r="P404" s="270"/>
      <c r="Q404" s="270"/>
      <c r="R404" s="203"/>
      <c r="S404" s="203"/>
      <c r="T404" s="269"/>
      <c r="U404" s="203"/>
      <c r="V404" s="203"/>
      <c r="W404" s="269"/>
      <c r="X404" s="206"/>
      <c r="Y404" s="206"/>
      <c r="Z404" s="206"/>
    </row>
    <row r="405" spans="1:26" ht="12.75" x14ac:dyDescent="0.2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69"/>
      <c r="N405" s="269"/>
      <c r="O405" s="270"/>
      <c r="P405" s="270"/>
      <c r="Q405" s="270"/>
      <c r="R405" s="203"/>
      <c r="S405" s="203"/>
      <c r="T405" s="269"/>
      <c r="U405" s="203"/>
      <c r="V405" s="203"/>
      <c r="W405" s="269"/>
      <c r="X405" s="206"/>
      <c r="Y405" s="206"/>
      <c r="Z405" s="206"/>
    </row>
    <row r="406" spans="1:26" ht="12.75" x14ac:dyDescent="0.2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69"/>
      <c r="N406" s="269"/>
      <c r="O406" s="270"/>
      <c r="P406" s="270"/>
      <c r="Q406" s="270"/>
      <c r="R406" s="203"/>
      <c r="S406" s="203"/>
      <c r="T406" s="269"/>
      <c r="U406" s="203"/>
      <c r="V406" s="203"/>
      <c r="W406" s="269"/>
      <c r="X406" s="206"/>
      <c r="Y406" s="206"/>
      <c r="Z406" s="206"/>
    </row>
    <row r="407" spans="1:26" ht="12.75" x14ac:dyDescent="0.2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69"/>
      <c r="N407" s="269"/>
      <c r="O407" s="270"/>
      <c r="P407" s="270"/>
      <c r="Q407" s="270"/>
      <c r="R407" s="203"/>
      <c r="S407" s="203"/>
      <c r="T407" s="269"/>
      <c r="U407" s="203"/>
      <c r="V407" s="203"/>
      <c r="W407" s="269"/>
      <c r="X407" s="206"/>
      <c r="Y407" s="206"/>
      <c r="Z407" s="206"/>
    </row>
    <row r="408" spans="1:26" ht="12.75" x14ac:dyDescent="0.2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69"/>
      <c r="N408" s="269"/>
      <c r="O408" s="270"/>
      <c r="P408" s="270"/>
      <c r="Q408" s="270"/>
      <c r="R408" s="203"/>
      <c r="S408" s="203"/>
      <c r="T408" s="269"/>
      <c r="U408" s="203"/>
      <c r="V408" s="203"/>
      <c r="W408" s="269"/>
      <c r="X408" s="206"/>
      <c r="Y408" s="206"/>
      <c r="Z408" s="206"/>
    </row>
    <row r="409" spans="1:26" ht="12.75" x14ac:dyDescent="0.2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69"/>
      <c r="N409" s="269"/>
      <c r="O409" s="270"/>
      <c r="P409" s="270"/>
      <c r="Q409" s="270"/>
      <c r="R409" s="203"/>
      <c r="S409" s="203"/>
      <c r="T409" s="269"/>
      <c r="U409" s="203"/>
      <c r="V409" s="203"/>
      <c r="W409" s="269"/>
      <c r="X409" s="206"/>
      <c r="Y409" s="206"/>
      <c r="Z409" s="206"/>
    </row>
    <row r="410" spans="1:26" ht="12.75" x14ac:dyDescent="0.2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69"/>
      <c r="N410" s="269"/>
      <c r="O410" s="270"/>
      <c r="P410" s="270"/>
      <c r="Q410" s="270"/>
      <c r="R410" s="203"/>
      <c r="S410" s="203"/>
      <c r="T410" s="269"/>
      <c r="U410" s="203"/>
      <c r="V410" s="203"/>
      <c r="W410" s="269"/>
      <c r="X410" s="206"/>
      <c r="Y410" s="206"/>
      <c r="Z410" s="206"/>
    </row>
    <row r="411" spans="1:26" ht="12.75" x14ac:dyDescent="0.2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69"/>
      <c r="N411" s="269"/>
      <c r="O411" s="270"/>
      <c r="P411" s="270"/>
      <c r="Q411" s="270"/>
      <c r="R411" s="203"/>
      <c r="S411" s="203"/>
      <c r="T411" s="269"/>
      <c r="U411" s="203"/>
      <c r="V411" s="203"/>
      <c r="W411" s="269"/>
      <c r="X411" s="206"/>
      <c r="Y411" s="206"/>
      <c r="Z411" s="206"/>
    </row>
    <row r="412" spans="1:26" ht="12.75" x14ac:dyDescent="0.2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69"/>
      <c r="N412" s="269"/>
      <c r="O412" s="270"/>
      <c r="P412" s="270"/>
      <c r="Q412" s="270"/>
      <c r="R412" s="203"/>
      <c r="S412" s="203"/>
      <c r="T412" s="269"/>
      <c r="U412" s="203"/>
      <c r="V412" s="203"/>
      <c r="W412" s="269"/>
      <c r="X412" s="206"/>
      <c r="Y412" s="206"/>
      <c r="Z412" s="206"/>
    </row>
    <row r="413" spans="1:26" ht="12.75" x14ac:dyDescent="0.2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69"/>
      <c r="N413" s="269"/>
      <c r="O413" s="270"/>
      <c r="P413" s="270"/>
      <c r="Q413" s="270"/>
      <c r="R413" s="203"/>
      <c r="S413" s="203"/>
      <c r="T413" s="269"/>
      <c r="U413" s="203"/>
      <c r="V413" s="203"/>
      <c r="W413" s="269"/>
      <c r="X413" s="206"/>
      <c r="Y413" s="206"/>
      <c r="Z413" s="206"/>
    </row>
    <row r="414" spans="1:26" ht="12.75" x14ac:dyDescent="0.2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69"/>
      <c r="N414" s="269"/>
      <c r="O414" s="270"/>
      <c r="P414" s="270"/>
      <c r="Q414" s="270"/>
      <c r="R414" s="203"/>
      <c r="S414" s="203"/>
      <c r="T414" s="269"/>
      <c r="U414" s="203"/>
      <c r="V414" s="203"/>
      <c r="W414" s="269"/>
      <c r="X414" s="206"/>
      <c r="Y414" s="206"/>
      <c r="Z414" s="206"/>
    </row>
    <row r="415" spans="1:26" ht="12.75" x14ac:dyDescent="0.2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69"/>
      <c r="N415" s="269"/>
      <c r="O415" s="270"/>
      <c r="P415" s="270"/>
      <c r="Q415" s="270"/>
      <c r="R415" s="203"/>
      <c r="S415" s="203"/>
      <c r="T415" s="269"/>
      <c r="U415" s="203"/>
      <c r="V415" s="203"/>
      <c r="W415" s="269"/>
      <c r="X415" s="206"/>
      <c r="Y415" s="206"/>
      <c r="Z415" s="206"/>
    </row>
    <row r="416" spans="1:26" ht="12.75" x14ac:dyDescent="0.2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69"/>
      <c r="N416" s="269"/>
      <c r="O416" s="270"/>
      <c r="P416" s="270"/>
      <c r="Q416" s="270"/>
      <c r="R416" s="203"/>
      <c r="S416" s="203"/>
      <c r="T416" s="269"/>
      <c r="U416" s="203"/>
      <c r="V416" s="203"/>
      <c r="W416" s="269"/>
      <c r="X416" s="206"/>
      <c r="Y416" s="206"/>
      <c r="Z416" s="206"/>
    </row>
    <row r="417" spans="1:26" ht="12.75" x14ac:dyDescent="0.2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69"/>
      <c r="N417" s="269"/>
      <c r="O417" s="270"/>
      <c r="P417" s="270"/>
      <c r="Q417" s="270"/>
      <c r="R417" s="203"/>
      <c r="S417" s="203"/>
      <c r="T417" s="269"/>
      <c r="U417" s="203"/>
      <c r="V417" s="203"/>
      <c r="W417" s="269"/>
      <c r="X417" s="206"/>
      <c r="Y417" s="206"/>
      <c r="Z417" s="206"/>
    </row>
    <row r="418" spans="1:26" ht="12.75" x14ac:dyDescent="0.2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69"/>
      <c r="N418" s="269"/>
      <c r="O418" s="270"/>
      <c r="P418" s="270"/>
      <c r="Q418" s="270"/>
      <c r="R418" s="203"/>
      <c r="S418" s="203"/>
      <c r="T418" s="269"/>
      <c r="U418" s="203"/>
      <c r="V418" s="203"/>
      <c r="W418" s="269"/>
      <c r="X418" s="206"/>
      <c r="Y418" s="206"/>
      <c r="Z418" s="206"/>
    </row>
    <row r="419" spans="1:26" ht="12.75" x14ac:dyDescent="0.2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69"/>
      <c r="N419" s="269"/>
      <c r="O419" s="270"/>
      <c r="P419" s="270"/>
      <c r="Q419" s="270"/>
      <c r="R419" s="203"/>
      <c r="S419" s="203"/>
      <c r="T419" s="269"/>
      <c r="U419" s="203"/>
      <c r="V419" s="203"/>
      <c r="W419" s="269"/>
      <c r="X419" s="206"/>
      <c r="Y419" s="206"/>
      <c r="Z419" s="206"/>
    </row>
    <row r="420" spans="1:26" ht="12.75" x14ac:dyDescent="0.2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69"/>
      <c r="N420" s="269"/>
      <c r="O420" s="270"/>
      <c r="P420" s="270"/>
      <c r="Q420" s="270"/>
      <c r="R420" s="203"/>
      <c r="S420" s="203"/>
      <c r="T420" s="269"/>
      <c r="U420" s="203"/>
      <c r="V420" s="203"/>
      <c r="W420" s="269"/>
      <c r="X420" s="206"/>
      <c r="Y420" s="206"/>
      <c r="Z420" s="206"/>
    </row>
    <row r="421" spans="1:26" ht="12.75" x14ac:dyDescent="0.2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69"/>
      <c r="N421" s="269"/>
      <c r="O421" s="270"/>
      <c r="P421" s="270"/>
      <c r="Q421" s="270"/>
      <c r="R421" s="203"/>
      <c r="S421" s="203"/>
      <c r="T421" s="269"/>
      <c r="U421" s="203"/>
      <c r="V421" s="203"/>
      <c r="W421" s="269"/>
      <c r="X421" s="206"/>
      <c r="Y421" s="206"/>
      <c r="Z421" s="206"/>
    </row>
    <row r="422" spans="1:26" ht="12.75" x14ac:dyDescent="0.2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69"/>
      <c r="N422" s="269"/>
      <c r="O422" s="270"/>
      <c r="P422" s="270"/>
      <c r="Q422" s="270"/>
      <c r="R422" s="203"/>
      <c r="S422" s="203"/>
      <c r="T422" s="269"/>
      <c r="U422" s="203"/>
      <c r="V422" s="203"/>
      <c r="W422" s="269"/>
      <c r="X422" s="206"/>
      <c r="Y422" s="206"/>
      <c r="Z422" s="206"/>
    </row>
    <row r="423" spans="1:26" ht="12.75" x14ac:dyDescent="0.2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69"/>
      <c r="N423" s="269"/>
      <c r="O423" s="270"/>
      <c r="P423" s="270"/>
      <c r="Q423" s="270"/>
      <c r="R423" s="203"/>
      <c r="S423" s="203"/>
      <c r="T423" s="269"/>
      <c r="U423" s="203"/>
      <c r="V423" s="203"/>
      <c r="W423" s="269"/>
      <c r="X423" s="206"/>
      <c r="Y423" s="206"/>
      <c r="Z423" s="206"/>
    </row>
    <row r="424" spans="1:26" ht="12.75" x14ac:dyDescent="0.2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69"/>
      <c r="N424" s="269"/>
      <c r="O424" s="270"/>
      <c r="P424" s="270"/>
      <c r="Q424" s="270"/>
      <c r="R424" s="203"/>
      <c r="S424" s="203"/>
      <c r="T424" s="269"/>
      <c r="U424" s="203"/>
      <c r="V424" s="203"/>
      <c r="W424" s="269"/>
      <c r="X424" s="206"/>
      <c r="Y424" s="206"/>
      <c r="Z424" s="206"/>
    </row>
    <row r="425" spans="1:26" ht="12.75" x14ac:dyDescent="0.2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69"/>
      <c r="N425" s="269"/>
      <c r="O425" s="270"/>
      <c r="P425" s="270"/>
      <c r="Q425" s="270"/>
      <c r="R425" s="203"/>
      <c r="S425" s="203"/>
      <c r="T425" s="269"/>
      <c r="U425" s="203"/>
      <c r="V425" s="203"/>
      <c r="W425" s="269"/>
      <c r="X425" s="206"/>
      <c r="Y425" s="206"/>
      <c r="Z425" s="206"/>
    </row>
    <row r="426" spans="1:26" ht="12.75" x14ac:dyDescent="0.2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69"/>
      <c r="N426" s="269"/>
      <c r="O426" s="270"/>
      <c r="P426" s="270"/>
      <c r="Q426" s="270"/>
      <c r="R426" s="203"/>
      <c r="S426" s="203"/>
      <c r="T426" s="269"/>
      <c r="U426" s="203"/>
      <c r="V426" s="203"/>
      <c r="W426" s="269"/>
      <c r="X426" s="206"/>
      <c r="Y426" s="206"/>
      <c r="Z426" s="206"/>
    </row>
    <row r="427" spans="1:26" ht="12.75" x14ac:dyDescent="0.2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69"/>
      <c r="N427" s="269"/>
      <c r="O427" s="270"/>
      <c r="P427" s="270"/>
      <c r="Q427" s="270"/>
      <c r="R427" s="203"/>
      <c r="S427" s="203"/>
      <c r="T427" s="269"/>
      <c r="U427" s="203"/>
      <c r="V427" s="203"/>
      <c r="W427" s="269"/>
      <c r="X427" s="206"/>
      <c r="Y427" s="206"/>
      <c r="Z427" s="206"/>
    </row>
    <row r="428" spans="1:26" ht="12.75" x14ac:dyDescent="0.2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69"/>
      <c r="N428" s="269"/>
      <c r="O428" s="270"/>
      <c r="P428" s="270"/>
      <c r="Q428" s="270"/>
      <c r="R428" s="203"/>
      <c r="S428" s="203"/>
      <c r="T428" s="269"/>
      <c r="U428" s="203"/>
      <c r="V428" s="203"/>
      <c r="W428" s="269"/>
      <c r="X428" s="206"/>
      <c r="Y428" s="206"/>
      <c r="Z428" s="206"/>
    </row>
    <row r="429" spans="1:26" ht="12.75" x14ac:dyDescent="0.2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69"/>
      <c r="N429" s="269"/>
      <c r="O429" s="270"/>
      <c r="P429" s="270"/>
      <c r="Q429" s="270"/>
      <c r="R429" s="203"/>
      <c r="S429" s="203"/>
      <c r="T429" s="269"/>
      <c r="U429" s="203"/>
      <c r="V429" s="203"/>
      <c r="W429" s="269"/>
      <c r="X429" s="206"/>
      <c r="Y429" s="206"/>
      <c r="Z429" s="206"/>
    </row>
    <row r="430" spans="1:26" ht="12.75" x14ac:dyDescent="0.2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69"/>
      <c r="N430" s="269"/>
      <c r="O430" s="270"/>
      <c r="P430" s="270"/>
      <c r="Q430" s="270"/>
      <c r="R430" s="203"/>
      <c r="S430" s="203"/>
      <c r="T430" s="269"/>
      <c r="U430" s="203"/>
      <c r="V430" s="203"/>
      <c r="W430" s="269"/>
      <c r="X430" s="206"/>
      <c r="Y430" s="206"/>
      <c r="Z430" s="206"/>
    </row>
    <row r="431" spans="1:26" ht="12.75" x14ac:dyDescent="0.2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69"/>
      <c r="N431" s="269"/>
      <c r="O431" s="270"/>
      <c r="P431" s="270"/>
      <c r="Q431" s="270"/>
      <c r="R431" s="203"/>
      <c r="S431" s="203"/>
      <c r="T431" s="269"/>
      <c r="U431" s="203"/>
      <c r="V431" s="203"/>
      <c r="W431" s="269"/>
      <c r="X431" s="206"/>
      <c r="Y431" s="206"/>
      <c r="Z431" s="206"/>
    </row>
    <row r="432" spans="1:26" ht="12.75" x14ac:dyDescent="0.2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69"/>
      <c r="N432" s="269"/>
      <c r="O432" s="270"/>
      <c r="P432" s="270"/>
      <c r="Q432" s="270"/>
      <c r="R432" s="203"/>
      <c r="S432" s="203"/>
      <c r="T432" s="269"/>
      <c r="U432" s="203"/>
      <c r="V432" s="203"/>
      <c r="W432" s="269"/>
      <c r="X432" s="206"/>
      <c r="Y432" s="206"/>
      <c r="Z432" s="206"/>
    </row>
    <row r="433" spans="1:26" ht="12.75" x14ac:dyDescent="0.2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69"/>
      <c r="N433" s="269"/>
      <c r="O433" s="270"/>
      <c r="P433" s="270"/>
      <c r="Q433" s="270"/>
      <c r="R433" s="203"/>
      <c r="S433" s="203"/>
      <c r="T433" s="269"/>
      <c r="U433" s="203"/>
      <c r="V433" s="203"/>
      <c r="W433" s="269"/>
      <c r="X433" s="206"/>
      <c r="Y433" s="206"/>
      <c r="Z433" s="206"/>
    </row>
    <row r="434" spans="1:26" ht="12.75" x14ac:dyDescent="0.2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69"/>
      <c r="N434" s="269"/>
      <c r="O434" s="270"/>
      <c r="P434" s="270"/>
      <c r="Q434" s="270"/>
      <c r="R434" s="203"/>
      <c r="S434" s="203"/>
      <c r="T434" s="269"/>
      <c r="U434" s="203"/>
      <c r="V434" s="203"/>
      <c r="W434" s="269"/>
      <c r="X434" s="206"/>
      <c r="Y434" s="206"/>
      <c r="Z434" s="206"/>
    </row>
    <row r="435" spans="1:26" ht="12.75" x14ac:dyDescent="0.2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69"/>
      <c r="N435" s="269"/>
      <c r="O435" s="270"/>
      <c r="P435" s="270"/>
      <c r="Q435" s="270"/>
      <c r="R435" s="203"/>
      <c r="S435" s="203"/>
      <c r="T435" s="269"/>
      <c r="U435" s="203"/>
      <c r="V435" s="203"/>
      <c r="W435" s="269"/>
      <c r="X435" s="206"/>
      <c r="Y435" s="206"/>
      <c r="Z435" s="206"/>
    </row>
    <row r="436" spans="1:26" ht="12.75" x14ac:dyDescent="0.2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69"/>
      <c r="N436" s="269"/>
      <c r="O436" s="270"/>
      <c r="P436" s="270"/>
      <c r="Q436" s="270"/>
      <c r="R436" s="203"/>
      <c r="S436" s="203"/>
      <c r="T436" s="269"/>
      <c r="U436" s="203"/>
      <c r="V436" s="203"/>
      <c r="W436" s="269"/>
      <c r="X436" s="206"/>
      <c r="Y436" s="206"/>
      <c r="Z436" s="206"/>
    </row>
    <row r="437" spans="1:26" ht="12.75" x14ac:dyDescent="0.2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69"/>
      <c r="N437" s="269"/>
      <c r="O437" s="270"/>
      <c r="P437" s="270"/>
      <c r="Q437" s="270"/>
      <c r="R437" s="203"/>
      <c r="S437" s="203"/>
      <c r="T437" s="269"/>
      <c r="U437" s="203"/>
      <c r="V437" s="203"/>
      <c r="W437" s="269"/>
      <c r="X437" s="206"/>
      <c r="Y437" s="206"/>
      <c r="Z437" s="206"/>
    </row>
    <row r="438" spans="1:26" ht="12.75" x14ac:dyDescent="0.2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69"/>
      <c r="N438" s="269"/>
      <c r="O438" s="270"/>
      <c r="P438" s="270"/>
      <c r="Q438" s="270"/>
      <c r="R438" s="203"/>
      <c r="S438" s="203"/>
      <c r="T438" s="269"/>
      <c r="U438" s="203"/>
      <c r="V438" s="203"/>
      <c r="W438" s="269"/>
      <c r="X438" s="206"/>
      <c r="Y438" s="206"/>
      <c r="Z438" s="206"/>
    </row>
    <row r="439" spans="1:26" ht="12.75" x14ac:dyDescent="0.2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69"/>
      <c r="N439" s="269"/>
      <c r="O439" s="270"/>
      <c r="P439" s="270"/>
      <c r="Q439" s="270"/>
      <c r="R439" s="203"/>
      <c r="S439" s="203"/>
      <c r="T439" s="269"/>
      <c r="U439" s="203"/>
      <c r="V439" s="203"/>
      <c r="W439" s="269"/>
      <c r="X439" s="206"/>
      <c r="Y439" s="206"/>
      <c r="Z439" s="206"/>
    </row>
    <row r="440" spans="1:26" ht="12.75" x14ac:dyDescent="0.2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69"/>
      <c r="N440" s="269"/>
      <c r="O440" s="270"/>
      <c r="P440" s="270"/>
      <c r="Q440" s="270"/>
      <c r="R440" s="203"/>
      <c r="S440" s="203"/>
      <c r="T440" s="269"/>
      <c r="U440" s="203"/>
      <c r="V440" s="203"/>
      <c r="W440" s="269"/>
      <c r="X440" s="206"/>
      <c r="Y440" s="206"/>
      <c r="Z440" s="206"/>
    </row>
    <row r="441" spans="1:26" ht="12.75" x14ac:dyDescent="0.2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69"/>
      <c r="N441" s="269"/>
      <c r="O441" s="270"/>
      <c r="P441" s="270"/>
      <c r="Q441" s="270"/>
      <c r="R441" s="203"/>
      <c r="S441" s="203"/>
      <c r="T441" s="269"/>
      <c r="U441" s="203"/>
      <c r="V441" s="203"/>
      <c r="W441" s="269"/>
      <c r="X441" s="206"/>
      <c r="Y441" s="206"/>
      <c r="Z441" s="206"/>
    </row>
    <row r="442" spans="1:26" ht="12.75" x14ac:dyDescent="0.2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69"/>
      <c r="N442" s="269"/>
      <c r="O442" s="270"/>
      <c r="P442" s="270"/>
      <c r="Q442" s="270"/>
      <c r="R442" s="203"/>
      <c r="S442" s="203"/>
      <c r="T442" s="269"/>
      <c r="U442" s="203"/>
      <c r="V442" s="203"/>
      <c r="W442" s="269"/>
      <c r="X442" s="206"/>
      <c r="Y442" s="206"/>
      <c r="Z442" s="206"/>
    </row>
    <row r="443" spans="1:26" ht="12.75" x14ac:dyDescent="0.2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69"/>
      <c r="N443" s="269"/>
      <c r="O443" s="270"/>
      <c r="P443" s="270"/>
      <c r="Q443" s="270"/>
      <c r="R443" s="203"/>
      <c r="S443" s="203"/>
      <c r="T443" s="269"/>
      <c r="U443" s="203"/>
      <c r="V443" s="203"/>
      <c r="W443" s="269"/>
      <c r="X443" s="206"/>
      <c r="Y443" s="206"/>
      <c r="Z443" s="206"/>
    </row>
    <row r="444" spans="1:26" ht="12.75" x14ac:dyDescent="0.2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69"/>
      <c r="N444" s="269"/>
      <c r="O444" s="270"/>
      <c r="P444" s="270"/>
      <c r="Q444" s="270"/>
      <c r="R444" s="203"/>
      <c r="S444" s="203"/>
      <c r="T444" s="269"/>
      <c r="U444" s="203"/>
      <c r="V444" s="203"/>
      <c r="W444" s="269"/>
      <c r="X444" s="206"/>
      <c r="Y444" s="206"/>
      <c r="Z444" s="206"/>
    </row>
    <row r="445" spans="1:26" ht="12.75" x14ac:dyDescent="0.2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69"/>
      <c r="N445" s="269"/>
      <c r="O445" s="270"/>
      <c r="P445" s="270"/>
      <c r="Q445" s="270"/>
      <c r="R445" s="203"/>
      <c r="S445" s="203"/>
      <c r="T445" s="269"/>
      <c r="U445" s="203"/>
      <c r="V445" s="203"/>
      <c r="W445" s="269"/>
      <c r="X445" s="206"/>
      <c r="Y445" s="206"/>
      <c r="Z445" s="206"/>
    </row>
    <row r="446" spans="1:26" ht="12.75" x14ac:dyDescent="0.2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69"/>
      <c r="N446" s="269"/>
      <c r="O446" s="270"/>
      <c r="P446" s="270"/>
      <c r="Q446" s="270"/>
      <c r="R446" s="203"/>
      <c r="S446" s="203"/>
      <c r="T446" s="269"/>
      <c r="U446" s="203"/>
      <c r="V446" s="203"/>
      <c r="W446" s="269"/>
      <c r="X446" s="206"/>
      <c r="Y446" s="206"/>
      <c r="Z446" s="206"/>
    </row>
    <row r="447" spans="1:26" ht="12.75" x14ac:dyDescent="0.2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69"/>
      <c r="N447" s="269"/>
      <c r="O447" s="270"/>
      <c r="P447" s="270"/>
      <c r="Q447" s="270"/>
      <c r="R447" s="203"/>
      <c r="S447" s="203"/>
      <c r="T447" s="269"/>
      <c r="U447" s="203"/>
      <c r="V447" s="203"/>
      <c r="W447" s="269"/>
      <c r="X447" s="206"/>
      <c r="Y447" s="206"/>
      <c r="Z447" s="206"/>
    </row>
    <row r="448" spans="1:26" ht="12.75" x14ac:dyDescent="0.2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69"/>
      <c r="N448" s="269"/>
      <c r="O448" s="270"/>
      <c r="P448" s="270"/>
      <c r="Q448" s="270"/>
      <c r="R448" s="203"/>
      <c r="S448" s="203"/>
      <c r="T448" s="269"/>
      <c r="U448" s="203"/>
      <c r="V448" s="203"/>
      <c r="W448" s="269"/>
      <c r="X448" s="206"/>
      <c r="Y448" s="206"/>
      <c r="Z448" s="206"/>
    </row>
    <row r="449" spans="1:26" ht="12.75" x14ac:dyDescent="0.2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69"/>
      <c r="N449" s="269"/>
      <c r="O449" s="270"/>
      <c r="P449" s="270"/>
      <c r="Q449" s="270"/>
      <c r="R449" s="203"/>
      <c r="S449" s="203"/>
      <c r="T449" s="269"/>
      <c r="U449" s="203"/>
      <c r="V449" s="203"/>
      <c r="W449" s="269"/>
      <c r="X449" s="206"/>
      <c r="Y449" s="206"/>
      <c r="Z449" s="206"/>
    </row>
    <row r="450" spans="1:26" ht="12.75" x14ac:dyDescent="0.2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69"/>
      <c r="N450" s="269"/>
      <c r="O450" s="270"/>
      <c r="P450" s="270"/>
      <c r="Q450" s="270"/>
      <c r="R450" s="203"/>
      <c r="S450" s="203"/>
      <c r="T450" s="269"/>
      <c r="U450" s="203"/>
      <c r="V450" s="203"/>
      <c r="W450" s="269"/>
      <c r="X450" s="206"/>
      <c r="Y450" s="206"/>
      <c r="Z450" s="206"/>
    </row>
    <row r="451" spans="1:26" ht="12.75" x14ac:dyDescent="0.2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69"/>
      <c r="N451" s="269"/>
      <c r="O451" s="270"/>
      <c r="P451" s="270"/>
      <c r="Q451" s="270"/>
      <c r="R451" s="203"/>
      <c r="S451" s="203"/>
      <c r="T451" s="269"/>
      <c r="U451" s="203"/>
      <c r="V451" s="203"/>
      <c r="W451" s="269"/>
      <c r="X451" s="206"/>
      <c r="Y451" s="206"/>
      <c r="Z451" s="206"/>
    </row>
    <row r="452" spans="1:26" ht="12.75" x14ac:dyDescent="0.2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69"/>
      <c r="N452" s="269"/>
      <c r="O452" s="270"/>
      <c r="P452" s="270"/>
      <c r="Q452" s="270"/>
      <c r="R452" s="203"/>
      <c r="S452" s="203"/>
      <c r="T452" s="269"/>
      <c r="U452" s="203"/>
      <c r="V452" s="203"/>
      <c r="W452" s="269"/>
      <c r="X452" s="206"/>
      <c r="Y452" s="206"/>
      <c r="Z452" s="206"/>
    </row>
    <row r="453" spans="1:26" ht="12.75" x14ac:dyDescent="0.2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69"/>
      <c r="N453" s="269"/>
      <c r="O453" s="270"/>
      <c r="P453" s="270"/>
      <c r="Q453" s="270"/>
      <c r="R453" s="203"/>
      <c r="S453" s="203"/>
      <c r="T453" s="269"/>
      <c r="U453" s="203"/>
      <c r="V453" s="203"/>
      <c r="W453" s="269"/>
      <c r="X453" s="206"/>
      <c r="Y453" s="206"/>
      <c r="Z453" s="206"/>
    </row>
    <row r="454" spans="1:26" ht="12.75" x14ac:dyDescent="0.2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69"/>
      <c r="N454" s="269"/>
      <c r="O454" s="270"/>
      <c r="P454" s="270"/>
      <c r="Q454" s="270"/>
      <c r="R454" s="203"/>
      <c r="S454" s="203"/>
      <c r="T454" s="269"/>
      <c r="U454" s="203"/>
      <c r="V454" s="203"/>
      <c r="W454" s="269"/>
      <c r="X454" s="206"/>
      <c r="Y454" s="206"/>
      <c r="Z454" s="206"/>
    </row>
    <row r="455" spans="1:26" ht="12.75" x14ac:dyDescent="0.2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69"/>
      <c r="N455" s="269"/>
      <c r="O455" s="270"/>
      <c r="P455" s="270"/>
      <c r="Q455" s="270"/>
      <c r="R455" s="203"/>
      <c r="S455" s="203"/>
      <c r="T455" s="269"/>
      <c r="U455" s="203"/>
      <c r="V455" s="203"/>
      <c r="W455" s="269"/>
      <c r="X455" s="206"/>
      <c r="Y455" s="206"/>
      <c r="Z455" s="206"/>
    </row>
    <row r="456" spans="1:26" ht="12.75" x14ac:dyDescent="0.2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69"/>
      <c r="N456" s="269"/>
      <c r="O456" s="270"/>
      <c r="P456" s="270"/>
      <c r="Q456" s="270"/>
      <c r="R456" s="203"/>
      <c r="S456" s="203"/>
      <c r="T456" s="269"/>
      <c r="U456" s="203"/>
      <c r="V456" s="203"/>
      <c r="W456" s="269"/>
      <c r="X456" s="206"/>
      <c r="Y456" s="206"/>
      <c r="Z456" s="206"/>
    </row>
    <row r="457" spans="1:26" ht="12.75" x14ac:dyDescent="0.2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69"/>
      <c r="N457" s="269"/>
      <c r="O457" s="270"/>
      <c r="P457" s="270"/>
      <c r="Q457" s="270"/>
      <c r="R457" s="203"/>
      <c r="S457" s="203"/>
      <c r="T457" s="269"/>
      <c r="U457" s="203"/>
      <c r="V457" s="203"/>
      <c r="W457" s="269"/>
      <c r="X457" s="206"/>
      <c r="Y457" s="206"/>
      <c r="Z457" s="206"/>
    </row>
    <row r="458" spans="1:26" ht="12.75" x14ac:dyDescent="0.2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69"/>
      <c r="N458" s="269"/>
      <c r="O458" s="270"/>
      <c r="P458" s="270"/>
      <c r="Q458" s="270"/>
      <c r="R458" s="203"/>
      <c r="S458" s="203"/>
      <c r="T458" s="269"/>
      <c r="U458" s="203"/>
      <c r="V458" s="203"/>
      <c r="W458" s="269"/>
      <c r="X458" s="206"/>
      <c r="Y458" s="206"/>
      <c r="Z458" s="206"/>
    </row>
    <row r="459" spans="1:26" ht="12.75" x14ac:dyDescent="0.2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69"/>
      <c r="N459" s="269"/>
      <c r="O459" s="270"/>
      <c r="P459" s="270"/>
      <c r="Q459" s="270"/>
      <c r="R459" s="203"/>
      <c r="S459" s="203"/>
      <c r="T459" s="269"/>
      <c r="U459" s="203"/>
      <c r="V459" s="203"/>
      <c r="W459" s="269"/>
      <c r="X459" s="206"/>
      <c r="Y459" s="206"/>
      <c r="Z459" s="206"/>
    </row>
    <row r="460" spans="1:26" ht="12.75" x14ac:dyDescent="0.2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69"/>
      <c r="N460" s="269"/>
      <c r="O460" s="270"/>
      <c r="P460" s="270"/>
      <c r="Q460" s="270"/>
      <c r="R460" s="203"/>
      <c r="S460" s="203"/>
      <c r="T460" s="269"/>
      <c r="U460" s="203"/>
      <c r="V460" s="203"/>
      <c r="W460" s="269"/>
      <c r="X460" s="206"/>
      <c r="Y460" s="206"/>
      <c r="Z460" s="206"/>
    </row>
    <row r="461" spans="1:26" ht="12.75" x14ac:dyDescent="0.2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69"/>
      <c r="N461" s="269"/>
      <c r="O461" s="270"/>
      <c r="P461" s="270"/>
      <c r="Q461" s="270"/>
      <c r="R461" s="203"/>
      <c r="S461" s="203"/>
      <c r="T461" s="269"/>
      <c r="U461" s="203"/>
      <c r="V461" s="203"/>
      <c r="W461" s="269"/>
      <c r="X461" s="206"/>
      <c r="Y461" s="206"/>
      <c r="Z461" s="206"/>
    </row>
    <row r="462" spans="1:26" ht="12.75" x14ac:dyDescent="0.2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69"/>
      <c r="N462" s="269"/>
      <c r="O462" s="270"/>
      <c r="P462" s="270"/>
      <c r="Q462" s="270"/>
      <c r="R462" s="203"/>
      <c r="S462" s="203"/>
      <c r="T462" s="269"/>
      <c r="U462" s="203"/>
      <c r="V462" s="203"/>
      <c r="W462" s="269"/>
      <c r="X462" s="206"/>
      <c r="Y462" s="206"/>
      <c r="Z462" s="206"/>
    </row>
    <row r="463" spans="1:26" ht="12.75" x14ac:dyDescent="0.2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69"/>
      <c r="N463" s="269"/>
      <c r="O463" s="270"/>
      <c r="P463" s="270"/>
      <c r="Q463" s="270"/>
      <c r="R463" s="203"/>
      <c r="S463" s="203"/>
      <c r="T463" s="269"/>
      <c r="U463" s="203"/>
      <c r="V463" s="203"/>
      <c r="W463" s="269"/>
      <c r="X463" s="206"/>
      <c r="Y463" s="206"/>
      <c r="Z463" s="206"/>
    </row>
    <row r="464" spans="1:26" ht="12.75" x14ac:dyDescent="0.2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69"/>
      <c r="N464" s="269"/>
      <c r="O464" s="270"/>
      <c r="P464" s="270"/>
      <c r="Q464" s="270"/>
      <c r="R464" s="203"/>
      <c r="S464" s="203"/>
      <c r="T464" s="269"/>
      <c r="U464" s="203"/>
      <c r="V464" s="203"/>
      <c r="W464" s="269"/>
      <c r="X464" s="206"/>
      <c r="Y464" s="206"/>
      <c r="Z464" s="206"/>
    </row>
    <row r="465" spans="1:26" ht="12.75" x14ac:dyDescent="0.2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69"/>
      <c r="N465" s="269"/>
      <c r="O465" s="270"/>
      <c r="P465" s="270"/>
      <c r="Q465" s="270"/>
      <c r="R465" s="203"/>
      <c r="S465" s="203"/>
      <c r="T465" s="269"/>
      <c r="U465" s="203"/>
      <c r="V465" s="203"/>
      <c r="W465" s="269"/>
      <c r="X465" s="206"/>
      <c r="Y465" s="206"/>
      <c r="Z465" s="206"/>
    </row>
    <row r="466" spans="1:26" ht="12.75" x14ac:dyDescent="0.2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69"/>
      <c r="N466" s="269"/>
      <c r="O466" s="270"/>
      <c r="P466" s="270"/>
      <c r="Q466" s="270"/>
      <c r="R466" s="203"/>
      <c r="S466" s="203"/>
      <c r="T466" s="269"/>
      <c r="U466" s="203"/>
      <c r="V466" s="203"/>
      <c r="W466" s="269"/>
      <c r="X466" s="206"/>
      <c r="Y466" s="206"/>
      <c r="Z466" s="206"/>
    </row>
    <row r="467" spans="1:26" ht="12.75" x14ac:dyDescent="0.2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69"/>
      <c r="N467" s="269"/>
      <c r="O467" s="270"/>
      <c r="P467" s="270"/>
      <c r="Q467" s="270"/>
      <c r="R467" s="203"/>
      <c r="S467" s="203"/>
      <c r="T467" s="269"/>
      <c r="U467" s="203"/>
      <c r="V467" s="203"/>
      <c r="W467" s="269"/>
      <c r="X467" s="206"/>
      <c r="Y467" s="206"/>
      <c r="Z467" s="206"/>
    </row>
    <row r="468" spans="1:26" ht="12.75" x14ac:dyDescent="0.2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69"/>
      <c r="N468" s="269"/>
      <c r="O468" s="270"/>
      <c r="P468" s="270"/>
      <c r="Q468" s="270"/>
      <c r="R468" s="203"/>
      <c r="S468" s="203"/>
      <c r="T468" s="269"/>
      <c r="U468" s="203"/>
      <c r="V468" s="203"/>
      <c r="W468" s="269"/>
      <c r="X468" s="206"/>
      <c r="Y468" s="206"/>
      <c r="Z468" s="206"/>
    </row>
    <row r="469" spans="1:26" ht="12.75" x14ac:dyDescent="0.2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69"/>
      <c r="N469" s="269"/>
      <c r="O469" s="270"/>
      <c r="P469" s="270"/>
      <c r="Q469" s="270"/>
      <c r="R469" s="203"/>
      <c r="S469" s="203"/>
      <c r="T469" s="269"/>
      <c r="U469" s="203"/>
      <c r="V469" s="203"/>
      <c r="W469" s="269"/>
      <c r="X469" s="206"/>
      <c r="Y469" s="206"/>
      <c r="Z469" s="206"/>
    </row>
    <row r="470" spans="1:26" ht="12.75" x14ac:dyDescent="0.2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69"/>
      <c r="N470" s="269"/>
      <c r="O470" s="270"/>
      <c r="P470" s="270"/>
      <c r="Q470" s="270"/>
      <c r="R470" s="203"/>
      <c r="S470" s="203"/>
      <c r="T470" s="269"/>
      <c r="U470" s="203"/>
      <c r="V470" s="203"/>
      <c r="W470" s="269"/>
      <c r="X470" s="206"/>
      <c r="Y470" s="206"/>
      <c r="Z470" s="206"/>
    </row>
    <row r="471" spans="1:26" ht="12.75" x14ac:dyDescent="0.2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69"/>
      <c r="N471" s="269"/>
      <c r="O471" s="270"/>
      <c r="P471" s="270"/>
      <c r="Q471" s="270"/>
      <c r="R471" s="203"/>
      <c r="S471" s="203"/>
      <c r="T471" s="269"/>
      <c r="U471" s="203"/>
      <c r="V471" s="203"/>
      <c r="W471" s="269"/>
      <c r="X471" s="206"/>
      <c r="Y471" s="206"/>
      <c r="Z471" s="206"/>
    </row>
    <row r="472" spans="1:26" ht="12.75" x14ac:dyDescent="0.2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69"/>
      <c r="N472" s="269"/>
      <c r="O472" s="270"/>
      <c r="P472" s="270"/>
      <c r="Q472" s="270"/>
      <c r="R472" s="203"/>
      <c r="S472" s="203"/>
      <c r="T472" s="269"/>
      <c r="U472" s="203"/>
      <c r="V472" s="203"/>
      <c r="W472" s="269"/>
      <c r="X472" s="206"/>
      <c r="Y472" s="206"/>
      <c r="Z472" s="206"/>
    </row>
    <row r="473" spans="1:26" ht="12.75" x14ac:dyDescent="0.2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69"/>
      <c r="N473" s="269"/>
      <c r="O473" s="270"/>
      <c r="P473" s="270"/>
      <c r="Q473" s="270"/>
      <c r="R473" s="203"/>
      <c r="S473" s="203"/>
      <c r="T473" s="269"/>
      <c r="U473" s="203"/>
      <c r="V473" s="203"/>
      <c r="W473" s="269"/>
      <c r="X473" s="206"/>
      <c r="Y473" s="206"/>
      <c r="Z473" s="206"/>
    </row>
    <row r="474" spans="1:26" ht="12.75" x14ac:dyDescent="0.2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69"/>
      <c r="N474" s="269"/>
      <c r="O474" s="270"/>
      <c r="P474" s="270"/>
      <c r="Q474" s="270"/>
      <c r="R474" s="203"/>
      <c r="S474" s="203"/>
      <c r="T474" s="269"/>
      <c r="U474" s="203"/>
      <c r="V474" s="203"/>
      <c r="W474" s="269"/>
      <c r="X474" s="206"/>
      <c r="Y474" s="206"/>
      <c r="Z474" s="206"/>
    </row>
    <row r="475" spans="1:26" ht="12.75" x14ac:dyDescent="0.2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69"/>
      <c r="N475" s="269"/>
      <c r="O475" s="270"/>
      <c r="P475" s="270"/>
      <c r="Q475" s="270"/>
      <c r="R475" s="203"/>
      <c r="S475" s="203"/>
      <c r="T475" s="269"/>
      <c r="U475" s="203"/>
      <c r="V475" s="203"/>
      <c r="W475" s="269"/>
      <c r="X475" s="206"/>
      <c r="Y475" s="206"/>
      <c r="Z475" s="206"/>
    </row>
    <row r="476" spans="1:26" ht="12.75" x14ac:dyDescent="0.2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69"/>
      <c r="N476" s="269"/>
      <c r="O476" s="270"/>
      <c r="P476" s="270"/>
      <c r="Q476" s="270"/>
      <c r="R476" s="203"/>
      <c r="S476" s="203"/>
      <c r="T476" s="269"/>
      <c r="U476" s="203"/>
      <c r="V476" s="203"/>
      <c r="W476" s="269"/>
      <c r="X476" s="206"/>
      <c r="Y476" s="206"/>
      <c r="Z476" s="206"/>
    </row>
    <row r="477" spans="1:26" ht="12.75" x14ac:dyDescent="0.2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69"/>
      <c r="N477" s="269"/>
      <c r="O477" s="270"/>
      <c r="P477" s="270"/>
      <c r="Q477" s="270"/>
      <c r="R477" s="203"/>
      <c r="S477" s="203"/>
      <c r="T477" s="269"/>
      <c r="U477" s="203"/>
      <c r="V477" s="203"/>
      <c r="W477" s="269"/>
      <c r="X477" s="206"/>
      <c r="Y477" s="206"/>
      <c r="Z477" s="206"/>
    </row>
    <row r="478" spans="1:26" ht="12.75" x14ac:dyDescent="0.2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69"/>
      <c r="N478" s="269"/>
      <c r="O478" s="270"/>
      <c r="P478" s="270"/>
      <c r="Q478" s="270"/>
      <c r="R478" s="203"/>
      <c r="S478" s="203"/>
      <c r="T478" s="269"/>
      <c r="U478" s="203"/>
      <c r="V478" s="203"/>
      <c r="W478" s="269"/>
      <c r="X478" s="206"/>
      <c r="Y478" s="206"/>
      <c r="Z478" s="206"/>
    </row>
    <row r="479" spans="1:26" ht="12.75" x14ac:dyDescent="0.2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69"/>
      <c r="N479" s="269"/>
      <c r="O479" s="270"/>
      <c r="P479" s="270"/>
      <c r="Q479" s="270"/>
      <c r="R479" s="203"/>
      <c r="S479" s="203"/>
      <c r="T479" s="269"/>
      <c r="U479" s="203"/>
      <c r="V479" s="203"/>
      <c r="W479" s="269"/>
      <c r="X479" s="206"/>
      <c r="Y479" s="206"/>
      <c r="Z479" s="206"/>
    </row>
    <row r="480" spans="1:26" ht="12.75" x14ac:dyDescent="0.2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69"/>
      <c r="N480" s="269"/>
      <c r="O480" s="270"/>
      <c r="P480" s="270"/>
      <c r="Q480" s="270"/>
      <c r="R480" s="203"/>
      <c r="S480" s="203"/>
      <c r="T480" s="269"/>
      <c r="U480" s="203"/>
      <c r="V480" s="203"/>
      <c r="W480" s="269"/>
      <c r="X480" s="206"/>
      <c r="Y480" s="206"/>
      <c r="Z480" s="206"/>
    </row>
    <row r="481" spans="1:26" ht="12.75" x14ac:dyDescent="0.2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69"/>
      <c r="N481" s="269"/>
      <c r="O481" s="270"/>
      <c r="P481" s="270"/>
      <c r="Q481" s="270"/>
      <c r="R481" s="203"/>
      <c r="S481" s="203"/>
      <c r="T481" s="269"/>
      <c r="U481" s="203"/>
      <c r="V481" s="203"/>
      <c r="W481" s="269"/>
      <c r="X481" s="206"/>
      <c r="Y481" s="206"/>
      <c r="Z481" s="206"/>
    </row>
    <row r="482" spans="1:26" ht="12.75" x14ac:dyDescent="0.2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69"/>
      <c r="N482" s="269"/>
      <c r="O482" s="270"/>
      <c r="P482" s="270"/>
      <c r="Q482" s="270"/>
      <c r="R482" s="203"/>
      <c r="S482" s="203"/>
      <c r="T482" s="269"/>
      <c r="U482" s="203"/>
      <c r="V482" s="203"/>
      <c r="W482" s="269"/>
      <c r="X482" s="206"/>
      <c r="Y482" s="206"/>
      <c r="Z482" s="206"/>
    </row>
    <row r="483" spans="1:26" ht="12.75" x14ac:dyDescent="0.2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69"/>
      <c r="N483" s="269"/>
      <c r="O483" s="270"/>
      <c r="P483" s="270"/>
      <c r="Q483" s="270"/>
      <c r="R483" s="203"/>
      <c r="S483" s="203"/>
      <c r="T483" s="269"/>
      <c r="U483" s="203"/>
      <c r="V483" s="203"/>
      <c r="W483" s="269"/>
      <c r="X483" s="206"/>
      <c r="Y483" s="206"/>
      <c r="Z483" s="206"/>
    </row>
    <row r="484" spans="1:26" ht="12.75" x14ac:dyDescent="0.2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69"/>
      <c r="N484" s="269"/>
      <c r="O484" s="270"/>
      <c r="P484" s="270"/>
      <c r="Q484" s="270"/>
      <c r="R484" s="203"/>
      <c r="S484" s="203"/>
      <c r="T484" s="269"/>
      <c r="U484" s="203"/>
      <c r="V484" s="203"/>
      <c r="W484" s="269"/>
      <c r="X484" s="206"/>
      <c r="Y484" s="206"/>
      <c r="Z484" s="206"/>
    </row>
    <row r="485" spans="1:26" ht="12.75" x14ac:dyDescent="0.2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69"/>
      <c r="N485" s="269"/>
      <c r="O485" s="270"/>
      <c r="P485" s="270"/>
      <c r="Q485" s="270"/>
      <c r="R485" s="203"/>
      <c r="S485" s="203"/>
      <c r="T485" s="269"/>
      <c r="U485" s="203"/>
      <c r="V485" s="203"/>
      <c r="W485" s="269"/>
      <c r="X485" s="206"/>
      <c r="Y485" s="206"/>
      <c r="Z485" s="206"/>
    </row>
    <row r="486" spans="1:26" ht="12.75" x14ac:dyDescent="0.2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69"/>
      <c r="N486" s="269"/>
      <c r="O486" s="270"/>
      <c r="P486" s="270"/>
      <c r="Q486" s="270"/>
      <c r="R486" s="203"/>
      <c r="S486" s="203"/>
      <c r="T486" s="269"/>
      <c r="U486" s="203"/>
      <c r="V486" s="203"/>
      <c r="W486" s="269"/>
      <c r="X486" s="206"/>
      <c r="Y486" s="206"/>
      <c r="Z486" s="206"/>
    </row>
    <row r="487" spans="1:26" ht="12.75" x14ac:dyDescent="0.2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69"/>
      <c r="N487" s="269"/>
      <c r="O487" s="270"/>
      <c r="P487" s="270"/>
      <c r="Q487" s="270"/>
      <c r="R487" s="203"/>
      <c r="S487" s="203"/>
      <c r="T487" s="269"/>
      <c r="U487" s="203"/>
      <c r="V487" s="203"/>
      <c r="W487" s="269"/>
      <c r="X487" s="206"/>
      <c r="Y487" s="206"/>
      <c r="Z487" s="206"/>
    </row>
    <row r="488" spans="1:26" ht="12.75" x14ac:dyDescent="0.2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69"/>
      <c r="N488" s="269"/>
      <c r="O488" s="270"/>
      <c r="P488" s="270"/>
      <c r="Q488" s="270"/>
      <c r="R488" s="203"/>
      <c r="S488" s="203"/>
      <c r="T488" s="269"/>
      <c r="U488" s="203"/>
      <c r="V488" s="203"/>
      <c r="W488" s="269"/>
      <c r="X488" s="206"/>
      <c r="Y488" s="206"/>
      <c r="Z488" s="206"/>
    </row>
    <row r="489" spans="1:26" ht="12.75" x14ac:dyDescent="0.2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69"/>
      <c r="N489" s="269"/>
      <c r="O489" s="270"/>
      <c r="P489" s="270"/>
      <c r="Q489" s="270"/>
      <c r="R489" s="203"/>
      <c r="S489" s="203"/>
      <c r="T489" s="269"/>
      <c r="U489" s="203"/>
      <c r="V489" s="203"/>
      <c r="W489" s="269"/>
      <c r="X489" s="206"/>
      <c r="Y489" s="206"/>
      <c r="Z489" s="206"/>
    </row>
    <row r="490" spans="1:26" ht="12.75" x14ac:dyDescent="0.2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69"/>
      <c r="N490" s="269"/>
      <c r="O490" s="270"/>
      <c r="P490" s="270"/>
      <c r="Q490" s="270"/>
      <c r="R490" s="203"/>
      <c r="S490" s="203"/>
      <c r="T490" s="269"/>
      <c r="U490" s="203"/>
      <c r="V490" s="203"/>
      <c r="W490" s="269"/>
      <c r="X490" s="206"/>
      <c r="Y490" s="206"/>
      <c r="Z490" s="206"/>
    </row>
    <row r="491" spans="1:26" ht="12.75" x14ac:dyDescent="0.2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69"/>
      <c r="N491" s="269"/>
      <c r="O491" s="270"/>
      <c r="P491" s="270"/>
      <c r="Q491" s="270"/>
      <c r="R491" s="203"/>
      <c r="S491" s="203"/>
      <c r="T491" s="269"/>
      <c r="U491" s="203"/>
      <c r="V491" s="203"/>
      <c r="W491" s="269"/>
      <c r="X491" s="206"/>
      <c r="Y491" s="206"/>
      <c r="Z491" s="206"/>
    </row>
    <row r="492" spans="1:26" ht="12.75" x14ac:dyDescent="0.2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69"/>
      <c r="N492" s="269"/>
      <c r="O492" s="270"/>
      <c r="P492" s="270"/>
      <c r="Q492" s="270"/>
      <c r="R492" s="203"/>
      <c r="S492" s="203"/>
      <c r="T492" s="269"/>
      <c r="U492" s="203"/>
      <c r="V492" s="203"/>
      <c r="W492" s="269"/>
      <c r="X492" s="206"/>
      <c r="Y492" s="206"/>
      <c r="Z492" s="206"/>
    </row>
    <row r="493" spans="1:26" ht="12.75" x14ac:dyDescent="0.2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69"/>
      <c r="N493" s="269"/>
      <c r="O493" s="270"/>
      <c r="P493" s="270"/>
      <c r="Q493" s="270"/>
      <c r="R493" s="203"/>
      <c r="S493" s="203"/>
      <c r="T493" s="269"/>
      <c r="U493" s="203"/>
      <c r="V493" s="203"/>
      <c r="W493" s="269"/>
      <c r="X493" s="206"/>
      <c r="Y493" s="206"/>
      <c r="Z493" s="206"/>
    </row>
    <row r="494" spans="1:26" ht="12.75" x14ac:dyDescent="0.2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69"/>
      <c r="N494" s="269"/>
      <c r="O494" s="270"/>
      <c r="P494" s="270"/>
      <c r="Q494" s="270"/>
      <c r="R494" s="203"/>
      <c r="S494" s="203"/>
      <c r="T494" s="269"/>
      <c r="U494" s="203"/>
      <c r="V494" s="203"/>
      <c r="W494" s="269"/>
      <c r="X494" s="206"/>
      <c r="Y494" s="206"/>
      <c r="Z494" s="206"/>
    </row>
    <row r="495" spans="1:26" ht="12.75" x14ac:dyDescent="0.2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69"/>
      <c r="N495" s="269"/>
      <c r="O495" s="270"/>
      <c r="P495" s="270"/>
      <c r="Q495" s="270"/>
      <c r="R495" s="203"/>
      <c r="S495" s="203"/>
      <c r="T495" s="269"/>
      <c r="U495" s="203"/>
      <c r="V495" s="203"/>
      <c r="W495" s="269"/>
      <c r="X495" s="206"/>
      <c r="Y495" s="206"/>
      <c r="Z495" s="206"/>
    </row>
    <row r="496" spans="1:26" ht="12.75" x14ac:dyDescent="0.2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69"/>
      <c r="N496" s="269"/>
      <c r="O496" s="270"/>
      <c r="P496" s="270"/>
      <c r="Q496" s="270"/>
      <c r="R496" s="203"/>
      <c r="S496" s="203"/>
      <c r="T496" s="269"/>
      <c r="U496" s="203"/>
      <c r="V496" s="203"/>
      <c r="W496" s="269"/>
      <c r="X496" s="206"/>
      <c r="Y496" s="206"/>
      <c r="Z496" s="206"/>
    </row>
    <row r="497" spans="1:26" ht="12.75" x14ac:dyDescent="0.2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69"/>
      <c r="N497" s="269"/>
      <c r="O497" s="270"/>
      <c r="P497" s="270"/>
      <c r="Q497" s="270"/>
      <c r="R497" s="203"/>
      <c r="S497" s="203"/>
      <c r="T497" s="269"/>
      <c r="U497" s="203"/>
      <c r="V497" s="203"/>
      <c r="W497" s="269"/>
      <c r="X497" s="206"/>
      <c r="Y497" s="206"/>
      <c r="Z497" s="206"/>
    </row>
    <row r="498" spans="1:26" ht="12.75" x14ac:dyDescent="0.2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69"/>
      <c r="N498" s="269"/>
      <c r="O498" s="270"/>
      <c r="P498" s="270"/>
      <c r="Q498" s="270"/>
      <c r="R498" s="203"/>
      <c r="S498" s="203"/>
      <c r="T498" s="269"/>
      <c r="U498" s="203"/>
      <c r="V498" s="203"/>
      <c r="W498" s="269"/>
      <c r="X498" s="206"/>
      <c r="Y498" s="206"/>
      <c r="Z498" s="206"/>
    </row>
    <row r="499" spans="1:26" ht="12.75" x14ac:dyDescent="0.2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69"/>
      <c r="N499" s="269"/>
      <c r="O499" s="270"/>
      <c r="P499" s="270"/>
      <c r="Q499" s="270"/>
      <c r="R499" s="203"/>
      <c r="S499" s="203"/>
      <c r="T499" s="269"/>
      <c r="U499" s="203"/>
      <c r="V499" s="203"/>
      <c r="W499" s="269"/>
      <c r="X499" s="206"/>
      <c r="Y499" s="206"/>
      <c r="Z499" s="206"/>
    </row>
    <row r="500" spans="1:26" ht="12.75" x14ac:dyDescent="0.2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69"/>
      <c r="N500" s="269"/>
      <c r="O500" s="270"/>
      <c r="P500" s="270"/>
      <c r="Q500" s="270"/>
      <c r="R500" s="203"/>
      <c r="S500" s="203"/>
      <c r="T500" s="269"/>
      <c r="U500" s="203"/>
      <c r="V500" s="203"/>
      <c r="W500" s="269"/>
      <c r="X500" s="206"/>
      <c r="Y500" s="206"/>
      <c r="Z500" s="206"/>
    </row>
    <row r="501" spans="1:26" ht="12.75" x14ac:dyDescent="0.2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69"/>
      <c r="N501" s="269"/>
      <c r="O501" s="270"/>
      <c r="P501" s="270"/>
      <c r="Q501" s="270"/>
      <c r="R501" s="203"/>
      <c r="S501" s="203"/>
      <c r="T501" s="269"/>
      <c r="U501" s="203"/>
      <c r="V501" s="203"/>
      <c r="W501" s="269"/>
      <c r="X501" s="206"/>
      <c r="Y501" s="206"/>
      <c r="Z501" s="206"/>
    </row>
    <row r="502" spans="1:26" ht="12.75" x14ac:dyDescent="0.2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69"/>
      <c r="N502" s="269"/>
      <c r="O502" s="270"/>
      <c r="P502" s="270"/>
      <c r="Q502" s="270"/>
      <c r="R502" s="203"/>
      <c r="S502" s="203"/>
      <c r="T502" s="269"/>
      <c r="U502" s="203"/>
      <c r="V502" s="203"/>
      <c r="W502" s="269"/>
      <c r="X502" s="206"/>
      <c r="Y502" s="206"/>
      <c r="Z502" s="206"/>
    </row>
    <row r="503" spans="1:26" ht="12.75" x14ac:dyDescent="0.2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69"/>
      <c r="N503" s="269"/>
      <c r="O503" s="270"/>
      <c r="P503" s="270"/>
      <c r="Q503" s="270"/>
      <c r="R503" s="203"/>
      <c r="S503" s="203"/>
      <c r="T503" s="269"/>
      <c r="U503" s="203"/>
      <c r="V503" s="203"/>
      <c r="W503" s="269"/>
      <c r="X503" s="206"/>
      <c r="Y503" s="206"/>
      <c r="Z503" s="206"/>
    </row>
    <row r="504" spans="1:26" ht="12.75" x14ac:dyDescent="0.2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69"/>
      <c r="N504" s="269"/>
      <c r="O504" s="270"/>
      <c r="P504" s="270"/>
      <c r="Q504" s="270"/>
      <c r="R504" s="203"/>
      <c r="S504" s="203"/>
      <c r="T504" s="269"/>
      <c r="U504" s="203"/>
      <c r="V504" s="203"/>
      <c r="W504" s="269"/>
      <c r="X504" s="206"/>
      <c r="Y504" s="206"/>
      <c r="Z504" s="206"/>
    </row>
    <row r="505" spans="1:26" ht="12.75" x14ac:dyDescent="0.2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69"/>
      <c r="N505" s="269"/>
      <c r="O505" s="270"/>
      <c r="P505" s="270"/>
      <c r="Q505" s="270"/>
      <c r="R505" s="203"/>
      <c r="S505" s="203"/>
      <c r="T505" s="269"/>
      <c r="U505" s="203"/>
      <c r="V505" s="203"/>
      <c r="W505" s="269"/>
      <c r="X505" s="206"/>
      <c r="Y505" s="206"/>
      <c r="Z505" s="206"/>
    </row>
    <row r="506" spans="1:26" ht="12.75" x14ac:dyDescent="0.2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69"/>
      <c r="N506" s="269"/>
      <c r="O506" s="270"/>
      <c r="P506" s="270"/>
      <c r="Q506" s="270"/>
      <c r="R506" s="203"/>
      <c r="S506" s="203"/>
      <c r="T506" s="269"/>
      <c r="U506" s="203"/>
      <c r="V506" s="203"/>
      <c r="W506" s="269"/>
      <c r="X506" s="206"/>
      <c r="Y506" s="206"/>
      <c r="Z506" s="206"/>
    </row>
    <row r="507" spans="1:26" ht="12.75" x14ac:dyDescent="0.2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69"/>
      <c r="N507" s="269"/>
      <c r="O507" s="270"/>
      <c r="P507" s="270"/>
      <c r="Q507" s="270"/>
      <c r="R507" s="203"/>
      <c r="S507" s="203"/>
      <c r="T507" s="269"/>
      <c r="U507" s="203"/>
      <c r="V507" s="203"/>
      <c r="W507" s="269"/>
      <c r="X507" s="206"/>
      <c r="Y507" s="206"/>
      <c r="Z507" s="206"/>
    </row>
    <row r="508" spans="1:26" ht="12.75" x14ac:dyDescent="0.2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69"/>
      <c r="N508" s="269"/>
      <c r="O508" s="270"/>
      <c r="P508" s="270"/>
      <c r="Q508" s="270"/>
      <c r="R508" s="203"/>
      <c r="S508" s="203"/>
      <c r="T508" s="269"/>
      <c r="U508" s="203"/>
      <c r="V508" s="203"/>
      <c r="W508" s="269"/>
      <c r="X508" s="206"/>
      <c r="Y508" s="206"/>
      <c r="Z508" s="206"/>
    </row>
    <row r="509" spans="1:26" ht="12.75" x14ac:dyDescent="0.2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69"/>
      <c r="N509" s="269"/>
      <c r="O509" s="270"/>
      <c r="P509" s="270"/>
      <c r="Q509" s="270"/>
      <c r="R509" s="203"/>
      <c r="S509" s="203"/>
      <c r="T509" s="269"/>
      <c r="U509" s="203"/>
      <c r="V509" s="203"/>
      <c r="W509" s="269"/>
      <c r="X509" s="206"/>
      <c r="Y509" s="206"/>
      <c r="Z509" s="206"/>
    </row>
    <row r="510" spans="1:26" ht="12.75" x14ac:dyDescent="0.2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69"/>
      <c r="N510" s="269"/>
      <c r="O510" s="270"/>
      <c r="P510" s="270"/>
      <c r="Q510" s="270"/>
      <c r="R510" s="203"/>
      <c r="S510" s="203"/>
      <c r="T510" s="269"/>
      <c r="U510" s="203"/>
      <c r="V510" s="203"/>
      <c r="W510" s="269"/>
      <c r="X510" s="206"/>
      <c r="Y510" s="206"/>
      <c r="Z510" s="206"/>
    </row>
    <row r="511" spans="1:26" ht="12.75" x14ac:dyDescent="0.2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69"/>
      <c r="N511" s="269"/>
      <c r="O511" s="270"/>
      <c r="P511" s="270"/>
      <c r="Q511" s="270"/>
      <c r="R511" s="203"/>
      <c r="S511" s="203"/>
      <c r="T511" s="269"/>
      <c r="U511" s="203"/>
      <c r="V511" s="203"/>
      <c r="W511" s="269"/>
      <c r="X511" s="206"/>
      <c r="Y511" s="206"/>
      <c r="Z511" s="206"/>
    </row>
    <row r="512" spans="1:26" ht="12.75" x14ac:dyDescent="0.2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69"/>
      <c r="N512" s="269"/>
      <c r="O512" s="270"/>
      <c r="P512" s="270"/>
      <c r="Q512" s="270"/>
      <c r="R512" s="203"/>
      <c r="S512" s="203"/>
      <c r="T512" s="269"/>
      <c r="U512" s="203"/>
      <c r="V512" s="203"/>
      <c r="W512" s="269"/>
      <c r="X512" s="206"/>
      <c r="Y512" s="206"/>
      <c r="Z512" s="206"/>
    </row>
    <row r="513" spans="1:26" ht="12.75" x14ac:dyDescent="0.2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69"/>
      <c r="N513" s="269"/>
      <c r="O513" s="270"/>
      <c r="P513" s="270"/>
      <c r="Q513" s="270"/>
      <c r="R513" s="203"/>
      <c r="S513" s="203"/>
      <c r="T513" s="269"/>
      <c r="U513" s="203"/>
      <c r="V513" s="203"/>
      <c r="W513" s="269"/>
      <c r="X513" s="206"/>
      <c r="Y513" s="206"/>
      <c r="Z513" s="206"/>
    </row>
    <row r="514" spans="1:26" ht="12.75" x14ac:dyDescent="0.2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69"/>
      <c r="N514" s="269"/>
      <c r="O514" s="270"/>
      <c r="P514" s="270"/>
      <c r="Q514" s="270"/>
      <c r="R514" s="203"/>
      <c r="S514" s="203"/>
      <c r="T514" s="269"/>
      <c r="U514" s="203"/>
      <c r="V514" s="203"/>
      <c r="W514" s="269"/>
      <c r="X514" s="206"/>
      <c r="Y514" s="206"/>
      <c r="Z514" s="206"/>
    </row>
    <row r="515" spans="1:26" ht="12.75" x14ac:dyDescent="0.2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69"/>
      <c r="N515" s="269"/>
      <c r="O515" s="270"/>
      <c r="P515" s="270"/>
      <c r="Q515" s="270"/>
      <c r="R515" s="203"/>
      <c r="S515" s="203"/>
      <c r="T515" s="269"/>
      <c r="U515" s="203"/>
      <c r="V515" s="203"/>
      <c r="W515" s="269"/>
      <c r="X515" s="206"/>
      <c r="Y515" s="206"/>
      <c r="Z515" s="206"/>
    </row>
    <row r="516" spans="1:26" ht="12.75" x14ac:dyDescent="0.2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69"/>
      <c r="N516" s="269"/>
      <c r="O516" s="270"/>
      <c r="P516" s="270"/>
      <c r="Q516" s="270"/>
      <c r="R516" s="203"/>
      <c r="S516" s="203"/>
      <c r="T516" s="269"/>
      <c r="U516" s="203"/>
      <c r="V516" s="203"/>
      <c r="W516" s="269"/>
      <c r="X516" s="206"/>
      <c r="Y516" s="206"/>
      <c r="Z516" s="206"/>
    </row>
    <row r="517" spans="1:26" ht="12.75" x14ac:dyDescent="0.2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69"/>
      <c r="N517" s="269"/>
      <c r="O517" s="270"/>
      <c r="P517" s="270"/>
      <c r="Q517" s="270"/>
      <c r="R517" s="203"/>
      <c r="S517" s="203"/>
      <c r="T517" s="269"/>
      <c r="U517" s="203"/>
      <c r="V517" s="203"/>
      <c r="W517" s="269"/>
      <c r="X517" s="206"/>
      <c r="Y517" s="206"/>
      <c r="Z517" s="206"/>
    </row>
    <row r="518" spans="1:26" ht="12.75" x14ac:dyDescent="0.2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69"/>
      <c r="N518" s="269"/>
      <c r="O518" s="270"/>
      <c r="P518" s="270"/>
      <c r="Q518" s="270"/>
      <c r="R518" s="203"/>
      <c r="S518" s="203"/>
      <c r="T518" s="269"/>
      <c r="U518" s="203"/>
      <c r="V518" s="203"/>
      <c r="W518" s="269"/>
      <c r="X518" s="206"/>
      <c r="Y518" s="206"/>
      <c r="Z518" s="206"/>
    </row>
    <row r="519" spans="1:26" ht="12.75" x14ac:dyDescent="0.2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69"/>
      <c r="N519" s="269"/>
      <c r="O519" s="270"/>
      <c r="P519" s="270"/>
      <c r="Q519" s="270"/>
      <c r="R519" s="203"/>
      <c r="S519" s="203"/>
      <c r="T519" s="269"/>
      <c r="U519" s="203"/>
      <c r="V519" s="203"/>
      <c r="W519" s="269"/>
      <c r="X519" s="206"/>
      <c r="Y519" s="206"/>
      <c r="Z519" s="206"/>
    </row>
    <row r="520" spans="1:26" ht="12.75" x14ac:dyDescent="0.2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69"/>
      <c r="N520" s="269"/>
      <c r="O520" s="270"/>
      <c r="P520" s="270"/>
      <c r="Q520" s="270"/>
      <c r="R520" s="203"/>
      <c r="S520" s="203"/>
      <c r="T520" s="269"/>
      <c r="U520" s="203"/>
      <c r="V520" s="203"/>
      <c r="W520" s="269"/>
      <c r="X520" s="206"/>
      <c r="Y520" s="206"/>
      <c r="Z520" s="206"/>
    </row>
    <row r="521" spans="1:26" ht="12.75" x14ac:dyDescent="0.2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69"/>
      <c r="N521" s="269"/>
      <c r="O521" s="270"/>
      <c r="P521" s="270"/>
      <c r="Q521" s="270"/>
      <c r="R521" s="203"/>
      <c r="S521" s="203"/>
      <c r="T521" s="269"/>
      <c r="U521" s="203"/>
      <c r="V521" s="203"/>
      <c r="W521" s="269"/>
      <c r="X521" s="206"/>
      <c r="Y521" s="206"/>
      <c r="Z521" s="206"/>
    </row>
    <row r="522" spans="1:26" ht="12.75" x14ac:dyDescent="0.2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69"/>
      <c r="N522" s="269"/>
      <c r="O522" s="270"/>
      <c r="P522" s="270"/>
      <c r="Q522" s="270"/>
      <c r="R522" s="203"/>
      <c r="S522" s="203"/>
      <c r="T522" s="269"/>
      <c r="U522" s="203"/>
      <c r="V522" s="203"/>
      <c r="W522" s="269"/>
      <c r="X522" s="206"/>
      <c r="Y522" s="206"/>
      <c r="Z522" s="206"/>
    </row>
    <row r="523" spans="1:26" ht="12.75" x14ac:dyDescent="0.2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69"/>
      <c r="N523" s="269"/>
      <c r="O523" s="270"/>
      <c r="P523" s="270"/>
      <c r="Q523" s="270"/>
      <c r="R523" s="203"/>
      <c r="S523" s="203"/>
      <c r="T523" s="269"/>
      <c r="U523" s="203"/>
      <c r="V523" s="203"/>
      <c r="W523" s="269"/>
      <c r="X523" s="206"/>
      <c r="Y523" s="206"/>
      <c r="Z523" s="206"/>
    </row>
    <row r="524" spans="1:26" ht="12.75" x14ac:dyDescent="0.2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69"/>
      <c r="N524" s="269"/>
      <c r="O524" s="270"/>
      <c r="P524" s="270"/>
      <c r="Q524" s="270"/>
      <c r="R524" s="203"/>
      <c r="S524" s="203"/>
      <c r="T524" s="269"/>
      <c r="U524" s="203"/>
      <c r="V524" s="203"/>
      <c r="W524" s="269"/>
      <c r="X524" s="206"/>
      <c r="Y524" s="206"/>
      <c r="Z524" s="206"/>
    </row>
    <row r="525" spans="1:26" ht="12.75" x14ac:dyDescent="0.2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69"/>
      <c r="N525" s="269"/>
      <c r="O525" s="270"/>
      <c r="P525" s="270"/>
      <c r="Q525" s="270"/>
      <c r="R525" s="203"/>
      <c r="S525" s="203"/>
      <c r="T525" s="269"/>
      <c r="U525" s="203"/>
      <c r="V525" s="203"/>
      <c r="W525" s="269"/>
      <c r="X525" s="206"/>
      <c r="Y525" s="206"/>
      <c r="Z525" s="206"/>
    </row>
    <row r="526" spans="1:26" ht="12.75" x14ac:dyDescent="0.2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69"/>
      <c r="N526" s="269"/>
      <c r="O526" s="270"/>
      <c r="P526" s="270"/>
      <c r="Q526" s="270"/>
      <c r="R526" s="203"/>
      <c r="S526" s="203"/>
      <c r="T526" s="269"/>
      <c r="U526" s="203"/>
      <c r="V526" s="203"/>
      <c r="W526" s="269"/>
      <c r="X526" s="206"/>
      <c r="Y526" s="206"/>
      <c r="Z526" s="206"/>
    </row>
    <row r="527" spans="1:26" ht="12.75" x14ac:dyDescent="0.2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69"/>
      <c r="N527" s="269"/>
      <c r="O527" s="270"/>
      <c r="P527" s="270"/>
      <c r="Q527" s="270"/>
      <c r="R527" s="203"/>
      <c r="S527" s="203"/>
      <c r="T527" s="269"/>
      <c r="U527" s="203"/>
      <c r="V527" s="203"/>
      <c r="W527" s="269"/>
      <c r="X527" s="206"/>
      <c r="Y527" s="206"/>
      <c r="Z527" s="206"/>
    </row>
    <row r="528" spans="1:26" ht="12.75" x14ac:dyDescent="0.2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69"/>
      <c r="N528" s="269"/>
      <c r="O528" s="270"/>
      <c r="P528" s="270"/>
      <c r="Q528" s="270"/>
      <c r="R528" s="203"/>
      <c r="S528" s="203"/>
      <c r="T528" s="269"/>
      <c r="U528" s="203"/>
      <c r="V528" s="203"/>
      <c r="W528" s="269"/>
      <c r="X528" s="206"/>
      <c r="Y528" s="206"/>
      <c r="Z528" s="206"/>
    </row>
    <row r="529" spans="1:26" ht="12.75" x14ac:dyDescent="0.2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69"/>
      <c r="N529" s="269"/>
      <c r="O529" s="270"/>
      <c r="P529" s="270"/>
      <c r="Q529" s="270"/>
      <c r="R529" s="203"/>
      <c r="S529" s="203"/>
      <c r="T529" s="269"/>
      <c r="U529" s="203"/>
      <c r="V529" s="203"/>
      <c r="W529" s="269"/>
      <c r="X529" s="206"/>
      <c r="Y529" s="206"/>
      <c r="Z529" s="206"/>
    </row>
    <row r="530" spans="1:26" ht="12.75" x14ac:dyDescent="0.2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69"/>
      <c r="N530" s="269"/>
      <c r="O530" s="270"/>
      <c r="P530" s="270"/>
      <c r="Q530" s="270"/>
      <c r="R530" s="203"/>
      <c r="S530" s="203"/>
      <c r="T530" s="269"/>
      <c r="U530" s="203"/>
      <c r="V530" s="203"/>
      <c r="W530" s="269"/>
      <c r="X530" s="206"/>
      <c r="Y530" s="206"/>
      <c r="Z530" s="206"/>
    </row>
    <row r="531" spans="1:26" ht="12.75" x14ac:dyDescent="0.2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69"/>
      <c r="N531" s="269"/>
      <c r="O531" s="270"/>
      <c r="P531" s="270"/>
      <c r="Q531" s="270"/>
      <c r="R531" s="203"/>
      <c r="S531" s="203"/>
      <c r="T531" s="269"/>
      <c r="U531" s="203"/>
      <c r="V531" s="203"/>
      <c r="W531" s="269"/>
      <c r="X531" s="206"/>
      <c r="Y531" s="206"/>
      <c r="Z531" s="206"/>
    </row>
    <row r="532" spans="1:26" ht="12.75" x14ac:dyDescent="0.2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69"/>
      <c r="N532" s="269"/>
      <c r="O532" s="270"/>
      <c r="P532" s="270"/>
      <c r="Q532" s="270"/>
      <c r="R532" s="203"/>
      <c r="S532" s="203"/>
      <c r="T532" s="269"/>
      <c r="U532" s="203"/>
      <c r="V532" s="203"/>
      <c r="W532" s="269"/>
      <c r="X532" s="206"/>
      <c r="Y532" s="206"/>
      <c r="Z532" s="206"/>
    </row>
    <row r="533" spans="1:26" ht="12.75" x14ac:dyDescent="0.2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69"/>
      <c r="N533" s="269"/>
      <c r="O533" s="270"/>
      <c r="P533" s="270"/>
      <c r="Q533" s="270"/>
      <c r="R533" s="203"/>
      <c r="S533" s="203"/>
      <c r="T533" s="269"/>
      <c r="U533" s="203"/>
      <c r="V533" s="203"/>
      <c r="W533" s="269"/>
      <c r="X533" s="206"/>
      <c r="Y533" s="206"/>
      <c r="Z533" s="206"/>
    </row>
    <row r="534" spans="1:26" ht="12.75" x14ac:dyDescent="0.2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69"/>
      <c r="N534" s="269"/>
      <c r="O534" s="270"/>
      <c r="P534" s="270"/>
      <c r="Q534" s="270"/>
      <c r="R534" s="203"/>
      <c r="S534" s="203"/>
      <c r="T534" s="269"/>
      <c r="U534" s="203"/>
      <c r="V534" s="203"/>
      <c r="W534" s="269"/>
      <c r="X534" s="206"/>
      <c r="Y534" s="206"/>
      <c r="Z534" s="206"/>
    </row>
    <row r="535" spans="1:26" ht="12.75" x14ac:dyDescent="0.2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69"/>
      <c r="N535" s="269"/>
      <c r="O535" s="270"/>
      <c r="P535" s="270"/>
      <c r="Q535" s="270"/>
      <c r="R535" s="203"/>
      <c r="S535" s="203"/>
      <c r="T535" s="269"/>
      <c r="U535" s="203"/>
      <c r="V535" s="203"/>
      <c r="W535" s="269"/>
      <c r="X535" s="206"/>
      <c r="Y535" s="206"/>
      <c r="Z535" s="206"/>
    </row>
    <row r="536" spans="1:26" ht="12.75" x14ac:dyDescent="0.2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69"/>
      <c r="N536" s="269"/>
      <c r="O536" s="270"/>
      <c r="P536" s="270"/>
      <c r="Q536" s="270"/>
      <c r="R536" s="203"/>
      <c r="S536" s="203"/>
      <c r="T536" s="269"/>
      <c r="U536" s="203"/>
      <c r="V536" s="203"/>
      <c r="W536" s="269"/>
      <c r="X536" s="206"/>
      <c r="Y536" s="206"/>
      <c r="Z536" s="206"/>
    </row>
    <row r="537" spans="1:26" ht="12.75" x14ac:dyDescent="0.2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69"/>
      <c r="N537" s="269"/>
      <c r="O537" s="270"/>
      <c r="P537" s="270"/>
      <c r="Q537" s="270"/>
      <c r="R537" s="203"/>
      <c r="S537" s="203"/>
      <c r="T537" s="269"/>
      <c r="U537" s="203"/>
      <c r="V537" s="203"/>
      <c r="W537" s="269"/>
      <c r="X537" s="206"/>
      <c r="Y537" s="206"/>
      <c r="Z537" s="206"/>
    </row>
    <row r="538" spans="1:26" ht="12.75" x14ac:dyDescent="0.2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69"/>
      <c r="N538" s="269"/>
      <c r="O538" s="270"/>
      <c r="P538" s="270"/>
      <c r="Q538" s="270"/>
      <c r="R538" s="203"/>
      <c r="S538" s="203"/>
      <c r="T538" s="269"/>
      <c r="U538" s="203"/>
      <c r="V538" s="203"/>
      <c r="W538" s="269"/>
      <c r="X538" s="206"/>
      <c r="Y538" s="206"/>
      <c r="Z538" s="206"/>
    </row>
    <row r="539" spans="1:26" ht="12.75" x14ac:dyDescent="0.2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69"/>
      <c r="N539" s="269"/>
      <c r="O539" s="270"/>
      <c r="P539" s="270"/>
      <c r="Q539" s="270"/>
      <c r="R539" s="203"/>
      <c r="S539" s="203"/>
      <c r="T539" s="269"/>
      <c r="U539" s="203"/>
      <c r="V539" s="203"/>
      <c r="W539" s="269"/>
      <c r="X539" s="206"/>
      <c r="Y539" s="206"/>
      <c r="Z539" s="206"/>
    </row>
    <row r="540" spans="1:26" ht="12.75" x14ac:dyDescent="0.2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69"/>
      <c r="N540" s="269"/>
      <c r="O540" s="270"/>
      <c r="P540" s="270"/>
      <c r="Q540" s="270"/>
      <c r="R540" s="203"/>
      <c r="S540" s="203"/>
      <c r="T540" s="269"/>
      <c r="U540" s="203"/>
      <c r="V540" s="203"/>
      <c r="W540" s="269"/>
      <c r="X540" s="206"/>
      <c r="Y540" s="206"/>
      <c r="Z540" s="206"/>
    </row>
    <row r="541" spans="1:26" ht="12.75" x14ac:dyDescent="0.2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69"/>
      <c r="N541" s="269"/>
      <c r="O541" s="270"/>
      <c r="P541" s="270"/>
      <c r="Q541" s="270"/>
      <c r="R541" s="203"/>
      <c r="S541" s="203"/>
      <c r="T541" s="269"/>
      <c r="U541" s="203"/>
      <c r="V541" s="203"/>
      <c r="W541" s="269"/>
      <c r="X541" s="206"/>
      <c r="Y541" s="206"/>
      <c r="Z541" s="206"/>
    </row>
    <row r="542" spans="1:26" ht="12.75" x14ac:dyDescent="0.2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69"/>
      <c r="N542" s="269"/>
      <c r="O542" s="270"/>
      <c r="P542" s="270"/>
      <c r="Q542" s="270"/>
      <c r="R542" s="203"/>
      <c r="S542" s="203"/>
      <c r="T542" s="269"/>
      <c r="U542" s="203"/>
      <c r="V542" s="203"/>
      <c r="W542" s="269"/>
      <c r="X542" s="206"/>
      <c r="Y542" s="206"/>
      <c r="Z542" s="206"/>
    </row>
    <row r="543" spans="1:26" ht="12.75" x14ac:dyDescent="0.2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69"/>
      <c r="N543" s="269"/>
      <c r="O543" s="270"/>
      <c r="P543" s="270"/>
      <c r="Q543" s="270"/>
      <c r="R543" s="203"/>
      <c r="S543" s="203"/>
      <c r="T543" s="269"/>
      <c r="U543" s="203"/>
      <c r="V543" s="203"/>
      <c r="W543" s="269"/>
      <c r="X543" s="206"/>
      <c r="Y543" s="206"/>
      <c r="Z543" s="206"/>
    </row>
    <row r="544" spans="1:26" ht="12.75" x14ac:dyDescent="0.2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69"/>
      <c r="N544" s="269"/>
      <c r="O544" s="270"/>
      <c r="P544" s="270"/>
      <c r="Q544" s="270"/>
      <c r="R544" s="203"/>
      <c r="S544" s="203"/>
      <c r="T544" s="269"/>
      <c r="U544" s="203"/>
      <c r="V544" s="203"/>
      <c r="W544" s="269"/>
      <c r="X544" s="206"/>
      <c r="Y544" s="206"/>
      <c r="Z544" s="206"/>
    </row>
    <row r="545" spans="1:26" ht="12.75" x14ac:dyDescent="0.2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69"/>
      <c r="N545" s="269"/>
      <c r="O545" s="270"/>
      <c r="P545" s="270"/>
      <c r="Q545" s="270"/>
      <c r="R545" s="203"/>
      <c r="S545" s="203"/>
      <c r="T545" s="269"/>
      <c r="U545" s="203"/>
      <c r="V545" s="203"/>
      <c r="W545" s="269"/>
      <c r="X545" s="206"/>
      <c r="Y545" s="206"/>
      <c r="Z545" s="206"/>
    </row>
    <row r="546" spans="1:26" ht="12.75" x14ac:dyDescent="0.2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69"/>
      <c r="N546" s="269"/>
      <c r="O546" s="270"/>
      <c r="P546" s="270"/>
      <c r="Q546" s="270"/>
      <c r="R546" s="203"/>
      <c r="S546" s="203"/>
      <c r="T546" s="269"/>
      <c r="U546" s="203"/>
      <c r="V546" s="203"/>
      <c r="W546" s="269"/>
      <c r="X546" s="206"/>
      <c r="Y546" s="206"/>
      <c r="Z546" s="206"/>
    </row>
    <row r="547" spans="1:26" ht="12.75" x14ac:dyDescent="0.2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69"/>
      <c r="N547" s="269"/>
      <c r="O547" s="270"/>
      <c r="P547" s="270"/>
      <c r="Q547" s="270"/>
      <c r="R547" s="203"/>
      <c r="S547" s="203"/>
      <c r="T547" s="269"/>
      <c r="U547" s="203"/>
      <c r="V547" s="203"/>
      <c r="W547" s="269"/>
      <c r="X547" s="206"/>
      <c r="Y547" s="206"/>
      <c r="Z547" s="206"/>
    </row>
    <row r="548" spans="1:26" ht="12.75" x14ac:dyDescent="0.2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69"/>
      <c r="N548" s="269"/>
      <c r="O548" s="270"/>
      <c r="P548" s="270"/>
      <c r="Q548" s="270"/>
      <c r="R548" s="203"/>
      <c r="S548" s="203"/>
      <c r="T548" s="269"/>
      <c r="U548" s="203"/>
      <c r="V548" s="203"/>
      <c r="W548" s="269"/>
      <c r="X548" s="206"/>
      <c r="Y548" s="206"/>
      <c r="Z548" s="206"/>
    </row>
    <row r="549" spans="1:26" ht="12.75" x14ac:dyDescent="0.2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69"/>
      <c r="N549" s="269"/>
      <c r="O549" s="270"/>
      <c r="P549" s="270"/>
      <c r="Q549" s="270"/>
      <c r="R549" s="203"/>
      <c r="S549" s="203"/>
      <c r="T549" s="269"/>
      <c r="U549" s="203"/>
      <c r="V549" s="203"/>
      <c r="W549" s="269"/>
      <c r="X549" s="206"/>
      <c r="Y549" s="206"/>
      <c r="Z549" s="206"/>
    </row>
    <row r="550" spans="1:26" ht="12.75" x14ac:dyDescent="0.2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69"/>
      <c r="N550" s="269"/>
      <c r="O550" s="270"/>
      <c r="P550" s="270"/>
      <c r="Q550" s="270"/>
      <c r="R550" s="203"/>
      <c r="S550" s="203"/>
      <c r="T550" s="269"/>
      <c r="U550" s="203"/>
      <c r="V550" s="203"/>
      <c r="W550" s="269"/>
      <c r="X550" s="206"/>
      <c r="Y550" s="206"/>
      <c r="Z550" s="206"/>
    </row>
    <row r="551" spans="1:26" ht="12.75" x14ac:dyDescent="0.2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69"/>
      <c r="N551" s="269"/>
      <c r="O551" s="270"/>
      <c r="P551" s="270"/>
      <c r="Q551" s="270"/>
      <c r="R551" s="203"/>
      <c r="S551" s="203"/>
      <c r="T551" s="269"/>
      <c r="U551" s="203"/>
      <c r="V551" s="203"/>
      <c r="W551" s="269"/>
      <c r="X551" s="206"/>
      <c r="Y551" s="206"/>
      <c r="Z551" s="206"/>
    </row>
    <row r="552" spans="1:26" ht="12.75" x14ac:dyDescent="0.2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69"/>
      <c r="N552" s="269"/>
      <c r="O552" s="270"/>
      <c r="P552" s="270"/>
      <c r="Q552" s="270"/>
      <c r="R552" s="203"/>
      <c r="S552" s="203"/>
      <c r="T552" s="269"/>
      <c r="U552" s="203"/>
      <c r="V552" s="203"/>
      <c r="W552" s="269"/>
      <c r="X552" s="206"/>
      <c r="Y552" s="206"/>
      <c r="Z552" s="206"/>
    </row>
    <row r="553" spans="1:26" ht="12.75" x14ac:dyDescent="0.2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69"/>
      <c r="N553" s="269"/>
      <c r="O553" s="270"/>
      <c r="P553" s="270"/>
      <c r="Q553" s="270"/>
      <c r="R553" s="203"/>
      <c r="S553" s="203"/>
      <c r="T553" s="269"/>
      <c r="U553" s="203"/>
      <c r="V553" s="203"/>
      <c r="W553" s="269"/>
      <c r="X553" s="206"/>
      <c r="Y553" s="206"/>
      <c r="Z553" s="206"/>
    </row>
    <row r="554" spans="1:26" ht="12.75" x14ac:dyDescent="0.2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69"/>
      <c r="N554" s="269"/>
      <c r="O554" s="270"/>
      <c r="P554" s="270"/>
      <c r="Q554" s="270"/>
      <c r="R554" s="203"/>
      <c r="S554" s="203"/>
      <c r="T554" s="269"/>
      <c r="U554" s="203"/>
      <c r="V554" s="203"/>
      <c r="W554" s="269"/>
      <c r="X554" s="206"/>
      <c r="Y554" s="206"/>
      <c r="Z554" s="206"/>
    </row>
    <row r="555" spans="1:26" ht="12.75" x14ac:dyDescent="0.2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69"/>
      <c r="N555" s="269"/>
      <c r="O555" s="270"/>
      <c r="P555" s="270"/>
      <c r="Q555" s="270"/>
      <c r="R555" s="203"/>
      <c r="S555" s="203"/>
      <c r="T555" s="269"/>
      <c r="U555" s="203"/>
      <c r="V555" s="203"/>
      <c r="W555" s="269"/>
      <c r="X555" s="206"/>
      <c r="Y555" s="206"/>
      <c r="Z555" s="206"/>
    </row>
    <row r="556" spans="1:26" ht="12.75" x14ac:dyDescent="0.2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69"/>
      <c r="N556" s="269"/>
      <c r="O556" s="270"/>
      <c r="P556" s="270"/>
      <c r="Q556" s="270"/>
      <c r="R556" s="203"/>
      <c r="S556" s="203"/>
      <c r="T556" s="269"/>
      <c r="U556" s="203"/>
      <c r="V556" s="203"/>
      <c r="W556" s="269"/>
      <c r="X556" s="206"/>
      <c r="Y556" s="206"/>
      <c r="Z556" s="206"/>
    </row>
    <row r="557" spans="1:26" ht="12.75" x14ac:dyDescent="0.2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69"/>
      <c r="N557" s="269"/>
      <c r="O557" s="270"/>
      <c r="P557" s="270"/>
      <c r="Q557" s="270"/>
      <c r="R557" s="203"/>
      <c r="S557" s="203"/>
      <c r="T557" s="269"/>
      <c r="U557" s="203"/>
      <c r="V557" s="203"/>
      <c r="W557" s="269"/>
      <c r="X557" s="206"/>
      <c r="Y557" s="206"/>
      <c r="Z557" s="206"/>
    </row>
    <row r="558" spans="1:26" ht="12.75" x14ac:dyDescent="0.2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69"/>
      <c r="N558" s="269"/>
      <c r="O558" s="270"/>
      <c r="P558" s="270"/>
      <c r="Q558" s="270"/>
      <c r="R558" s="203"/>
      <c r="S558" s="203"/>
      <c r="T558" s="269"/>
      <c r="U558" s="203"/>
      <c r="V558" s="203"/>
      <c r="W558" s="269"/>
      <c r="X558" s="206"/>
      <c r="Y558" s="206"/>
      <c r="Z558" s="206"/>
    </row>
    <row r="559" spans="1:26" ht="12.75" x14ac:dyDescent="0.2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69"/>
      <c r="N559" s="269"/>
      <c r="O559" s="270"/>
      <c r="P559" s="270"/>
      <c r="Q559" s="270"/>
      <c r="R559" s="203"/>
      <c r="S559" s="203"/>
      <c r="T559" s="269"/>
      <c r="U559" s="203"/>
      <c r="V559" s="203"/>
      <c r="W559" s="269"/>
      <c r="X559" s="206"/>
      <c r="Y559" s="206"/>
      <c r="Z559" s="206"/>
    </row>
    <row r="560" spans="1:26" ht="12.75" x14ac:dyDescent="0.2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69"/>
      <c r="N560" s="269"/>
      <c r="O560" s="270"/>
      <c r="P560" s="270"/>
      <c r="Q560" s="270"/>
      <c r="R560" s="203"/>
      <c r="S560" s="203"/>
      <c r="T560" s="269"/>
      <c r="U560" s="203"/>
      <c r="V560" s="203"/>
      <c r="W560" s="269"/>
      <c r="X560" s="206"/>
      <c r="Y560" s="206"/>
      <c r="Z560" s="206"/>
    </row>
    <row r="561" spans="1:26" ht="12.75" x14ac:dyDescent="0.2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69"/>
      <c r="N561" s="269"/>
      <c r="O561" s="270"/>
      <c r="P561" s="270"/>
      <c r="Q561" s="270"/>
      <c r="R561" s="203"/>
      <c r="S561" s="203"/>
      <c r="T561" s="269"/>
      <c r="U561" s="203"/>
      <c r="V561" s="203"/>
      <c r="W561" s="269"/>
      <c r="X561" s="206"/>
      <c r="Y561" s="206"/>
      <c r="Z561" s="206"/>
    </row>
    <row r="562" spans="1:26" ht="12.75" x14ac:dyDescent="0.2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69"/>
      <c r="N562" s="269"/>
      <c r="O562" s="270"/>
      <c r="P562" s="270"/>
      <c r="Q562" s="270"/>
      <c r="R562" s="203"/>
      <c r="S562" s="203"/>
      <c r="T562" s="269"/>
      <c r="U562" s="203"/>
      <c r="V562" s="203"/>
      <c r="W562" s="269"/>
      <c r="X562" s="206"/>
      <c r="Y562" s="206"/>
      <c r="Z562" s="206"/>
    </row>
    <row r="563" spans="1:26" ht="12.75" x14ac:dyDescent="0.2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69"/>
      <c r="N563" s="269"/>
      <c r="O563" s="270"/>
      <c r="P563" s="270"/>
      <c r="Q563" s="270"/>
      <c r="R563" s="203"/>
      <c r="S563" s="203"/>
      <c r="T563" s="269"/>
      <c r="U563" s="203"/>
      <c r="V563" s="203"/>
      <c r="W563" s="269"/>
      <c r="X563" s="206"/>
      <c r="Y563" s="206"/>
      <c r="Z563" s="206"/>
    </row>
    <row r="564" spans="1:26" ht="12.75" x14ac:dyDescent="0.2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69"/>
      <c r="N564" s="269"/>
      <c r="O564" s="270"/>
      <c r="P564" s="270"/>
      <c r="Q564" s="270"/>
      <c r="R564" s="203"/>
      <c r="S564" s="203"/>
      <c r="T564" s="269"/>
      <c r="U564" s="203"/>
      <c r="V564" s="203"/>
      <c r="W564" s="269"/>
      <c r="X564" s="206"/>
      <c r="Y564" s="206"/>
      <c r="Z564" s="206"/>
    </row>
    <row r="565" spans="1:26" ht="12.75" x14ac:dyDescent="0.2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69"/>
      <c r="N565" s="269"/>
      <c r="O565" s="270"/>
      <c r="P565" s="270"/>
      <c r="Q565" s="270"/>
      <c r="R565" s="203"/>
      <c r="S565" s="203"/>
      <c r="T565" s="269"/>
      <c r="U565" s="203"/>
      <c r="V565" s="203"/>
      <c r="W565" s="269"/>
      <c r="X565" s="206"/>
      <c r="Y565" s="206"/>
      <c r="Z565" s="206"/>
    </row>
    <row r="566" spans="1:26" ht="12.75" x14ac:dyDescent="0.2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69"/>
      <c r="N566" s="269"/>
      <c r="O566" s="270"/>
      <c r="P566" s="270"/>
      <c r="Q566" s="270"/>
      <c r="R566" s="203"/>
      <c r="S566" s="203"/>
      <c r="T566" s="269"/>
      <c r="U566" s="203"/>
      <c r="V566" s="203"/>
      <c r="W566" s="269"/>
      <c r="X566" s="206"/>
      <c r="Y566" s="206"/>
      <c r="Z566" s="206"/>
    </row>
    <row r="567" spans="1:26" ht="12.75" x14ac:dyDescent="0.2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69"/>
      <c r="N567" s="269"/>
      <c r="O567" s="270"/>
      <c r="P567" s="270"/>
      <c r="Q567" s="270"/>
      <c r="R567" s="203"/>
      <c r="S567" s="203"/>
      <c r="T567" s="269"/>
      <c r="U567" s="203"/>
      <c r="V567" s="203"/>
      <c r="W567" s="269"/>
      <c r="X567" s="206"/>
      <c r="Y567" s="206"/>
      <c r="Z567" s="206"/>
    </row>
    <row r="568" spans="1:26" ht="12.75" x14ac:dyDescent="0.2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69"/>
      <c r="N568" s="269"/>
      <c r="O568" s="270"/>
      <c r="P568" s="270"/>
      <c r="Q568" s="270"/>
      <c r="R568" s="203"/>
      <c r="S568" s="203"/>
      <c r="T568" s="269"/>
      <c r="U568" s="203"/>
      <c r="V568" s="203"/>
      <c r="W568" s="269"/>
      <c r="X568" s="206"/>
      <c r="Y568" s="206"/>
      <c r="Z568" s="206"/>
    </row>
    <row r="569" spans="1:26" ht="12.75" x14ac:dyDescent="0.2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69"/>
      <c r="N569" s="269"/>
      <c r="O569" s="270"/>
      <c r="P569" s="270"/>
      <c r="Q569" s="270"/>
      <c r="R569" s="203"/>
      <c r="S569" s="203"/>
      <c r="T569" s="269"/>
      <c r="U569" s="203"/>
      <c r="V569" s="203"/>
      <c r="W569" s="269"/>
      <c r="X569" s="206"/>
      <c r="Y569" s="206"/>
      <c r="Z569" s="206"/>
    </row>
    <row r="570" spans="1:26" ht="12.75" x14ac:dyDescent="0.2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69"/>
      <c r="N570" s="269"/>
      <c r="O570" s="270"/>
      <c r="P570" s="270"/>
      <c r="Q570" s="270"/>
      <c r="R570" s="203"/>
      <c r="S570" s="203"/>
      <c r="T570" s="269"/>
      <c r="U570" s="203"/>
      <c r="V570" s="203"/>
      <c r="W570" s="269"/>
      <c r="X570" s="206"/>
      <c r="Y570" s="206"/>
      <c r="Z570" s="206"/>
    </row>
    <row r="571" spans="1:26" ht="12.75" x14ac:dyDescent="0.2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69"/>
      <c r="N571" s="269"/>
      <c r="O571" s="270"/>
      <c r="P571" s="270"/>
      <c r="Q571" s="270"/>
      <c r="R571" s="203"/>
      <c r="S571" s="203"/>
      <c r="T571" s="269"/>
      <c r="U571" s="203"/>
      <c r="V571" s="203"/>
      <c r="W571" s="269"/>
      <c r="X571" s="206"/>
      <c r="Y571" s="206"/>
      <c r="Z571" s="206"/>
    </row>
    <row r="572" spans="1:26" ht="12.75" x14ac:dyDescent="0.2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69"/>
      <c r="N572" s="269"/>
      <c r="O572" s="270"/>
      <c r="P572" s="270"/>
      <c r="Q572" s="270"/>
      <c r="R572" s="203"/>
      <c r="S572" s="203"/>
      <c r="T572" s="269"/>
      <c r="U572" s="203"/>
      <c r="V572" s="203"/>
      <c r="W572" s="269"/>
      <c r="X572" s="206"/>
      <c r="Y572" s="206"/>
      <c r="Z572" s="206"/>
    </row>
    <row r="573" spans="1:26" ht="12.75" x14ac:dyDescent="0.2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69"/>
      <c r="N573" s="269"/>
      <c r="O573" s="270"/>
      <c r="P573" s="270"/>
      <c r="Q573" s="270"/>
      <c r="R573" s="203"/>
      <c r="S573" s="203"/>
      <c r="T573" s="269"/>
      <c r="U573" s="203"/>
      <c r="V573" s="203"/>
      <c r="W573" s="269"/>
      <c r="X573" s="206"/>
      <c r="Y573" s="206"/>
      <c r="Z573" s="206"/>
    </row>
    <row r="574" spans="1:26" ht="12.75" x14ac:dyDescent="0.2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69"/>
      <c r="N574" s="269"/>
      <c r="O574" s="270"/>
      <c r="P574" s="270"/>
      <c r="Q574" s="270"/>
      <c r="R574" s="203"/>
      <c r="S574" s="203"/>
      <c r="T574" s="269"/>
      <c r="U574" s="203"/>
      <c r="V574" s="203"/>
      <c r="W574" s="269"/>
      <c r="X574" s="206"/>
      <c r="Y574" s="206"/>
      <c r="Z574" s="206"/>
    </row>
    <row r="575" spans="1:26" ht="12.75" x14ac:dyDescent="0.2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69"/>
      <c r="N575" s="269"/>
      <c r="O575" s="270"/>
      <c r="P575" s="270"/>
      <c r="Q575" s="270"/>
      <c r="R575" s="203"/>
      <c r="S575" s="203"/>
      <c r="T575" s="269"/>
      <c r="U575" s="203"/>
      <c r="V575" s="203"/>
      <c r="W575" s="269"/>
      <c r="X575" s="206"/>
      <c r="Y575" s="206"/>
      <c r="Z575" s="206"/>
    </row>
    <row r="576" spans="1:26" ht="12.75" x14ac:dyDescent="0.2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69"/>
      <c r="N576" s="269"/>
      <c r="O576" s="270"/>
      <c r="P576" s="270"/>
      <c r="Q576" s="270"/>
      <c r="R576" s="203"/>
      <c r="S576" s="203"/>
      <c r="T576" s="269"/>
      <c r="U576" s="203"/>
      <c r="V576" s="203"/>
      <c r="W576" s="269"/>
      <c r="X576" s="206"/>
      <c r="Y576" s="206"/>
      <c r="Z576" s="206"/>
    </row>
    <row r="577" spans="1:26" ht="12.75" x14ac:dyDescent="0.2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69"/>
      <c r="N577" s="269"/>
      <c r="O577" s="270"/>
      <c r="P577" s="270"/>
      <c r="Q577" s="270"/>
      <c r="R577" s="203"/>
      <c r="S577" s="203"/>
      <c r="T577" s="269"/>
      <c r="U577" s="203"/>
      <c r="V577" s="203"/>
      <c r="W577" s="269"/>
      <c r="X577" s="206"/>
      <c r="Y577" s="206"/>
      <c r="Z577" s="206"/>
    </row>
    <row r="578" spans="1:26" ht="12.75" x14ac:dyDescent="0.2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69"/>
      <c r="N578" s="269"/>
      <c r="O578" s="270"/>
      <c r="P578" s="270"/>
      <c r="Q578" s="270"/>
      <c r="R578" s="203"/>
      <c r="S578" s="203"/>
      <c r="T578" s="269"/>
      <c r="U578" s="203"/>
      <c r="V578" s="203"/>
      <c r="W578" s="269"/>
      <c r="X578" s="206"/>
      <c r="Y578" s="206"/>
      <c r="Z578" s="206"/>
    </row>
    <row r="579" spans="1:26" ht="12.75" x14ac:dyDescent="0.2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69"/>
      <c r="N579" s="269"/>
      <c r="O579" s="270"/>
      <c r="P579" s="270"/>
      <c r="Q579" s="270"/>
      <c r="R579" s="203"/>
      <c r="S579" s="203"/>
      <c r="T579" s="269"/>
      <c r="U579" s="203"/>
      <c r="V579" s="203"/>
      <c r="W579" s="269"/>
      <c r="X579" s="206"/>
      <c r="Y579" s="206"/>
      <c r="Z579" s="206"/>
    </row>
    <row r="580" spans="1:26" ht="12.75" x14ac:dyDescent="0.2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69"/>
      <c r="N580" s="269"/>
      <c r="O580" s="270"/>
      <c r="P580" s="270"/>
      <c r="Q580" s="270"/>
      <c r="R580" s="203"/>
      <c r="S580" s="203"/>
      <c r="T580" s="269"/>
      <c r="U580" s="203"/>
      <c r="V580" s="203"/>
      <c r="W580" s="269"/>
      <c r="X580" s="206"/>
      <c r="Y580" s="206"/>
      <c r="Z580" s="206"/>
    </row>
    <row r="581" spans="1:26" ht="12.75" x14ac:dyDescent="0.2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69"/>
      <c r="N581" s="269"/>
      <c r="O581" s="270"/>
      <c r="P581" s="270"/>
      <c r="Q581" s="270"/>
      <c r="R581" s="203"/>
      <c r="S581" s="203"/>
      <c r="T581" s="269"/>
      <c r="U581" s="203"/>
      <c r="V581" s="203"/>
      <c r="W581" s="269"/>
      <c r="X581" s="206"/>
      <c r="Y581" s="206"/>
      <c r="Z581" s="206"/>
    </row>
    <row r="582" spans="1:26" ht="12.75" x14ac:dyDescent="0.2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69"/>
      <c r="N582" s="269"/>
      <c r="O582" s="270"/>
      <c r="P582" s="270"/>
      <c r="Q582" s="270"/>
      <c r="R582" s="203"/>
      <c r="S582" s="203"/>
      <c r="T582" s="269"/>
      <c r="U582" s="203"/>
      <c r="V582" s="203"/>
      <c r="W582" s="269"/>
      <c r="X582" s="206"/>
      <c r="Y582" s="206"/>
      <c r="Z582" s="206"/>
    </row>
    <row r="583" spans="1:26" ht="12.75" x14ac:dyDescent="0.2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69"/>
      <c r="N583" s="269"/>
      <c r="O583" s="270"/>
      <c r="P583" s="270"/>
      <c r="Q583" s="270"/>
      <c r="R583" s="203"/>
      <c r="S583" s="203"/>
      <c r="T583" s="269"/>
      <c r="U583" s="203"/>
      <c r="V583" s="203"/>
      <c r="W583" s="269"/>
      <c r="X583" s="206"/>
      <c r="Y583" s="206"/>
      <c r="Z583" s="206"/>
    </row>
    <row r="584" spans="1:26" ht="12.75" x14ac:dyDescent="0.2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69"/>
      <c r="N584" s="269"/>
      <c r="O584" s="270"/>
      <c r="P584" s="270"/>
      <c r="Q584" s="270"/>
      <c r="R584" s="203"/>
      <c r="S584" s="203"/>
      <c r="T584" s="269"/>
      <c r="U584" s="203"/>
      <c r="V584" s="203"/>
      <c r="W584" s="269"/>
      <c r="X584" s="206"/>
      <c r="Y584" s="206"/>
      <c r="Z584" s="206"/>
    </row>
    <row r="585" spans="1:26" ht="12.75" x14ac:dyDescent="0.2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69"/>
      <c r="N585" s="269"/>
      <c r="O585" s="270"/>
      <c r="P585" s="270"/>
      <c r="Q585" s="270"/>
      <c r="R585" s="203"/>
      <c r="S585" s="203"/>
      <c r="T585" s="269"/>
      <c r="U585" s="203"/>
      <c r="V585" s="203"/>
      <c r="W585" s="269"/>
      <c r="X585" s="206"/>
      <c r="Y585" s="206"/>
      <c r="Z585" s="206"/>
    </row>
    <row r="586" spans="1:26" ht="12.75" x14ac:dyDescent="0.2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69"/>
      <c r="N586" s="269"/>
      <c r="O586" s="270"/>
      <c r="P586" s="270"/>
      <c r="Q586" s="270"/>
      <c r="R586" s="203"/>
      <c r="S586" s="203"/>
      <c r="T586" s="269"/>
      <c r="U586" s="203"/>
      <c r="V586" s="203"/>
      <c r="W586" s="269"/>
      <c r="X586" s="206"/>
      <c r="Y586" s="206"/>
      <c r="Z586" s="206"/>
    </row>
    <row r="587" spans="1:26" ht="12.75" x14ac:dyDescent="0.2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69"/>
      <c r="N587" s="269"/>
      <c r="O587" s="270"/>
      <c r="P587" s="270"/>
      <c r="Q587" s="270"/>
      <c r="R587" s="203"/>
      <c r="S587" s="203"/>
      <c r="T587" s="269"/>
      <c r="U587" s="203"/>
      <c r="V587" s="203"/>
      <c r="W587" s="269"/>
      <c r="X587" s="206"/>
      <c r="Y587" s="206"/>
      <c r="Z587" s="206"/>
    </row>
    <row r="588" spans="1:26" ht="12.75" x14ac:dyDescent="0.2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69"/>
      <c r="N588" s="269"/>
      <c r="O588" s="270"/>
      <c r="P588" s="270"/>
      <c r="Q588" s="270"/>
      <c r="R588" s="203"/>
      <c r="S588" s="203"/>
      <c r="T588" s="269"/>
      <c r="U588" s="203"/>
      <c r="V588" s="203"/>
      <c r="W588" s="269"/>
      <c r="X588" s="206"/>
      <c r="Y588" s="206"/>
      <c r="Z588" s="206"/>
    </row>
    <row r="589" spans="1:26" ht="12.75" x14ac:dyDescent="0.2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69"/>
      <c r="N589" s="269"/>
      <c r="O589" s="270"/>
      <c r="P589" s="270"/>
      <c r="Q589" s="270"/>
      <c r="R589" s="203"/>
      <c r="S589" s="203"/>
      <c r="T589" s="269"/>
      <c r="U589" s="203"/>
      <c r="V589" s="203"/>
      <c r="W589" s="269"/>
      <c r="X589" s="206"/>
      <c r="Y589" s="206"/>
      <c r="Z589" s="206"/>
    </row>
    <row r="590" spans="1:26" ht="12.75" x14ac:dyDescent="0.2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69"/>
      <c r="N590" s="269"/>
      <c r="O590" s="270"/>
      <c r="P590" s="270"/>
      <c r="Q590" s="270"/>
      <c r="R590" s="203"/>
      <c r="S590" s="203"/>
      <c r="T590" s="269"/>
      <c r="U590" s="203"/>
      <c r="V590" s="203"/>
      <c r="W590" s="269"/>
      <c r="X590" s="206"/>
      <c r="Y590" s="206"/>
      <c r="Z590" s="206"/>
    </row>
    <row r="591" spans="1:26" ht="12.75" x14ac:dyDescent="0.2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69"/>
      <c r="N591" s="269"/>
      <c r="O591" s="270"/>
      <c r="P591" s="270"/>
      <c r="Q591" s="270"/>
      <c r="R591" s="203"/>
      <c r="S591" s="203"/>
      <c r="T591" s="269"/>
      <c r="U591" s="203"/>
      <c r="V591" s="203"/>
      <c r="W591" s="269"/>
      <c r="X591" s="206"/>
      <c r="Y591" s="206"/>
      <c r="Z591" s="206"/>
    </row>
    <row r="592" spans="1:26" ht="12.75" x14ac:dyDescent="0.2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69"/>
      <c r="N592" s="269"/>
      <c r="O592" s="270"/>
      <c r="P592" s="270"/>
      <c r="Q592" s="270"/>
      <c r="R592" s="203"/>
      <c r="S592" s="203"/>
      <c r="T592" s="269"/>
      <c r="U592" s="203"/>
      <c r="V592" s="203"/>
      <c r="W592" s="269"/>
      <c r="X592" s="206"/>
      <c r="Y592" s="206"/>
      <c r="Z592" s="206"/>
    </row>
    <row r="593" spans="1:26" ht="12.75" x14ac:dyDescent="0.2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69"/>
      <c r="N593" s="269"/>
      <c r="O593" s="270"/>
      <c r="P593" s="270"/>
      <c r="Q593" s="270"/>
      <c r="R593" s="203"/>
      <c r="S593" s="203"/>
      <c r="T593" s="269"/>
      <c r="U593" s="203"/>
      <c r="V593" s="203"/>
      <c r="W593" s="269"/>
      <c r="X593" s="206"/>
      <c r="Y593" s="206"/>
      <c r="Z593" s="206"/>
    </row>
    <row r="594" spans="1:26" ht="12.75" x14ac:dyDescent="0.2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69"/>
      <c r="N594" s="269"/>
      <c r="O594" s="270"/>
      <c r="P594" s="270"/>
      <c r="Q594" s="270"/>
      <c r="R594" s="203"/>
      <c r="S594" s="203"/>
      <c r="T594" s="269"/>
      <c r="U594" s="203"/>
      <c r="V594" s="203"/>
      <c r="W594" s="269"/>
      <c r="X594" s="206"/>
      <c r="Y594" s="206"/>
      <c r="Z594" s="206"/>
    </row>
    <row r="595" spans="1:26" ht="12.75" x14ac:dyDescent="0.2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69"/>
      <c r="N595" s="269"/>
      <c r="O595" s="270"/>
      <c r="P595" s="270"/>
      <c r="Q595" s="270"/>
      <c r="R595" s="203"/>
      <c r="S595" s="203"/>
      <c r="T595" s="269"/>
      <c r="U595" s="203"/>
      <c r="V595" s="203"/>
      <c r="W595" s="269"/>
      <c r="X595" s="206"/>
      <c r="Y595" s="206"/>
      <c r="Z595" s="206"/>
    </row>
    <row r="596" spans="1:26" ht="12.75" x14ac:dyDescent="0.2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69"/>
      <c r="N596" s="269"/>
      <c r="O596" s="270"/>
      <c r="P596" s="270"/>
      <c r="Q596" s="270"/>
      <c r="R596" s="203"/>
      <c r="S596" s="203"/>
      <c r="T596" s="269"/>
      <c r="U596" s="203"/>
      <c r="V596" s="203"/>
      <c r="W596" s="269"/>
      <c r="X596" s="206"/>
      <c r="Y596" s="206"/>
      <c r="Z596" s="206"/>
    </row>
    <row r="597" spans="1:26" ht="12.75" x14ac:dyDescent="0.2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69"/>
      <c r="N597" s="269"/>
      <c r="O597" s="270"/>
      <c r="P597" s="270"/>
      <c r="Q597" s="270"/>
      <c r="R597" s="203"/>
      <c r="S597" s="203"/>
      <c r="T597" s="269"/>
      <c r="U597" s="203"/>
      <c r="V597" s="203"/>
      <c r="W597" s="269"/>
      <c r="X597" s="206"/>
      <c r="Y597" s="206"/>
      <c r="Z597" s="206"/>
    </row>
    <row r="598" spans="1:26" ht="12.75" x14ac:dyDescent="0.2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69"/>
      <c r="N598" s="269"/>
      <c r="O598" s="270"/>
      <c r="P598" s="270"/>
      <c r="Q598" s="270"/>
      <c r="R598" s="203"/>
      <c r="S598" s="203"/>
      <c r="T598" s="269"/>
      <c r="U598" s="203"/>
      <c r="V598" s="203"/>
      <c r="W598" s="269"/>
      <c r="X598" s="206"/>
      <c r="Y598" s="206"/>
      <c r="Z598" s="206"/>
    </row>
    <row r="599" spans="1:26" ht="12.75" x14ac:dyDescent="0.2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69"/>
      <c r="N599" s="269"/>
      <c r="O599" s="270"/>
      <c r="P599" s="270"/>
      <c r="Q599" s="270"/>
      <c r="R599" s="203"/>
      <c r="S599" s="203"/>
      <c r="T599" s="269"/>
      <c r="U599" s="203"/>
      <c r="V599" s="203"/>
      <c r="W599" s="269"/>
      <c r="X599" s="206"/>
      <c r="Y599" s="206"/>
      <c r="Z599" s="206"/>
    </row>
    <row r="600" spans="1:26" ht="12.75" x14ac:dyDescent="0.2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69"/>
      <c r="N600" s="269"/>
      <c r="O600" s="270"/>
      <c r="P600" s="270"/>
      <c r="Q600" s="270"/>
      <c r="R600" s="203"/>
      <c r="S600" s="203"/>
      <c r="T600" s="269"/>
      <c r="U600" s="203"/>
      <c r="V600" s="203"/>
      <c r="W600" s="269"/>
      <c r="X600" s="206"/>
      <c r="Y600" s="206"/>
      <c r="Z600" s="206"/>
    </row>
    <row r="601" spans="1:26" ht="12.75" x14ac:dyDescent="0.2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69"/>
      <c r="N601" s="269"/>
      <c r="O601" s="270"/>
      <c r="P601" s="270"/>
      <c r="Q601" s="270"/>
      <c r="R601" s="203"/>
      <c r="S601" s="203"/>
      <c r="T601" s="269"/>
      <c r="U601" s="203"/>
      <c r="V601" s="203"/>
      <c r="W601" s="269"/>
      <c r="X601" s="206"/>
      <c r="Y601" s="206"/>
      <c r="Z601" s="206"/>
    </row>
    <row r="602" spans="1:26" ht="12.75" x14ac:dyDescent="0.2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69"/>
      <c r="N602" s="269"/>
      <c r="O602" s="270"/>
      <c r="P602" s="270"/>
      <c r="Q602" s="270"/>
      <c r="R602" s="203"/>
      <c r="S602" s="203"/>
      <c r="T602" s="269"/>
      <c r="U602" s="203"/>
      <c r="V602" s="203"/>
      <c r="W602" s="269"/>
      <c r="X602" s="206"/>
      <c r="Y602" s="206"/>
      <c r="Z602" s="206"/>
    </row>
    <row r="603" spans="1:26" ht="12.75" x14ac:dyDescent="0.2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69"/>
      <c r="N603" s="269"/>
      <c r="O603" s="270"/>
      <c r="P603" s="270"/>
      <c r="Q603" s="270"/>
      <c r="R603" s="203"/>
      <c r="S603" s="203"/>
      <c r="T603" s="269"/>
      <c r="U603" s="203"/>
      <c r="V603" s="203"/>
      <c r="W603" s="269"/>
      <c r="X603" s="206"/>
      <c r="Y603" s="206"/>
      <c r="Z603" s="206"/>
    </row>
    <row r="604" spans="1:26" ht="12.75" x14ac:dyDescent="0.2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69"/>
      <c r="N604" s="269"/>
      <c r="O604" s="270"/>
      <c r="P604" s="270"/>
      <c r="Q604" s="270"/>
      <c r="R604" s="203"/>
      <c r="S604" s="203"/>
      <c r="T604" s="269"/>
      <c r="U604" s="203"/>
      <c r="V604" s="203"/>
      <c r="W604" s="269"/>
      <c r="X604" s="206"/>
      <c r="Y604" s="206"/>
      <c r="Z604" s="206"/>
    </row>
    <row r="605" spans="1:26" ht="12.75" x14ac:dyDescent="0.2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69"/>
      <c r="N605" s="269"/>
      <c r="O605" s="270"/>
      <c r="P605" s="270"/>
      <c r="Q605" s="270"/>
      <c r="R605" s="203"/>
      <c r="S605" s="203"/>
      <c r="T605" s="269"/>
      <c r="U605" s="203"/>
      <c r="V605" s="203"/>
      <c r="W605" s="269"/>
      <c r="X605" s="206"/>
      <c r="Y605" s="206"/>
      <c r="Z605" s="206"/>
    </row>
    <row r="606" spans="1:26" ht="12.75" x14ac:dyDescent="0.2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69"/>
      <c r="N606" s="269"/>
      <c r="O606" s="270"/>
      <c r="P606" s="270"/>
      <c r="Q606" s="270"/>
      <c r="R606" s="203"/>
      <c r="S606" s="203"/>
      <c r="T606" s="269"/>
      <c r="U606" s="203"/>
      <c r="V606" s="203"/>
      <c r="W606" s="269"/>
      <c r="X606" s="206"/>
      <c r="Y606" s="206"/>
      <c r="Z606" s="206"/>
    </row>
    <row r="607" spans="1:26" ht="12.75" x14ac:dyDescent="0.2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69"/>
      <c r="N607" s="269"/>
      <c r="O607" s="270"/>
      <c r="P607" s="270"/>
      <c r="Q607" s="270"/>
      <c r="R607" s="203"/>
      <c r="S607" s="203"/>
      <c r="T607" s="269"/>
      <c r="U607" s="203"/>
      <c r="V607" s="203"/>
      <c r="W607" s="269"/>
      <c r="X607" s="206"/>
      <c r="Y607" s="206"/>
      <c r="Z607" s="206"/>
    </row>
    <row r="608" spans="1:26" ht="12.75" x14ac:dyDescent="0.2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69"/>
      <c r="N608" s="269"/>
      <c r="O608" s="270"/>
      <c r="P608" s="270"/>
      <c r="Q608" s="270"/>
      <c r="R608" s="203"/>
      <c r="S608" s="203"/>
      <c r="T608" s="269"/>
      <c r="U608" s="203"/>
      <c r="V608" s="203"/>
      <c r="W608" s="269"/>
      <c r="X608" s="206"/>
      <c r="Y608" s="206"/>
      <c r="Z608" s="206"/>
    </row>
    <row r="609" spans="1:26" ht="12.75" x14ac:dyDescent="0.2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69"/>
      <c r="N609" s="269"/>
      <c r="O609" s="270"/>
      <c r="P609" s="270"/>
      <c r="Q609" s="270"/>
      <c r="R609" s="203"/>
      <c r="S609" s="203"/>
      <c r="T609" s="269"/>
      <c r="U609" s="203"/>
      <c r="V609" s="203"/>
      <c r="W609" s="269"/>
      <c r="X609" s="206"/>
      <c r="Y609" s="206"/>
      <c r="Z609" s="206"/>
    </row>
    <row r="610" spans="1:26" ht="12.75" x14ac:dyDescent="0.2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69"/>
      <c r="N610" s="269"/>
      <c r="O610" s="270"/>
      <c r="P610" s="270"/>
      <c r="Q610" s="270"/>
      <c r="R610" s="203"/>
      <c r="S610" s="203"/>
      <c r="T610" s="269"/>
      <c r="U610" s="203"/>
      <c r="V610" s="203"/>
      <c r="W610" s="269"/>
      <c r="X610" s="206"/>
      <c r="Y610" s="206"/>
      <c r="Z610" s="206"/>
    </row>
    <row r="611" spans="1:26" ht="12.75" x14ac:dyDescent="0.2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69"/>
      <c r="N611" s="269"/>
      <c r="O611" s="270"/>
      <c r="P611" s="270"/>
      <c r="Q611" s="270"/>
      <c r="R611" s="203"/>
      <c r="S611" s="203"/>
      <c r="T611" s="269"/>
      <c r="U611" s="203"/>
      <c r="V611" s="203"/>
      <c r="W611" s="269"/>
      <c r="X611" s="206"/>
      <c r="Y611" s="206"/>
      <c r="Z611" s="206"/>
    </row>
    <row r="612" spans="1:26" ht="12.75" x14ac:dyDescent="0.2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69"/>
      <c r="N612" s="269"/>
      <c r="O612" s="270"/>
      <c r="P612" s="270"/>
      <c r="Q612" s="270"/>
      <c r="R612" s="203"/>
      <c r="S612" s="203"/>
      <c r="T612" s="269"/>
      <c r="U612" s="203"/>
      <c r="V612" s="203"/>
      <c r="W612" s="269"/>
      <c r="X612" s="206"/>
      <c r="Y612" s="206"/>
      <c r="Z612" s="206"/>
    </row>
    <row r="613" spans="1:26" ht="12.75" x14ac:dyDescent="0.2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69"/>
      <c r="N613" s="269"/>
      <c r="O613" s="270"/>
      <c r="P613" s="270"/>
      <c r="Q613" s="270"/>
      <c r="R613" s="203"/>
      <c r="S613" s="203"/>
      <c r="T613" s="269"/>
      <c r="U613" s="203"/>
      <c r="V613" s="203"/>
      <c r="W613" s="269"/>
      <c r="X613" s="206"/>
      <c r="Y613" s="206"/>
      <c r="Z613" s="206"/>
    </row>
    <row r="614" spans="1:26" ht="12.75" x14ac:dyDescent="0.2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69"/>
      <c r="N614" s="269"/>
      <c r="O614" s="270"/>
      <c r="P614" s="270"/>
      <c r="Q614" s="270"/>
      <c r="R614" s="203"/>
      <c r="S614" s="203"/>
      <c r="T614" s="269"/>
      <c r="U614" s="203"/>
      <c r="V614" s="203"/>
      <c r="W614" s="269"/>
      <c r="X614" s="206"/>
      <c r="Y614" s="206"/>
      <c r="Z614" s="206"/>
    </row>
    <row r="615" spans="1:26" ht="12.75" x14ac:dyDescent="0.2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69"/>
      <c r="N615" s="269"/>
      <c r="O615" s="270"/>
      <c r="P615" s="270"/>
      <c r="Q615" s="270"/>
      <c r="R615" s="203"/>
      <c r="S615" s="203"/>
      <c r="T615" s="269"/>
      <c r="U615" s="203"/>
      <c r="V615" s="203"/>
      <c r="W615" s="269"/>
      <c r="X615" s="206"/>
      <c r="Y615" s="206"/>
      <c r="Z615" s="206"/>
    </row>
    <row r="616" spans="1:26" ht="12.75" x14ac:dyDescent="0.2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69"/>
      <c r="N616" s="269"/>
      <c r="O616" s="270"/>
      <c r="P616" s="270"/>
      <c r="Q616" s="270"/>
      <c r="R616" s="203"/>
      <c r="S616" s="203"/>
      <c r="T616" s="269"/>
      <c r="U616" s="203"/>
      <c r="V616" s="203"/>
      <c r="W616" s="269"/>
      <c r="X616" s="206"/>
      <c r="Y616" s="206"/>
      <c r="Z616" s="206"/>
    </row>
    <row r="617" spans="1:26" ht="12.75" x14ac:dyDescent="0.2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69"/>
      <c r="N617" s="269"/>
      <c r="O617" s="270"/>
      <c r="P617" s="270"/>
      <c r="Q617" s="270"/>
      <c r="R617" s="203"/>
      <c r="S617" s="203"/>
      <c r="T617" s="269"/>
      <c r="U617" s="203"/>
      <c r="V617" s="203"/>
      <c r="W617" s="269"/>
      <c r="X617" s="206"/>
      <c r="Y617" s="206"/>
      <c r="Z617" s="206"/>
    </row>
    <row r="618" spans="1:26" ht="12.75" x14ac:dyDescent="0.2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69"/>
      <c r="N618" s="269"/>
      <c r="O618" s="270"/>
      <c r="P618" s="270"/>
      <c r="Q618" s="270"/>
      <c r="R618" s="203"/>
      <c r="S618" s="203"/>
      <c r="T618" s="269"/>
      <c r="U618" s="203"/>
      <c r="V618" s="203"/>
      <c r="W618" s="269"/>
      <c r="X618" s="206"/>
      <c r="Y618" s="206"/>
      <c r="Z618" s="206"/>
    </row>
    <row r="619" spans="1:26" ht="12.75" x14ac:dyDescent="0.2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69"/>
      <c r="N619" s="269"/>
      <c r="O619" s="270"/>
      <c r="P619" s="270"/>
      <c r="Q619" s="270"/>
      <c r="R619" s="203"/>
      <c r="S619" s="203"/>
      <c r="T619" s="269"/>
      <c r="U619" s="203"/>
      <c r="V619" s="203"/>
      <c r="W619" s="269"/>
      <c r="X619" s="206"/>
      <c r="Y619" s="206"/>
      <c r="Z619" s="206"/>
    </row>
    <row r="620" spans="1:26" ht="12.75" x14ac:dyDescent="0.2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69"/>
      <c r="N620" s="269"/>
      <c r="O620" s="270"/>
      <c r="P620" s="270"/>
      <c r="Q620" s="270"/>
      <c r="R620" s="203"/>
      <c r="S620" s="203"/>
      <c r="T620" s="269"/>
      <c r="U620" s="203"/>
      <c r="V620" s="203"/>
      <c r="W620" s="269"/>
      <c r="X620" s="206"/>
      <c r="Y620" s="206"/>
      <c r="Z620" s="206"/>
    </row>
    <row r="621" spans="1:26" ht="12.75" x14ac:dyDescent="0.2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69"/>
      <c r="N621" s="269"/>
      <c r="O621" s="270"/>
      <c r="P621" s="270"/>
      <c r="Q621" s="270"/>
      <c r="R621" s="203"/>
      <c r="S621" s="203"/>
      <c r="T621" s="269"/>
      <c r="U621" s="203"/>
      <c r="V621" s="203"/>
      <c r="W621" s="269"/>
      <c r="X621" s="206"/>
      <c r="Y621" s="206"/>
      <c r="Z621" s="206"/>
    </row>
    <row r="622" spans="1:26" ht="12.75" x14ac:dyDescent="0.2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69"/>
      <c r="N622" s="269"/>
      <c r="O622" s="270"/>
      <c r="P622" s="270"/>
      <c r="Q622" s="270"/>
      <c r="R622" s="203"/>
      <c r="S622" s="203"/>
      <c r="T622" s="269"/>
      <c r="U622" s="203"/>
      <c r="V622" s="203"/>
      <c r="W622" s="269"/>
      <c r="X622" s="206"/>
      <c r="Y622" s="206"/>
      <c r="Z622" s="206"/>
    </row>
    <row r="623" spans="1:26" ht="12.75" x14ac:dyDescent="0.2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69"/>
      <c r="N623" s="269"/>
      <c r="O623" s="270"/>
      <c r="P623" s="270"/>
      <c r="Q623" s="270"/>
      <c r="R623" s="203"/>
      <c r="S623" s="203"/>
      <c r="T623" s="269"/>
      <c r="U623" s="203"/>
      <c r="V623" s="203"/>
      <c r="W623" s="269"/>
      <c r="X623" s="206"/>
      <c r="Y623" s="206"/>
      <c r="Z623" s="206"/>
    </row>
    <row r="624" spans="1:26" ht="12.75" x14ac:dyDescent="0.2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69"/>
      <c r="N624" s="269"/>
      <c r="O624" s="270"/>
      <c r="P624" s="270"/>
      <c r="Q624" s="270"/>
      <c r="R624" s="203"/>
      <c r="S624" s="203"/>
      <c r="T624" s="269"/>
      <c r="U624" s="203"/>
      <c r="V624" s="203"/>
      <c r="W624" s="269"/>
      <c r="X624" s="206"/>
      <c r="Y624" s="206"/>
      <c r="Z624" s="206"/>
    </row>
    <row r="625" spans="1:26" ht="12.75" x14ac:dyDescent="0.2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69"/>
      <c r="N625" s="269"/>
      <c r="O625" s="270"/>
      <c r="P625" s="270"/>
      <c r="Q625" s="270"/>
      <c r="R625" s="203"/>
      <c r="S625" s="203"/>
      <c r="T625" s="269"/>
      <c r="U625" s="203"/>
      <c r="V625" s="203"/>
      <c r="W625" s="269"/>
      <c r="X625" s="206"/>
      <c r="Y625" s="206"/>
      <c r="Z625" s="206"/>
    </row>
    <row r="626" spans="1:26" ht="12.75" x14ac:dyDescent="0.2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69"/>
      <c r="N626" s="269"/>
      <c r="O626" s="270"/>
      <c r="P626" s="270"/>
      <c r="Q626" s="270"/>
      <c r="R626" s="203"/>
      <c r="S626" s="203"/>
      <c r="T626" s="269"/>
      <c r="U626" s="203"/>
      <c r="V626" s="203"/>
      <c r="W626" s="269"/>
      <c r="X626" s="206"/>
      <c r="Y626" s="206"/>
      <c r="Z626" s="206"/>
    </row>
    <row r="627" spans="1:26" ht="12.75" x14ac:dyDescent="0.2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69"/>
      <c r="N627" s="269"/>
      <c r="O627" s="270"/>
      <c r="P627" s="270"/>
      <c r="Q627" s="270"/>
      <c r="R627" s="203"/>
      <c r="S627" s="203"/>
      <c r="T627" s="269"/>
      <c r="U627" s="203"/>
      <c r="V627" s="203"/>
      <c r="W627" s="269"/>
      <c r="X627" s="206"/>
      <c r="Y627" s="206"/>
      <c r="Z627" s="206"/>
    </row>
    <row r="628" spans="1:26" ht="12.75" x14ac:dyDescent="0.2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69"/>
      <c r="N628" s="269"/>
      <c r="O628" s="270"/>
      <c r="P628" s="270"/>
      <c r="Q628" s="270"/>
      <c r="R628" s="203"/>
      <c r="S628" s="203"/>
      <c r="T628" s="269"/>
      <c r="U628" s="203"/>
      <c r="V628" s="203"/>
      <c r="W628" s="269"/>
      <c r="X628" s="206"/>
      <c r="Y628" s="206"/>
      <c r="Z628" s="206"/>
    </row>
    <row r="629" spans="1:26" ht="12.75" x14ac:dyDescent="0.2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69"/>
      <c r="N629" s="269"/>
      <c r="O629" s="270"/>
      <c r="P629" s="270"/>
      <c r="Q629" s="270"/>
      <c r="R629" s="203"/>
      <c r="S629" s="203"/>
      <c r="T629" s="269"/>
      <c r="U629" s="203"/>
      <c r="V629" s="203"/>
      <c r="W629" s="269"/>
      <c r="X629" s="206"/>
      <c r="Y629" s="206"/>
      <c r="Z629" s="206"/>
    </row>
    <row r="630" spans="1:26" ht="12.75" x14ac:dyDescent="0.2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69"/>
      <c r="N630" s="269"/>
      <c r="O630" s="270"/>
      <c r="P630" s="270"/>
      <c r="Q630" s="270"/>
      <c r="R630" s="203"/>
      <c r="S630" s="203"/>
      <c r="T630" s="269"/>
      <c r="U630" s="203"/>
      <c r="V630" s="203"/>
      <c r="W630" s="269"/>
      <c r="X630" s="206"/>
      <c r="Y630" s="206"/>
      <c r="Z630" s="206"/>
    </row>
    <row r="631" spans="1:26" ht="12.75" x14ac:dyDescent="0.2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69"/>
      <c r="N631" s="269"/>
      <c r="O631" s="270"/>
      <c r="P631" s="270"/>
      <c r="Q631" s="270"/>
      <c r="R631" s="203"/>
      <c r="S631" s="203"/>
      <c r="T631" s="269"/>
      <c r="U631" s="203"/>
      <c r="V631" s="203"/>
      <c r="W631" s="269"/>
      <c r="X631" s="206"/>
      <c r="Y631" s="206"/>
      <c r="Z631" s="206"/>
    </row>
    <row r="632" spans="1:26" ht="12.75" x14ac:dyDescent="0.2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69"/>
      <c r="N632" s="269"/>
      <c r="O632" s="270"/>
      <c r="P632" s="270"/>
      <c r="Q632" s="270"/>
      <c r="R632" s="203"/>
      <c r="S632" s="203"/>
      <c r="T632" s="269"/>
      <c r="U632" s="203"/>
      <c r="V632" s="203"/>
      <c r="W632" s="269"/>
      <c r="X632" s="206"/>
      <c r="Y632" s="206"/>
      <c r="Z632" s="206"/>
    </row>
    <row r="633" spans="1:26" ht="12.75" x14ac:dyDescent="0.2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69"/>
      <c r="N633" s="269"/>
      <c r="O633" s="270"/>
      <c r="P633" s="270"/>
      <c r="Q633" s="270"/>
      <c r="R633" s="203"/>
      <c r="S633" s="203"/>
      <c r="T633" s="269"/>
      <c r="U633" s="203"/>
      <c r="V633" s="203"/>
      <c r="W633" s="269"/>
      <c r="X633" s="206"/>
      <c r="Y633" s="206"/>
      <c r="Z633" s="206"/>
    </row>
    <row r="634" spans="1:26" ht="12.75" x14ac:dyDescent="0.2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69"/>
      <c r="N634" s="269"/>
      <c r="O634" s="270"/>
      <c r="P634" s="270"/>
      <c r="Q634" s="270"/>
      <c r="R634" s="203"/>
      <c r="S634" s="203"/>
      <c r="T634" s="269"/>
      <c r="U634" s="203"/>
      <c r="V634" s="203"/>
      <c r="W634" s="269"/>
      <c r="X634" s="206"/>
      <c r="Y634" s="206"/>
      <c r="Z634" s="206"/>
    </row>
    <row r="635" spans="1:26" ht="12.75" x14ac:dyDescent="0.2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69"/>
      <c r="N635" s="269"/>
      <c r="O635" s="270"/>
      <c r="P635" s="270"/>
      <c r="Q635" s="270"/>
      <c r="R635" s="203"/>
      <c r="S635" s="203"/>
      <c r="T635" s="269"/>
      <c r="U635" s="203"/>
      <c r="V635" s="203"/>
      <c r="W635" s="269"/>
      <c r="X635" s="206"/>
      <c r="Y635" s="206"/>
      <c r="Z635" s="206"/>
    </row>
    <row r="636" spans="1:26" ht="12.75" x14ac:dyDescent="0.2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69"/>
      <c r="N636" s="269"/>
      <c r="O636" s="270"/>
      <c r="P636" s="270"/>
      <c r="Q636" s="270"/>
      <c r="R636" s="203"/>
      <c r="S636" s="203"/>
      <c r="T636" s="269"/>
      <c r="U636" s="203"/>
      <c r="V636" s="203"/>
      <c r="W636" s="269"/>
      <c r="X636" s="206"/>
      <c r="Y636" s="206"/>
      <c r="Z636" s="206"/>
    </row>
    <row r="637" spans="1:26" ht="12.75" x14ac:dyDescent="0.2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69"/>
      <c r="N637" s="269"/>
      <c r="O637" s="270"/>
      <c r="P637" s="270"/>
      <c r="Q637" s="270"/>
      <c r="R637" s="203"/>
      <c r="S637" s="203"/>
      <c r="T637" s="269"/>
      <c r="U637" s="203"/>
      <c r="V637" s="203"/>
      <c r="W637" s="269"/>
      <c r="X637" s="206"/>
      <c r="Y637" s="206"/>
      <c r="Z637" s="206"/>
    </row>
    <row r="638" spans="1:26" ht="12.75" x14ac:dyDescent="0.2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69"/>
      <c r="N638" s="269"/>
      <c r="O638" s="270"/>
      <c r="P638" s="270"/>
      <c r="Q638" s="270"/>
      <c r="R638" s="203"/>
      <c r="S638" s="203"/>
      <c r="T638" s="269"/>
      <c r="U638" s="203"/>
      <c r="V638" s="203"/>
      <c r="W638" s="269"/>
      <c r="X638" s="206"/>
      <c r="Y638" s="206"/>
      <c r="Z638" s="206"/>
    </row>
    <row r="639" spans="1:26" ht="12.75" x14ac:dyDescent="0.2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69"/>
      <c r="N639" s="269"/>
      <c r="O639" s="270"/>
      <c r="P639" s="270"/>
      <c r="Q639" s="270"/>
      <c r="R639" s="203"/>
      <c r="S639" s="203"/>
      <c r="T639" s="269"/>
      <c r="U639" s="203"/>
      <c r="V639" s="203"/>
      <c r="W639" s="269"/>
      <c r="X639" s="206"/>
      <c r="Y639" s="206"/>
      <c r="Z639" s="206"/>
    </row>
    <row r="640" spans="1:26" ht="12.75" x14ac:dyDescent="0.2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69"/>
      <c r="N640" s="269"/>
      <c r="O640" s="270"/>
      <c r="P640" s="270"/>
      <c r="Q640" s="270"/>
      <c r="R640" s="203"/>
      <c r="S640" s="203"/>
      <c r="T640" s="269"/>
      <c r="U640" s="203"/>
      <c r="V640" s="203"/>
      <c r="W640" s="269"/>
      <c r="X640" s="206"/>
      <c r="Y640" s="206"/>
      <c r="Z640" s="206"/>
    </row>
    <row r="641" spans="1:26" ht="12.75" x14ac:dyDescent="0.2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69"/>
      <c r="N641" s="269"/>
      <c r="O641" s="270"/>
      <c r="P641" s="270"/>
      <c r="Q641" s="270"/>
      <c r="R641" s="203"/>
      <c r="S641" s="203"/>
      <c r="T641" s="269"/>
      <c r="U641" s="203"/>
      <c r="V641" s="203"/>
      <c r="W641" s="269"/>
      <c r="X641" s="206"/>
      <c r="Y641" s="206"/>
      <c r="Z641" s="206"/>
    </row>
    <row r="642" spans="1:26" ht="12.75" x14ac:dyDescent="0.2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69"/>
      <c r="N642" s="269"/>
      <c r="O642" s="270"/>
      <c r="P642" s="270"/>
      <c r="Q642" s="270"/>
      <c r="R642" s="203"/>
      <c r="S642" s="203"/>
      <c r="T642" s="269"/>
      <c r="U642" s="203"/>
      <c r="V642" s="203"/>
      <c r="W642" s="269"/>
      <c r="X642" s="206"/>
      <c r="Y642" s="206"/>
      <c r="Z642" s="206"/>
    </row>
    <row r="643" spans="1:26" ht="12.75" x14ac:dyDescent="0.2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69"/>
      <c r="N643" s="269"/>
      <c r="O643" s="270"/>
      <c r="P643" s="270"/>
      <c r="Q643" s="270"/>
      <c r="R643" s="203"/>
      <c r="S643" s="203"/>
      <c r="T643" s="269"/>
      <c r="U643" s="203"/>
      <c r="V643" s="203"/>
      <c r="W643" s="269"/>
      <c r="X643" s="206"/>
      <c r="Y643" s="206"/>
      <c r="Z643" s="206"/>
    </row>
    <row r="644" spans="1:26" ht="12.75" x14ac:dyDescent="0.2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69"/>
      <c r="N644" s="269"/>
      <c r="O644" s="270"/>
      <c r="P644" s="270"/>
      <c r="Q644" s="270"/>
      <c r="R644" s="203"/>
      <c r="S644" s="203"/>
      <c r="T644" s="269"/>
      <c r="U644" s="203"/>
      <c r="V644" s="203"/>
      <c r="W644" s="269"/>
      <c r="X644" s="206"/>
      <c r="Y644" s="206"/>
      <c r="Z644" s="206"/>
    </row>
    <row r="645" spans="1:26" ht="12.75" x14ac:dyDescent="0.2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69"/>
      <c r="N645" s="269"/>
      <c r="O645" s="270"/>
      <c r="P645" s="270"/>
      <c r="Q645" s="270"/>
      <c r="R645" s="203"/>
      <c r="S645" s="203"/>
      <c r="T645" s="269"/>
      <c r="U645" s="203"/>
      <c r="V645" s="203"/>
      <c r="W645" s="269"/>
      <c r="X645" s="206"/>
      <c r="Y645" s="206"/>
      <c r="Z645" s="206"/>
    </row>
    <row r="646" spans="1:26" ht="12.75" x14ac:dyDescent="0.2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69"/>
      <c r="N646" s="269"/>
      <c r="O646" s="270"/>
      <c r="P646" s="270"/>
      <c r="Q646" s="270"/>
      <c r="R646" s="203"/>
      <c r="S646" s="203"/>
      <c r="T646" s="269"/>
      <c r="U646" s="203"/>
      <c r="V646" s="203"/>
      <c r="W646" s="269"/>
      <c r="X646" s="206"/>
      <c r="Y646" s="206"/>
      <c r="Z646" s="206"/>
    </row>
    <row r="647" spans="1:26" ht="12.75" x14ac:dyDescent="0.2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69"/>
      <c r="N647" s="269"/>
      <c r="O647" s="270"/>
      <c r="P647" s="270"/>
      <c r="Q647" s="270"/>
      <c r="R647" s="203"/>
      <c r="S647" s="203"/>
      <c r="T647" s="269"/>
      <c r="U647" s="203"/>
      <c r="V647" s="203"/>
      <c r="W647" s="269"/>
      <c r="X647" s="206"/>
      <c r="Y647" s="206"/>
      <c r="Z647" s="206"/>
    </row>
    <row r="648" spans="1:26" ht="12.75" x14ac:dyDescent="0.2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69"/>
      <c r="N648" s="269"/>
      <c r="O648" s="270"/>
      <c r="P648" s="270"/>
      <c r="Q648" s="270"/>
      <c r="R648" s="203"/>
      <c r="S648" s="203"/>
      <c r="T648" s="269"/>
      <c r="U648" s="203"/>
      <c r="V648" s="203"/>
      <c r="W648" s="269"/>
      <c r="X648" s="206"/>
      <c r="Y648" s="206"/>
      <c r="Z648" s="206"/>
    </row>
    <row r="649" spans="1:26" ht="12.75" x14ac:dyDescent="0.2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69"/>
      <c r="N649" s="269"/>
      <c r="O649" s="270"/>
      <c r="P649" s="270"/>
      <c r="Q649" s="270"/>
      <c r="R649" s="203"/>
      <c r="S649" s="203"/>
      <c r="T649" s="269"/>
      <c r="U649" s="203"/>
      <c r="V649" s="203"/>
      <c r="W649" s="269"/>
      <c r="X649" s="206"/>
      <c r="Y649" s="206"/>
      <c r="Z649" s="206"/>
    </row>
    <row r="650" spans="1:26" ht="12.75" x14ac:dyDescent="0.2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69"/>
      <c r="N650" s="269"/>
      <c r="O650" s="270"/>
      <c r="P650" s="270"/>
      <c r="Q650" s="270"/>
      <c r="R650" s="203"/>
      <c r="S650" s="203"/>
      <c r="T650" s="269"/>
      <c r="U650" s="203"/>
      <c r="V650" s="203"/>
      <c r="W650" s="269"/>
      <c r="X650" s="206"/>
      <c r="Y650" s="206"/>
      <c r="Z650" s="206"/>
    </row>
    <row r="651" spans="1:26" ht="12.75" x14ac:dyDescent="0.2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69"/>
      <c r="N651" s="269"/>
      <c r="O651" s="270"/>
      <c r="P651" s="270"/>
      <c r="Q651" s="270"/>
      <c r="R651" s="203"/>
      <c r="S651" s="203"/>
      <c r="T651" s="269"/>
      <c r="U651" s="203"/>
      <c r="V651" s="203"/>
      <c r="W651" s="269"/>
      <c r="X651" s="206"/>
      <c r="Y651" s="206"/>
      <c r="Z651" s="206"/>
    </row>
    <row r="652" spans="1:26" ht="12.75" x14ac:dyDescent="0.2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69"/>
      <c r="N652" s="269"/>
      <c r="O652" s="270"/>
      <c r="P652" s="270"/>
      <c r="Q652" s="270"/>
      <c r="R652" s="203"/>
      <c r="S652" s="203"/>
      <c r="T652" s="269"/>
      <c r="U652" s="203"/>
      <c r="V652" s="203"/>
      <c r="W652" s="269"/>
      <c r="X652" s="206"/>
      <c r="Y652" s="206"/>
      <c r="Z652" s="206"/>
    </row>
    <row r="653" spans="1:26" ht="12.75" x14ac:dyDescent="0.2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69"/>
      <c r="N653" s="269"/>
      <c r="O653" s="270"/>
      <c r="P653" s="270"/>
      <c r="Q653" s="270"/>
      <c r="R653" s="203"/>
      <c r="S653" s="203"/>
      <c r="T653" s="269"/>
      <c r="U653" s="203"/>
      <c r="V653" s="203"/>
      <c r="W653" s="269"/>
      <c r="X653" s="206"/>
      <c r="Y653" s="206"/>
      <c r="Z653" s="206"/>
    </row>
    <row r="654" spans="1:26" ht="12.75" x14ac:dyDescent="0.2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69"/>
      <c r="N654" s="269"/>
      <c r="O654" s="270"/>
      <c r="P654" s="270"/>
      <c r="Q654" s="270"/>
      <c r="R654" s="203"/>
      <c r="S654" s="203"/>
      <c r="T654" s="269"/>
      <c r="U654" s="203"/>
      <c r="V654" s="203"/>
      <c r="W654" s="269"/>
      <c r="X654" s="206"/>
      <c r="Y654" s="206"/>
      <c r="Z654" s="206"/>
    </row>
    <row r="655" spans="1:26" ht="12.75" x14ac:dyDescent="0.2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69"/>
      <c r="N655" s="269"/>
      <c r="O655" s="270"/>
      <c r="P655" s="270"/>
      <c r="Q655" s="270"/>
      <c r="R655" s="203"/>
      <c r="S655" s="203"/>
      <c r="T655" s="269"/>
      <c r="U655" s="203"/>
      <c r="V655" s="203"/>
      <c r="W655" s="269"/>
      <c r="X655" s="206"/>
      <c r="Y655" s="206"/>
      <c r="Z655" s="206"/>
    </row>
    <row r="656" spans="1:26" ht="12.75" x14ac:dyDescent="0.2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69"/>
      <c r="N656" s="269"/>
      <c r="O656" s="270"/>
      <c r="P656" s="270"/>
      <c r="Q656" s="270"/>
      <c r="R656" s="203"/>
      <c r="S656" s="203"/>
      <c r="T656" s="269"/>
      <c r="U656" s="203"/>
      <c r="V656" s="203"/>
      <c r="W656" s="269"/>
      <c r="X656" s="206"/>
      <c r="Y656" s="206"/>
      <c r="Z656" s="206"/>
    </row>
    <row r="657" spans="1:26" ht="12.75" x14ac:dyDescent="0.2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69"/>
      <c r="N657" s="269"/>
      <c r="O657" s="270"/>
      <c r="P657" s="270"/>
      <c r="Q657" s="270"/>
      <c r="R657" s="203"/>
      <c r="S657" s="203"/>
      <c r="T657" s="269"/>
      <c r="U657" s="203"/>
      <c r="V657" s="203"/>
      <c r="W657" s="269"/>
      <c r="X657" s="206"/>
      <c r="Y657" s="206"/>
      <c r="Z657" s="206"/>
    </row>
    <row r="658" spans="1:26" ht="12.75" x14ac:dyDescent="0.2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69"/>
      <c r="N658" s="269"/>
      <c r="O658" s="270"/>
      <c r="P658" s="270"/>
      <c r="Q658" s="270"/>
      <c r="R658" s="203"/>
      <c r="S658" s="203"/>
      <c r="T658" s="269"/>
      <c r="U658" s="203"/>
      <c r="V658" s="203"/>
      <c r="W658" s="269"/>
      <c r="X658" s="206"/>
      <c r="Y658" s="206"/>
      <c r="Z658" s="206"/>
    </row>
    <row r="659" spans="1:26" ht="12.75" x14ac:dyDescent="0.2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69"/>
      <c r="N659" s="269"/>
      <c r="O659" s="270"/>
      <c r="P659" s="270"/>
      <c r="Q659" s="270"/>
      <c r="R659" s="203"/>
      <c r="S659" s="203"/>
      <c r="T659" s="269"/>
      <c r="U659" s="203"/>
      <c r="V659" s="203"/>
      <c r="W659" s="269"/>
      <c r="X659" s="206"/>
      <c r="Y659" s="206"/>
      <c r="Z659" s="206"/>
    </row>
    <row r="660" spans="1:26" ht="12.75" x14ac:dyDescent="0.2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69"/>
      <c r="N660" s="269"/>
      <c r="O660" s="270"/>
      <c r="P660" s="270"/>
      <c r="Q660" s="270"/>
      <c r="R660" s="203"/>
      <c r="S660" s="203"/>
      <c r="T660" s="269"/>
      <c r="U660" s="203"/>
      <c r="V660" s="203"/>
      <c r="W660" s="269"/>
      <c r="X660" s="206"/>
      <c r="Y660" s="206"/>
      <c r="Z660" s="206"/>
    </row>
    <row r="661" spans="1:26" ht="12.75" x14ac:dyDescent="0.2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69"/>
      <c r="N661" s="269"/>
      <c r="O661" s="270"/>
      <c r="P661" s="270"/>
      <c r="Q661" s="270"/>
      <c r="R661" s="203"/>
      <c r="S661" s="203"/>
      <c r="T661" s="269"/>
      <c r="U661" s="203"/>
      <c r="V661" s="203"/>
      <c r="W661" s="269"/>
      <c r="X661" s="206"/>
      <c r="Y661" s="206"/>
      <c r="Z661" s="206"/>
    </row>
    <row r="662" spans="1:26" ht="12.75" x14ac:dyDescent="0.2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69"/>
      <c r="N662" s="269"/>
      <c r="O662" s="270"/>
      <c r="P662" s="270"/>
      <c r="Q662" s="270"/>
      <c r="R662" s="203"/>
      <c r="S662" s="203"/>
      <c r="T662" s="269"/>
      <c r="U662" s="203"/>
      <c r="V662" s="203"/>
      <c r="W662" s="269"/>
      <c r="X662" s="206"/>
      <c r="Y662" s="206"/>
      <c r="Z662" s="206"/>
    </row>
    <row r="663" spans="1:26" ht="12.75" x14ac:dyDescent="0.2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69"/>
      <c r="N663" s="269"/>
      <c r="O663" s="270"/>
      <c r="P663" s="270"/>
      <c r="Q663" s="270"/>
      <c r="R663" s="203"/>
      <c r="S663" s="203"/>
      <c r="T663" s="269"/>
      <c r="U663" s="203"/>
      <c r="V663" s="203"/>
      <c r="W663" s="269"/>
      <c r="X663" s="206"/>
      <c r="Y663" s="206"/>
      <c r="Z663" s="206"/>
    </row>
    <row r="664" spans="1:26" ht="12.75" x14ac:dyDescent="0.2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69"/>
      <c r="N664" s="269"/>
      <c r="O664" s="270"/>
      <c r="P664" s="270"/>
      <c r="Q664" s="270"/>
      <c r="R664" s="203"/>
      <c r="S664" s="203"/>
      <c r="T664" s="269"/>
      <c r="U664" s="203"/>
      <c r="V664" s="203"/>
      <c r="W664" s="269"/>
      <c r="X664" s="206"/>
      <c r="Y664" s="206"/>
      <c r="Z664" s="206"/>
    </row>
    <row r="665" spans="1:26" ht="12.75" x14ac:dyDescent="0.2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69"/>
      <c r="N665" s="269"/>
      <c r="O665" s="270"/>
      <c r="P665" s="270"/>
      <c r="Q665" s="270"/>
      <c r="R665" s="203"/>
      <c r="S665" s="203"/>
      <c r="T665" s="269"/>
      <c r="U665" s="203"/>
      <c r="V665" s="203"/>
      <c r="W665" s="269"/>
      <c r="X665" s="206"/>
      <c r="Y665" s="206"/>
      <c r="Z665" s="206"/>
    </row>
    <row r="666" spans="1:26" ht="12.75" x14ac:dyDescent="0.2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69"/>
      <c r="N666" s="269"/>
      <c r="O666" s="270"/>
      <c r="P666" s="270"/>
      <c r="Q666" s="270"/>
      <c r="R666" s="203"/>
      <c r="S666" s="203"/>
      <c r="T666" s="269"/>
      <c r="U666" s="203"/>
      <c r="V666" s="203"/>
      <c r="W666" s="269"/>
      <c r="X666" s="206"/>
      <c r="Y666" s="206"/>
      <c r="Z666" s="206"/>
    </row>
    <row r="667" spans="1:26" ht="12.75" x14ac:dyDescent="0.2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69"/>
      <c r="N667" s="269"/>
      <c r="O667" s="270"/>
      <c r="P667" s="270"/>
      <c r="Q667" s="270"/>
      <c r="R667" s="203"/>
      <c r="S667" s="203"/>
      <c r="T667" s="269"/>
      <c r="U667" s="203"/>
      <c r="V667" s="203"/>
      <c r="W667" s="269"/>
      <c r="X667" s="206"/>
      <c r="Y667" s="206"/>
      <c r="Z667" s="206"/>
    </row>
    <row r="668" spans="1:26" ht="12.75" x14ac:dyDescent="0.2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69"/>
      <c r="N668" s="269"/>
      <c r="O668" s="270"/>
      <c r="P668" s="270"/>
      <c r="Q668" s="270"/>
      <c r="R668" s="203"/>
      <c r="S668" s="203"/>
      <c r="T668" s="269"/>
      <c r="U668" s="203"/>
      <c r="V668" s="203"/>
      <c r="W668" s="269"/>
      <c r="X668" s="206"/>
      <c r="Y668" s="206"/>
      <c r="Z668" s="206"/>
    </row>
    <row r="669" spans="1:26" ht="12.75" x14ac:dyDescent="0.2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69"/>
      <c r="N669" s="269"/>
      <c r="O669" s="270"/>
      <c r="P669" s="270"/>
      <c r="Q669" s="270"/>
      <c r="R669" s="203"/>
      <c r="S669" s="203"/>
      <c r="T669" s="269"/>
      <c r="U669" s="203"/>
      <c r="V669" s="203"/>
      <c r="W669" s="269"/>
      <c r="X669" s="206"/>
      <c r="Y669" s="206"/>
      <c r="Z669" s="206"/>
    </row>
    <row r="670" spans="1:26" ht="12.75" x14ac:dyDescent="0.2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69"/>
      <c r="N670" s="269"/>
      <c r="O670" s="270"/>
      <c r="P670" s="270"/>
      <c r="Q670" s="270"/>
      <c r="R670" s="203"/>
      <c r="S670" s="203"/>
      <c r="T670" s="269"/>
      <c r="U670" s="203"/>
      <c r="V670" s="203"/>
      <c r="W670" s="269"/>
      <c r="X670" s="206"/>
      <c r="Y670" s="206"/>
      <c r="Z670" s="206"/>
    </row>
    <row r="671" spans="1:26" ht="12.75" x14ac:dyDescent="0.2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69"/>
      <c r="N671" s="269"/>
      <c r="O671" s="270"/>
      <c r="P671" s="270"/>
      <c r="Q671" s="270"/>
      <c r="R671" s="203"/>
      <c r="S671" s="203"/>
      <c r="T671" s="269"/>
      <c r="U671" s="203"/>
      <c r="V671" s="203"/>
      <c r="W671" s="269"/>
      <c r="X671" s="206"/>
      <c r="Y671" s="206"/>
      <c r="Z671" s="206"/>
    </row>
    <row r="672" spans="1:26" ht="12.75" x14ac:dyDescent="0.2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69"/>
      <c r="N672" s="269"/>
      <c r="O672" s="270"/>
      <c r="P672" s="270"/>
      <c r="Q672" s="270"/>
      <c r="R672" s="203"/>
      <c r="S672" s="203"/>
      <c r="T672" s="269"/>
      <c r="U672" s="203"/>
      <c r="V672" s="203"/>
      <c r="W672" s="269"/>
      <c r="X672" s="206"/>
      <c r="Y672" s="206"/>
      <c r="Z672" s="206"/>
    </row>
    <row r="673" spans="1:26" ht="12.75" x14ac:dyDescent="0.2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69"/>
      <c r="N673" s="269"/>
      <c r="O673" s="270"/>
      <c r="P673" s="270"/>
      <c r="Q673" s="270"/>
      <c r="R673" s="203"/>
      <c r="S673" s="203"/>
      <c r="T673" s="269"/>
      <c r="U673" s="203"/>
      <c r="V673" s="203"/>
      <c r="W673" s="269"/>
      <c r="X673" s="206"/>
      <c r="Y673" s="206"/>
      <c r="Z673" s="206"/>
    </row>
    <row r="674" spans="1:26" ht="12.75" x14ac:dyDescent="0.2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69"/>
      <c r="N674" s="269"/>
      <c r="O674" s="270"/>
      <c r="P674" s="270"/>
      <c r="Q674" s="270"/>
      <c r="R674" s="203"/>
      <c r="S674" s="203"/>
      <c r="T674" s="269"/>
      <c r="U674" s="203"/>
      <c r="V674" s="203"/>
      <c r="W674" s="269"/>
      <c r="X674" s="206"/>
      <c r="Y674" s="206"/>
      <c r="Z674" s="206"/>
    </row>
    <row r="675" spans="1:26" ht="12.75" x14ac:dyDescent="0.2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69"/>
      <c r="N675" s="269"/>
      <c r="O675" s="270"/>
      <c r="P675" s="270"/>
      <c r="Q675" s="270"/>
      <c r="R675" s="203"/>
      <c r="S675" s="203"/>
      <c r="T675" s="269"/>
      <c r="U675" s="203"/>
      <c r="V675" s="203"/>
      <c r="W675" s="269"/>
      <c r="X675" s="206"/>
      <c r="Y675" s="206"/>
      <c r="Z675" s="206"/>
    </row>
    <row r="676" spans="1:26" ht="12.75" x14ac:dyDescent="0.2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69"/>
      <c r="N676" s="269"/>
      <c r="O676" s="270"/>
      <c r="P676" s="270"/>
      <c r="Q676" s="270"/>
      <c r="R676" s="203"/>
      <c r="S676" s="203"/>
      <c r="T676" s="269"/>
      <c r="U676" s="203"/>
      <c r="V676" s="203"/>
      <c r="W676" s="269"/>
      <c r="X676" s="206"/>
      <c r="Y676" s="206"/>
      <c r="Z676" s="206"/>
    </row>
    <row r="677" spans="1:26" ht="12.75" x14ac:dyDescent="0.2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69"/>
      <c r="N677" s="269"/>
      <c r="O677" s="270"/>
      <c r="P677" s="270"/>
      <c r="Q677" s="270"/>
      <c r="R677" s="203"/>
      <c r="S677" s="203"/>
      <c r="T677" s="269"/>
      <c r="U677" s="203"/>
      <c r="V677" s="203"/>
      <c r="W677" s="269"/>
      <c r="X677" s="206"/>
      <c r="Y677" s="206"/>
      <c r="Z677" s="206"/>
    </row>
    <row r="678" spans="1:26" ht="12.75" x14ac:dyDescent="0.2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69"/>
      <c r="N678" s="269"/>
      <c r="O678" s="270"/>
      <c r="P678" s="270"/>
      <c r="Q678" s="270"/>
      <c r="R678" s="203"/>
      <c r="S678" s="203"/>
      <c r="T678" s="269"/>
      <c r="U678" s="203"/>
      <c r="V678" s="203"/>
      <c r="W678" s="269"/>
      <c r="X678" s="206"/>
      <c r="Y678" s="206"/>
      <c r="Z678" s="206"/>
    </row>
    <row r="679" spans="1:26" ht="12.75" x14ac:dyDescent="0.2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69"/>
      <c r="N679" s="269"/>
      <c r="O679" s="270"/>
      <c r="P679" s="270"/>
      <c r="Q679" s="270"/>
      <c r="R679" s="203"/>
      <c r="S679" s="203"/>
      <c r="T679" s="269"/>
      <c r="U679" s="203"/>
      <c r="V679" s="203"/>
      <c r="W679" s="269"/>
      <c r="X679" s="206"/>
      <c r="Y679" s="206"/>
      <c r="Z679" s="206"/>
    </row>
    <row r="680" spans="1:26" ht="12.75" x14ac:dyDescent="0.2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69"/>
      <c r="N680" s="269"/>
      <c r="O680" s="270"/>
      <c r="P680" s="270"/>
      <c r="Q680" s="270"/>
      <c r="R680" s="203"/>
      <c r="S680" s="203"/>
      <c r="T680" s="269"/>
      <c r="U680" s="203"/>
      <c r="V680" s="203"/>
      <c r="W680" s="269"/>
      <c r="X680" s="206"/>
      <c r="Y680" s="206"/>
      <c r="Z680" s="206"/>
    </row>
    <row r="681" spans="1:26" ht="12.75" x14ac:dyDescent="0.2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69"/>
      <c r="N681" s="269"/>
      <c r="O681" s="270"/>
      <c r="P681" s="270"/>
      <c r="Q681" s="270"/>
      <c r="R681" s="203"/>
      <c r="S681" s="203"/>
      <c r="T681" s="269"/>
      <c r="U681" s="203"/>
      <c r="V681" s="203"/>
      <c r="W681" s="269"/>
      <c r="X681" s="206"/>
      <c r="Y681" s="206"/>
      <c r="Z681" s="206"/>
    </row>
    <row r="682" spans="1:26" ht="12.75" x14ac:dyDescent="0.2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69"/>
      <c r="N682" s="269"/>
      <c r="O682" s="270"/>
      <c r="P682" s="270"/>
      <c r="Q682" s="270"/>
      <c r="R682" s="203"/>
      <c r="S682" s="203"/>
      <c r="T682" s="269"/>
      <c r="U682" s="203"/>
      <c r="V682" s="203"/>
      <c r="W682" s="269"/>
      <c r="X682" s="206"/>
      <c r="Y682" s="206"/>
      <c r="Z682" s="206"/>
    </row>
    <row r="683" spans="1:26" ht="12.75" x14ac:dyDescent="0.2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69"/>
      <c r="N683" s="269"/>
      <c r="O683" s="270"/>
      <c r="P683" s="270"/>
      <c r="Q683" s="270"/>
      <c r="R683" s="203"/>
      <c r="S683" s="203"/>
      <c r="T683" s="269"/>
      <c r="U683" s="203"/>
      <c r="V683" s="203"/>
      <c r="W683" s="269"/>
      <c r="X683" s="206"/>
      <c r="Y683" s="206"/>
      <c r="Z683" s="206"/>
    </row>
    <row r="684" spans="1:26" ht="12.75" x14ac:dyDescent="0.2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69"/>
      <c r="N684" s="269"/>
      <c r="O684" s="270"/>
      <c r="P684" s="270"/>
      <c r="Q684" s="270"/>
      <c r="R684" s="203"/>
      <c r="S684" s="203"/>
      <c r="T684" s="269"/>
      <c r="U684" s="203"/>
      <c r="V684" s="203"/>
      <c r="W684" s="269"/>
      <c r="X684" s="206"/>
      <c r="Y684" s="206"/>
      <c r="Z684" s="206"/>
    </row>
    <row r="685" spans="1:26" ht="12.75" x14ac:dyDescent="0.2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69"/>
      <c r="N685" s="269"/>
      <c r="O685" s="270"/>
      <c r="P685" s="270"/>
      <c r="Q685" s="270"/>
      <c r="R685" s="203"/>
      <c r="S685" s="203"/>
      <c r="T685" s="269"/>
      <c r="U685" s="203"/>
      <c r="V685" s="203"/>
      <c r="W685" s="269"/>
      <c r="X685" s="206"/>
      <c r="Y685" s="206"/>
      <c r="Z685" s="206"/>
    </row>
    <row r="686" spans="1:26" ht="12.75" x14ac:dyDescent="0.2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69"/>
      <c r="N686" s="269"/>
      <c r="O686" s="270"/>
      <c r="P686" s="270"/>
      <c r="Q686" s="270"/>
      <c r="R686" s="203"/>
      <c r="S686" s="203"/>
      <c r="T686" s="269"/>
      <c r="U686" s="203"/>
      <c r="V686" s="203"/>
      <c r="W686" s="269"/>
      <c r="X686" s="206"/>
      <c r="Y686" s="206"/>
      <c r="Z686" s="206"/>
    </row>
    <row r="687" spans="1:26" ht="12.75" x14ac:dyDescent="0.2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69"/>
      <c r="N687" s="269"/>
      <c r="O687" s="270"/>
      <c r="P687" s="270"/>
      <c r="Q687" s="270"/>
      <c r="R687" s="203"/>
      <c r="S687" s="203"/>
      <c r="T687" s="269"/>
      <c r="U687" s="203"/>
      <c r="V687" s="203"/>
      <c r="W687" s="269"/>
      <c r="X687" s="206"/>
      <c r="Y687" s="206"/>
      <c r="Z687" s="206"/>
    </row>
    <row r="688" spans="1:26" ht="12.75" x14ac:dyDescent="0.2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69"/>
      <c r="N688" s="269"/>
      <c r="O688" s="270"/>
      <c r="P688" s="270"/>
      <c r="Q688" s="270"/>
      <c r="R688" s="203"/>
      <c r="S688" s="203"/>
      <c r="T688" s="269"/>
      <c r="U688" s="203"/>
      <c r="V688" s="203"/>
      <c r="W688" s="269"/>
      <c r="X688" s="206"/>
      <c r="Y688" s="206"/>
      <c r="Z688" s="206"/>
    </row>
    <row r="689" spans="1:26" ht="12.75" x14ac:dyDescent="0.2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69"/>
      <c r="N689" s="269"/>
      <c r="O689" s="270"/>
      <c r="P689" s="270"/>
      <c r="Q689" s="270"/>
      <c r="R689" s="203"/>
      <c r="S689" s="203"/>
      <c r="T689" s="269"/>
      <c r="U689" s="203"/>
      <c r="V689" s="203"/>
      <c r="W689" s="269"/>
      <c r="X689" s="206"/>
      <c r="Y689" s="206"/>
      <c r="Z689" s="206"/>
    </row>
    <row r="690" spans="1:26" ht="12.75" x14ac:dyDescent="0.2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69"/>
      <c r="N690" s="269"/>
      <c r="O690" s="270"/>
      <c r="P690" s="270"/>
      <c r="Q690" s="270"/>
      <c r="R690" s="203"/>
      <c r="S690" s="203"/>
      <c r="T690" s="269"/>
      <c r="U690" s="203"/>
      <c r="V690" s="203"/>
      <c r="W690" s="269"/>
      <c r="X690" s="206"/>
      <c r="Y690" s="206"/>
      <c r="Z690" s="206"/>
    </row>
    <row r="691" spans="1:26" ht="12.75" x14ac:dyDescent="0.2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69"/>
      <c r="N691" s="269"/>
      <c r="O691" s="270"/>
      <c r="P691" s="270"/>
      <c r="Q691" s="270"/>
      <c r="R691" s="203"/>
      <c r="S691" s="203"/>
      <c r="T691" s="269"/>
      <c r="U691" s="203"/>
      <c r="V691" s="203"/>
      <c r="W691" s="269"/>
      <c r="X691" s="206"/>
      <c r="Y691" s="206"/>
      <c r="Z691" s="206"/>
    </row>
    <row r="692" spans="1:26" ht="12.75" x14ac:dyDescent="0.2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69"/>
      <c r="N692" s="269"/>
      <c r="O692" s="270"/>
      <c r="P692" s="270"/>
      <c r="Q692" s="270"/>
      <c r="R692" s="203"/>
      <c r="S692" s="203"/>
      <c r="T692" s="269"/>
      <c r="U692" s="203"/>
      <c r="V692" s="203"/>
      <c r="W692" s="269"/>
      <c r="X692" s="206"/>
      <c r="Y692" s="206"/>
      <c r="Z692" s="206"/>
    </row>
    <row r="693" spans="1:26" ht="12.75" x14ac:dyDescent="0.2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69"/>
      <c r="N693" s="269"/>
      <c r="O693" s="270"/>
      <c r="P693" s="270"/>
      <c r="Q693" s="270"/>
      <c r="R693" s="203"/>
      <c r="S693" s="203"/>
      <c r="T693" s="269"/>
      <c r="U693" s="203"/>
      <c r="V693" s="203"/>
      <c r="W693" s="269"/>
      <c r="X693" s="206"/>
      <c r="Y693" s="206"/>
      <c r="Z693" s="206"/>
    </row>
    <row r="694" spans="1:26" ht="12.75" x14ac:dyDescent="0.2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69"/>
      <c r="N694" s="269"/>
      <c r="O694" s="270"/>
      <c r="P694" s="270"/>
      <c r="Q694" s="270"/>
      <c r="R694" s="203"/>
      <c r="S694" s="203"/>
      <c r="T694" s="269"/>
      <c r="U694" s="203"/>
      <c r="V694" s="203"/>
      <c r="W694" s="269"/>
      <c r="X694" s="206"/>
      <c r="Y694" s="206"/>
      <c r="Z694" s="206"/>
    </row>
    <row r="695" spans="1:26" ht="12.75" x14ac:dyDescent="0.2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69"/>
      <c r="N695" s="269"/>
      <c r="O695" s="270"/>
      <c r="P695" s="270"/>
      <c r="Q695" s="270"/>
      <c r="R695" s="203"/>
      <c r="S695" s="203"/>
      <c r="T695" s="269"/>
      <c r="U695" s="203"/>
      <c r="V695" s="203"/>
      <c r="W695" s="269"/>
      <c r="X695" s="206"/>
      <c r="Y695" s="206"/>
      <c r="Z695" s="206"/>
    </row>
    <row r="696" spans="1:26" ht="12.75" x14ac:dyDescent="0.2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69"/>
      <c r="N696" s="269"/>
      <c r="O696" s="270"/>
      <c r="P696" s="270"/>
      <c r="Q696" s="270"/>
      <c r="R696" s="203"/>
      <c r="S696" s="203"/>
      <c r="T696" s="269"/>
      <c r="U696" s="203"/>
      <c r="V696" s="203"/>
      <c r="W696" s="269"/>
      <c r="X696" s="206"/>
      <c r="Y696" s="206"/>
      <c r="Z696" s="206"/>
    </row>
    <row r="697" spans="1:26" ht="12.75" x14ac:dyDescent="0.2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69"/>
      <c r="N697" s="269"/>
      <c r="O697" s="270"/>
      <c r="P697" s="270"/>
      <c r="Q697" s="270"/>
      <c r="R697" s="203"/>
      <c r="S697" s="203"/>
      <c r="T697" s="269"/>
      <c r="U697" s="203"/>
      <c r="V697" s="203"/>
      <c r="W697" s="269"/>
      <c r="X697" s="206"/>
      <c r="Y697" s="206"/>
      <c r="Z697" s="206"/>
    </row>
    <row r="698" spans="1:26" ht="12.75" x14ac:dyDescent="0.2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69"/>
      <c r="N698" s="269"/>
      <c r="O698" s="270"/>
      <c r="P698" s="270"/>
      <c r="Q698" s="270"/>
      <c r="R698" s="203"/>
      <c r="S698" s="203"/>
      <c r="T698" s="269"/>
      <c r="U698" s="203"/>
      <c r="V698" s="203"/>
      <c r="W698" s="269"/>
      <c r="X698" s="206"/>
      <c r="Y698" s="206"/>
      <c r="Z698" s="206"/>
    </row>
    <row r="699" spans="1:26" ht="12.75" x14ac:dyDescent="0.2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69"/>
      <c r="N699" s="269"/>
      <c r="O699" s="270"/>
      <c r="P699" s="270"/>
      <c r="Q699" s="270"/>
      <c r="R699" s="203"/>
      <c r="S699" s="203"/>
      <c r="T699" s="269"/>
      <c r="U699" s="203"/>
      <c r="V699" s="203"/>
      <c r="W699" s="269"/>
      <c r="X699" s="206"/>
      <c r="Y699" s="206"/>
      <c r="Z699" s="206"/>
    </row>
    <row r="700" spans="1:26" ht="12.75" x14ac:dyDescent="0.2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69"/>
      <c r="N700" s="269"/>
      <c r="O700" s="270"/>
      <c r="P700" s="270"/>
      <c r="Q700" s="270"/>
      <c r="R700" s="203"/>
      <c r="S700" s="203"/>
      <c r="T700" s="269"/>
      <c r="U700" s="203"/>
      <c r="V700" s="203"/>
      <c r="W700" s="269"/>
      <c r="X700" s="206"/>
      <c r="Y700" s="206"/>
      <c r="Z700" s="206"/>
    </row>
    <row r="701" spans="1:26" ht="12.75" x14ac:dyDescent="0.2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69"/>
      <c r="N701" s="269"/>
      <c r="O701" s="270"/>
      <c r="P701" s="270"/>
      <c r="Q701" s="270"/>
      <c r="R701" s="203"/>
      <c r="S701" s="203"/>
      <c r="T701" s="269"/>
      <c r="U701" s="203"/>
      <c r="V701" s="203"/>
      <c r="W701" s="269"/>
      <c r="X701" s="206"/>
      <c r="Y701" s="206"/>
      <c r="Z701" s="206"/>
    </row>
    <row r="702" spans="1:26" ht="12.75" x14ac:dyDescent="0.2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69"/>
      <c r="N702" s="269"/>
      <c r="O702" s="270"/>
      <c r="P702" s="270"/>
      <c r="Q702" s="270"/>
      <c r="R702" s="203"/>
      <c r="S702" s="203"/>
      <c r="T702" s="269"/>
      <c r="U702" s="203"/>
      <c r="V702" s="203"/>
      <c r="W702" s="269"/>
      <c r="X702" s="206"/>
      <c r="Y702" s="206"/>
      <c r="Z702" s="206"/>
    </row>
    <row r="703" spans="1:26" ht="12.75" x14ac:dyDescent="0.2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69"/>
      <c r="N703" s="269"/>
      <c r="O703" s="270"/>
      <c r="P703" s="270"/>
      <c r="Q703" s="270"/>
      <c r="R703" s="203"/>
      <c r="S703" s="203"/>
      <c r="T703" s="269"/>
      <c r="U703" s="203"/>
      <c r="V703" s="203"/>
      <c r="W703" s="269"/>
      <c r="X703" s="206"/>
      <c r="Y703" s="206"/>
      <c r="Z703" s="206"/>
    </row>
    <row r="704" spans="1:26" ht="12.75" x14ac:dyDescent="0.2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69"/>
      <c r="N704" s="269"/>
      <c r="O704" s="270"/>
      <c r="P704" s="270"/>
      <c r="Q704" s="270"/>
      <c r="R704" s="203"/>
      <c r="S704" s="203"/>
      <c r="T704" s="269"/>
      <c r="U704" s="203"/>
      <c r="V704" s="203"/>
      <c r="W704" s="269"/>
      <c r="X704" s="206"/>
      <c r="Y704" s="206"/>
      <c r="Z704" s="206"/>
    </row>
    <row r="705" spans="1:26" ht="12.75" x14ac:dyDescent="0.2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69"/>
      <c r="N705" s="269"/>
      <c r="O705" s="270"/>
      <c r="P705" s="270"/>
      <c r="Q705" s="270"/>
      <c r="R705" s="203"/>
      <c r="S705" s="203"/>
      <c r="T705" s="269"/>
      <c r="U705" s="203"/>
      <c r="V705" s="203"/>
      <c r="W705" s="269"/>
      <c r="X705" s="206"/>
      <c r="Y705" s="206"/>
      <c r="Z705" s="206"/>
    </row>
    <row r="706" spans="1:26" ht="12.75" x14ac:dyDescent="0.2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69"/>
      <c r="N706" s="269"/>
      <c r="O706" s="270"/>
      <c r="P706" s="270"/>
      <c r="Q706" s="270"/>
      <c r="R706" s="203"/>
      <c r="S706" s="203"/>
      <c r="T706" s="269"/>
      <c r="U706" s="203"/>
      <c r="V706" s="203"/>
      <c r="W706" s="269"/>
      <c r="X706" s="206"/>
      <c r="Y706" s="206"/>
      <c r="Z706" s="206"/>
    </row>
    <row r="707" spans="1:26" ht="12.75" x14ac:dyDescent="0.2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69"/>
      <c r="N707" s="269"/>
      <c r="O707" s="270"/>
      <c r="P707" s="270"/>
      <c r="Q707" s="270"/>
      <c r="R707" s="203"/>
      <c r="S707" s="203"/>
      <c r="T707" s="269"/>
      <c r="U707" s="203"/>
      <c r="V707" s="203"/>
      <c r="W707" s="269"/>
      <c r="X707" s="206"/>
      <c r="Y707" s="206"/>
      <c r="Z707" s="206"/>
    </row>
    <row r="708" spans="1:26" ht="12.75" x14ac:dyDescent="0.2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69"/>
      <c r="N708" s="269"/>
      <c r="O708" s="270"/>
      <c r="P708" s="270"/>
      <c r="Q708" s="270"/>
      <c r="R708" s="203"/>
      <c r="S708" s="203"/>
      <c r="T708" s="269"/>
      <c r="U708" s="203"/>
      <c r="V708" s="203"/>
      <c r="W708" s="269"/>
      <c r="X708" s="206"/>
      <c r="Y708" s="206"/>
      <c r="Z708" s="206"/>
    </row>
    <row r="709" spans="1:26" ht="12.75" x14ac:dyDescent="0.2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69"/>
      <c r="N709" s="269"/>
      <c r="O709" s="270"/>
      <c r="P709" s="270"/>
      <c r="Q709" s="270"/>
      <c r="R709" s="203"/>
      <c r="S709" s="203"/>
      <c r="T709" s="269"/>
      <c r="U709" s="203"/>
      <c r="V709" s="203"/>
      <c r="W709" s="269"/>
      <c r="X709" s="206"/>
      <c r="Y709" s="206"/>
      <c r="Z709" s="206"/>
    </row>
    <row r="710" spans="1:26" ht="12.75" x14ac:dyDescent="0.2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69"/>
      <c r="N710" s="269"/>
      <c r="O710" s="270"/>
      <c r="P710" s="270"/>
      <c r="Q710" s="270"/>
      <c r="R710" s="203"/>
      <c r="S710" s="203"/>
      <c r="T710" s="269"/>
      <c r="U710" s="203"/>
      <c r="V710" s="203"/>
      <c r="W710" s="269"/>
      <c r="X710" s="206"/>
      <c r="Y710" s="206"/>
      <c r="Z710" s="206"/>
    </row>
    <row r="711" spans="1:26" ht="12.75" x14ac:dyDescent="0.2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69"/>
      <c r="N711" s="269"/>
      <c r="O711" s="270"/>
      <c r="P711" s="270"/>
      <c r="Q711" s="270"/>
      <c r="R711" s="203"/>
      <c r="S711" s="203"/>
      <c r="T711" s="269"/>
      <c r="U711" s="203"/>
      <c r="V711" s="203"/>
      <c r="W711" s="269"/>
      <c r="X711" s="206"/>
      <c r="Y711" s="206"/>
      <c r="Z711" s="206"/>
    </row>
    <row r="712" spans="1:26" ht="12.75" x14ac:dyDescent="0.2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69"/>
      <c r="N712" s="269"/>
      <c r="O712" s="270"/>
      <c r="P712" s="270"/>
      <c r="Q712" s="270"/>
      <c r="R712" s="203"/>
      <c r="S712" s="203"/>
      <c r="T712" s="269"/>
      <c r="U712" s="203"/>
      <c r="V712" s="203"/>
      <c r="W712" s="269"/>
      <c r="X712" s="206"/>
      <c r="Y712" s="206"/>
      <c r="Z712" s="206"/>
    </row>
    <row r="713" spans="1:26" ht="12.75" x14ac:dyDescent="0.2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69"/>
      <c r="N713" s="269"/>
      <c r="O713" s="270"/>
      <c r="P713" s="270"/>
      <c r="Q713" s="270"/>
      <c r="R713" s="203"/>
      <c r="S713" s="203"/>
      <c r="T713" s="269"/>
      <c r="U713" s="203"/>
      <c r="V713" s="203"/>
      <c r="W713" s="269"/>
      <c r="X713" s="206"/>
      <c r="Y713" s="206"/>
      <c r="Z713" s="206"/>
    </row>
    <row r="714" spans="1:26" ht="12.75" x14ac:dyDescent="0.2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69"/>
      <c r="N714" s="269"/>
      <c r="O714" s="270"/>
      <c r="P714" s="270"/>
      <c r="Q714" s="270"/>
      <c r="R714" s="203"/>
      <c r="S714" s="203"/>
      <c r="T714" s="269"/>
      <c r="U714" s="203"/>
      <c r="V714" s="203"/>
      <c r="W714" s="269"/>
      <c r="X714" s="206"/>
      <c r="Y714" s="206"/>
      <c r="Z714" s="206"/>
    </row>
    <row r="715" spans="1:26" ht="12.75" x14ac:dyDescent="0.2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69"/>
      <c r="N715" s="269"/>
      <c r="O715" s="270"/>
      <c r="P715" s="270"/>
      <c r="Q715" s="270"/>
      <c r="R715" s="203"/>
      <c r="S715" s="203"/>
      <c r="T715" s="269"/>
      <c r="U715" s="203"/>
      <c r="V715" s="203"/>
      <c r="W715" s="269"/>
      <c r="X715" s="206"/>
      <c r="Y715" s="206"/>
      <c r="Z715" s="206"/>
    </row>
    <row r="716" spans="1:26" ht="12.75" x14ac:dyDescent="0.2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69"/>
      <c r="N716" s="269"/>
      <c r="O716" s="270"/>
      <c r="P716" s="270"/>
      <c r="Q716" s="270"/>
      <c r="R716" s="203"/>
      <c r="S716" s="203"/>
      <c r="T716" s="269"/>
      <c r="U716" s="203"/>
      <c r="V716" s="203"/>
      <c r="W716" s="269"/>
      <c r="X716" s="206"/>
      <c r="Y716" s="206"/>
      <c r="Z716" s="206"/>
    </row>
    <row r="717" spans="1:26" ht="12.75" x14ac:dyDescent="0.2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69"/>
      <c r="N717" s="269"/>
      <c r="O717" s="270"/>
      <c r="P717" s="270"/>
      <c r="Q717" s="270"/>
      <c r="R717" s="203"/>
      <c r="S717" s="203"/>
      <c r="T717" s="269"/>
      <c r="U717" s="203"/>
      <c r="V717" s="203"/>
      <c r="W717" s="269"/>
      <c r="X717" s="206"/>
      <c r="Y717" s="206"/>
      <c r="Z717" s="206"/>
    </row>
    <row r="718" spans="1:26" ht="12.75" x14ac:dyDescent="0.2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69"/>
      <c r="N718" s="269"/>
      <c r="O718" s="270"/>
      <c r="P718" s="270"/>
      <c r="Q718" s="270"/>
      <c r="R718" s="203"/>
      <c r="S718" s="203"/>
      <c r="T718" s="269"/>
      <c r="U718" s="203"/>
      <c r="V718" s="203"/>
      <c r="W718" s="269"/>
      <c r="X718" s="206"/>
      <c r="Y718" s="206"/>
      <c r="Z718" s="206"/>
    </row>
    <row r="719" spans="1:26" ht="12.75" x14ac:dyDescent="0.2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69"/>
      <c r="N719" s="269"/>
      <c r="O719" s="270"/>
      <c r="P719" s="270"/>
      <c r="Q719" s="270"/>
      <c r="R719" s="203"/>
      <c r="S719" s="203"/>
      <c r="T719" s="269"/>
      <c r="U719" s="203"/>
      <c r="V719" s="203"/>
      <c r="W719" s="269"/>
      <c r="X719" s="206"/>
      <c r="Y719" s="206"/>
      <c r="Z719" s="206"/>
    </row>
    <row r="720" spans="1:26" ht="12.75" x14ac:dyDescent="0.2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69"/>
      <c r="N720" s="269"/>
      <c r="O720" s="270"/>
      <c r="P720" s="270"/>
      <c r="Q720" s="270"/>
      <c r="R720" s="203"/>
      <c r="S720" s="203"/>
      <c r="T720" s="269"/>
      <c r="U720" s="203"/>
      <c r="V720" s="203"/>
      <c r="W720" s="269"/>
      <c r="X720" s="206"/>
      <c r="Y720" s="206"/>
      <c r="Z720" s="206"/>
    </row>
    <row r="721" spans="1:26" ht="12.75" x14ac:dyDescent="0.2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69"/>
      <c r="N721" s="269"/>
      <c r="O721" s="270"/>
      <c r="P721" s="270"/>
      <c r="Q721" s="270"/>
      <c r="R721" s="203"/>
      <c r="S721" s="203"/>
      <c r="T721" s="269"/>
      <c r="U721" s="203"/>
      <c r="V721" s="203"/>
      <c r="W721" s="269"/>
      <c r="X721" s="206"/>
      <c r="Y721" s="206"/>
      <c r="Z721" s="206"/>
    </row>
    <row r="722" spans="1:26" ht="12.75" x14ac:dyDescent="0.2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69"/>
      <c r="N722" s="269"/>
      <c r="O722" s="270"/>
      <c r="P722" s="270"/>
      <c r="Q722" s="270"/>
      <c r="R722" s="203"/>
      <c r="S722" s="203"/>
      <c r="T722" s="269"/>
      <c r="U722" s="203"/>
      <c r="V722" s="203"/>
      <c r="W722" s="269"/>
      <c r="X722" s="206"/>
      <c r="Y722" s="206"/>
      <c r="Z722" s="206"/>
    </row>
    <row r="723" spans="1:26" ht="12.75" x14ac:dyDescent="0.2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69"/>
      <c r="N723" s="269"/>
      <c r="O723" s="270"/>
      <c r="P723" s="270"/>
      <c r="Q723" s="270"/>
      <c r="R723" s="203"/>
      <c r="S723" s="203"/>
      <c r="T723" s="269"/>
      <c r="U723" s="203"/>
      <c r="V723" s="203"/>
      <c r="W723" s="269"/>
      <c r="X723" s="206"/>
      <c r="Y723" s="206"/>
      <c r="Z723" s="206"/>
    </row>
    <row r="724" spans="1:26" ht="12.75" x14ac:dyDescent="0.2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69"/>
      <c r="N724" s="269"/>
      <c r="O724" s="270"/>
      <c r="P724" s="270"/>
      <c r="Q724" s="270"/>
      <c r="R724" s="203"/>
      <c r="S724" s="203"/>
      <c r="T724" s="269"/>
      <c r="U724" s="203"/>
      <c r="V724" s="203"/>
      <c r="W724" s="269"/>
      <c r="X724" s="206"/>
      <c r="Y724" s="206"/>
      <c r="Z724" s="206"/>
    </row>
    <row r="725" spans="1:26" ht="12.75" x14ac:dyDescent="0.2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69"/>
      <c r="N725" s="269"/>
      <c r="O725" s="270"/>
      <c r="P725" s="270"/>
      <c r="Q725" s="270"/>
      <c r="R725" s="203"/>
      <c r="S725" s="203"/>
      <c r="T725" s="269"/>
      <c r="U725" s="203"/>
      <c r="V725" s="203"/>
      <c r="W725" s="269"/>
      <c r="X725" s="206"/>
      <c r="Y725" s="206"/>
      <c r="Z725" s="206"/>
    </row>
    <row r="726" spans="1:26" ht="12.75" x14ac:dyDescent="0.2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69"/>
      <c r="N726" s="269"/>
      <c r="O726" s="270"/>
      <c r="P726" s="270"/>
      <c r="Q726" s="270"/>
      <c r="R726" s="203"/>
      <c r="S726" s="203"/>
      <c r="T726" s="269"/>
      <c r="U726" s="203"/>
      <c r="V726" s="203"/>
      <c r="W726" s="269"/>
      <c r="X726" s="206"/>
      <c r="Y726" s="206"/>
      <c r="Z726" s="206"/>
    </row>
    <row r="727" spans="1:26" ht="12.75" x14ac:dyDescent="0.2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69"/>
      <c r="N727" s="269"/>
      <c r="O727" s="270"/>
      <c r="P727" s="270"/>
      <c r="Q727" s="270"/>
      <c r="R727" s="203"/>
      <c r="S727" s="203"/>
      <c r="T727" s="269"/>
      <c r="U727" s="203"/>
      <c r="V727" s="203"/>
      <c r="W727" s="269"/>
      <c r="X727" s="206"/>
      <c r="Y727" s="206"/>
      <c r="Z727" s="206"/>
    </row>
    <row r="728" spans="1:26" ht="12.75" x14ac:dyDescent="0.2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69"/>
      <c r="N728" s="269"/>
      <c r="O728" s="270"/>
      <c r="P728" s="270"/>
      <c r="Q728" s="270"/>
      <c r="R728" s="203"/>
      <c r="S728" s="203"/>
      <c r="T728" s="269"/>
      <c r="U728" s="203"/>
      <c r="V728" s="203"/>
      <c r="W728" s="269"/>
      <c r="X728" s="206"/>
      <c r="Y728" s="206"/>
      <c r="Z728" s="206"/>
    </row>
    <row r="729" spans="1:26" ht="12.75" x14ac:dyDescent="0.2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69"/>
      <c r="N729" s="269"/>
      <c r="O729" s="270"/>
      <c r="P729" s="270"/>
      <c r="Q729" s="270"/>
      <c r="R729" s="203"/>
      <c r="S729" s="203"/>
      <c r="T729" s="269"/>
      <c r="U729" s="203"/>
      <c r="V729" s="203"/>
      <c r="W729" s="269"/>
      <c r="X729" s="206"/>
      <c r="Y729" s="206"/>
      <c r="Z729" s="206"/>
    </row>
    <row r="730" spans="1:26" ht="12.75" x14ac:dyDescent="0.2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69"/>
      <c r="N730" s="269"/>
      <c r="O730" s="270"/>
      <c r="P730" s="270"/>
      <c r="Q730" s="270"/>
      <c r="R730" s="203"/>
      <c r="S730" s="203"/>
      <c r="T730" s="269"/>
      <c r="U730" s="203"/>
      <c r="V730" s="203"/>
      <c r="W730" s="269"/>
      <c r="X730" s="206"/>
      <c r="Y730" s="206"/>
      <c r="Z730" s="206"/>
    </row>
    <row r="731" spans="1:26" ht="12.75" x14ac:dyDescent="0.2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69"/>
      <c r="N731" s="269"/>
      <c r="O731" s="270"/>
      <c r="P731" s="270"/>
      <c r="Q731" s="270"/>
      <c r="R731" s="203"/>
      <c r="S731" s="203"/>
      <c r="T731" s="269"/>
      <c r="U731" s="203"/>
      <c r="V731" s="203"/>
      <c r="W731" s="269"/>
      <c r="X731" s="206"/>
      <c r="Y731" s="206"/>
      <c r="Z731" s="206"/>
    </row>
    <row r="732" spans="1:26" ht="12.75" x14ac:dyDescent="0.2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69"/>
      <c r="N732" s="269"/>
      <c r="O732" s="270"/>
      <c r="P732" s="270"/>
      <c r="Q732" s="270"/>
      <c r="R732" s="203"/>
      <c r="S732" s="203"/>
      <c r="T732" s="269"/>
      <c r="U732" s="203"/>
      <c r="V732" s="203"/>
      <c r="W732" s="269"/>
      <c r="X732" s="206"/>
      <c r="Y732" s="206"/>
      <c r="Z732" s="206"/>
    </row>
    <row r="733" spans="1:26" ht="12.75" x14ac:dyDescent="0.2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69"/>
      <c r="N733" s="269"/>
      <c r="O733" s="270"/>
      <c r="P733" s="270"/>
      <c r="Q733" s="270"/>
      <c r="R733" s="203"/>
      <c r="S733" s="203"/>
      <c r="T733" s="269"/>
      <c r="U733" s="203"/>
      <c r="V733" s="203"/>
      <c r="W733" s="269"/>
      <c r="X733" s="206"/>
      <c r="Y733" s="206"/>
      <c r="Z733" s="206"/>
    </row>
    <row r="734" spans="1:26" ht="12.75" x14ac:dyDescent="0.2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69"/>
      <c r="N734" s="269"/>
      <c r="O734" s="270"/>
      <c r="P734" s="270"/>
      <c r="Q734" s="270"/>
      <c r="R734" s="203"/>
      <c r="S734" s="203"/>
      <c r="T734" s="269"/>
      <c r="U734" s="203"/>
      <c r="V734" s="203"/>
      <c r="W734" s="269"/>
      <c r="X734" s="206"/>
      <c r="Y734" s="206"/>
      <c r="Z734" s="206"/>
    </row>
    <row r="735" spans="1:26" ht="12.75" x14ac:dyDescent="0.2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69"/>
      <c r="N735" s="269"/>
      <c r="O735" s="270"/>
      <c r="P735" s="270"/>
      <c r="Q735" s="270"/>
      <c r="R735" s="203"/>
      <c r="S735" s="203"/>
      <c r="T735" s="269"/>
      <c r="U735" s="203"/>
      <c r="V735" s="203"/>
      <c r="W735" s="269"/>
      <c r="X735" s="206"/>
      <c r="Y735" s="206"/>
      <c r="Z735" s="206"/>
    </row>
    <row r="736" spans="1:26" ht="12.75" x14ac:dyDescent="0.2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69"/>
      <c r="N736" s="269"/>
      <c r="O736" s="270"/>
      <c r="P736" s="270"/>
      <c r="Q736" s="270"/>
      <c r="R736" s="203"/>
      <c r="S736" s="203"/>
      <c r="T736" s="269"/>
      <c r="U736" s="203"/>
      <c r="V736" s="203"/>
      <c r="W736" s="269"/>
      <c r="X736" s="206"/>
      <c r="Y736" s="206"/>
      <c r="Z736" s="206"/>
    </row>
    <row r="737" spans="1:26" ht="12.75" x14ac:dyDescent="0.2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69"/>
      <c r="N737" s="269"/>
      <c r="O737" s="270"/>
      <c r="P737" s="270"/>
      <c r="Q737" s="270"/>
      <c r="R737" s="203"/>
      <c r="S737" s="203"/>
      <c r="T737" s="269"/>
      <c r="U737" s="203"/>
      <c r="V737" s="203"/>
      <c r="W737" s="269"/>
      <c r="X737" s="206"/>
      <c r="Y737" s="206"/>
      <c r="Z737" s="206"/>
    </row>
    <row r="738" spans="1:26" ht="12.75" x14ac:dyDescent="0.2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69"/>
      <c r="N738" s="269"/>
      <c r="O738" s="270"/>
      <c r="P738" s="270"/>
      <c r="Q738" s="270"/>
      <c r="R738" s="203"/>
      <c r="S738" s="203"/>
      <c r="T738" s="269"/>
      <c r="U738" s="203"/>
      <c r="V738" s="203"/>
      <c r="W738" s="269"/>
      <c r="X738" s="206"/>
      <c r="Y738" s="206"/>
      <c r="Z738" s="206"/>
    </row>
    <row r="739" spans="1:26" ht="12.75" x14ac:dyDescent="0.2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69"/>
      <c r="N739" s="269"/>
      <c r="O739" s="270"/>
      <c r="P739" s="270"/>
      <c r="Q739" s="270"/>
      <c r="R739" s="203"/>
      <c r="S739" s="203"/>
      <c r="T739" s="269"/>
      <c r="U739" s="203"/>
      <c r="V739" s="203"/>
      <c r="W739" s="269"/>
      <c r="X739" s="206"/>
      <c r="Y739" s="206"/>
      <c r="Z739" s="206"/>
    </row>
    <row r="740" spans="1:26" ht="12.75" x14ac:dyDescent="0.2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69"/>
      <c r="N740" s="269"/>
      <c r="O740" s="270"/>
      <c r="P740" s="270"/>
      <c r="Q740" s="270"/>
      <c r="R740" s="203"/>
      <c r="S740" s="203"/>
      <c r="T740" s="269"/>
      <c r="U740" s="203"/>
      <c r="V740" s="203"/>
      <c r="W740" s="269"/>
      <c r="X740" s="206"/>
      <c r="Y740" s="206"/>
      <c r="Z740" s="206"/>
    </row>
    <row r="741" spans="1:26" ht="12.75" x14ac:dyDescent="0.2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69"/>
      <c r="N741" s="269"/>
      <c r="O741" s="270"/>
      <c r="P741" s="270"/>
      <c r="Q741" s="270"/>
      <c r="R741" s="203"/>
      <c r="S741" s="203"/>
      <c r="T741" s="269"/>
      <c r="U741" s="203"/>
      <c r="V741" s="203"/>
      <c r="W741" s="269"/>
      <c r="X741" s="206"/>
      <c r="Y741" s="206"/>
      <c r="Z741" s="206"/>
    </row>
    <row r="742" spans="1:26" ht="12.75" x14ac:dyDescent="0.2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69"/>
      <c r="N742" s="269"/>
      <c r="O742" s="270"/>
      <c r="P742" s="270"/>
      <c r="Q742" s="270"/>
      <c r="R742" s="203"/>
      <c r="S742" s="203"/>
      <c r="T742" s="269"/>
      <c r="U742" s="203"/>
      <c r="V742" s="203"/>
      <c r="W742" s="269"/>
      <c r="X742" s="206"/>
      <c r="Y742" s="206"/>
      <c r="Z742" s="206"/>
    </row>
    <row r="743" spans="1:26" ht="12.75" x14ac:dyDescent="0.2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69"/>
      <c r="N743" s="269"/>
      <c r="O743" s="270"/>
      <c r="P743" s="270"/>
      <c r="Q743" s="270"/>
      <c r="R743" s="203"/>
      <c r="S743" s="203"/>
      <c r="T743" s="269"/>
      <c r="U743" s="203"/>
      <c r="V743" s="203"/>
      <c r="W743" s="269"/>
      <c r="X743" s="206"/>
      <c r="Y743" s="206"/>
      <c r="Z743" s="206"/>
    </row>
    <row r="744" spans="1:26" ht="12.75" x14ac:dyDescent="0.2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69"/>
      <c r="N744" s="269"/>
      <c r="O744" s="270"/>
      <c r="P744" s="270"/>
      <c r="Q744" s="270"/>
      <c r="R744" s="203"/>
      <c r="S744" s="203"/>
      <c r="T744" s="269"/>
      <c r="U744" s="203"/>
      <c r="V744" s="203"/>
      <c r="W744" s="269"/>
      <c r="X744" s="206"/>
      <c r="Y744" s="206"/>
      <c r="Z744" s="206"/>
    </row>
    <row r="745" spans="1:26" ht="12.75" x14ac:dyDescent="0.2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69"/>
      <c r="N745" s="269"/>
      <c r="O745" s="270"/>
      <c r="P745" s="270"/>
      <c r="Q745" s="270"/>
      <c r="R745" s="203"/>
      <c r="S745" s="203"/>
      <c r="T745" s="269"/>
      <c r="U745" s="203"/>
      <c r="V745" s="203"/>
      <c r="W745" s="269"/>
      <c r="X745" s="206"/>
      <c r="Y745" s="206"/>
      <c r="Z745" s="206"/>
    </row>
    <row r="746" spans="1:26" ht="12.75" x14ac:dyDescent="0.2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69"/>
      <c r="N746" s="269"/>
      <c r="O746" s="270"/>
      <c r="P746" s="270"/>
      <c r="Q746" s="270"/>
      <c r="R746" s="203"/>
      <c r="S746" s="203"/>
      <c r="T746" s="269"/>
      <c r="U746" s="203"/>
      <c r="V746" s="203"/>
      <c r="W746" s="269"/>
      <c r="X746" s="206"/>
      <c r="Y746" s="206"/>
      <c r="Z746" s="206"/>
    </row>
    <row r="747" spans="1:26" ht="12.75" x14ac:dyDescent="0.2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69"/>
      <c r="N747" s="269"/>
      <c r="O747" s="270"/>
      <c r="P747" s="270"/>
      <c r="Q747" s="270"/>
      <c r="R747" s="203"/>
      <c r="S747" s="203"/>
      <c r="T747" s="269"/>
      <c r="U747" s="203"/>
      <c r="V747" s="203"/>
      <c r="W747" s="269"/>
      <c r="X747" s="206"/>
      <c r="Y747" s="206"/>
      <c r="Z747" s="206"/>
    </row>
    <row r="748" spans="1:26" ht="12.75" x14ac:dyDescent="0.2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69"/>
      <c r="N748" s="269"/>
      <c r="O748" s="270"/>
      <c r="P748" s="270"/>
      <c r="Q748" s="270"/>
      <c r="R748" s="203"/>
      <c r="S748" s="203"/>
      <c r="T748" s="269"/>
      <c r="U748" s="203"/>
      <c r="V748" s="203"/>
      <c r="W748" s="269"/>
      <c r="X748" s="206"/>
      <c r="Y748" s="206"/>
      <c r="Z748" s="206"/>
    </row>
    <row r="749" spans="1:26" ht="12.75" x14ac:dyDescent="0.2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69"/>
      <c r="N749" s="269"/>
      <c r="O749" s="270"/>
      <c r="P749" s="270"/>
      <c r="Q749" s="270"/>
      <c r="R749" s="203"/>
      <c r="S749" s="203"/>
      <c r="T749" s="269"/>
      <c r="U749" s="203"/>
      <c r="V749" s="203"/>
      <c r="W749" s="269"/>
      <c r="X749" s="206"/>
      <c r="Y749" s="206"/>
      <c r="Z749" s="206"/>
    </row>
    <row r="750" spans="1:26" ht="12.75" x14ac:dyDescent="0.2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69"/>
      <c r="N750" s="269"/>
      <c r="O750" s="270"/>
      <c r="P750" s="270"/>
      <c r="Q750" s="270"/>
      <c r="R750" s="203"/>
      <c r="S750" s="203"/>
      <c r="T750" s="269"/>
      <c r="U750" s="203"/>
      <c r="V750" s="203"/>
      <c r="W750" s="269"/>
      <c r="X750" s="206"/>
      <c r="Y750" s="206"/>
      <c r="Z750" s="206"/>
    </row>
    <row r="751" spans="1:26" ht="12.75" x14ac:dyDescent="0.2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69"/>
      <c r="N751" s="269"/>
      <c r="O751" s="270"/>
      <c r="P751" s="270"/>
      <c r="Q751" s="270"/>
      <c r="R751" s="203"/>
      <c r="S751" s="203"/>
      <c r="T751" s="269"/>
      <c r="U751" s="203"/>
      <c r="V751" s="203"/>
      <c r="W751" s="269"/>
      <c r="X751" s="206"/>
      <c r="Y751" s="206"/>
      <c r="Z751" s="206"/>
    </row>
    <row r="752" spans="1:26" ht="12.75" x14ac:dyDescent="0.2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69"/>
      <c r="N752" s="269"/>
      <c r="O752" s="270"/>
      <c r="P752" s="270"/>
      <c r="Q752" s="270"/>
      <c r="R752" s="203"/>
      <c r="S752" s="203"/>
      <c r="T752" s="269"/>
      <c r="U752" s="203"/>
      <c r="V752" s="203"/>
      <c r="W752" s="269"/>
      <c r="X752" s="206"/>
      <c r="Y752" s="206"/>
      <c r="Z752" s="206"/>
    </row>
    <row r="753" spans="1:26" ht="12.75" x14ac:dyDescent="0.2">
      <c r="A753" s="203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69"/>
      <c r="N753" s="269"/>
      <c r="O753" s="270"/>
      <c r="P753" s="270"/>
      <c r="Q753" s="270"/>
      <c r="R753" s="203"/>
      <c r="S753" s="203"/>
      <c r="T753" s="269"/>
      <c r="U753" s="203"/>
      <c r="V753" s="203"/>
      <c r="W753" s="269"/>
      <c r="X753" s="206"/>
      <c r="Y753" s="206"/>
      <c r="Z753" s="206"/>
    </row>
    <row r="754" spans="1:26" ht="12.75" x14ac:dyDescent="0.2">
      <c r="A754" s="203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203"/>
      <c r="M754" s="269"/>
      <c r="N754" s="269"/>
      <c r="O754" s="270"/>
      <c r="P754" s="270"/>
      <c r="Q754" s="270"/>
      <c r="R754" s="203"/>
      <c r="S754" s="203"/>
      <c r="T754" s="269"/>
      <c r="U754" s="203"/>
      <c r="V754" s="203"/>
      <c r="W754" s="269"/>
      <c r="X754" s="206"/>
      <c r="Y754" s="206"/>
      <c r="Z754" s="206"/>
    </row>
    <row r="755" spans="1:26" ht="12.75" x14ac:dyDescent="0.2">
      <c r="A755" s="203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203"/>
      <c r="M755" s="269"/>
      <c r="N755" s="269"/>
      <c r="O755" s="270"/>
      <c r="P755" s="270"/>
      <c r="Q755" s="270"/>
      <c r="R755" s="203"/>
      <c r="S755" s="203"/>
      <c r="T755" s="269"/>
      <c r="U755" s="203"/>
      <c r="V755" s="203"/>
      <c r="W755" s="269"/>
      <c r="X755" s="206"/>
      <c r="Y755" s="206"/>
      <c r="Z755" s="206"/>
    </row>
    <row r="756" spans="1:26" ht="12.75" x14ac:dyDescent="0.2">
      <c r="A756" s="203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203"/>
      <c r="M756" s="269"/>
      <c r="N756" s="269"/>
      <c r="O756" s="270"/>
      <c r="P756" s="270"/>
      <c r="Q756" s="270"/>
      <c r="R756" s="203"/>
      <c r="S756" s="203"/>
      <c r="T756" s="269"/>
      <c r="U756" s="203"/>
      <c r="V756" s="203"/>
      <c r="W756" s="269"/>
      <c r="X756" s="206"/>
      <c r="Y756" s="206"/>
      <c r="Z756" s="206"/>
    </row>
    <row r="757" spans="1:26" ht="12.75" x14ac:dyDescent="0.2">
      <c r="A757" s="203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203"/>
      <c r="M757" s="269"/>
      <c r="N757" s="269"/>
      <c r="O757" s="270"/>
      <c r="P757" s="270"/>
      <c r="Q757" s="270"/>
      <c r="R757" s="203"/>
      <c r="S757" s="203"/>
      <c r="T757" s="269"/>
      <c r="U757" s="203"/>
      <c r="V757" s="203"/>
      <c r="W757" s="269"/>
      <c r="X757" s="206"/>
      <c r="Y757" s="206"/>
      <c r="Z757" s="206"/>
    </row>
    <row r="758" spans="1:26" ht="12.75" x14ac:dyDescent="0.2">
      <c r="A758" s="203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203"/>
      <c r="M758" s="269"/>
      <c r="N758" s="269"/>
      <c r="O758" s="270"/>
      <c r="P758" s="270"/>
      <c r="Q758" s="270"/>
      <c r="R758" s="203"/>
      <c r="S758" s="203"/>
      <c r="T758" s="269"/>
      <c r="U758" s="203"/>
      <c r="V758" s="203"/>
      <c r="W758" s="269"/>
      <c r="X758" s="206"/>
      <c r="Y758" s="206"/>
      <c r="Z758" s="206"/>
    </row>
    <row r="759" spans="1:26" ht="12.75" x14ac:dyDescent="0.2">
      <c r="A759" s="203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203"/>
      <c r="M759" s="269"/>
      <c r="N759" s="269"/>
      <c r="O759" s="270"/>
      <c r="P759" s="270"/>
      <c r="Q759" s="270"/>
      <c r="R759" s="203"/>
      <c r="S759" s="203"/>
      <c r="T759" s="269"/>
      <c r="U759" s="203"/>
      <c r="V759" s="203"/>
      <c r="W759" s="269"/>
      <c r="X759" s="206"/>
      <c r="Y759" s="206"/>
      <c r="Z759" s="206"/>
    </row>
    <row r="760" spans="1:26" ht="12.75" x14ac:dyDescent="0.2">
      <c r="A760" s="203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203"/>
      <c r="M760" s="269"/>
      <c r="N760" s="269"/>
      <c r="O760" s="270"/>
      <c r="P760" s="270"/>
      <c r="Q760" s="270"/>
      <c r="R760" s="203"/>
      <c r="S760" s="203"/>
      <c r="T760" s="269"/>
      <c r="U760" s="203"/>
      <c r="V760" s="203"/>
      <c r="W760" s="269"/>
      <c r="X760" s="206"/>
      <c r="Y760" s="206"/>
      <c r="Z760" s="206"/>
    </row>
    <row r="761" spans="1:26" ht="12.75" x14ac:dyDescent="0.2">
      <c r="A761" s="203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203"/>
      <c r="M761" s="269"/>
      <c r="N761" s="269"/>
      <c r="O761" s="270"/>
      <c r="P761" s="270"/>
      <c r="Q761" s="270"/>
      <c r="R761" s="203"/>
      <c r="S761" s="203"/>
      <c r="T761" s="269"/>
      <c r="U761" s="203"/>
      <c r="V761" s="203"/>
      <c r="W761" s="269"/>
      <c r="X761" s="206"/>
      <c r="Y761" s="206"/>
      <c r="Z761" s="206"/>
    </row>
    <row r="762" spans="1:26" ht="12.75" x14ac:dyDescent="0.2">
      <c r="A762" s="203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203"/>
      <c r="M762" s="269"/>
      <c r="N762" s="269"/>
      <c r="O762" s="270"/>
      <c r="P762" s="270"/>
      <c r="Q762" s="270"/>
      <c r="R762" s="203"/>
      <c r="S762" s="203"/>
      <c r="T762" s="269"/>
      <c r="U762" s="203"/>
      <c r="V762" s="203"/>
      <c r="W762" s="269"/>
      <c r="X762" s="206"/>
      <c r="Y762" s="206"/>
      <c r="Z762" s="206"/>
    </row>
    <row r="763" spans="1:26" ht="12.75" x14ac:dyDescent="0.2">
      <c r="A763" s="203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203"/>
      <c r="M763" s="269"/>
      <c r="N763" s="269"/>
      <c r="O763" s="270"/>
      <c r="P763" s="270"/>
      <c r="Q763" s="270"/>
      <c r="R763" s="203"/>
      <c r="S763" s="203"/>
      <c r="T763" s="269"/>
      <c r="U763" s="203"/>
      <c r="V763" s="203"/>
      <c r="W763" s="269"/>
      <c r="X763" s="206"/>
      <c r="Y763" s="206"/>
      <c r="Z763" s="206"/>
    </row>
    <row r="764" spans="1:26" ht="12.75" x14ac:dyDescent="0.2">
      <c r="A764" s="203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203"/>
      <c r="M764" s="269"/>
      <c r="N764" s="269"/>
      <c r="O764" s="270"/>
      <c r="P764" s="270"/>
      <c r="Q764" s="270"/>
      <c r="R764" s="203"/>
      <c r="S764" s="203"/>
      <c r="T764" s="269"/>
      <c r="U764" s="203"/>
      <c r="V764" s="203"/>
      <c r="W764" s="269"/>
      <c r="X764" s="206"/>
      <c r="Y764" s="206"/>
      <c r="Z764" s="206"/>
    </row>
    <row r="765" spans="1:26" ht="12.75" x14ac:dyDescent="0.2">
      <c r="A765" s="203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203"/>
      <c r="M765" s="269"/>
      <c r="N765" s="269"/>
      <c r="O765" s="270"/>
      <c r="P765" s="270"/>
      <c r="Q765" s="270"/>
      <c r="R765" s="203"/>
      <c r="S765" s="203"/>
      <c r="T765" s="269"/>
      <c r="U765" s="203"/>
      <c r="V765" s="203"/>
      <c r="W765" s="269"/>
      <c r="X765" s="206"/>
      <c r="Y765" s="206"/>
      <c r="Z765" s="206"/>
    </row>
    <row r="766" spans="1:26" ht="12.75" x14ac:dyDescent="0.2">
      <c r="A766" s="203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203"/>
      <c r="M766" s="269"/>
      <c r="N766" s="269"/>
      <c r="O766" s="270"/>
      <c r="P766" s="270"/>
      <c r="Q766" s="270"/>
      <c r="R766" s="203"/>
      <c r="S766" s="203"/>
      <c r="T766" s="269"/>
      <c r="U766" s="203"/>
      <c r="V766" s="203"/>
      <c r="W766" s="269"/>
      <c r="X766" s="206"/>
      <c r="Y766" s="206"/>
      <c r="Z766" s="206"/>
    </row>
    <row r="767" spans="1:26" ht="12.75" x14ac:dyDescent="0.2">
      <c r="A767" s="203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203"/>
      <c r="M767" s="269"/>
      <c r="N767" s="269"/>
      <c r="O767" s="270"/>
      <c r="P767" s="270"/>
      <c r="Q767" s="270"/>
      <c r="R767" s="203"/>
      <c r="S767" s="203"/>
      <c r="T767" s="269"/>
      <c r="U767" s="203"/>
      <c r="V767" s="203"/>
      <c r="W767" s="269"/>
      <c r="X767" s="206"/>
      <c r="Y767" s="206"/>
      <c r="Z767" s="206"/>
    </row>
    <row r="768" spans="1:26" ht="12.75" x14ac:dyDescent="0.2">
      <c r="A768" s="203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203"/>
      <c r="M768" s="269"/>
      <c r="N768" s="269"/>
      <c r="O768" s="270"/>
      <c r="P768" s="270"/>
      <c r="Q768" s="270"/>
      <c r="R768" s="203"/>
      <c r="S768" s="203"/>
      <c r="T768" s="269"/>
      <c r="U768" s="203"/>
      <c r="V768" s="203"/>
      <c r="W768" s="269"/>
      <c r="X768" s="206"/>
      <c r="Y768" s="206"/>
      <c r="Z768" s="206"/>
    </row>
    <row r="769" spans="1:26" ht="12.75" x14ac:dyDescent="0.2">
      <c r="A769" s="203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203"/>
      <c r="M769" s="269"/>
      <c r="N769" s="269"/>
      <c r="O769" s="270"/>
      <c r="P769" s="270"/>
      <c r="Q769" s="270"/>
      <c r="R769" s="203"/>
      <c r="S769" s="203"/>
      <c r="T769" s="269"/>
      <c r="U769" s="203"/>
      <c r="V769" s="203"/>
      <c r="W769" s="269"/>
      <c r="X769" s="206"/>
      <c r="Y769" s="206"/>
      <c r="Z769" s="206"/>
    </row>
    <row r="770" spans="1:26" ht="12.75" x14ac:dyDescent="0.2">
      <c r="A770" s="203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203"/>
      <c r="M770" s="269"/>
      <c r="N770" s="269"/>
      <c r="O770" s="270"/>
      <c r="P770" s="270"/>
      <c r="Q770" s="270"/>
      <c r="R770" s="203"/>
      <c r="S770" s="203"/>
      <c r="T770" s="269"/>
      <c r="U770" s="203"/>
      <c r="V770" s="203"/>
      <c r="W770" s="269"/>
      <c r="X770" s="206"/>
      <c r="Y770" s="206"/>
      <c r="Z770" s="206"/>
    </row>
    <row r="771" spans="1:26" ht="12.75" x14ac:dyDescent="0.2">
      <c r="A771" s="203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203"/>
      <c r="M771" s="269"/>
      <c r="N771" s="269"/>
      <c r="O771" s="270"/>
      <c r="P771" s="270"/>
      <c r="Q771" s="270"/>
      <c r="R771" s="203"/>
      <c r="S771" s="203"/>
      <c r="T771" s="269"/>
      <c r="U771" s="203"/>
      <c r="V771" s="203"/>
      <c r="W771" s="269"/>
      <c r="X771" s="206"/>
      <c r="Y771" s="206"/>
      <c r="Z771" s="206"/>
    </row>
    <row r="772" spans="1:26" ht="12.75" x14ac:dyDescent="0.2">
      <c r="A772" s="203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203"/>
      <c r="M772" s="269"/>
      <c r="N772" s="269"/>
      <c r="O772" s="270"/>
      <c r="P772" s="270"/>
      <c r="Q772" s="270"/>
      <c r="R772" s="203"/>
      <c r="S772" s="203"/>
      <c r="T772" s="269"/>
      <c r="U772" s="203"/>
      <c r="V772" s="203"/>
      <c r="W772" s="269"/>
      <c r="X772" s="206"/>
      <c r="Y772" s="206"/>
      <c r="Z772" s="206"/>
    </row>
    <row r="773" spans="1:26" ht="12.75" x14ac:dyDescent="0.2">
      <c r="A773" s="203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69"/>
      <c r="N773" s="269"/>
      <c r="O773" s="270"/>
      <c r="P773" s="270"/>
      <c r="Q773" s="270"/>
      <c r="R773" s="203"/>
      <c r="S773" s="203"/>
      <c r="T773" s="269"/>
      <c r="U773" s="203"/>
      <c r="V773" s="203"/>
      <c r="W773" s="269"/>
      <c r="X773" s="206"/>
      <c r="Y773" s="206"/>
      <c r="Z773" s="206"/>
    </row>
    <row r="774" spans="1:26" ht="12.75" x14ac:dyDescent="0.2">
      <c r="A774" s="203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203"/>
      <c r="M774" s="269"/>
      <c r="N774" s="269"/>
      <c r="O774" s="270"/>
      <c r="P774" s="270"/>
      <c r="Q774" s="270"/>
      <c r="R774" s="203"/>
      <c r="S774" s="203"/>
      <c r="T774" s="269"/>
      <c r="U774" s="203"/>
      <c r="V774" s="203"/>
      <c r="W774" s="269"/>
      <c r="X774" s="206"/>
      <c r="Y774" s="206"/>
      <c r="Z774" s="206"/>
    </row>
    <row r="775" spans="1:26" ht="12.75" x14ac:dyDescent="0.2">
      <c r="A775" s="203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203"/>
      <c r="M775" s="269"/>
      <c r="N775" s="269"/>
      <c r="O775" s="270"/>
      <c r="P775" s="270"/>
      <c r="Q775" s="270"/>
      <c r="R775" s="203"/>
      <c r="S775" s="203"/>
      <c r="T775" s="269"/>
      <c r="U775" s="203"/>
      <c r="V775" s="203"/>
      <c r="W775" s="269"/>
      <c r="X775" s="206"/>
      <c r="Y775" s="206"/>
      <c r="Z775" s="206"/>
    </row>
    <row r="776" spans="1:26" ht="12.75" x14ac:dyDescent="0.2">
      <c r="A776" s="203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  <c r="M776" s="269"/>
      <c r="N776" s="269"/>
      <c r="O776" s="270"/>
      <c r="P776" s="270"/>
      <c r="Q776" s="270"/>
      <c r="R776" s="203"/>
      <c r="S776" s="203"/>
      <c r="T776" s="269"/>
      <c r="U776" s="203"/>
      <c r="V776" s="203"/>
      <c r="W776" s="269"/>
      <c r="X776" s="206"/>
      <c r="Y776" s="206"/>
      <c r="Z776" s="206"/>
    </row>
    <row r="777" spans="1:26" ht="12.75" x14ac:dyDescent="0.2">
      <c r="A777" s="203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203"/>
      <c r="M777" s="269"/>
      <c r="N777" s="269"/>
      <c r="O777" s="270"/>
      <c r="P777" s="270"/>
      <c r="Q777" s="270"/>
      <c r="R777" s="203"/>
      <c r="S777" s="203"/>
      <c r="T777" s="269"/>
      <c r="U777" s="203"/>
      <c r="V777" s="203"/>
      <c r="W777" s="269"/>
      <c r="X777" s="206"/>
      <c r="Y777" s="206"/>
      <c r="Z777" s="206"/>
    </row>
    <row r="778" spans="1:26" ht="12.75" x14ac:dyDescent="0.2">
      <c r="A778" s="203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203"/>
      <c r="M778" s="269"/>
      <c r="N778" s="269"/>
      <c r="O778" s="270"/>
      <c r="P778" s="270"/>
      <c r="Q778" s="270"/>
      <c r="R778" s="203"/>
      <c r="S778" s="203"/>
      <c r="T778" s="269"/>
      <c r="U778" s="203"/>
      <c r="V778" s="203"/>
      <c r="W778" s="269"/>
      <c r="X778" s="206"/>
      <c r="Y778" s="206"/>
      <c r="Z778" s="206"/>
    </row>
    <row r="779" spans="1:26" ht="12.75" x14ac:dyDescent="0.2">
      <c r="A779" s="203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69"/>
      <c r="N779" s="269"/>
      <c r="O779" s="270"/>
      <c r="P779" s="270"/>
      <c r="Q779" s="270"/>
      <c r="R779" s="203"/>
      <c r="S779" s="203"/>
      <c r="T779" s="269"/>
      <c r="U779" s="203"/>
      <c r="V779" s="203"/>
      <c r="W779" s="269"/>
      <c r="X779" s="206"/>
      <c r="Y779" s="206"/>
      <c r="Z779" s="206"/>
    </row>
    <row r="780" spans="1:26" ht="12.75" x14ac:dyDescent="0.2">
      <c r="A780" s="203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203"/>
      <c r="M780" s="269"/>
      <c r="N780" s="269"/>
      <c r="O780" s="270"/>
      <c r="P780" s="270"/>
      <c r="Q780" s="270"/>
      <c r="R780" s="203"/>
      <c r="S780" s="203"/>
      <c r="T780" s="269"/>
      <c r="U780" s="203"/>
      <c r="V780" s="203"/>
      <c r="W780" s="269"/>
      <c r="X780" s="206"/>
      <c r="Y780" s="206"/>
      <c r="Z780" s="206"/>
    </row>
    <row r="781" spans="1:26" ht="12.75" x14ac:dyDescent="0.2">
      <c r="A781" s="203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203"/>
      <c r="M781" s="269"/>
      <c r="N781" s="269"/>
      <c r="O781" s="270"/>
      <c r="P781" s="270"/>
      <c r="Q781" s="270"/>
      <c r="R781" s="203"/>
      <c r="S781" s="203"/>
      <c r="T781" s="269"/>
      <c r="U781" s="203"/>
      <c r="V781" s="203"/>
      <c r="W781" s="269"/>
      <c r="X781" s="206"/>
      <c r="Y781" s="206"/>
      <c r="Z781" s="206"/>
    </row>
    <row r="782" spans="1:26" ht="12.75" x14ac:dyDescent="0.2">
      <c r="A782" s="203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203"/>
      <c r="M782" s="269"/>
      <c r="N782" s="269"/>
      <c r="O782" s="270"/>
      <c r="P782" s="270"/>
      <c r="Q782" s="270"/>
      <c r="R782" s="203"/>
      <c r="S782" s="203"/>
      <c r="T782" s="269"/>
      <c r="U782" s="203"/>
      <c r="V782" s="203"/>
      <c r="W782" s="269"/>
      <c r="X782" s="206"/>
      <c r="Y782" s="206"/>
      <c r="Z782" s="206"/>
    </row>
    <row r="783" spans="1:26" ht="12.75" x14ac:dyDescent="0.2">
      <c r="A783" s="203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203"/>
      <c r="M783" s="269"/>
      <c r="N783" s="269"/>
      <c r="O783" s="270"/>
      <c r="P783" s="270"/>
      <c r="Q783" s="270"/>
      <c r="R783" s="203"/>
      <c r="S783" s="203"/>
      <c r="T783" s="269"/>
      <c r="U783" s="203"/>
      <c r="V783" s="203"/>
      <c r="W783" s="269"/>
      <c r="X783" s="206"/>
      <c r="Y783" s="206"/>
      <c r="Z783" s="206"/>
    </row>
    <row r="784" spans="1:26" ht="12.75" x14ac:dyDescent="0.2">
      <c r="A784" s="203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203"/>
      <c r="M784" s="269"/>
      <c r="N784" s="269"/>
      <c r="O784" s="270"/>
      <c r="P784" s="270"/>
      <c r="Q784" s="270"/>
      <c r="R784" s="203"/>
      <c r="S784" s="203"/>
      <c r="T784" s="269"/>
      <c r="U784" s="203"/>
      <c r="V784" s="203"/>
      <c r="W784" s="269"/>
      <c r="X784" s="206"/>
      <c r="Y784" s="206"/>
      <c r="Z784" s="206"/>
    </row>
    <row r="785" spans="1:26" ht="12.75" x14ac:dyDescent="0.2">
      <c r="A785" s="203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203"/>
      <c r="M785" s="269"/>
      <c r="N785" s="269"/>
      <c r="O785" s="270"/>
      <c r="P785" s="270"/>
      <c r="Q785" s="270"/>
      <c r="R785" s="203"/>
      <c r="S785" s="203"/>
      <c r="T785" s="269"/>
      <c r="U785" s="203"/>
      <c r="V785" s="203"/>
      <c r="W785" s="269"/>
      <c r="X785" s="206"/>
      <c r="Y785" s="206"/>
      <c r="Z785" s="206"/>
    </row>
    <row r="786" spans="1:26" ht="12.75" x14ac:dyDescent="0.2">
      <c r="A786" s="203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203"/>
      <c r="M786" s="269"/>
      <c r="N786" s="269"/>
      <c r="O786" s="270"/>
      <c r="P786" s="270"/>
      <c r="Q786" s="270"/>
      <c r="R786" s="203"/>
      <c r="S786" s="203"/>
      <c r="T786" s="269"/>
      <c r="U786" s="203"/>
      <c r="V786" s="203"/>
      <c r="W786" s="269"/>
      <c r="X786" s="206"/>
      <c r="Y786" s="206"/>
      <c r="Z786" s="206"/>
    </row>
    <row r="787" spans="1:26" ht="12.75" x14ac:dyDescent="0.2">
      <c r="A787" s="203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203"/>
      <c r="M787" s="269"/>
      <c r="N787" s="269"/>
      <c r="O787" s="270"/>
      <c r="P787" s="270"/>
      <c r="Q787" s="270"/>
      <c r="R787" s="203"/>
      <c r="S787" s="203"/>
      <c r="T787" s="269"/>
      <c r="U787" s="203"/>
      <c r="V787" s="203"/>
      <c r="W787" s="269"/>
      <c r="X787" s="206"/>
      <c r="Y787" s="206"/>
      <c r="Z787" s="206"/>
    </row>
    <row r="788" spans="1:26" ht="12.75" x14ac:dyDescent="0.2">
      <c r="A788" s="203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203"/>
      <c r="M788" s="269"/>
      <c r="N788" s="269"/>
      <c r="O788" s="270"/>
      <c r="P788" s="270"/>
      <c r="Q788" s="270"/>
      <c r="R788" s="203"/>
      <c r="S788" s="203"/>
      <c r="T788" s="269"/>
      <c r="U788" s="203"/>
      <c r="V788" s="203"/>
      <c r="W788" s="269"/>
      <c r="X788" s="206"/>
      <c r="Y788" s="206"/>
      <c r="Z788" s="206"/>
    </row>
    <row r="789" spans="1:26" ht="12.75" x14ac:dyDescent="0.2">
      <c r="A789" s="203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203"/>
      <c r="M789" s="269"/>
      <c r="N789" s="269"/>
      <c r="O789" s="270"/>
      <c r="P789" s="270"/>
      <c r="Q789" s="270"/>
      <c r="R789" s="203"/>
      <c r="S789" s="203"/>
      <c r="T789" s="269"/>
      <c r="U789" s="203"/>
      <c r="V789" s="203"/>
      <c r="W789" s="269"/>
      <c r="X789" s="206"/>
      <c r="Y789" s="206"/>
      <c r="Z789" s="206"/>
    </row>
    <row r="790" spans="1:26" ht="12.75" x14ac:dyDescent="0.2">
      <c r="A790" s="203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203"/>
      <c r="M790" s="269"/>
      <c r="N790" s="269"/>
      <c r="O790" s="270"/>
      <c r="P790" s="270"/>
      <c r="Q790" s="270"/>
      <c r="R790" s="203"/>
      <c r="S790" s="203"/>
      <c r="T790" s="269"/>
      <c r="U790" s="203"/>
      <c r="V790" s="203"/>
      <c r="W790" s="269"/>
      <c r="X790" s="206"/>
      <c r="Y790" s="206"/>
      <c r="Z790" s="206"/>
    </row>
    <row r="791" spans="1:26" ht="12.75" x14ac:dyDescent="0.2">
      <c r="A791" s="203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69"/>
      <c r="N791" s="269"/>
      <c r="O791" s="270"/>
      <c r="P791" s="270"/>
      <c r="Q791" s="270"/>
      <c r="R791" s="203"/>
      <c r="S791" s="203"/>
      <c r="T791" s="269"/>
      <c r="U791" s="203"/>
      <c r="V791" s="203"/>
      <c r="W791" s="269"/>
      <c r="X791" s="206"/>
      <c r="Y791" s="206"/>
      <c r="Z791" s="206"/>
    </row>
    <row r="792" spans="1:26" ht="12.75" x14ac:dyDescent="0.2">
      <c r="A792" s="203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203"/>
      <c r="M792" s="269"/>
      <c r="N792" s="269"/>
      <c r="O792" s="270"/>
      <c r="P792" s="270"/>
      <c r="Q792" s="270"/>
      <c r="R792" s="203"/>
      <c r="S792" s="203"/>
      <c r="T792" s="269"/>
      <c r="U792" s="203"/>
      <c r="V792" s="203"/>
      <c r="W792" s="269"/>
      <c r="X792" s="206"/>
      <c r="Y792" s="206"/>
      <c r="Z792" s="206"/>
    </row>
    <row r="793" spans="1:26" ht="12.75" x14ac:dyDescent="0.2">
      <c r="A793" s="203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203"/>
      <c r="M793" s="269"/>
      <c r="N793" s="269"/>
      <c r="O793" s="270"/>
      <c r="P793" s="270"/>
      <c r="Q793" s="270"/>
      <c r="R793" s="203"/>
      <c r="S793" s="203"/>
      <c r="T793" s="269"/>
      <c r="U793" s="203"/>
      <c r="V793" s="203"/>
      <c r="W793" s="269"/>
      <c r="X793" s="206"/>
      <c r="Y793" s="206"/>
      <c r="Z793" s="206"/>
    </row>
    <row r="794" spans="1:26" ht="12.75" x14ac:dyDescent="0.2">
      <c r="A794" s="203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203"/>
      <c r="M794" s="269"/>
      <c r="N794" s="269"/>
      <c r="O794" s="270"/>
      <c r="P794" s="270"/>
      <c r="Q794" s="270"/>
      <c r="R794" s="203"/>
      <c r="S794" s="203"/>
      <c r="T794" s="269"/>
      <c r="U794" s="203"/>
      <c r="V794" s="203"/>
      <c r="W794" s="269"/>
      <c r="X794" s="206"/>
      <c r="Y794" s="206"/>
      <c r="Z794" s="206"/>
    </row>
    <row r="795" spans="1:26" ht="12.75" x14ac:dyDescent="0.2">
      <c r="A795" s="203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203"/>
      <c r="M795" s="269"/>
      <c r="N795" s="269"/>
      <c r="O795" s="270"/>
      <c r="P795" s="270"/>
      <c r="Q795" s="270"/>
      <c r="R795" s="203"/>
      <c r="S795" s="203"/>
      <c r="T795" s="269"/>
      <c r="U795" s="203"/>
      <c r="V795" s="203"/>
      <c r="W795" s="269"/>
      <c r="X795" s="206"/>
      <c r="Y795" s="206"/>
      <c r="Z795" s="206"/>
    </row>
    <row r="796" spans="1:26" ht="12.75" x14ac:dyDescent="0.2">
      <c r="A796" s="203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203"/>
      <c r="M796" s="269"/>
      <c r="N796" s="269"/>
      <c r="O796" s="270"/>
      <c r="P796" s="270"/>
      <c r="Q796" s="270"/>
      <c r="R796" s="203"/>
      <c r="S796" s="203"/>
      <c r="T796" s="269"/>
      <c r="U796" s="203"/>
      <c r="V796" s="203"/>
      <c r="W796" s="269"/>
      <c r="X796" s="206"/>
      <c r="Y796" s="206"/>
      <c r="Z796" s="206"/>
    </row>
    <row r="797" spans="1:26" ht="12.75" x14ac:dyDescent="0.2">
      <c r="A797" s="203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203"/>
      <c r="M797" s="269"/>
      <c r="N797" s="269"/>
      <c r="O797" s="270"/>
      <c r="P797" s="270"/>
      <c r="Q797" s="270"/>
      <c r="R797" s="203"/>
      <c r="S797" s="203"/>
      <c r="T797" s="269"/>
      <c r="U797" s="203"/>
      <c r="V797" s="203"/>
      <c r="W797" s="269"/>
      <c r="X797" s="206"/>
      <c r="Y797" s="206"/>
      <c r="Z797" s="206"/>
    </row>
    <row r="798" spans="1:26" ht="12.75" x14ac:dyDescent="0.2">
      <c r="A798" s="203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69"/>
      <c r="N798" s="269"/>
      <c r="O798" s="270"/>
      <c r="P798" s="270"/>
      <c r="Q798" s="270"/>
      <c r="R798" s="203"/>
      <c r="S798" s="203"/>
      <c r="T798" s="269"/>
      <c r="U798" s="203"/>
      <c r="V798" s="203"/>
      <c r="W798" s="269"/>
      <c r="X798" s="206"/>
      <c r="Y798" s="206"/>
      <c r="Z798" s="206"/>
    </row>
    <row r="799" spans="1:26" ht="12.75" x14ac:dyDescent="0.2">
      <c r="A799" s="203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203"/>
      <c r="M799" s="269"/>
      <c r="N799" s="269"/>
      <c r="O799" s="270"/>
      <c r="P799" s="270"/>
      <c r="Q799" s="270"/>
      <c r="R799" s="203"/>
      <c r="S799" s="203"/>
      <c r="T799" s="269"/>
      <c r="U799" s="203"/>
      <c r="V799" s="203"/>
      <c r="W799" s="269"/>
      <c r="X799" s="206"/>
      <c r="Y799" s="206"/>
      <c r="Z799" s="206"/>
    </row>
    <row r="800" spans="1:26" ht="12.75" x14ac:dyDescent="0.2">
      <c r="A800" s="203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203"/>
      <c r="M800" s="269"/>
      <c r="N800" s="269"/>
      <c r="O800" s="270"/>
      <c r="P800" s="270"/>
      <c r="Q800" s="270"/>
      <c r="R800" s="203"/>
      <c r="S800" s="203"/>
      <c r="T800" s="269"/>
      <c r="U800" s="203"/>
      <c r="V800" s="203"/>
      <c r="W800" s="269"/>
      <c r="X800" s="206"/>
      <c r="Y800" s="206"/>
      <c r="Z800" s="206"/>
    </row>
    <row r="801" spans="1:26" ht="12.75" x14ac:dyDescent="0.2">
      <c r="A801" s="203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203"/>
      <c r="M801" s="269"/>
      <c r="N801" s="269"/>
      <c r="O801" s="270"/>
      <c r="P801" s="270"/>
      <c r="Q801" s="270"/>
      <c r="R801" s="203"/>
      <c r="S801" s="203"/>
      <c r="T801" s="269"/>
      <c r="U801" s="203"/>
      <c r="V801" s="203"/>
      <c r="W801" s="269"/>
      <c r="X801" s="206"/>
      <c r="Y801" s="206"/>
      <c r="Z801" s="206"/>
    </row>
    <row r="802" spans="1:26" ht="12.75" x14ac:dyDescent="0.2">
      <c r="A802" s="203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203"/>
      <c r="M802" s="269"/>
      <c r="N802" s="269"/>
      <c r="O802" s="270"/>
      <c r="P802" s="270"/>
      <c r="Q802" s="270"/>
      <c r="R802" s="203"/>
      <c r="S802" s="203"/>
      <c r="T802" s="269"/>
      <c r="U802" s="203"/>
      <c r="V802" s="203"/>
      <c r="W802" s="269"/>
      <c r="X802" s="206"/>
      <c r="Y802" s="206"/>
      <c r="Z802" s="206"/>
    </row>
    <row r="803" spans="1:26" ht="12.75" x14ac:dyDescent="0.2">
      <c r="A803" s="203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203"/>
      <c r="M803" s="269"/>
      <c r="N803" s="269"/>
      <c r="O803" s="270"/>
      <c r="P803" s="270"/>
      <c r="Q803" s="270"/>
      <c r="R803" s="203"/>
      <c r="S803" s="203"/>
      <c r="T803" s="269"/>
      <c r="U803" s="203"/>
      <c r="V803" s="203"/>
      <c r="W803" s="269"/>
      <c r="X803" s="206"/>
      <c r="Y803" s="206"/>
      <c r="Z803" s="206"/>
    </row>
    <row r="804" spans="1:26" ht="12.75" x14ac:dyDescent="0.2">
      <c r="A804" s="203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203"/>
      <c r="M804" s="269"/>
      <c r="N804" s="269"/>
      <c r="O804" s="270"/>
      <c r="P804" s="270"/>
      <c r="Q804" s="270"/>
      <c r="R804" s="203"/>
      <c r="S804" s="203"/>
      <c r="T804" s="269"/>
      <c r="U804" s="203"/>
      <c r="V804" s="203"/>
      <c r="W804" s="269"/>
      <c r="X804" s="206"/>
      <c r="Y804" s="206"/>
      <c r="Z804" s="206"/>
    </row>
    <row r="805" spans="1:26" ht="12.75" x14ac:dyDescent="0.2">
      <c r="A805" s="203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203"/>
      <c r="M805" s="269"/>
      <c r="N805" s="269"/>
      <c r="O805" s="270"/>
      <c r="P805" s="270"/>
      <c r="Q805" s="270"/>
      <c r="R805" s="203"/>
      <c r="S805" s="203"/>
      <c r="T805" s="269"/>
      <c r="U805" s="203"/>
      <c r="V805" s="203"/>
      <c r="W805" s="269"/>
      <c r="X805" s="206"/>
      <c r="Y805" s="206"/>
      <c r="Z805" s="206"/>
    </row>
    <row r="806" spans="1:26" ht="12.75" x14ac:dyDescent="0.2">
      <c r="A806" s="203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203"/>
      <c r="M806" s="269"/>
      <c r="N806" s="269"/>
      <c r="O806" s="270"/>
      <c r="P806" s="270"/>
      <c r="Q806" s="270"/>
      <c r="R806" s="203"/>
      <c r="S806" s="203"/>
      <c r="T806" s="269"/>
      <c r="U806" s="203"/>
      <c r="V806" s="203"/>
      <c r="W806" s="269"/>
      <c r="X806" s="206"/>
      <c r="Y806" s="206"/>
      <c r="Z806" s="206"/>
    </row>
    <row r="807" spans="1:26" ht="12.75" x14ac:dyDescent="0.2">
      <c r="A807" s="203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203"/>
      <c r="M807" s="269"/>
      <c r="N807" s="269"/>
      <c r="O807" s="270"/>
      <c r="P807" s="270"/>
      <c r="Q807" s="270"/>
      <c r="R807" s="203"/>
      <c r="S807" s="203"/>
      <c r="T807" s="269"/>
      <c r="U807" s="203"/>
      <c r="V807" s="203"/>
      <c r="W807" s="269"/>
      <c r="X807" s="206"/>
      <c r="Y807" s="206"/>
      <c r="Z807" s="206"/>
    </row>
    <row r="808" spans="1:26" ht="12.75" x14ac:dyDescent="0.2">
      <c r="A808" s="203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203"/>
      <c r="M808" s="269"/>
      <c r="N808" s="269"/>
      <c r="O808" s="270"/>
      <c r="P808" s="270"/>
      <c r="Q808" s="270"/>
      <c r="R808" s="203"/>
      <c r="S808" s="203"/>
      <c r="T808" s="269"/>
      <c r="U808" s="203"/>
      <c r="V808" s="203"/>
      <c r="W808" s="269"/>
      <c r="X808" s="206"/>
      <c r="Y808" s="206"/>
      <c r="Z808" s="206"/>
    </row>
    <row r="809" spans="1:26" ht="12.75" x14ac:dyDescent="0.2">
      <c r="A809" s="203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203"/>
      <c r="M809" s="269"/>
      <c r="N809" s="269"/>
      <c r="O809" s="270"/>
      <c r="P809" s="270"/>
      <c r="Q809" s="270"/>
      <c r="R809" s="203"/>
      <c r="S809" s="203"/>
      <c r="T809" s="269"/>
      <c r="U809" s="203"/>
      <c r="V809" s="203"/>
      <c r="W809" s="269"/>
      <c r="X809" s="206"/>
      <c r="Y809" s="206"/>
      <c r="Z809" s="206"/>
    </row>
    <row r="810" spans="1:26" ht="12.75" x14ac:dyDescent="0.2">
      <c r="A810" s="203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203"/>
      <c r="M810" s="269"/>
      <c r="N810" s="269"/>
      <c r="O810" s="270"/>
      <c r="P810" s="270"/>
      <c r="Q810" s="270"/>
      <c r="R810" s="203"/>
      <c r="S810" s="203"/>
      <c r="T810" s="269"/>
      <c r="U810" s="203"/>
      <c r="V810" s="203"/>
      <c r="W810" s="269"/>
      <c r="X810" s="206"/>
      <c r="Y810" s="206"/>
      <c r="Z810" s="206"/>
    </row>
    <row r="811" spans="1:26" ht="12.75" x14ac:dyDescent="0.2">
      <c r="A811" s="203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203"/>
      <c r="M811" s="269"/>
      <c r="N811" s="269"/>
      <c r="O811" s="270"/>
      <c r="P811" s="270"/>
      <c r="Q811" s="270"/>
      <c r="R811" s="203"/>
      <c r="S811" s="203"/>
      <c r="T811" s="269"/>
      <c r="U811" s="203"/>
      <c r="V811" s="203"/>
      <c r="W811" s="269"/>
      <c r="X811" s="206"/>
      <c r="Y811" s="206"/>
      <c r="Z811" s="206"/>
    </row>
    <row r="812" spans="1:26" ht="12.75" x14ac:dyDescent="0.2">
      <c r="A812" s="203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203"/>
      <c r="M812" s="269"/>
      <c r="N812" s="269"/>
      <c r="O812" s="270"/>
      <c r="P812" s="270"/>
      <c r="Q812" s="270"/>
      <c r="R812" s="203"/>
      <c r="S812" s="203"/>
      <c r="T812" s="269"/>
      <c r="U812" s="203"/>
      <c r="V812" s="203"/>
      <c r="W812" s="269"/>
      <c r="X812" s="206"/>
      <c r="Y812" s="206"/>
      <c r="Z812" s="206"/>
    </row>
    <row r="813" spans="1:26" ht="12.75" x14ac:dyDescent="0.2">
      <c r="A813" s="203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203"/>
      <c r="M813" s="269"/>
      <c r="N813" s="269"/>
      <c r="O813" s="270"/>
      <c r="P813" s="270"/>
      <c r="Q813" s="270"/>
      <c r="R813" s="203"/>
      <c r="S813" s="203"/>
      <c r="T813" s="269"/>
      <c r="U813" s="203"/>
      <c r="V813" s="203"/>
      <c r="W813" s="269"/>
      <c r="X813" s="206"/>
      <c r="Y813" s="206"/>
      <c r="Z813" s="206"/>
    </row>
    <row r="814" spans="1:26" ht="12.75" x14ac:dyDescent="0.2">
      <c r="A814" s="203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203"/>
      <c r="M814" s="269"/>
      <c r="N814" s="269"/>
      <c r="O814" s="270"/>
      <c r="P814" s="270"/>
      <c r="Q814" s="270"/>
      <c r="R814" s="203"/>
      <c r="S814" s="203"/>
      <c r="T814" s="269"/>
      <c r="U814" s="203"/>
      <c r="V814" s="203"/>
      <c r="W814" s="269"/>
      <c r="X814" s="206"/>
      <c r="Y814" s="206"/>
      <c r="Z814" s="206"/>
    </row>
    <row r="815" spans="1:26" ht="12.75" x14ac:dyDescent="0.2">
      <c r="A815" s="203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203"/>
      <c r="M815" s="269"/>
      <c r="N815" s="269"/>
      <c r="O815" s="270"/>
      <c r="P815" s="270"/>
      <c r="Q815" s="270"/>
      <c r="R815" s="203"/>
      <c r="S815" s="203"/>
      <c r="T815" s="269"/>
      <c r="U815" s="203"/>
      <c r="V815" s="203"/>
      <c r="W815" s="269"/>
      <c r="X815" s="206"/>
      <c r="Y815" s="206"/>
      <c r="Z815" s="206"/>
    </row>
    <row r="816" spans="1:26" ht="12.75" x14ac:dyDescent="0.2">
      <c r="A816" s="203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203"/>
      <c r="M816" s="269"/>
      <c r="N816" s="269"/>
      <c r="O816" s="270"/>
      <c r="P816" s="270"/>
      <c r="Q816" s="270"/>
      <c r="R816" s="203"/>
      <c r="S816" s="203"/>
      <c r="T816" s="269"/>
      <c r="U816" s="203"/>
      <c r="V816" s="203"/>
      <c r="W816" s="269"/>
      <c r="X816" s="206"/>
      <c r="Y816" s="206"/>
      <c r="Z816" s="206"/>
    </row>
    <row r="817" spans="1:26" ht="12.75" x14ac:dyDescent="0.2">
      <c r="A817" s="203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203"/>
      <c r="M817" s="269"/>
      <c r="N817" s="269"/>
      <c r="O817" s="270"/>
      <c r="P817" s="270"/>
      <c r="Q817" s="270"/>
      <c r="R817" s="203"/>
      <c r="S817" s="203"/>
      <c r="T817" s="269"/>
      <c r="U817" s="203"/>
      <c r="V817" s="203"/>
      <c r="W817" s="269"/>
      <c r="X817" s="206"/>
      <c r="Y817" s="206"/>
      <c r="Z817" s="206"/>
    </row>
    <row r="818" spans="1:26" ht="12.75" x14ac:dyDescent="0.2">
      <c r="A818" s="203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203"/>
      <c r="M818" s="269"/>
      <c r="N818" s="269"/>
      <c r="O818" s="270"/>
      <c r="P818" s="270"/>
      <c r="Q818" s="270"/>
      <c r="R818" s="203"/>
      <c r="S818" s="203"/>
      <c r="T818" s="269"/>
      <c r="U818" s="203"/>
      <c r="V818" s="203"/>
      <c r="W818" s="269"/>
      <c r="X818" s="206"/>
      <c r="Y818" s="206"/>
      <c r="Z818" s="206"/>
    </row>
    <row r="819" spans="1:26" ht="12.75" x14ac:dyDescent="0.2">
      <c r="A819" s="203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203"/>
      <c r="M819" s="269"/>
      <c r="N819" s="269"/>
      <c r="O819" s="270"/>
      <c r="P819" s="270"/>
      <c r="Q819" s="270"/>
      <c r="R819" s="203"/>
      <c r="S819" s="203"/>
      <c r="T819" s="269"/>
      <c r="U819" s="203"/>
      <c r="V819" s="203"/>
      <c r="W819" s="269"/>
      <c r="X819" s="206"/>
      <c r="Y819" s="206"/>
      <c r="Z819" s="206"/>
    </row>
    <row r="820" spans="1:26" ht="12.75" x14ac:dyDescent="0.2">
      <c r="A820" s="203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203"/>
      <c r="M820" s="269"/>
      <c r="N820" s="269"/>
      <c r="O820" s="270"/>
      <c r="P820" s="270"/>
      <c r="Q820" s="270"/>
      <c r="R820" s="203"/>
      <c r="S820" s="203"/>
      <c r="T820" s="269"/>
      <c r="U820" s="203"/>
      <c r="V820" s="203"/>
      <c r="W820" s="269"/>
      <c r="X820" s="206"/>
      <c r="Y820" s="206"/>
      <c r="Z820" s="206"/>
    </row>
    <row r="821" spans="1:26" ht="12.75" x14ac:dyDescent="0.2">
      <c r="A821" s="203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203"/>
      <c r="M821" s="269"/>
      <c r="N821" s="269"/>
      <c r="O821" s="270"/>
      <c r="P821" s="270"/>
      <c r="Q821" s="270"/>
      <c r="R821" s="203"/>
      <c r="S821" s="203"/>
      <c r="T821" s="269"/>
      <c r="U821" s="203"/>
      <c r="V821" s="203"/>
      <c r="W821" s="269"/>
      <c r="X821" s="206"/>
      <c r="Y821" s="206"/>
      <c r="Z821" s="206"/>
    </row>
    <row r="822" spans="1:26" ht="12.75" x14ac:dyDescent="0.2">
      <c r="A822" s="203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203"/>
      <c r="M822" s="269"/>
      <c r="N822" s="269"/>
      <c r="O822" s="270"/>
      <c r="P822" s="270"/>
      <c r="Q822" s="270"/>
      <c r="R822" s="203"/>
      <c r="S822" s="203"/>
      <c r="T822" s="269"/>
      <c r="U822" s="203"/>
      <c r="V822" s="203"/>
      <c r="W822" s="269"/>
      <c r="X822" s="206"/>
      <c r="Y822" s="206"/>
      <c r="Z822" s="206"/>
    </row>
    <row r="823" spans="1:26" ht="12.75" x14ac:dyDescent="0.2">
      <c r="A823" s="203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203"/>
      <c r="M823" s="269"/>
      <c r="N823" s="269"/>
      <c r="O823" s="270"/>
      <c r="P823" s="270"/>
      <c r="Q823" s="270"/>
      <c r="R823" s="203"/>
      <c r="S823" s="203"/>
      <c r="T823" s="269"/>
      <c r="U823" s="203"/>
      <c r="V823" s="203"/>
      <c r="W823" s="269"/>
      <c r="X823" s="206"/>
      <c r="Y823" s="206"/>
      <c r="Z823" s="206"/>
    </row>
    <row r="824" spans="1:26" ht="12.75" x14ac:dyDescent="0.2">
      <c r="A824" s="203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203"/>
      <c r="M824" s="269"/>
      <c r="N824" s="269"/>
      <c r="O824" s="270"/>
      <c r="P824" s="270"/>
      <c r="Q824" s="270"/>
      <c r="R824" s="203"/>
      <c r="S824" s="203"/>
      <c r="T824" s="269"/>
      <c r="U824" s="203"/>
      <c r="V824" s="203"/>
      <c r="W824" s="269"/>
      <c r="X824" s="206"/>
      <c r="Y824" s="206"/>
      <c r="Z824" s="206"/>
    </row>
    <row r="825" spans="1:26" ht="12.75" x14ac:dyDescent="0.2">
      <c r="A825" s="203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203"/>
      <c r="M825" s="269"/>
      <c r="N825" s="269"/>
      <c r="O825" s="270"/>
      <c r="P825" s="270"/>
      <c r="Q825" s="270"/>
      <c r="R825" s="203"/>
      <c r="S825" s="203"/>
      <c r="T825" s="269"/>
      <c r="U825" s="203"/>
      <c r="V825" s="203"/>
      <c r="W825" s="269"/>
      <c r="X825" s="206"/>
      <c r="Y825" s="206"/>
      <c r="Z825" s="206"/>
    </row>
    <row r="826" spans="1:26" ht="12.75" x14ac:dyDescent="0.2">
      <c r="A826" s="203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203"/>
      <c r="M826" s="269"/>
      <c r="N826" s="269"/>
      <c r="O826" s="270"/>
      <c r="P826" s="270"/>
      <c r="Q826" s="270"/>
      <c r="R826" s="203"/>
      <c r="S826" s="203"/>
      <c r="T826" s="269"/>
      <c r="U826" s="203"/>
      <c r="V826" s="203"/>
      <c r="W826" s="269"/>
      <c r="X826" s="206"/>
      <c r="Y826" s="206"/>
      <c r="Z826" s="206"/>
    </row>
    <row r="827" spans="1:26" ht="12.75" x14ac:dyDescent="0.2">
      <c r="A827" s="203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203"/>
      <c r="M827" s="269"/>
      <c r="N827" s="269"/>
      <c r="O827" s="270"/>
      <c r="P827" s="270"/>
      <c r="Q827" s="270"/>
      <c r="R827" s="203"/>
      <c r="S827" s="203"/>
      <c r="T827" s="269"/>
      <c r="U827" s="203"/>
      <c r="V827" s="203"/>
      <c r="W827" s="269"/>
      <c r="X827" s="206"/>
      <c r="Y827" s="206"/>
      <c r="Z827" s="206"/>
    </row>
    <row r="828" spans="1:26" ht="12.75" x14ac:dyDescent="0.2">
      <c r="A828" s="203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203"/>
      <c r="M828" s="269"/>
      <c r="N828" s="269"/>
      <c r="O828" s="270"/>
      <c r="P828" s="270"/>
      <c r="Q828" s="270"/>
      <c r="R828" s="203"/>
      <c r="S828" s="203"/>
      <c r="T828" s="269"/>
      <c r="U828" s="203"/>
      <c r="V828" s="203"/>
      <c r="W828" s="269"/>
      <c r="X828" s="206"/>
      <c r="Y828" s="206"/>
      <c r="Z828" s="206"/>
    </row>
    <row r="829" spans="1:26" ht="12.75" x14ac:dyDescent="0.2">
      <c r="A829" s="203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203"/>
      <c r="M829" s="269"/>
      <c r="N829" s="269"/>
      <c r="O829" s="270"/>
      <c r="P829" s="270"/>
      <c r="Q829" s="270"/>
      <c r="R829" s="203"/>
      <c r="S829" s="203"/>
      <c r="T829" s="269"/>
      <c r="U829" s="203"/>
      <c r="V829" s="203"/>
      <c r="W829" s="269"/>
      <c r="X829" s="206"/>
      <c r="Y829" s="206"/>
      <c r="Z829" s="206"/>
    </row>
    <row r="830" spans="1:26" ht="12.75" x14ac:dyDescent="0.2">
      <c r="A830" s="203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203"/>
      <c r="M830" s="269"/>
      <c r="N830" s="269"/>
      <c r="O830" s="270"/>
      <c r="P830" s="270"/>
      <c r="Q830" s="270"/>
      <c r="R830" s="203"/>
      <c r="S830" s="203"/>
      <c r="T830" s="269"/>
      <c r="U830" s="203"/>
      <c r="V830" s="203"/>
      <c r="W830" s="269"/>
      <c r="X830" s="206"/>
      <c r="Y830" s="206"/>
      <c r="Z830" s="206"/>
    </row>
    <row r="831" spans="1:26" ht="12.75" x14ac:dyDescent="0.2">
      <c r="A831" s="203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203"/>
      <c r="M831" s="269"/>
      <c r="N831" s="269"/>
      <c r="O831" s="270"/>
      <c r="P831" s="270"/>
      <c r="Q831" s="270"/>
      <c r="R831" s="203"/>
      <c r="S831" s="203"/>
      <c r="T831" s="269"/>
      <c r="U831" s="203"/>
      <c r="V831" s="203"/>
      <c r="W831" s="269"/>
      <c r="X831" s="206"/>
      <c r="Y831" s="206"/>
      <c r="Z831" s="206"/>
    </row>
    <row r="832" spans="1:26" ht="12.75" x14ac:dyDescent="0.2">
      <c r="A832" s="203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203"/>
      <c r="M832" s="269"/>
      <c r="N832" s="269"/>
      <c r="O832" s="270"/>
      <c r="P832" s="270"/>
      <c r="Q832" s="270"/>
      <c r="R832" s="203"/>
      <c r="S832" s="203"/>
      <c r="T832" s="269"/>
      <c r="U832" s="203"/>
      <c r="V832" s="203"/>
      <c r="W832" s="269"/>
      <c r="X832" s="206"/>
      <c r="Y832" s="206"/>
      <c r="Z832" s="206"/>
    </row>
    <row r="833" spans="1:26" ht="12.75" x14ac:dyDescent="0.2">
      <c r="A833" s="203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203"/>
      <c r="M833" s="269"/>
      <c r="N833" s="269"/>
      <c r="O833" s="270"/>
      <c r="P833" s="270"/>
      <c r="Q833" s="270"/>
      <c r="R833" s="203"/>
      <c r="S833" s="203"/>
      <c r="T833" s="269"/>
      <c r="U833" s="203"/>
      <c r="V833" s="203"/>
      <c r="W833" s="269"/>
      <c r="X833" s="206"/>
      <c r="Y833" s="206"/>
      <c r="Z833" s="206"/>
    </row>
    <row r="834" spans="1:26" ht="12.75" x14ac:dyDescent="0.2">
      <c r="A834" s="203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203"/>
      <c r="M834" s="269"/>
      <c r="N834" s="269"/>
      <c r="O834" s="270"/>
      <c r="P834" s="270"/>
      <c r="Q834" s="270"/>
      <c r="R834" s="203"/>
      <c r="S834" s="203"/>
      <c r="T834" s="269"/>
      <c r="U834" s="203"/>
      <c r="V834" s="203"/>
      <c r="W834" s="269"/>
      <c r="X834" s="206"/>
      <c r="Y834" s="206"/>
      <c r="Z834" s="206"/>
    </row>
    <row r="835" spans="1:26" ht="12.75" x14ac:dyDescent="0.2">
      <c r="A835" s="203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203"/>
      <c r="M835" s="269"/>
      <c r="N835" s="269"/>
      <c r="O835" s="270"/>
      <c r="P835" s="270"/>
      <c r="Q835" s="270"/>
      <c r="R835" s="203"/>
      <c r="S835" s="203"/>
      <c r="T835" s="269"/>
      <c r="U835" s="203"/>
      <c r="V835" s="203"/>
      <c r="W835" s="269"/>
      <c r="X835" s="206"/>
      <c r="Y835" s="206"/>
      <c r="Z835" s="206"/>
    </row>
    <row r="836" spans="1:26" ht="12.75" x14ac:dyDescent="0.2">
      <c r="A836" s="203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203"/>
      <c r="M836" s="269"/>
      <c r="N836" s="269"/>
      <c r="O836" s="270"/>
      <c r="P836" s="270"/>
      <c r="Q836" s="270"/>
      <c r="R836" s="203"/>
      <c r="S836" s="203"/>
      <c r="T836" s="269"/>
      <c r="U836" s="203"/>
      <c r="V836" s="203"/>
      <c r="W836" s="269"/>
      <c r="X836" s="206"/>
      <c r="Y836" s="206"/>
      <c r="Z836" s="206"/>
    </row>
    <row r="837" spans="1:26" ht="12.75" x14ac:dyDescent="0.2">
      <c r="A837" s="203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203"/>
      <c r="M837" s="269"/>
      <c r="N837" s="269"/>
      <c r="O837" s="270"/>
      <c r="P837" s="270"/>
      <c r="Q837" s="270"/>
      <c r="R837" s="203"/>
      <c r="S837" s="203"/>
      <c r="T837" s="269"/>
      <c r="U837" s="203"/>
      <c r="V837" s="203"/>
      <c r="W837" s="269"/>
      <c r="X837" s="206"/>
      <c r="Y837" s="206"/>
      <c r="Z837" s="206"/>
    </row>
    <row r="838" spans="1:26" ht="12.75" x14ac:dyDescent="0.2">
      <c r="A838" s="203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203"/>
      <c r="M838" s="269"/>
      <c r="N838" s="269"/>
      <c r="O838" s="270"/>
      <c r="P838" s="270"/>
      <c r="Q838" s="270"/>
      <c r="R838" s="203"/>
      <c r="S838" s="203"/>
      <c r="T838" s="269"/>
      <c r="U838" s="203"/>
      <c r="V838" s="203"/>
      <c r="W838" s="269"/>
      <c r="X838" s="206"/>
      <c r="Y838" s="206"/>
      <c r="Z838" s="206"/>
    </row>
    <row r="839" spans="1:26" ht="12.75" x14ac:dyDescent="0.2">
      <c r="A839" s="203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203"/>
      <c r="M839" s="269"/>
      <c r="N839" s="269"/>
      <c r="O839" s="270"/>
      <c r="P839" s="270"/>
      <c r="Q839" s="270"/>
      <c r="R839" s="203"/>
      <c r="S839" s="203"/>
      <c r="T839" s="269"/>
      <c r="U839" s="203"/>
      <c r="V839" s="203"/>
      <c r="W839" s="269"/>
      <c r="X839" s="206"/>
      <c r="Y839" s="206"/>
      <c r="Z839" s="206"/>
    </row>
    <row r="840" spans="1:26" ht="12.75" x14ac:dyDescent="0.2">
      <c r="A840" s="203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203"/>
      <c r="M840" s="269"/>
      <c r="N840" s="269"/>
      <c r="O840" s="270"/>
      <c r="P840" s="270"/>
      <c r="Q840" s="270"/>
      <c r="R840" s="203"/>
      <c r="S840" s="203"/>
      <c r="T840" s="269"/>
      <c r="U840" s="203"/>
      <c r="V840" s="203"/>
      <c r="W840" s="269"/>
      <c r="X840" s="206"/>
      <c r="Y840" s="206"/>
      <c r="Z840" s="206"/>
    </row>
    <row r="841" spans="1:26" ht="12.75" x14ac:dyDescent="0.2">
      <c r="A841" s="203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203"/>
      <c r="M841" s="269"/>
      <c r="N841" s="269"/>
      <c r="O841" s="270"/>
      <c r="P841" s="270"/>
      <c r="Q841" s="270"/>
      <c r="R841" s="203"/>
      <c r="S841" s="203"/>
      <c r="T841" s="269"/>
      <c r="U841" s="203"/>
      <c r="V841" s="203"/>
      <c r="W841" s="269"/>
      <c r="X841" s="206"/>
      <c r="Y841" s="206"/>
      <c r="Z841" s="206"/>
    </row>
    <row r="842" spans="1:26" ht="12.75" x14ac:dyDescent="0.2">
      <c r="A842" s="203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203"/>
      <c r="M842" s="269"/>
      <c r="N842" s="269"/>
      <c r="O842" s="270"/>
      <c r="P842" s="270"/>
      <c r="Q842" s="270"/>
      <c r="R842" s="203"/>
      <c r="S842" s="203"/>
      <c r="T842" s="269"/>
      <c r="U842" s="203"/>
      <c r="V842" s="203"/>
      <c r="W842" s="269"/>
      <c r="X842" s="206"/>
      <c r="Y842" s="206"/>
      <c r="Z842" s="206"/>
    </row>
    <row r="843" spans="1:26" ht="12.75" x14ac:dyDescent="0.2">
      <c r="A843" s="203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203"/>
      <c r="M843" s="269"/>
      <c r="N843" s="269"/>
      <c r="O843" s="270"/>
      <c r="P843" s="270"/>
      <c r="Q843" s="270"/>
      <c r="R843" s="203"/>
      <c r="S843" s="203"/>
      <c r="T843" s="269"/>
      <c r="U843" s="203"/>
      <c r="V843" s="203"/>
      <c r="W843" s="269"/>
      <c r="X843" s="206"/>
      <c r="Y843" s="206"/>
      <c r="Z843" s="206"/>
    </row>
    <row r="844" spans="1:26" ht="12.75" x14ac:dyDescent="0.2">
      <c r="A844" s="203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203"/>
      <c r="M844" s="269"/>
      <c r="N844" s="269"/>
      <c r="O844" s="270"/>
      <c r="P844" s="270"/>
      <c r="Q844" s="270"/>
      <c r="R844" s="203"/>
      <c r="S844" s="203"/>
      <c r="T844" s="269"/>
      <c r="U844" s="203"/>
      <c r="V844" s="203"/>
      <c r="W844" s="269"/>
      <c r="X844" s="206"/>
      <c r="Y844" s="206"/>
      <c r="Z844" s="206"/>
    </row>
    <row r="845" spans="1:26" ht="12.75" x14ac:dyDescent="0.2">
      <c r="A845" s="203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69"/>
      <c r="N845" s="269"/>
      <c r="O845" s="270"/>
      <c r="P845" s="270"/>
      <c r="Q845" s="270"/>
      <c r="R845" s="203"/>
      <c r="S845" s="203"/>
      <c r="T845" s="269"/>
      <c r="U845" s="203"/>
      <c r="V845" s="203"/>
      <c r="W845" s="269"/>
      <c r="X845" s="206"/>
      <c r="Y845" s="206"/>
      <c r="Z845" s="206"/>
    </row>
    <row r="846" spans="1:26" ht="12.75" x14ac:dyDescent="0.2">
      <c r="A846" s="203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203"/>
      <c r="M846" s="269"/>
      <c r="N846" s="269"/>
      <c r="O846" s="270"/>
      <c r="P846" s="270"/>
      <c r="Q846" s="270"/>
      <c r="R846" s="203"/>
      <c r="S846" s="203"/>
      <c r="T846" s="269"/>
      <c r="U846" s="203"/>
      <c r="V846" s="203"/>
      <c r="W846" s="269"/>
      <c r="X846" s="206"/>
      <c r="Y846" s="206"/>
      <c r="Z846" s="206"/>
    </row>
    <row r="847" spans="1:26" ht="12.75" x14ac:dyDescent="0.2">
      <c r="A847" s="203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203"/>
      <c r="M847" s="269"/>
      <c r="N847" s="269"/>
      <c r="O847" s="270"/>
      <c r="P847" s="270"/>
      <c r="Q847" s="270"/>
      <c r="R847" s="203"/>
      <c r="S847" s="203"/>
      <c r="T847" s="269"/>
      <c r="U847" s="203"/>
      <c r="V847" s="203"/>
      <c r="W847" s="269"/>
      <c r="X847" s="206"/>
      <c r="Y847" s="206"/>
      <c r="Z847" s="206"/>
    </row>
    <row r="848" spans="1:26" ht="12.75" x14ac:dyDescent="0.2">
      <c r="A848" s="203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203"/>
      <c r="M848" s="269"/>
      <c r="N848" s="269"/>
      <c r="O848" s="270"/>
      <c r="P848" s="270"/>
      <c r="Q848" s="270"/>
      <c r="R848" s="203"/>
      <c r="S848" s="203"/>
      <c r="T848" s="269"/>
      <c r="U848" s="203"/>
      <c r="V848" s="203"/>
      <c r="W848" s="269"/>
      <c r="X848" s="206"/>
      <c r="Y848" s="206"/>
      <c r="Z848" s="206"/>
    </row>
    <row r="849" spans="1:26" ht="12.75" x14ac:dyDescent="0.2">
      <c r="A849" s="203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203"/>
      <c r="M849" s="269"/>
      <c r="N849" s="269"/>
      <c r="O849" s="270"/>
      <c r="P849" s="270"/>
      <c r="Q849" s="270"/>
      <c r="R849" s="203"/>
      <c r="S849" s="203"/>
      <c r="T849" s="269"/>
      <c r="U849" s="203"/>
      <c r="V849" s="203"/>
      <c r="W849" s="269"/>
      <c r="X849" s="206"/>
      <c r="Y849" s="206"/>
      <c r="Z849" s="206"/>
    </row>
    <row r="850" spans="1:26" ht="12.75" x14ac:dyDescent="0.2">
      <c r="A850" s="203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203"/>
      <c r="M850" s="269"/>
      <c r="N850" s="269"/>
      <c r="O850" s="270"/>
      <c r="P850" s="270"/>
      <c r="Q850" s="270"/>
      <c r="R850" s="203"/>
      <c r="S850" s="203"/>
      <c r="T850" s="269"/>
      <c r="U850" s="203"/>
      <c r="V850" s="203"/>
      <c r="W850" s="269"/>
      <c r="X850" s="206"/>
      <c r="Y850" s="206"/>
      <c r="Z850" s="206"/>
    </row>
    <row r="851" spans="1:26" ht="12.75" x14ac:dyDescent="0.2">
      <c r="A851" s="203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203"/>
      <c r="M851" s="269"/>
      <c r="N851" s="269"/>
      <c r="O851" s="270"/>
      <c r="P851" s="270"/>
      <c r="Q851" s="270"/>
      <c r="R851" s="203"/>
      <c r="S851" s="203"/>
      <c r="T851" s="269"/>
      <c r="U851" s="203"/>
      <c r="V851" s="203"/>
      <c r="W851" s="269"/>
      <c r="X851" s="206"/>
      <c r="Y851" s="206"/>
      <c r="Z851" s="206"/>
    </row>
    <row r="852" spans="1:26" ht="12.75" x14ac:dyDescent="0.2">
      <c r="A852" s="203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203"/>
      <c r="M852" s="269"/>
      <c r="N852" s="269"/>
      <c r="O852" s="270"/>
      <c r="P852" s="270"/>
      <c r="Q852" s="270"/>
      <c r="R852" s="203"/>
      <c r="S852" s="203"/>
      <c r="T852" s="269"/>
      <c r="U852" s="203"/>
      <c r="V852" s="203"/>
      <c r="W852" s="269"/>
      <c r="X852" s="206"/>
      <c r="Y852" s="206"/>
      <c r="Z852" s="206"/>
    </row>
    <row r="853" spans="1:26" ht="12.75" x14ac:dyDescent="0.2">
      <c r="A853" s="203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203"/>
      <c r="M853" s="269"/>
      <c r="N853" s="269"/>
      <c r="O853" s="270"/>
      <c r="P853" s="270"/>
      <c r="Q853" s="270"/>
      <c r="R853" s="203"/>
      <c r="S853" s="203"/>
      <c r="T853" s="269"/>
      <c r="U853" s="203"/>
      <c r="V853" s="203"/>
      <c r="W853" s="269"/>
      <c r="X853" s="206"/>
      <c r="Y853" s="206"/>
      <c r="Z853" s="206"/>
    </row>
    <row r="854" spans="1:26" ht="12.75" x14ac:dyDescent="0.2">
      <c r="A854" s="203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203"/>
      <c r="M854" s="269"/>
      <c r="N854" s="269"/>
      <c r="O854" s="270"/>
      <c r="P854" s="270"/>
      <c r="Q854" s="270"/>
      <c r="R854" s="203"/>
      <c r="S854" s="203"/>
      <c r="T854" s="269"/>
      <c r="U854" s="203"/>
      <c r="V854" s="203"/>
      <c r="W854" s="269"/>
      <c r="X854" s="206"/>
      <c r="Y854" s="206"/>
      <c r="Z854" s="206"/>
    </row>
    <row r="855" spans="1:26" ht="12.75" x14ac:dyDescent="0.2">
      <c r="A855" s="203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203"/>
      <c r="M855" s="269"/>
      <c r="N855" s="269"/>
      <c r="O855" s="270"/>
      <c r="P855" s="270"/>
      <c r="Q855" s="270"/>
      <c r="R855" s="203"/>
      <c r="S855" s="203"/>
      <c r="T855" s="269"/>
      <c r="U855" s="203"/>
      <c r="V855" s="203"/>
      <c r="W855" s="269"/>
      <c r="X855" s="206"/>
      <c r="Y855" s="206"/>
      <c r="Z855" s="206"/>
    </row>
    <row r="856" spans="1:26" ht="12.75" x14ac:dyDescent="0.2">
      <c r="A856" s="203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203"/>
      <c r="M856" s="269"/>
      <c r="N856" s="269"/>
      <c r="O856" s="270"/>
      <c r="P856" s="270"/>
      <c r="Q856" s="270"/>
      <c r="R856" s="203"/>
      <c r="S856" s="203"/>
      <c r="T856" s="269"/>
      <c r="U856" s="203"/>
      <c r="V856" s="203"/>
      <c r="W856" s="269"/>
      <c r="X856" s="206"/>
      <c r="Y856" s="206"/>
      <c r="Z856" s="206"/>
    </row>
    <row r="857" spans="1:26" ht="12.75" x14ac:dyDescent="0.2">
      <c r="A857" s="203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203"/>
      <c r="M857" s="269"/>
      <c r="N857" s="269"/>
      <c r="O857" s="270"/>
      <c r="P857" s="270"/>
      <c r="Q857" s="270"/>
      <c r="R857" s="203"/>
      <c r="S857" s="203"/>
      <c r="T857" s="269"/>
      <c r="U857" s="203"/>
      <c r="V857" s="203"/>
      <c r="W857" s="269"/>
      <c r="X857" s="206"/>
      <c r="Y857" s="206"/>
      <c r="Z857" s="206"/>
    </row>
    <row r="858" spans="1:26" ht="12.75" x14ac:dyDescent="0.2">
      <c r="A858" s="203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203"/>
      <c r="M858" s="269"/>
      <c r="N858" s="269"/>
      <c r="O858" s="270"/>
      <c r="P858" s="270"/>
      <c r="Q858" s="270"/>
      <c r="R858" s="203"/>
      <c r="S858" s="203"/>
      <c r="T858" s="269"/>
      <c r="U858" s="203"/>
      <c r="V858" s="203"/>
      <c r="W858" s="269"/>
      <c r="X858" s="206"/>
      <c r="Y858" s="206"/>
      <c r="Z858" s="206"/>
    </row>
    <row r="859" spans="1:26" ht="12.75" x14ac:dyDescent="0.2">
      <c r="A859" s="203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203"/>
      <c r="M859" s="269"/>
      <c r="N859" s="269"/>
      <c r="O859" s="270"/>
      <c r="P859" s="270"/>
      <c r="Q859" s="270"/>
      <c r="R859" s="203"/>
      <c r="S859" s="203"/>
      <c r="T859" s="269"/>
      <c r="U859" s="203"/>
      <c r="V859" s="203"/>
      <c r="W859" s="269"/>
      <c r="X859" s="206"/>
      <c r="Y859" s="206"/>
      <c r="Z859" s="206"/>
    </row>
    <row r="860" spans="1:26" ht="12.75" x14ac:dyDescent="0.2">
      <c r="A860" s="203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203"/>
      <c r="M860" s="269"/>
      <c r="N860" s="269"/>
      <c r="O860" s="270"/>
      <c r="P860" s="270"/>
      <c r="Q860" s="270"/>
      <c r="R860" s="203"/>
      <c r="S860" s="203"/>
      <c r="T860" s="269"/>
      <c r="U860" s="203"/>
      <c r="V860" s="203"/>
      <c r="W860" s="269"/>
      <c r="X860" s="206"/>
      <c r="Y860" s="206"/>
      <c r="Z860" s="206"/>
    </row>
    <row r="861" spans="1:26" ht="12.75" x14ac:dyDescent="0.2">
      <c r="A861" s="203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203"/>
      <c r="M861" s="269"/>
      <c r="N861" s="269"/>
      <c r="O861" s="270"/>
      <c r="P861" s="270"/>
      <c r="Q861" s="270"/>
      <c r="R861" s="203"/>
      <c r="S861" s="203"/>
      <c r="T861" s="269"/>
      <c r="U861" s="203"/>
      <c r="V861" s="203"/>
      <c r="W861" s="269"/>
      <c r="X861" s="206"/>
      <c r="Y861" s="206"/>
      <c r="Z861" s="206"/>
    </row>
    <row r="862" spans="1:26" ht="12.75" x14ac:dyDescent="0.2">
      <c r="A862" s="203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203"/>
      <c r="M862" s="269"/>
      <c r="N862" s="269"/>
      <c r="O862" s="270"/>
      <c r="P862" s="270"/>
      <c r="Q862" s="270"/>
      <c r="R862" s="203"/>
      <c r="S862" s="203"/>
      <c r="T862" s="269"/>
      <c r="U862" s="203"/>
      <c r="V862" s="203"/>
      <c r="W862" s="269"/>
      <c r="X862" s="206"/>
      <c r="Y862" s="206"/>
      <c r="Z862" s="206"/>
    </row>
    <row r="863" spans="1:26" ht="12.75" x14ac:dyDescent="0.2">
      <c r="A863" s="203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203"/>
      <c r="M863" s="269"/>
      <c r="N863" s="269"/>
      <c r="O863" s="270"/>
      <c r="P863" s="270"/>
      <c r="Q863" s="270"/>
      <c r="R863" s="203"/>
      <c r="S863" s="203"/>
      <c r="T863" s="269"/>
      <c r="U863" s="203"/>
      <c r="V863" s="203"/>
      <c r="W863" s="269"/>
      <c r="X863" s="206"/>
      <c r="Y863" s="206"/>
      <c r="Z863" s="206"/>
    </row>
    <row r="864" spans="1:26" ht="12.75" x14ac:dyDescent="0.2">
      <c r="A864" s="203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203"/>
      <c r="M864" s="269"/>
      <c r="N864" s="269"/>
      <c r="O864" s="270"/>
      <c r="P864" s="270"/>
      <c r="Q864" s="270"/>
      <c r="R864" s="203"/>
      <c r="S864" s="203"/>
      <c r="T864" s="269"/>
      <c r="U864" s="203"/>
      <c r="V864" s="203"/>
      <c r="W864" s="269"/>
      <c r="X864" s="206"/>
      <c r="Y864" s="206"/>
      <c r="Z864" s="206"/>
    </row>
    <row r="865" spans="1:26" ht="12.75" x14ac:dyDescent="0.2">
      <c r="A865" s="203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203"/>
      <c r="M865" s="269"/>
      <c r="N865" s="269"/>
      <c r="O865" s="270"/>
      <c r="P865" s="270"/>
      <c r="Q865" s="270"/>
      <c r="R865" s="203"/>
      <c r="S865" s="203"/>
      <c r="T865" s="269"/>
      <c r="U865" s="203"/>
      <c r="V865" s="203"/>
      <c r="W865" s="269"/>
      <c r="X865" s="206"/>
      <c r="Y865" s="206"/>
      <c r="Z865" s="206"/>
    </row>
    <row r="866" spans="1:26" ht="12.75" x14ac:dyDescent="0.2">
      <c r="A866" s="203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203"/>
      <c r="M866" s="269"/>
      <c r="N866" s="269"/>
      <c r="O866" s="270"/>
      <c r="P866" s="270"/>
      <c r="Q866" s="270"/>
      <c r="R866" s="203"/>
      <c r="S866" s="203"/>
      <c r="T866" s="269"/>
      <c r="U866" s="203"/>
      <c r="V866" s="203"/>
      <c r="W866" s="269"/>
      <c r="X866" s="206"/>
      <c r="Y866" s="206"/>
      <c r="Z866" s="206"/>
    </row>
    <row r="867" spans="1:26" ht="12.75" x14ac:dyDescent="0.2">
      <c r="A867" s="203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69"/>
      <c r="N867" s="269"/>
      <c r="O867" s="270"/>
      <c r="P867" s="270"/>
      <c r="Q867" s="270"/>
      <c r="R867" s="203"/>
      <c r="S867" s="203"/>
      <c r="T867" s="269"/>
      <c r="U867" s="203"/>
      <c r="V867" s="203"/>
      <c r="W867" s="269"/>
      <c r="X867" s="206"/>
      <c r="Y867" s="206"/>
      <c r="Z867" s="206"/>
    </row>
    <row r="868" spans="1:26" ht="12.75" x14ac:dyDescent="0.2">
      <c r="A868" s="203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203"/>
      <c r="M868" s="269"/>
      <c r="N868" s="269"/>
      <c r="O868" s="270"/>
      <c r="P868" s="270"/>
      <c r="Q868" s="270"/>
      <c r="R868" s="203"/>
      <c r="S868" s="203"/>
      <c r="T868" s="269"/>
      <c r="U868" s="203"/>
      <c r="V868" s="203"/>
      <c r="W868" s="269"/>
      <c r="X868" s="206"/>
      <c r="Y868" s="206"/>
      <c r="Z868" s="206"/>
    </row>
    <row r="869" spans="1:26" ht="12.75" x14ac:dyDescent="0.2">
      <c r="A869" s="203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203"/>
      <c r="M869" s="269"/>
      <c r="N869" s="269"/>
      <c r="O869" s="270"/>
      <c r="P869" s="270"/>
      <c r="Q869" s="270"/>
      <c r="R869" s="203"/>
      <c r="S869" s="203"/>
      <c r="T869" s="269"/>
      <c r="U869" s="203"/>
      <c r="V869" s="203"/>
      <c r="W869" s="269"/>
      <c r="X869" s="206"/>
      <c r="Y869" s="206"/>
      <c r="Z869" s="206"/>
    </row>
    <row r="870" spans="1:26" ht="12.75" x14ac:dyDescent="0.2">
      <c r="A870" s="203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203"/>
      <c r="M870" s="269"/>
      <c r="N870" s="269"/>
      <c r="O870" s="270"/>
      <c r="P870" s="270"/>
      <c r="Q870" s="270"/>
      <c r="R870" s="203"/>
      <c r="S870" s="203"/>
      <c r="T870" s="269"/>
      <c r="U870" s="203"/>
      <c r="V870" s="203"/>
      <c r="W870" s="269"/>
      <c r="X870" s="206"/>
      <c r="Y870" s="206"/>
      <c r="Z870" s="206"/>
    </row>
    <row r="871" spans="1:26" ht="12.75" x14ac:dyDescent="0.2">
      <c r="A871" s="203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203"/>
      <c r="M871" s="269"/>
      <c r="N871" s="269"/>
      <c r="O871" s="270"/>
      <c r="P871" s="270"/>
      <c r="Q871" s="270"/>
      <c r="R871" s="203"/>
      <c r="S871" s="203"/>
      <c r="T871" s="269"/>
      <c r="U871" s="203"/>
      <c r="V871" s="203"/>
      <c r="W871" s="269"/>
      <c r="X871" s="206"/>
      <c r="Y871" s="206"/>
      <c r="Z871" s="206"/>
    </row>
    <row r="872" spans="1:26" ht="12.75" x14ac:dyDescent="0.2">
      <c r="A872" s="203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203"/>
      <c r="M872" s="269"/>
      <c r="N872" s="269"/>
      <c r="O872" s="270"/>
      <c r="P872" s="270"/>
      <c r="Q872" s="270"/>
      <c r="R872" s="203"/>
      <c r="S872" s="203"/>
      <c r="T872" s="269"/>
      <c r="U872" s="203"/>
      <c r="V872" s="203"/>
      <c r="W872" s="269"/>
      <c r="X872" s="206"/>
      <c r="Y872" s="206"/>
      <c r="Z872" s="206"/>
    </row>
    <row r="873" spans="1:26" ht="12.75" x14ac:dyDescent="0.2">
      <c r="A873" s="203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203"/>
      <c r="M873" s="269"/>
      <c r="N873" s="269"/>
      <c r="O873" s="270"/>
      <c r="P873" s="270"/>
      <c r="Q873" s="270"/>
      <c r="R873" s="203"/>
      <c r="S873" s="203"/>
      <c r="T873" s="269"/>
      <c r="U873" s="203"/>
      <c r="V873" s="203"/>
      <c r="W873" s="269"/>
      <c r="X873" s="206"/>
      <c r="Y873" s="206"/>
      <c r="Z873" s="206"/>
    </row>
    <row r="874" spans="1:26" ht="12.75" x14ac:dyDescent="0.2">
      <c r="A874" s="203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203"/>
      <c r="M874" s="269"/>
      <c r="N874" s="269"/>
      <c r="O874" s="270"/>
      <c r="P874" s="270"/>
      <c r="Q874" s="270"/>
      <c r="R874" s="203"/>
      <c r="S874" s="203"/>
      <c r="T874" s="269"/>
      <c r="U874" s="203"/>
      <c r="V874" s="203"/>
      <c r="W874" s="269"/>
      <c r="X874" s="206"/>
      <c r="Y874" s="206"/>
      <c r="Z874" s="206"/>
    </row>
    <row r="875" spans="1:26" ht="12.75" x14ac:dyDescent="0.2">
      <c r="A875" s="203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203"/>
      <c r="M875" s="269"/>
      <c r="N875" s="269"/>
      <c r="O875" s="270"/>
      <c r="P875" s="270"/>
      <c r="Q875" s="270"/>
      <c r="R875" s="203"/>
      <c r="S875" s="203"/>
      <c r="T875" s="269"/>
      <c r="U875" s="203"/>
      <c r="V875" s="203"/>
      <c r="W875" s="269"/>
      <c r="X875" s="206"/>
      <c r="Y875" s="206"/>
      <c r="Z875" s="206"/>
    </row>
    <row r="876" spans="1:26" ht="12.75" x14ac:dyDescent="0.2">
      <c r="A876" s="203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203"/>
      <c r="M876" s="269"/>
      <c r="N876" s="269"/>
      <c r="O876" s="270"/>
      <c r="P876" s="270"/>
      <c r="Q876" s="270"/>
      <c r="R876" s="203"/>
      <c r="S876" s="203"/>
      <c r="T876" s="269"/>
      <c r="U876" s="203"/>
      <c r="V876" s="203"/>
      <c r="W876" s="269"/>
      <c r="X876" s="206"/>
      <c r="Y876" s="206"/>
      <c r="Z876" s="206"/>
    </row>
    <row r="877" spans="1:26" ht="12.75" x14ac:dyDescent="0.2">
      <c r="A877" s="203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203"/>
      <c r="M877" s="269"/>
      <c r="N877" s="269"/>
      <c r="O877" s="270"/>
      <c r="P877" s="270"/>
      <c r="Q877" s="270"/>
      <c r="R877" s="203"/>
      <c r="S877" s="203"/>
      <c r="T877" s="269"/>
      <c r="U877" s="203"/>
      <c r="V877" s="203"/>
      <c r="W877" s="269"/>
      <c r="X877" s="206"/>
      <c r="Y877" s="206"/>
      <c r="Z877" s="206"/>
    </row>
    <row r="878" spans="1:26" ht="12.75" x14ac:dyDescent="0.2">
      <c r="A878" s="203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203"/>
      <c r="M878" s="269"/>
      <c r="N878" s="269"/>
      <c r="O878" s="270"/>
      <c r="P878" s="270"/>
      <c r="Q878" s="270"/>
      <c r="R878" s="203"/>
      <c r="S878" s="203"/>
      <c r="T878" s="269"/>
      <c r="U878" s="203"/>
      <c r="V878" s="203"/>
      <c r="W878" s="269"/>
      <c r="X878" s="206"/>
      <c r="Y878" s="206"/>
      <c r="Z878" s="206"/>
    </row>
    <row r="879" spans="1:26" ht="12.75" x14ac:dyDescent="0.2">
      <c r="A879" s="203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203"/>
      <c r="M879" s="269"/>
      <c r="N879" s="269"/>
      <c r="O879" s="270"/>
      <c r="P879" s="270"/>
      <c r="Q879" s="270"/>
      <c r="R879" s="203"/>
      <c r="S879" s="203"/>
      <c r="T879" s="269"/>
      <c r="U879" s="203"/>
      <c r="V879" s="203"/>
      <c r="W879" s="269"/>
      <c r="X879" s="206"/>
      <c r="Y879" s="206"/>
      <c r="Z879" s="206"/>
    </row>
    <row r="880" spans="1:26" ht="12.75" x14ac:dyDescent="0.2">
      <c r="A880" s="203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203"/>
      <c r="M880" s="269"/>
      <c r="N880" s="269"/>
      <c r="O880" s="270"/>
      <c r="P880" s="270"/>
      <c r="Q880" s="270"/>
      <c r="R880" s="203"/>
      <c r="S880" s="203"/>
      <c r="T880" s="269"/>
      <c r="U880" s="203"/>
      <c r="V880" s="203"/>
      <c r="W880" s="269"/>
      <c r="X880" s="206"/>
      <c r="Y880" s="206"/>
      <c r="Z880" s="206"/>
    </row>
    <row r="881" spans="1:26" ht="12.75" x14ac:dyDescent="0.2">
      <c r="A881" s="203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203"/>
      <c r="M881" s="269"/>
      <c r="N881" s="269"/>
      <c r="O881" s="270"/>
      <c r="P881" s="270"/>
      <c r="Q881" s="270"/>
      <c r="R881" s="203"/>
      <c r="S881" s="203"/>
      <c r="T881" s="269"/>
      <c r="U881" s="203"/>
      <c r="V881" s="203"/>
      <c r="W881" s="269"/>
      <c r="X881" s="206"/>
      <c r="Y881" s="206"/>
      <c r="Z881" s="206"/>
    </row>
    <row r="882" spans="1:26" ht="12.75" x14ac:dyDescent="0.2">
      <c r="A882" s="203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69"/>
      <c r="N882" s="269"/>
      <c r="O882" s="270"/>
      <c r="P882" s="270"/>
      <c r="Q882" s="270"/>
      <c r="R882" s="203"/>
      <c r="S882" s="203"/>
      <c r="T882" s="269"/>
      <c r="U882" s="203"/>
      <c r="V882" s="203"/>
      <c r="W882" s="269"/>
      <c r="X882" s="206"/>
      <c r="Y882" s="206"/>
      <c r="Z882" s="206"/>
    </row>
    <row r="883" spans="1:26" ht="12.75" x14ac:dyDescent="0.2">
      <c r="A883" s="203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203"/>
      <c r="M883" s="269"/>
      <c r="N883" s="269"/>
      <c r="O883" s="270"/>
      <c r="P883" s="270"/>
      <c r="Q883" s="270"/>
      <c r="R883" s="203"/>
      <c r="S883" s="203"/>
      <c r="T883" s="269"/>
      <c r="U883" s="203"/>
      <c r="V883" s="203"/>
      <c r="W883" s="269"/>
      <c r="X883" s="206"/>
      <c r="Y883" s="206"/>
      <c r="Z883" s="206"/>
    </row>
    <row r="884" spans="1:26" ht="12.75" x14ac:dyDescent="0.2">
      <c r="A884" s="203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203"/>
      <c r="M884" s="269"/>
      <c r="N884" s="269"/>
      <c r="O884" s="270"/>
      <c r="P884" s="270"/>
      <c r="Q884" s="270"/>
      <c r="R884" s="203"/>
      <c r="S884" s="203"/>
      <c r="T884" s="269"/>
      <c r="U884" s="203"/>
      <c r="V884" s="203"/>
      <c r="W884" s="269"/>
      <c r="X884" s="206"/>
      <c r="Y884" s="206"/>
      <c r="Z884" s="206"/>
    </row>
    <row r="885" spans="1:26" ht="12.75" x14ac:dyDescent="0.2">
      <c r="A885" s="203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69"/>
      <c r="N885" s="269"/>
      <c r="O885" s="270"/>
      <c r="P885" s="270"/>
      <c r="Q885" s="270"/>
      <c r="R885" s="203"/>
      <c r="S885" s="203"/>
      <c r="T885" s="269"/>
      <c r="U885" s="203"/>
      <c r="V885" s="203"/>
      <c r="W885" s="269"/>
      <c r="X885" s="206"/>
      <c r="Y885" s="206"/>
      <c r="Z885" s="206"/>
    </row>
    <row r="886" spans="1:26" ht="12.75" x14ac:dyDescent="0.2">
      <c r="A886" s="203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269"/>
      <c r="N886" s="269"/>
      <c r="O886" s="270"/>
      <c r="P886" s="270"/>
      <c r="Q886" s="270"/>
      <c r="R886" s="203"/>
      <c r="S886" s="203"/>
      <c r="T886" s="269"/>
      <c r="U886" s="203"/>
      <c r="V886" s="203"/>
      <c r="W886" s="269"/>
      <c r="X886" s="206"/>
      <c r="Y886" s="206"/>
      <c r="Z886" s="206"/>
    </row>
    <row r="887" spans="1:26" ht="12.75" x14ac:dyDescent="0.2">
      <c r="A887" s="203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269"/>
      <c r="N887" s="269"/>
      <c r="O887" s="270"/>
      <c r="P887" s="270"/>
      <c r="Q887" s="270"/>
      <c r="R887" s="203"/>
      <c r="S887" s="203"/>
      <c r="T887" s="269"/>
      <c r="U887" s="203"/>
      <c r="V887" s="203"/>
      <c r="W887" s="269"/>
      <c r="X887" s="206"/>
      <c r="Y887" s="206"/>
      <c r="Z887" s="206"/>
    </row>
    <row r="888" spans="1:26" ht="12.75" x14ac:dyDescent="0.2">
      <c r="A888" s="203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69"/>
      <c r="N888" s="269"/>
      <c r="O888" s="270"/>
      <c r="P888" s="270"/>
      <c r="Q888" s="270"/>
      <c r="R888" s="203"/>
      <c r="S888" s="203"/>
      <c r="T888" s="269"/>
      <c r="U888" s="203"/>
      <c r="V888" s="203"/>
      <c r="W888" s="269"/>
      <c r="X888" s="206"/>
      <c r="Y888" s="206"/>
      <c r="Z888" s="206"/>
    </row>
    <row r="889" spans="1:26" ht="12.75" x14ac:dyDescent="0.2">
      <c r="A889" s="203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203"/>
      <c r="M889" s="269"/>
      <c r="N889" s="269"/>
      <c r="O889" s="270"/>
      <c r="P889" s="270"/>
      <c r="Q889" s="270"/>
      <c r="R889" s="203"/>
      <c r="S889" s="203"/>
      <c r="T889" s="269"/>
      <c r="U889" s="203"/>
      <c r="V889" s="203"/>
      <c r="W889" s="269"/>
      <c r="X889" s="206"/>
      <c r="Y889" s="206"/>
      <c r="Z889" s="206"/>
    </row>
    <row r="890" spans="1:26" ht="12.75" x14ac:dyDescent="0.2">
      <c r="A890" s="203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203"/>
      <c r="M890" s="269"/>
      <c r="N890" s="269"/>
      <c r="O890" s="270"/>
      <c r="P890" s="270"/>
      <c r="Q890" s="270"/>
      <c r="R890" s="203"/>
      <c r="S890" s="203"/>
      <c r="T890" s="269"/>
      <c r="U890" s="203"/>
      <c r="V890" s="203"/>
      <c r="W890" s="269"/>
      <c r="X890" s="206"/>
      <c r="Y890" s="206"/>
      <c r="Z890" s="206"/>
    </row>
    <row r="891" spans="1:26" ht="12.75" x14ac:dyDescent="0.2">
      <c r="A891" s="203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203"/>
      <c r="M891" s="269"/>
      <c r="N891" s="269"/>
      <c r="O891" s="270"/>
      <c r="P891" s="270"/>
      <c r="Q891" s="270"/>
      <c r="R891" s="203"/>
      <c r="S891" s="203"/>
      <c r="T891" s="269"/>
      <c r="U891" s="203"/>
      <c r="V891" s="203"/>
      <c r="W891" s="269"/>
      <c r="X891" s="206"/>
      <c r="Y891" s="206"/>
      <c r="Z891" s="206"/>
    </row>
    <row r="892" spans="1:26" ht="12.75" x14ac:dyDescent="0.2">
      <c r="A892" s="203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69"/>
      <c r="N892" s="269"/>
      <c r="O892" s="270"/>
      <c r="P892" s="270"/>
      <c r="Q892" s="270"/>
      <c r="R892" s="203"/>
      <c r="S892" s="203"/>
      <c r="T892" s="269"/>
      <c r="U892" s="203"/>
      <c r="V892" s="203"/>
      <c r="W892" s="269"/>
      <c r="X892" s="206"/>
      <c r="Y892" s="206"/>
      <c r="Z892" s="206"/>
    </row>
    <row r="893" spans="1:26" ht="12.75" x14ac:dyDescent="0.2">
      <c r="A893" s="203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203"/>
      <c r="M893" s="269"/>
      <c r="N893" s="269"/>
      <c r="O893" s="270"/>
      <c r="P893" s="270"/>
      <c r="Q893" s="270"/>
      <c r="R893" s="203"/>
      <c r="S893" s="203"/>
      <c r="T893" s="269"/>
      <c r="U893" s="203"/>
      <c r="V893" s="203"/>
      <c r="W893" s="269"/>
      <c r="X893" s="206"/>
      <c r="Y893" s="206"/>
      <c r="Z893" s="206"/>
    </row>
    <row r="894" spans="1:26" ht="12.75" x14ac:dyDescent="0.2">
      <c r="A894" s="203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203"/>
      <c r="M894" s="269"/>
      <c r="N894" s="269"/>
      <c r="O894" s="270"/>
      <c r="P894" s="270"/>
      <c r="Q894" s="270"/>
      <c r="R894" s="203"/>
      <c r="S894" s="203"/>
      <c r="T894" s="269"/>
      <c r="U894" s="203"/>
      <c r="V894" s="203"/>
      <c r="W894" s="269"/>
      <c r="X894" s="206"/>
      <c r="Y894" s="206"/>
      <c r="Z894" s="206"/>
    </row>
    <row r="895" spans="1:26" ht="12.75" x14ac:dyDescent="0.2">
      <c r="A895" s="203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203"/>
      <c r="M895" s="269"/>
      <c r="N895" s="269"/>
      <c r="O895" s="270"/>
      <c r="P895" s="270"/>
      <c r="Q895" s="270"/>
      <c r="R895" s="203"/>
      <c r="S895" s="203"/>
      <c r="T895" s="269"/>
      <c r="U895" s="203"/>
      <c r="V895" s="203"/>
      <c r="W895" s="269"/>
      <c r="X895" s="206"/>
      <c r="Y895" s="206"/>
      <c r="Z895" s="206"/>
    </row>
    <row r="896" spans="1:26" ht="12.75" x14ac:dyDescent="0.2">
      <c r="A896" s="203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203"/>
      <c r="M896" s="269"/>
      <c r="N896" s="269"/>
      <c r="O896" s="270"/>
      <c r="P896" s="270"/>
      <c r="Q896" s="270"/>
      <c r="R896" s="203"/>
      <c r="S896" s="203"/>
      <c r="T896" s="269"/>
      <c r="U896" s="203"/>
      <c r="V896" s="203"/>
      <c r="W896" s="269"/>
      <c r="X896" s="206"/>
      <c r="Y896" s="206"/>
      <c r="Z896" s="206"/>
    </row>
    <row r="897" spans="1:26" ht="12.75" x14ac:dyDescent="0.2">
      <c r="A897" s="203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203"/>
      <c r="M897" s="269"/>
      <c r="N897" s="269"/>
      <c r="O897" s="270"/>
      <c r="P897" s="270"/>
      <c r="Q897" s="270"/>
      <c r="R897" s="203"/>
      <c r="S897" s="203"/>
      <c r="T897" s="269"/>
      <c r="U897" s="203"/>
      <c r="V897" s="203"/>
      <c r="W897" s="269"/>
      <c r="X897" s="206"/>
      <c r="Y897" s="206"/>
      <c r="Z897" s="206"/>
    </row>
    <row r="898" spans="1:26" ht="12.75" x14ac:dyDescent="0.2">
      <c r="A898" s="203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203"/>
      <c r="M898" s="269"/>
      <c r="N898" s="269"/>
      <c r="O898" s="270"/>
      <c r="P898" s="270"/>
      <c r="Q898" s="270"/>
      <c r="R898" s="203"/>
      <c r="S898" s="203"/>
      <c r="T898" s="269"/>
      <c r="U898" s="203"/>
      <c r="V898" s="203"/>
      <c r="W898" s="269"/>
      <c r="X898" s="206"/>
      <c r="Y898" s="206"/>
      <c r="Z898" s="206"/>
    </row>
    <row r="899" spans="1:26" ht="12.75" x14ac:dyDescent="0.2">
      <c r="A899" s="203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203"/>
      <c r="M899" s="269"/>
      <c r="N899" s="269"/>
      <c r="O899" s="270"/>
      <c r="P899" s="270"/>
      <c r="Q899" s="270"/>
      <c r="R899" s="203"/>
      <c r="S899" s="203"/>
      <c r="T899" s="269"/>
      <c r="U899" s="203"/>
      <c r="V899" s="203"/>
      <c r="W899" s="269"/>
      <c r="X899" s="206"/>
      <c r="Y899" s="206"/>
      <c r="Z899" s="206"/>
    </row>
    <row r="900" spans="1:26" ht="12.75" x14ac:dyDescent="0.2">
      <c r="A900" s="203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203"/>
      <c r="M900" s="269"/>
      <c r="N900" s="269"/>
      <c r="O900" s="270"/>
      <c r="P900" s="270"/>
      <c r="Q900" s="270"/>
      <c r="R900" s="203"/>
      <c r="S900" s="203"/>
      <c r="T900" s="269"/>
      <c r="U900" s="203"/>
      <c r="V900" s="203"/>
      <c r="W900" s="269"/>
      <c r="X900" s="206"/>
      <c r="Y900" s="206"/>
      <c r="Z900" s="206"/>
    </row>
    <row r="901" spans="1:26" ht="12.75" x14ac:dyDescent="0.2">
      <c r="A901" s="203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203"/>
      <c r="M901" s="269"/>
      <c r="N901" s="269"/>
      <c r="O901" s="270"/>
      <c r="P901" s="270"/>
      <c r="Q901" s="270"/>
      <c r="R901" s="203"/>
      <c r="S901" s="203"/>
      <c r="T901" s="269"/>
      <c r="U901" s="203"/>
      <c r="V901" s="203"/>
      <c r="W901" s="269"/>
      <c r="X901" s="206"/>
      <c r="Y901" s="206"/>
      <c r="Z901" s="206"/>
    </row>
    <row r="902" spans="1:26" ht="12.75" x14ac:dyDescent="0.2">
      <c r="A902" s="203"/>
      <c r="B902" s="203"/>
      <c r="C902" s="203"/>
      <c r="D902" s="203"/>
      <c r="E902" s="203"/>
      <c r="F902" s="203"/>
      <c r="G902" s="203"/>
      <c r="H902" s="203"/>
      <c r="I902" s="203"/>
      <c r="J902" s="203"/>
      <c r="K902" s="203"/>
      <c r="L902" s="203"/>
      <c r="M902" s="269"/>
      <c r="N902" s="269"/>
      <c r="O902" s="270"/>
      <c r="P902" s="270"/>
      <c r="Q902" s="270"/>
      <c r="R902" s="203"/>
      <c r="S902" s="203"/>
      <c r="T902" s="269"/>
      <c r="U902" s="203"/>
      <c r="V902" s="203"/>
      <c r="W902" s="269"/>
      <c r="X902" s="206"/>
      <c r="Y902" s="206"/>
      <c r="Z902" s="206"/>
    </row>
    <row r="903" spans="1:26" ht="12.75" x14ac:dyDescent="0.2">
      <c r="A903" s="203"/>
      <c r="B903" s="203"/>
      <c r="C903" s="203"/>
      <c r="D903" s="203"/>
      <c r="E903" s="203"/>
      <c r="F903" s="203"/>
      <c r="G903" s="203"/>
      <c r="H903" s="203"/>
      <c r="I903" s="203"/>
      <c r="J903" s="203"/>
      <c r="K903" s="203"/>
      <c r="L903" s="203"/>
      <c r="M903" s="269"/>
      <c r="N903" s="269"/>
      <c r="O903" s="270"/>
      <c r="P903" s="270"/>
      <c r="Q903" s="270"/>
      <c r="R903" s="203"/>
      <c r="S903" s="203"/>
      <c r="T903" s="269"/>
      <c r="U903" s="203"/>
      <c r="V903" s="203"/>
      <c r="W903" s="269"/>
      <c r="X903" s="206"/>
      <c r="Y903" s="206"/>
      <c r="Z903" s="206"/>
    </row>
    <row r="904" spans="1:26" ht="12.75" x14ac:dyDescent="0.2">
      <c r="A904" s="203"/>
      <c r="B904" s="203"/>
      <c r="C904" s="203"/>
      <c r="D904" s="203"/>
      <c r="E904" s="203"/>
      <c r="F904" s="203"/>
      <c r="G904" s="203"/>
      <c r="H904" s="203"/>
      <c r="I904" s="203"/>
      <c r="J904" s="203"/>
      <c r="K904" s="203"/>
      <c r="L904" s="203"/>
      <c r="M904" s="269"/>
      <c r="N904" s="269"/>
      <c r="O904" s="270"/>
      <c r="P904" s="270"/>
      <c r="Q904" s="270"/>
      <c r="R904" s="203"/>
      <c r="S904" s="203"/>
      <c r="T904" s="269"/>
      <c r="U904" s="203"/>
      <c r="V904" s="203"/>
      <c r="W904" s="269"/>
      <c r="X904" s="206"/>
      <c r="Y904" s="206"/>
      <c r="Z904" s="206"/>
    </row>
    <row r="905" spans="1:26" ht="12.75" x14ac:dyDescent="0.2">
      <c r="A905" s="203"/>
      <c r="B905" s="203"/>
      <c r="C905" s="203"/>
      <c r="D905" s="203"/>
      <c r="E905" s="203"/>
      <c r="F905" s="203"/>
      <c r="G905" s="203"/>
      <c r="H905" s="203"/>
      <c r="I905" s="203"/>
      <c r="J905" s="203"/>
      <c r="K905" s="203"/>
      <c r="L905" s="203"/>
      <c r="M905" s="269"/>
      <c r="N905" s="269"/>
      <c r="O905" s="270"/>
      <c r="P905" s="270"/>
      <c r="Q905" s="270"/>
      <c r="R905" s="203"/>
      <c r="S905" s="203"/>
      <c r="T905" s="269"/>
      <c r="U905" s="203"/>
      <c r="V905" s="203"/>
      <c r="W905" s="269"/>
      <c r="X905" s="206"/>
      <c r="Y905" s="206"/>
      <c r="Z905" s="206"/>
    </row>
    <row r="906" spans="1:26" ht="12.75" x14ac:dyDescent="0.2">
      <c r="A906" s="203"/>
      <c r="B906" s="203"/>
      <c r="C906" s="203"/>
      <c r="D906" s="203"/>
      <c r="E906" s="203"/>
      <c r="F906" s="203"/>
      <c r="G906" s="203"/>
      <c r="H906" s="203"/>
      <c r="I906" s="203"/>
      <c r="J906" s="203"/>
      <c r="K906" s="203"/>
      <c r="L906" s="203"/>
      <c r="M906" s="269"/>
      <c r="N906" s="269"/>
      <c r="O906" s="270"/>
      <c r="P906" s="270"/>
      <c r="Q906" s="270"/>
      <c r="R906" s="203"/>
      <c r="S906" s="203"/>
      <c r="T906" s="269"/>
      <c r="U906" s="203"/>
      <c r="V906" s="203"/>
      <c r="W906" s="269"/>
      <c r="X906" s="206"/>
      <c r="Y906" s="206"/>
      <c r="Z906" s="206"/>
    </row>
    <row r="907" spans="1:26" ht="12.75" x14ac:dyDescent="0.2">
      <c r="A907" s="203"/>
      <c r="B907" s="203"/>
      <c r="C907" s="203"/>
      <c r="D907" s="203"/>
      <c r="E907" s="203"/>
      <c r="F907" s="203"/>
      <c r="G907" s="203"/>
      <c r="H907" s="203"/>
      <c r="I907" s="203"/>
      <c r="J907" s="203"/>
      <c r="K907" s="203"/>
      <c r="L907" s="203"/>
      <c r="M907" s="269"/>
      <c r="N907" s="269"/>
      <c r="O907" s="270"/>
      <c r="P907" s="270"/>
      <c r="Q907" s="270"/>
      <c r="R907" s="203"/>
      <c r="S907" s="203"/>
      <c r="T907" s="269"/>
      <c r="U907" s="203"/>
      <c r="V907" s="203"/>
      <c r="W907" s="269"/>
      <c r="X907" s="206"/>
      <c r="Y907" s="206"/>
      <c r="Z907" s="206"/>
    </row>
    <row r="908" spans="1:26" ht="12.75" x14ac:dyDescent="0.2">
      <c r="A908" s="203"/>
      <c r="B908" s="203"/>
      <c r="C908" s="203"/>
      <c r="D908" s="203"/>
      <c r="E908" s="203"/>
      <c r="F908" s="203"/>
      <c r="G908" s="203"/>
      <c r="H908" s="203"/>
      <c r="I908" s="203"/>
      <c r="J908" s="203"/>
      <c r="K908" s="203"/>
      <c r="L908" s="203"/>
      <c r="M908" s="269"/>
      <c r="N908" s="269"/>
      <c r="O908" s="270"/>
      <c r="P908" s="270"/>
      <c r="Q908" s="270"/>
      <c r="R908" s="203"/>
      <c r="S908" s="203"/>
      <c r="T908" s="269"/>
      <c r="U908" s="203"/>
      <c r="V908" s="203"/>
      <c r="W908" s="269"/>
      <c r="X908" s="206"/>
      <c r="Y908" s="206"/>
      <c r="Z908" s="206"/>
    </row>
    <row r="909" spans="1:26" ht="12.75" x14ac:dyDescent="0.2">
      <c r="A909" s="203"/>
      <c r="B909" s="203"/>
      <c r="C909" s="203"/>
      <c r="D909" s="203"/>
      <c r="E909" s="203"/>
      <c r="F909" s="203"/>
      <c r="G909" s="203"/>
      <c r="H909" s="203"/>
      <c r="I909" s="203"/>
      <c r="J909" s="203"/>
      <c r="K909" s="203"/>
      <c r="L909" s="203"/>
      <c r="M909" s="269"/>
      <c r="N909" s="269"/>
      <c r="O909" s="270"/>
      <c r="P909" s="270"/>
      <c r="Q909" s="270"/>
      <c r="R909" s="203"/>
      <c r="S909" s="203"/>
      <c r="T909" s="269"/>
      <c r="U909" s="203"/>
      <c r="V909" s="203"/>
      <c r="W909" s="269"/>
      <c r="X909" s="206"/>
      <c r="Y909" s="206"/>
      <c r="Z909" s="206"/>
    </row>
    <row r="910" spans="1:26" ht="12.75" x14ac:dyDescent="0.2">
      <c r="A910" s="203"/>
      <c r="B910" s="203"/>
      <c r="C910" s="203"/>
      <c r="D910" s="203"/>
      <c r="E910" s="203"/>
      <c r="F910" s="203"/>
      <c r="G910" s="203"/>
      <c r="H910" s="203"/>
      <c r="I910" s="203"/>
      <c r="J910" s="203"/>
      <c r="K910" s="203"/>
      <c r="L910" s="203"/>
      <c r="M910" s="269"/>
      <c r="N910" s="269"/>
      <c r="O910" s="270"/>
      <c r="P910" s="270"/>
      <c r="Q910" s="270"/>
      <c r="R910" s="203"/>
      <c r="S910" s="203"/>
      <c r="T910" s="269"/>
      <c r="U910" s="203"/>
      <c r="V910" s="203"/>
      <c r="W910" s="269"/>
      <c r="X910" s="206"/>
      <c r="Y910" s="206"/>
      <c r="Z910" s="206"/>
    </row>
    <row r="911" spans="1:26" ht="12.75" x14ac:dyDescent="0.2">
      <c r="A911" s="203"/>
      <c r="B911" s="203"/>
      <c r="C911" s="203"/>
      <c r="D911" s="203"/>
      <c r="E911" s="203"/>
      <c r="F911" s="203"/>
      <c r="G911" s="203"/>
      <c r="H911" s="203"/>
      <c r="I911" s="203"/>
      <c r="J911" s="203"/>
      <c r="K911" s="203"/>
      <c r="L911" s="203"/>
      <c r="M911" s="269"/>
      <c r="N911" s="269"/>
      <c r="O911" s="270"/>
      <c r="P911" s="270"/>
      <c r="Q911" s="270"/>
      <c r="R911" s="203"/>
      <c r="S911" s="203"/>
      <c r="T911" s="269"/>
      <c r="U911" s="203"/>
      <c r="V911" s="203"/>
      <c r="W911" s="269"/>
      <c r="X911" s="206"/>
      <c r="Y911" s="206"/>
      <c r="Z911" s="206"/>
    </row>
    <row r="912" spans="1:26" ht="12.75" x14ac:dyDescent="0.2">
      <c r="A912" s="203"/>
      <c r="B912" s="203"/>
      <c r="C912" s="203"/>
      <c r="D912" s="203"/>
      <c r="E912" s="203"/>
      <c r="F912" s="203"/>
      <c r="G912" s="203"/>
      <c r="H912" s="203"/>
      <c r="I912" s="203"/>
      <c r="J912" s="203"/>
      <c r="K912" s="203"/>
      <c r="L912" s="203"/>
      <c r="M912" s="269"/>
      <c r="N912" s="269"/>
      <c r="O912" s="270"/>
      <c r="P912" s="270"/>
      <c r="Q912" s="270"/>
      <c r="R912" s="203"/>
      <c r="S912" s="203"/>
      <c r="T912" s="269"/>
      <c r="U912" s="203"/>
      <c r="V912" s="203"/>
      <c r="W912" s="269"/>
      <c r="X912" s="206"/>
      <c r="Y912" s="206"/>
      <c r="Z912" s="206"/>
    </row>
    <row r="913" spans="1:26" ht="12.75" x14ac:dyDescent="0.2">
      <c r="A913" s="203"/>
      <c r="B913" s="203"/>
      <c r="C913" s="203"/>
      <c r="D913" s="203"/>
      <c r="E913" s="203"/>
      <c r="F913" s="203"/>
      <c r="G913" s="203"/>
      <c r="H913" s="203"/>
      <c r="I913" s="203"/>
      <c r="J913" s="203"/>
      <c r="K913" s="203"/>
      <c r="L913" s="203"/>
      <c r="M913" s="269"/>
      <c r="N913" s="269"/>
      <c r="O913" s="270"/>
      <c r="P913" s="270"/>
      <c r="Q913" s="270"/>
      <c r="R913" s="203"/>
      <c r="S913" s="203"/>
      <c r="T913" s="269"/>
      <c r="U913" s="203"/>
      <c r="V913" s="203"/>
      <c r="W913" s="269"/>
      <c r="X913" s="206"/>
      <c r="Y913" s="206"/>
      <c r="Z913" s="206"/>
    </row>
    <row r="914" spans="1:26" ht="12.75" x14ac:dyDescent="0.2">
      <c r="A914" s="203"/>
      <c r="B914" s="203"/>
      <c r="C914" s="203"/>
      <c r="D914" s="203"/>
      <c r="E914" s="203"/>
      <c r="F914" s="203"/>
      <c r="G914" s="203"/>
      <c r="H914" s="203"/>
      <c r="I914" s="203"/>
      <c r="J914" s="203"/>
      <c r="K914" s="203"/>
      <c r="L914" s="203"/>
      <c r="M914" s="269"/>
      <c r="N914" s="269"/>
      <c r="O914" s="270"/>
      <c r="P914" s="270"/>
      <c r="Q914" s="270"/>
      <c r="R914" s="203"/>
      <c r="S914" s="203"/>
      <c r="T914" s="269"/>
      <c r="U914" s="203"/>
      <c r="V914" s="203"/>
      <c r="W914" s="269"/>
      <c r="X914" s="206"/>
      <c r="Y914" s="206"/>
      <c r="Z914" s="206"/>
    </row>
    <row r="915" spans="1:26" ht="12.75" x14ac:dyDescent="0.2">
      <c r="A915" s="203"/>
      <c r="B915" s="203"/>
      <c r="C915" s="203"/>
      <c r="D915" s="203"/>
      <c r="E915" s="203"/>
      <c r="F915" s="203"/>
      <c r="G915" s="203"/>
      <c r="H915" s="203"/>
      <c r="I915" s="203"/>
      <c r="J915" s="203"/>
      <c r="K915" s="203"/>
      <c r="L915" s="203"/>
      <c r="M915" s="269"/>
      <c r="N915" s="269"/>
      <c r="O915" s="270"/>
      <c r="P915" s="270"/>
      <c r="Q915" s="270"/>
      <c r="R915" s="203"/>
      <c r="S915" s="203"/>
      <c r="T915" s="269"/>
      <c r="U915" s="203"/>
      <c r="V915" s="203"/>
      <c r="W915" s="269"/>
      <c r="X915" s="206"/>
      <c r="Y915" s="206"/>
      <c r="Z915" s="206"/>
    </row>
    <row r="916" spans="1:26" ht="12.75" x14ac:dyDescent="0.2">
      <c r="A916" s="203"/>
      <c r="B916" s="203"/>
      <c r="C916" s="203"/>
      <c r="D916" s="203"/>
      <c r="E916" s="203"/>
      <c r="F916" s="203"/>
      <c r="G916" s="203"/>
      <c r="H916" s="203"/>
      <c r="I916" s="203"/>
      <c r="J916" s="203"/>
      <c r="K916" s="203"/>
      <c r="L916" s="203"/>
      <c r="M916" s="269"/>
      <c r="N916" s="269"/>
      <c r="O916" s="270"/>
      <c r="P916" s="270"/>
      <c r="Q916" s="270"/>
      <c r="R916" s="203"/>
      <c r="S916" s="203"/>
      <c r="T916" s="269"/>
      <c r="U916" s="203"/>
      <c r="V916" s="203"/>
      <c r="W916" s="269"/>
      <c r="X916" s="206"/>
      <c r="Y916" s="206"/>
      <c r="Z916" s="206"/>
    </row>
    <row r="917" spans="1:26" ht="12.75" x14ac:dyDescent="0.2">
      <c r="A917" s="203"/>
      <c r="B917" s="203"/>
      <c r="C917" s="203"/>
      <c r="D917" s="203"/>
      <c r="E917" s="203"/>
      <c r="F917" s="203"/>
      <c r="G917" s="203"/>
      <c r="H917" s="203"/>
      <c r="I917" s="203"/>
      <c r="J917" s="203"/>
      <c r="K917" s="203"/>
      <c r="L917" s="203"/>
      <c r="M917" s="269"/>
      <c r="N917" s="269"/>
      <c r="O917" s="270"/>
      <c r="P917" s="270"/>
      <c r="Q917" s="270"/>
      <c r="R917" s="203"/>
      <c r="S917" s="203"/>
      <c r="T917" s="269"/>
      <c r="U917" s="203"/>
      <c r="V917" s="203"/>
      <c r="W917" s="269"/>
      <c r="X917" s="206"/>
      <c r="Y917" s="206"/>
      <c r="Z917" s="206"/>
    </row>
    <row r="918" spans="1:26" ht="12.75" x14ac:dyDescent="0.2">
      <c r="A918" s="203"/>
      <c r="B918" s="203"/>
      <c r="C918" s="203"/>
      <c r="D918" s="203"/>
      <c r="E918" s="203"/>
      <c r="F918" s="203"/>
      <c r="G918" s="203"/>
      <c r="H918" s="203"/>
      <c r="I918" s="203"/>
      <c r="J918" s="203"/>
      <c r="K918" s="203"/>
      <c r="L918" s="203"/>
      <c r="M918" s="269"/>
      <c r="N918" s="269"/>
      <c r="O918" s="270"/>
      <c r="P918" s="270"/>
      <c r="Q918" s="270"/>
      <c r="R918" s="203"/>
      <c r="S918" s="203"/>
      <c r="T918" s="269"/>
      <c r="U918" s="203"/>
      <c r="V918" s="203"/>
      <c r="W918" s="269"/>
      <c r="X918" s="206"/>
      <c r="Y918" s="206"/>
      <c r="Z918" s="206"/>
    </row>
    <row r="919" spans="1:26" ht="12.75" x14ac:dyDescent="0.2">
      <c r="A919" s="203"/>
      <c r="B919" s="203"/>
      <c r="C919" s="203"/>
      <c r="D919" s="203"/>
      <c r="E919" s="203"/>
      <c r="F919" s="203"/>
      <c r="G919" s="203"/>
      <c r="H919" s="203"/>
      <c r="I919" s="203"/>
      <c r="J919" s="203"/>
      <c r="K919" s="203"/>
      <c r="L919" s="203"/>
      <c r="M919" s="269"/>
      <c r="N919" s="269"/>
      <c r="O919" s="270"/>
      <c r="P919" s="270"/>
      <c r="Q919" s="270"/>
      <c r="R919" s="203"/>
      <c r="S919" s="203"/>
      <c r="T919" s="269"/>
      <c r="U919" s="203"/>
      <c r="V919" s="203"/>
      <c r="W919" s="269"/>
      <c r="X919" s="206"/>
      <c r="Y919" s="206"/>
      <c r="Z919" s="206"/>
    </row>
    <row r="920" spans="1:26" ht="12.75" x14ac:dyDescent="0.2">
      <c r="A920" s="203"/>
      <c r="B920" s="203"/>
      <c r="C920" s="203"/>
      <c r="D920" s="203"/>
      <c r="E920" s="203"/>
      <c r="F920" s="203"/>
      <c r="G920" s="203"/>
      <c r="H920" s="203"/>
      <c r="I920" s="203"/>
      <c r="J920" s="203"/>
      <c r="K920" s="203"/>
      <c r="L920" s="203"/>
      <c r="M920" s="269"/>
      <c r="N920" s="269"/>
      <c r="O920" s="270"/>
      <c r="P920" s="270"/>
      <c r="Q920" s="270"/>
      <c r="R920" s="203"/>
      <c r="S920" s="203"/>
      <c r="T920" s="269"/>
      <c r="U920" s="203"/>
      <c r="V920" s="203"/>
      <c r="W920" s="269"/>
      <c r="X920" s="206"/>
      <c r="Y920" s="206"/>
      <c r="Z920" s="206"/>
    </row>
    <row r="921" spans="1:26" ht="12.75" x14ac:dyDescent="0.2">
      <c r="A921" s="203"/>
      <c r="B921" s="203"/>
      <c r="C921" s="203"/>
      <c r="D921" s="203"/>
      <c r="E921" s="203"/>
      <c r="F921" s="203"/>
      <c r="G921" s="203"/>
      <c r="H921" s="203"/>
      <c r="I921" s="203"/>
      <c r="J921" s="203"/>
      <c r="K921" s="203"/>
      <c r="L921" s="203"/>
      <c r="M921" s="269"/>
      <c r="N921" s="269"/>
      <c r="O921" s="270"/>
      <c r="P921" s="270"/>
      <c r="Q921" s="270"/>
      <c r="R921" s="203"/>
      <c r="S921" s="203"/>
      <c r="T921" s="269"/>
      <c r="U921" s="203"/>
      <c r="V921" s="203"/>
      <c r="W921" s="269"/>
      <c r="X921" s="206"/>
      <c r="Y921" s="206"/>
      <c r="Z921" s="206"/>
    </row>
    <row r="922" spans="1:26" ht="12.75" x14ac:dyDescent="0.2">
      <c r="A922" s="203"/>
      <c r="B922" s="203"/>
      <c r="C922" s="203"/>
      <c r="D922" s="203"/>
      <c r="E922" s="203"/>
      <c r="F922" s="203"/>
      <c r="G922" s="203"/>
      <c r="H922" s="203"/>
      <c r="I922" s="203"/>
      <c r="J922" s="203"/>
      <c r="K922" s="203"/>
      <c r="L922" s="203"/>
      <c r="M922" s="269"/>
      <c r="N922" s="269"/>
      <c r="O922" s="270"/>
      <c r="P922" s="270"/>
      <c r="Q922" s="270"/>
      <c r="R922" s="203"/>
      <c r="S922" s="203"/>
      <c r="T922" s="269"/>
      <c r="U922" s="203"/>
      <c r="V922" s="203"/>
      <c r="W922" s="269"/>
      <c r="X922" s="206"/>
      <c r="Y922" s="206"/>
      <c r="Z922" s="206"/>
    </row>
    <row r="923" spans="1:26" ht="12.75" x14ac:dyDescent="0.2">
      <c r="A923" s="203"/>
      <c r="B923" s="203"/>
      <c r="C923" s="203"/>
      <c r="D923" s="203"/>
      <c r="E923" s="203"/>
      <c r="F923" s="203"/>
      <c r="G923" s="203"/>
      <c r="H923" s="203"/>
      <c r="I923" s="203"/>
      <c r="J923" s="203"/>
      <c r="K923" s="203"/>
      <c r="L923" s="203"/>
      <c r="M923" s="269"/>
      <c r="N923" s="269"/>
      <c r="O923" s="270"/>
      <c r="P923" s="270"/>
      <c r="Q923" s="270"/>
      <c r="R923" s="203"/>
      <c r="S923" s="203"/>
      <c r="T923" s="269"/>
      <c r="U923" s="203"/>
      <c r="V923" s="203"/>
      <c r="W923" s="269"/>
      <c r="X923" s="206"/>
      <c r="Y923" s="206"/>
      <c r="Z923" s="206"/>
    </row>
    <row r="924" spans="1:26" ht="12.75" x14ac:dyDescent="0.2">
      <c r="A924" s="203"/>
      <c r="B924" s="203"/>
      <c r="C924" s="203"/>
      <c r="D924" s="203"/>
      <c r="E924" s="203"/>
      <c r="F924" s="203"/>
      <c r="G924" s="203"/>
      <c r="H924" s="203"/>
      <c r="I924" s="203"/>
      <c r="J924" s="203"/>
      <c r="K924" s="203"/>
      <c r="L924" s="203"/>
      <c r="M924" s="269"/>
      <c r="N924" s="269"/>
      <c r="O924" s="270"/>
      <c r="P924" s="270"/>
      <c r="Q924" s="270"/>
      <c r="R924" s="203"/>
      <c r="S924" s="203"/>
      <c r="T924" s="269"/>
      <c r="U924" s="203"/>
      <c r="V924" s="203"/>
      <c r="W924" s="269"/>
      <c r="X924" s="206"/>
      <c r="Y924" s="206"/>
      <c r="Z924" s="206"/>
    </row>
    <row r="925" spans="1:26" ht="12.75" x14ac:dyDescent="0.2">
      <c r="A925" s="203"/>
      <c r="B925" s="203"/>
      <c r="C925" s="203"/>
      <c r="D925" s="203"/>
      <c r="E925" s="203"/>
      <c r="F925" s="203"/>
      <c r="G925" s="203"/>
      <c r="H925" s="203"/>
      <c r="I925" s="203"/>
      <c r="J925" s="203"/>
      <c r="K925" s="203"/>
      <c r="L925" s="203"/>
      <c r="M925" s="269"/>
      <c r="N925" s="269"/>
      <c r="O925" s="270"/>
      <c r="P925" s="270"/>
      <c r="Q925" s="270"/>
      <c r="R925" s="203"/>
      <c r="S925" s="203"/>
      <c r="T925" s="269"/>
      <c r="U925" s="203"/>
      <c r="V925" s="203"/>
      <c r="W925" s="269"/>
      <c r="X925" s="206"/>
      <c r="Y925" s="206"/>
      <c r="Z925" s="206"/>
    </row>
    <row r="926" spans="1:26" ht="12.75" x14ac:dyDescent="0.2">
      <c r="A926" s="203"/>
      <c r="B926" s="203"/>
      <c r="C926" s="203"/>
      <c r="D926" s="203"/>
      <c r="E926" s="203"/>
      <c r="F926" s="203"/>
      <c r="G926" s="203"/>
      <c r="H926" s="203"/>
      <c r="I926" s="203"/>
      <c r="J926" s="203"/>
      <c r="K926" s="203"/>
      <c r="L926" s="203"/>
      <c r="M926" s="269"/>
      <c r="N926" s="269"/>
      <c r="O926" s="270"/>
      <c r="P926" s="270"/>
      <c r="Q926" s="270"/>
      <c r="R926" s="203"/>
      <c r="S926" s="203"/>
      <c r="T926" s="269"/>
      <c r="U926" s="203"/>
      <c r="V926" s="203"/>
      <c r="W926" s="269"/>
      <c r="X926" s="206"/>
      <c r="Y926" s="206"/>
      <c r="Z926" s="206"/>
    </row>
    <row r="927" spans="1:26" ht="12.75" x14ac:dyDescent="0.2">
      <c r="A927" s="203"/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203"/>
      <c r="M927" s="269"/>
      <c r="N927" s="269"/>
      <c r="O927" s="270"/>
      <c r="P927" s="270"/>
      <c r="Q927" s="270"/>
      <c r="R927" s="203"/>
      <c r="S927" s="203"/>
      <c r="T927" s="269"/>
      <c r="U927" s="203"/>
      <c r="V927" s="203"/>
      <c r="W927" s="269"/>
      <c r="X927" s="206"/>
      <c r="Y927" s="206"/>
      <c r="Z927" s="206"/>
    </row>
    <row r="928" spans="1:26" ht="12.75" x14ac:dyDescent="0.2">
      <c r="A928" s="203"/>
      <c r="B928" s="203"/>
      <c r="C928" s="203"/>
      <c r="D928" s="203"/>
      <c r="E928" s="203"/>
      <c r="F928" s="203"/>
      <c r="G928" s="203"/>
      <c r="H928" s="203"/>
      <c r="I928" s="203"/>
      <c r="J928" s="203"/>
      <c r="K928" s="203"/>
      <c r="L928" s="203"/>
      <c r="M928" s="269"/>
      <c r="N928" s="269"/>
      <c r="O928" s="270"/>
      <c r="P928" s="270"/>
      <c r="Q928" s="270"/>
      <c r="R928" s="203"/>
      <c r="S928" s="203"/>
      <c r="T928" s="269"/>
      <c r="U928" s="203"/>
      <c r="V928" s="203"/>
      <c r="W928" s="269"/>
      <c r="X928" s="206"/>
      <c r="Y928" s="206"/>
      <c r="Z928" s="206"/>
    </row>
    <row r="929" spans="1:26" ht="12.75" x14ac:dyDescent="0.2">
      <c r="A929" s="203"/>
      <c r="B929" s="203"/>
      <c r="C929" s="203"/>
      <c r="D929" s="203"/>
      <c r="E929" s="203"/>
      <c r="F929" s="203"/>
      <c r="G929" s="203"/>
      <c r="H929" s="203"/>
      <c r="I929" s="203"/>
      <c r="J929" s="203"/>
      <c r="K929" s="203"/>
      <c r="L929" s="203"/>
      <c r="M929" s="269"/>
      <c r="N929" s="269"/>
      <c r="O929" s="270"/>
      <c r="P929" s="270"/>
      <c r="Q929" s="270"/>
      <c r="R929" s="203"/>
      <c r="S929" s="203"/>
      <c r="T929" s="269"/>
      <c r="U929" s="203"/>
      <c r="V929" s="203"/>
      <c r="W929" s="269"/>
      <c r="X929" s="206"/>
      <c r="Y929" s="206"/>
      <c r="Z929" s="206"/>
    </row>
    <row r="930" spans="1:26" ht="12.75" x14ac:dyDescent="0.2">
      <c r="A930" s="203"/>
      <c r="B930" s="203"/>
      <c r="C930" s="203"/>
      <c r="D930" s="203"/>
      <c r="E930" s="203"/>
      <c r="F930" s="203"/>
      <c r="G930" s="203"/>
      <c r="H930" s="203"/>
      <c r="I930" s="203"/>
      <c r="J930" s="203"/>
      <c r="K930" s="203"/>
      <c r="L930" s="203"/>
      <c r="M930" s="269"/>
      <c r="N930" s="269"/>
      <c r="O930" s="270"/>
      <c r="P930" s="270"/>
      <c r="Q930" s="270"/>
      <c r="R930" s="203"/>
      <c r="S930" s="203"/>
      <c r="T930" s="269"/>
      <c r="U930" s="203"/>
      <c r="V930" s="203"/>
      <c r="W930" s="269"/>
      <c r="X930" s="206"/>
      <c r="Y930" s="206"/>
      <c r="Z930" s="206"/>
    </row>
    <row r="931" spans="1:26" ht="12.75" x14ac:dyDescent="0.2">
      <c r="A931" s="203"/>
      <c r="B931" s="203"/>
      <c r="C931" s="203"/>
      <c r="D931" s="203"/>
      <c r="E931" s="203"/>
      <c r="F931" s="203"/>
      <c r="G931" s="203"/>
      <c r="H931" s="203"/>
      <c r="I931" s="203"/>
      <c r="J931" s="203"/>
      <c r="K931" s="203"/>
      <c r="L931" s="203"/>
      <c r="M931" s="269"/>
      <c r="N931" s="269"/>
      <c r="O931" s="270"/>
      <c r="P931" s="270"/>
      <c r="Q931" s="270"/>
      <c r="R931" s="203"/>
      <c r="S931" s="203"/>
      <c r="T931" s="269"/>
      <c r="U931" s="203"/>
      <c r="V931" s="203"/>
      <c r="W931" s="269"/>
      <c r="X931" s="206"/>
      <c r="Y931" s="206"/>
      <c r="Z931" s="206"/>
    </row>
    <row r="932" spans="1:26" ht="12.75" x14ac:dyDescent="0.2">
      <c r="A932" s="203"/>
      <c r="B932" s="203"/>
      <c r="C932" s="203"/>
      <c r="D932" s="203"/>
      <c r="E932" s="203"/>
      <c r="F932" s="203"/>
      <c r="G932" s="203"/>
      <c r="H932" s="203"/>
      <c r="I932" s="203"/>
      <c r="J932" s="203"/>
      <c r="K932" s="203"/>
      <c r="L932" s="203"/>
      <c r="M932" s="269"/>
      <c r="N932" s="269"/>
      <c r="O932" s="270"/>
      <c r="P932" s="270"/>
      <c r="Q932" s="270"/>
      <c r="R932" s="203"/>
      <c r="S932" s="203"/>
      <c r="T932" s="269"/>
      <c r="U932" s="203"/>
      <c r="V932" s="203"/>
      <c r="W932" s="269"/>
      <c r="X932" s="206"/>
      <c r="Y932" s="206"/>
      <c r="Z932" s="206"/>
    </row>
    <row r="933" spans="1:26" ht="12.75" x14ac:dyDescent="0.2">
      <c r="A933" s="203"/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3"/>
      <c r="M933" s="269"/>
      <c r="N933" s="269"/>
      <c r="O933" s="270"/>
      <c r="P933" s="270"/>
      <c r="Q933" s="270"/>
      <c r="R933" s="203"/>
      <c r="S933" s="203"/>
      <c r="T933" s="269"/>
      <c r="U933" s="203"/>
      <c r="V933" s="203"/>
      <c r="W933" s="269"/>
      <c r="X933" s="206"/>
      <c r="Y933" s="206"/>
      <c r="Z933" s="206"/>
    </row>
    <row r="934" spans="1:26" ht="12.75" x14ac:dyDescent="0.2">
      <c r="A934" s="203"/>
      <c r="B934" s="203"/>
      <c r="C934" s="203"/>
      <c r="D934" s="203"/>
      <c r="E934" s="203"/>
      <c r="F934" s="203"/>
      <c r="G934" s="203"/>
      <c r="H934" s="203"/>
      <c r="I934" s="203"/>
      <c r="J934" s="203"/>
      <c r="K934" s="203"/>
      <c r="L934" s="203"/>
      <c r="M934" s="269"/>
      <c r="N934" s="269"/>
      <c r="O934" s="270"/>
      <c r="P934" s="270"/>
      <c r="Q934" s="270"/>
      <c r="R934" s="203"/>
      <c r="S934" s="203"/>
      <c r="T934" s="269"/>
      <c r="U934" s="203"/>
      <c r="V934" s="203"/>
      <c r="W934" s="269"/>
      <c r="X934" s="206"/>
      <c r="Y934" s="206"/>
      <c r="Z934" s="206"/>
    </row>
    <row r="935" spans="1:26" ht="12.75" x14ac:dyDescent="0.2">
      <c r="A935" s="203"/>
      <c r="B935" s="203"/>
      <c r="C935" s="203"/>
      <c r="D935" s="203"/>
      <c r="E935" s="203"/>
      <c r="F935" s="203"/>
      <c r="G935" s="203"/>
      <c r="H935" s="203"/>
      <c r="I935" s="203"/>
      <c r="J935" s="203"/>
      <c r="K935" s="203"/>
      <c r="L935" s="203"/>
      <c r="M935" s="269"/>
      <c r="N935" s="269"/>
      <c r="O935" s="270"/>
      <c r="P935" s="270"/>
      <c r="Q935" s="270"/>
      <c r="R935" s="203"/>
      <c r="S935" s="203"/>
      <c r="T935" s="269"/>
      <c r="U935" s="203"/>
      <c r="V935" s="203"/>
      <c r="W935" s="269"/>
      <c r="X935" s="206"/>
      <c r="Y935" s="206"/>
      <c r="Z935" s="206"/>
    </row>
    <row r="936" spans="1:26" ht="12.75" x14ac:dyDescent="0.2">
      <c r="A936" s="203"/>
      <c r="B936" s="203"/>
      <c r="C936" s="203"/>
      <c r="D936" s="203"/>
      <c r="E936" s="203"/>
      <c r="F936" s="203"/>
      <c r="G936" s="203"/>
      <c r="H936" s="203"/>
      <c r="I936" s="203"/>
      <c r="J936" s="203"/>
      <c r="K936" s="203"/>
      <c r="L936" s="203"/>
      <c r="M936" s="269"/>
      <c r="N936" s="269"/>
      <c r="O936" s="270"/>
      <c r="P936" s="270"/>
      <c r="Q936" s="270"/>
      <c r="R936" s="203"/>
      <c r="S936" s="203"/>
      <c r="T936" s="269"/>
      <c r="U936" s="203"/>
      <c r="V936" s="203"/>
      <c r="W936" s="269"/>
      <c r="X936" s="206"/>
      <c r="Y936" s="206"/>
      <c r="Z936" s="206"/>
    </row>
    <row r="937" spans="1:26" ht="12.75" x14ac:dyDescent="0.2">
      <c r="A937" s="203"/>
      <c r="B937" s="203"/>
      <c r="C937" s="203"/>
      <c r="D937" s="203"/>
      <c r="E937" s="203"/>
      <c r="F937" s="203"/>
      <c r="G937" s="203"/>
      <c r="H937" s="203"/>
      <c r="I937" s="203"/>
      <c r="J937" s="203"/>
      <c r="K937" s="203"/>
      <c r="L937" s="203"/>
      <c r="M937" s="269"/>
      <c r="N937" s="269"/>
      <c r="O937" s="270"/>
      <c r="P937" s="270"/>
      <c r="Q937" s="270"/>
      <c r="R937" s="203"/>
      <c r="S937" s="203"/>
      <c r="T937" s="269"/>
      <c r="U937" s="203"/>
      <c r="V937" s="203"/>
      <c r="W937" s="269"/>
      <c r="X937" s="206"/>
      <c r="Y937" s="206"/>
      <c r="Z937" s="206"/>
    </row>
    <row r="938" spans="1:26" ht="12.75" x14ac:dyDescent="0.2">
      <c r="A938" s="203"/>
      <c r="B938" s="203"/>
      <c r="C938" s="203"/>
      <c r="D938" s="203"/>
      <c r="E938" s="203"/>
      <c r="F938" s="203"/>
      <c r="G938" s="203"/>
      <c r="H938" s="203"/>
      <c r="I938" s="203"/>
      <c r="J938" s="203"/>
      <c r="K938" s="203"/>
      <c r="L938" s="203"/>
      <c r="M938" s="269"/>
      <c r="N938" s="269"/>
      <c r="O938" s="270"/>
      <c r="P938" s="270"/>
      <c r="Q938" s="270"/>
      <c r="R938" s="203"/>
      <c r="S938" s="203"/>
      <c r="T938" s="269"/>
      <c r="U938" s="203"/>
      <c r="V938" s="203"/>
      <c r="W938" s="269"/>
      <c r="X938" s="206"/>
      <c r="Y938" s="206"/>
      <c r="Z938" s="206"/>
    </row>
    <row r="939" spans="1:26" ht="12.75" x14ac:dyDescent="0.2">
      <c r="A939" s="203"/>
      <c r="B939" s="203"/>
      <c r="C939" s="203"/>
      <c r="D939" s="203"/>
      <c r="E939" s="203"/>
      <c r="F939" s="203"/>
      <c r="G939" s="203"/>
      <c r="H939" s="203"/>
      <c r="I939" s="203"/>
      <c r="J939" s="203"/>
      <c r="K939" s="203"/>
      <c r="L939" s="203"/>
      <c r="M939" s="269"/>
      <c r="N939" s="269"/>
      <c r="O939" s="270"/>
      <c r="P939" s="270"/>
      <c r="Q939" s="270"/>
      <c r="R939" s="203"/>
      <c r="S939" s="203"/>
      <c r="T939" s="269"/>
      <c r="U939" s="203"/>
      <c r="V939" s="203"/>
      <c r="W939" s="269"/>
      <c r="X939" s="206"/>
      <c r="Y939" s="206"/>
      <c r="Z939" s="206"/>
    </row>
    <row r="940" spans="1:26" ht="12.75" x14ac:dyDescent="0.2">
      <c r="A940" s="203"/>
      <c r="B940" s="203"/>
      <c r="C940" s="203"/>
      <c r="D940" s="203"/>
      <c r="E940" s="203"/>
      <c r="F940" s="203"/>
      <c r="G940" s="203"/>
      <c r="H940" s="203"/>
      <c r="I940" s="203"/>
      <c r="J940" s="203"/>
      <c r="K940" s="203"/>
      <c r="L940" s="203"/>
      <c r="M940" s="269"/>
      <c r="N940" s="269"/>
      <c r="O940" s="270"/>
      <c r="P940" s="270"/>
      <c r="Q940" s="270"/>
      <c r="R940" s="203"/>
      <c r="S940" s="203"/>
      <c r="T940" s="269"/>
      <c r="U940" s="203"/>
      <c r="V940" s="203"/>
      <c r="W940" s="269"/>
      <c r="X940" s="206"/>
      <c r="Y940" s="206"/>
      <c r="Z940" s="206"/>
    </row>
    <row r="941" spans="1:26" ht="12.75" x14ac:dyDescent="0.2">
      <c r="A941" s="203"/>
      <c r="B941" s="203"/>
      <c r="C941" s="203"/>
      <c r="D941" s="203"/>
      <c r="E941" s="203"/>
      <c r="F941" s="203"/>
      <c r="G941" s="203"/>
      <c r="H941" s="203"/>
      <c r="I941" s="203"/>
      <c r="J941" s="203"/>
      <c r="K941" s="203"/>
      <c r="L941" s="203"/>
      <c r="M941" s="269"/>
      <c r="N941" s="269"/>
      <c r="O941" s="270"/>
      <c r="P941" s="270"/>
      <c r="Q941" s="270"/>
      <c r="R941" s="203"/>
      <c r="S941" s="203"/>
      <c r="T941" s="269"/>
      <c r="U941" s="203"/>
      <c r="V941" s="203"/>
      <c r="W941" s="269"/>
      <c r="X941" s="206"/>
      <c r="Y941" s="206"/>
      <c r="Z941" s="206"/>
    </row>
    <row r="942" spans="1:26" ht="12.75" x14ac:dyDescent="0.2">
      <c r="A942" s="203"/>
      <c r="B942" s="203"/>
      <c r="C942" s="203"/>
      <c r="D942" s="203"/>
      <c r="E942" s="203"/>
      <c r="F942" s="203"/>
      <c r="G942" s="203"/>
      <c r="H942" s="203"/>
      <c r="I942" s="203"/>
      <c r="J942" s="203"/>
      <c r="K942" s="203"/>
      <c r="L942" s="203"/>
      <c r="M942" s="269"/>
      <c r="N942" s="269"/>
      <c r="O942" s="270"/>
      <c r="P942" s="270"/>
      <c r="Q942" s="270"/>
      <c r="R942" s="203"/>
      <c r="S942" s="203"/>
      <c r="T942" s="269"/>
      <c r="U942" s="203"/>
      <c r="V942" s="203"/>
      <c r="W942" s="269"/>
      <c r="X942" s="206"/>
      <c r="Y942" s="206"/>
      <c r="Z942" s="206"/>
    </row>
    <row r="943" spans="1:26" ht="12.75" x14ac:dyDescent="0.2">
      <c r="A943" s="203"/>
      <c r="B943" s="203"/>
      <c r="C943" s="203"/>
      <c r="D943" s="203"/>
      <c r="E943" s="203"/>
      <c r="F943" s="203"/>
      <c r="G943" s="203"/>
      <c r="H943" s="203"/>
      <c r="I943" s="203"/>
      <c r="J943" s="203"/>
      <c r="K943" s="203"/>
      <c r="L943" s="203"/>
      <c r="M943" s="269"/>
      <c r="N943" s="269"/>
      <c r="O943" s="270"/>
      <c r="P943" s="270"/>
      <c r="Q943" s="270"/>
      <c r="R943" s="203"/>
      <c r="S943" s="203"/>
      <c r="T943" s="269"/>
      <c r="U943" s="203"/>
      <c r="V943" s="203"/>
      <c r="W943" s="269"/>
      <c r="X943" s="206"/>
      <c r="Y943" s="206"/>
      <c r="Z943" s="206"/>
    </row>
    <row r="944" spans="1:26" ht="12.75" x14ac:dyDescent="0.2">
      <c r="A944" s="203"/>
      <c r="B944" s="203"/>
      <c r="C944" s="203"/>
      <c r="D944" s="203"/>
      <c r="E944" s="203"/>
      <c r="F944" s="203"/>
      <c r="G944" s="203"/>
      <c r="H944" s="203"/>
      <c r="I944" s="203"/>
      <c r="J944" s="203"/>
      <c r="K944" s="203"/>
      <c r="L944" s="203"/>
      <c r="M944" s="269"/>
      <c r="N944" s="269"/>
      <c r="O944" s="270"/>
      <c r="P944" s="270"/>
      <c r="Q944" s="270"/>
      <c r="R944" s="203"/>
      <c r="S944" s="203"/>
      <c r="T944" s="269"/>
      <c r="U944" s="203"/>
      <c r="V944" s="203"/>
      <c r="W944" s="269"/>
      <c r="X944" s="206"/>
      <c r="Y944" s="206"/>
      <c r="Z944" s="206"/>
    </row>
    <row r="945" spans="1:26" ht="12.75" x14ac:dyDescent="0.2">
      <c r="A945" s="203"/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3"/>
      <c r="M945" s="269"/>
      <c r="N945" s="269"/>
      <c r="O945" s="270"/>
      <c r="P945" s="270"/>
      <c r="Q945" s="270"/>
      <c r="R945" s="203"/>
      <c r="S945" s="203"/>
      <c r="T945" s="269"/>
      <c r="U945" s="203"/>
      <c r="V945" s="203"/>
      <c r="W945" s="269"/>
      <c r="X945" s="206"/>
      <c r="Y945" s="206"/>
      <c r="Z945" s="206"/>
    </row>
    <row r="946" spans="1:26" ht="12.75" x14ac:dyDescent="0.2">
      <c r="A946" s="203"/>
      <c r="B946" s="203"/>
      <c r="C946" s="203"/>
      <c r="D946" s="203"/>
      <c r="E946" s="203"/>
      <c r="F946" s="203"/>
      <c r="G946" s="203"/>
      <c r="H946" s="203"/>
      <c r="I946" s="203"/>
      <c r="J946" s="203"/>
      <c r="K946" s="203"/>
      <c r="L946" s="203"/>
      <c r="M946" s="269"/>
      <c r="N946" s="269"/>
      <c r="O946" s="270"/>
      <c r="P946" s="270"/>
      <c r="Q946" s="270"/>
      <c r="R946" s="203"/>
      <c r="S946" s="203"/>
      <c r="T946" s="269"/>
      <c r="U946" s="203"/>
      <c r="V946" s="203"/>
      <c r="W946" s="269"/>
      <c r="X946" s="206"/>
      <c r="Y946" s="206"/>
      <c r="Z946" s="206"/>
    </row>
    <row r="947" spans="1:26" ht="12.75" x14ac:dyDescent="0.2">
      <c r="A947" s="203"/>
      <c r="B947" s="203"/>
      <c r="C947" s="203"/>
      <c r="D947" s="203"/>
      <c r="E947" s="203"/>
      <c r="F947" s="203"/>
      <c r="G947" s="203"/>
      <c r="H947" s="203"/>
      <c r="I947" s="203"/>
      <c r="J947" s="203"/>
      <c r="K947" s="203"/>
      <c r="L947" s="203"/>
      <c r="M947" s="269"/>
      <c r="N947" s="269"/>
      <c r="O947" s="270"/>
      <c r="P947" s="270"/>
      <c r="Q947" s="270"/>
      <c r="R947" s="203"/>
      <c r="S947" s="203"/>
      <c r="T947" s="269"/>
      <c r="U947" s="203"/>
      <c r="V947" s="203"/>
      <c r="W947" s="269"/>
      <c r="X947" s="206"/>
      <c r="Y947" s="206"/>
      <c r="Z947" s="206"/>
    </row>
    <row r="948" spans="1:26" ht="12.75" x14ac:dyDescent="0.2">
      <c r="A948" s="203"/>
      <c r="B948" s="203"/>
      <c r="C948" s="203"/>
      <c r="D948" s="203"/>
      <c r="E948" s="203"/>
      <c r="F948" s="203"/>
      <c r="G948" s="203"/>
      <c r="H948" s="203"/>
      <c r="I948" s="203"/>
      <c r="J948" s="203"/>
      <c r="K948" s="203"/>
      <c r="L948" s="203"/>
      <c r="M948" s="269"/>
      <c r="N948" s="269"/>
      <c r="O948" s="270"/>
      <c r="P948" s="270"/>
      <c r="Q948" s="270"/>
      <c r="R948" s="203"/>
      <c r="S948" s="203"/>
      <c r="T948" s="269"/>
      <c r="U948" s="203"/>
      <c r="V948" s="203"/>
      <c r="W948" s="269"/>
      <c r="X948" s="206"/>
      <c r="Y948" s="206"/>
      <c r="Z948" s="206"/>
    </row>
    <row r="949" spans="1:26" ht="12.75" x14ac:dyDescent="0.2">
      <c r="A949" s="203"/>
      <c r="B949" s="203"/>
      <c r="C949" s="203"/>
      <c r="D949" s="203"/>
      <c r="E949" s="203"/>
      <c r="F949" s="203"/>
      <c r="G949" s="203"/>
      <c r="H949" s="203"/>
      <c r="I949" s="203"/>
      <c r="J949" s="203"/>
      <c r="K949" s="203"/>
      <c r="L949" s="203"/>
      <c r="M949" s="269"/>
      <c r="N949" s="269"/>
      <c r="O949" s="270"/>
      <c r="P949" s="270"/>
      <c r="Q949" s="270"/>
      <c r="R949" s="203"/>
      <c r="S949" s="203"/>
      <c r="T949" s="269"/>
      <c r="U949" s="203"/>
      <c r="V949" s="203"/>
      <c r="W949" s="269"/>
      <c r="X949" s="206"/>
      <c r="Y949" s="206"/>
      <c r="Z949" s="206"/>
    </row>
    <row r="950" spans="1:26" ht="12.75" x14ac:dyDescent="0.2">
      <c r="A950" s="203"/>
      <c r="B950" s="203"/>
      <c r="C950" s="203"/>
      <c r="D950" s="203"/>
      <c r="E950" s="203"/>
      <c r="F950" s="203"/>
      <c r="G950" s="203"/>
      <c r="H950" s="203"/>
      <c r="I950" s="203"/>
      <c r="J950" s="203"/>
      <c r="K950" s="203"/>
      <c r="L950" s="203"/>
      <c r="M950" s="269"/>
      <c r="N950" s="269"/>
      <c r="O950" s="270"/>
      <c r="P950" s="270"/>
      <c r="Q950" s="270"/>
      <c r="R950" s="203"/>
      <c r="S950" s="203"/>
      <c r="T950" s="269"/>
      <c r="U950" s="203"/>
      <c r="V950" s="203"/>
      <c r="W950" s="269"/>
      <c r="X950" s="206"/>
      <c r="Y950" s="206"/>
      <c r="Z950" s="206"/>
    </row>
    <row r="951" spans="1:26" ht="12.75" x14ac:dyDescent="0.2">
      <c r="A951" s="203"/>
      <c r="B951" s="203"/>
      <c r="C951" s="203"/>
      <c r="D951" s="203"/>
      <c r="E951" s="203"/>
      <c r="F951" s="203"/>
      <c r="G951" s="203"/>
      <c r="H951" s="203"/>
      <c r="I951" s="203"/>
      <c r="J951" s="203"/>
      <c r="K951" s="203"/>
      <c r="L951" s="203"/>
      <c r="M951" s="269"/>
      <c r="N951" s="269"/>
      <c r="O951" s="270"/>
      <c r="P951" s="270"/>
      <c r="Q951" s="270"/>
      <c r="R951" s="203"/>
      <c r="S951" s="203"/>
      <c r="T951" s="269"/>
      <c r="U951" s="203"/>
      <c r="V951" s="203"/>
      <c r="W951" s="269"/>
      <c r="X951" s="206"/>
      <c r="Y951" s="206"/>
      <c r="Z951" s="206"/>
    </row>
    <row r="952" spans="1:26" ht="12.75" x14ac:dyDescent="0.2">
      <c r="A952" s="203"/>
      <c r="B952" s="203"/>
      <c r="C952" s="203"/>
      <c r="D952" s="203"/>
      <c r="E952" s="203"/>
      <c r="F952" s="203"/>
      <c r="G952" s="203"/>
      <c r="H952" s="203"/>
      <c r="I952" s="203"/>
      <c r="J952" s="203"/>
      <c r="K952" s="203"/>
      <c r="L952" s="203"/>
      <c r="M952" s="269"/>
      <c r="N952" s="269"/>
      <c r="O952" s="270"/>
      <c r="P952" s="270"/>
      <c r="Q952" s="270"/>
      <c r="R952" s="203"/>
      <c r="S952" s="203"/>
      <c r="T952" s="269"/>
      <c r="U952" s="203"/>
      <c r="V952" s="203"/>
      <c r="W952" s="269"/>
      <c r="X952" s="206"/>
      <c r="Y952" s="206"/>
      <c r="Z952" s="206"/>
    </row>
    <row r="953" spans="1:26" ht="12.75" x14ac:dyDescent="0.2">
      <c r="A953" s="203"/>
      <c r="B953" s="203"/>
      <c r="C953" s="203"/>
      <c r="D953" s="203"/>
      <c r="E953" s="203"/>
      <c r="F953" s="203"/>
      <c r="G953" s="203"/>
      <c r="H953" s="203"/>
      <c r="I953" s="203"/>
      <c r="J953" s="203"/>
      <c r="K953" s="203"/>
      <c r="L953" s="203"/>
      <c r="M953" s="269"/>
      <c r="N953" s="269"/>
      <c r="O953" s="270"/>
      <c r="P953" s="270"/>
      <c r="Q953" s="270"/>
      <c r="R953" s="203"/>
      <c r="S953" s="203"/>
      <c r="T953" s="269"/>
      <c r="U953" s="203"/>
      <c r="V953" s="203"/>
      <c r="W953" s="269"/>
      <c r="X953" s="206"/>
      <c r="Y953" s="206"/>
      <c r="Z953" s="206"/>
    </row>
    <row r="954" spans="1:26" ht="12.75" x14ac:dyDescent="0.2">
      <c r="A954" s="203"/>
      <c r="B954" s="203"/>
      <c r="C954" s="203"/>
      <c r="D954" s="203"/>
      <c r="E954" s="203"/>
      <c r="F954" s="203"/>
      <c r="G954" s="203"/>
      <c r="H954" s="203"/>
      <c r="I954" s="203"/>
      <c r="J954" s="203"/>
      <c r="K954" s="203"/>
      <c r="L954" s="203"/>
      <c r="M954" s="269"/>
      <c r="N954" s="269"/>
      <c r="O954" s="270"/>
      <c r="P954" s="270"/>
      <c r="Q954" s="270"/>
      <c r="R954" s="203"/>
      <c r="S954" s="203"/>
      <c r="T954" s="269"/>
      <c r="U954" s="203"/>
      <c r="V954" s="203"/>
      <c r="W954" s="269"/>
      <c r="X954" s="206"/>
      <c r="Y954" s="206"/>
      <c r="Z954" s="206"/>
    </row>
    <row r="955" spans="1:26" ht="12.75" x14ac:dyDescent="0.2">
      <c r="A955" s="203"/>
      <c r="B955" s="203"/>
      <c r="C955" s="203"/>
      <c r="D955" s="203"/>
      <c r="E955" s="203"/>
      <c r="F955" s="203"/>
      <c r="G955" s="203"/>
      <c r="H955" s="203"/>
      <c r="I955" s="203"/>
      <c r="J955" s="203"/>
      <c r="K955" s="203"/>
      <c r="L955" s="203"/>
      <c r="M955" s="269"/>
      <c r="N955" s="269"/>
      <c r="O955" s="270"/>
      <c r="P955" s="270"/>
      <c r="Q955" s="270"/>
      <c r="R955" s="203"/>
      <c r="S955" s="203"/>
      <c r="T955" s="269"/>
      <c r="U955" s="203"/>
      <c r="V955" s="203"/>
      <c r="W955" s="269"/>
      <c r="X955" s="206"/>
      <c r="Y955" s="206"/>
      <c r="Z955" s="206"/>
    </row>
    <row r="956" spans="1:26" ht="12.75" x14ac:dyDescent="0.2">
      <c r="A956" s="203"/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203"/>
      <c r="M956" s="269"/>
      <c r="N956" s="269"/>
      <c r="O956" s="270"/>
      <c r="P956" s="270"/>
      <c r="Q956" s="270"/>
      <c r="R956" s="203"/>
      <c r="S956" s="203"/>
      <c r="T956" s="269"/>
      <c r="U956" s="203"/>
      <c r="V956" s="203"/>
      <c r="W956" s="269"/>
      <c r="X956" s="206"/>
      <c r="Y956" s="206"/>
      <c r="Z956" s="206"/>
    </row>
    <row r="957" spans="1:26" ht="12.75" x14ac:dyDescent="0.2">
      <c r="A957" s="203"/>
      <c r="B957" s="203"/>
      <c r="C957" s="203"/>
      <c r="D957" s="203"/>
      <c r="E957" s="203"/>
      <c r="F957" s="203"/>
      <c r="G957" s="203"/>
      <c r="H957" s="203"/>
      <c r="I957" s="203"/>
      <c r="J957" s="203"/>
      <c r="K957" s="203"/>
      <c r="L957" s="203"/>
      <c r="M957" s="269"/>
      <c r="N957" s="269"/>
      <c r="O957" s="270"/>
      <c r="P957" s="270"/>
      <c r="Q957" s="270"/>
      <c r="R957" s="203"/>
      <c r="S957" s="203"/>
      <c r="T957" s="269"/>
      <c r="U957" s="203"/>
      <c r="V957" s="203"/>
      <c r="W957" s="269"/>
      <c r="X957" s="206"/>
      <c r="Y957" s="206"/>
      <c r="Z957" s="206"/>
    </row>
    <row r="958" spans="1:26" ht="12.75" x14ac:dyDescent="0.2">
      <c r="A958" s="203"/>
      <c r="B958" s="203"/>
      <c r="C958" s="203"/>
      <c r="D958" s="203"/>
      <c r="E958" s="203"/>
      <c r="F958" s="203"/>
      <c r="G958" s="203"/>
      <c r="H958" s="203"/>
      <c r="I958" s="203"/>
      <c r="J958" s="203"/>
      <c r="K958" s="203"/>
      <c r="L958" s="203"/>
      <c r="M958" s="269"/>
      <c r="N958" s="269"/>
      <c r="O958" s="270"/>
      <c r="P958" s="270"/>
      <c r="Q958" s="270"/>
      <c r="R958" s="203"/>
      <c r="S958" s="203"/>
      <c r="T958" s="269"/>
      <c r="U958" s="203"/>
      <c r="V958" s="203"/>
      <c r="W958" s="269"/>
      <c r="X958" s="206"/>
      <c r="Y958" s="206"/>
      <c r="Z958" s="206"/>
    </row>
    <row r="959" spans="1:26" ht="12.75" x14ac:dyDescent="0.2">
      <c r="A959" s="203"/>
      <c r="B959" s="203"/>
      <c r="C959" s="203"/>
      <c r="D959" s="203"/>
      <c r="E959" s="203"/>
      <c r="F959" s="203"/>
      <c r="G959" s="203"/>
      <c r="H959" s="203"/>
      <c r="I959" s="203"/>
      <c r="J959" s="203"/>
      <c r="K959" s="203"/>
      <c r="L959" s="203"/>
      <c r="M959" s="269"/>
      <c r="N959" s="269"/>
      <c r="O959" s="270"/>
      <c r="P959" s="270"/>
      <c r="Q959" s="270"/>
      <c r="R959" s="203"/>
      <c r="S959" s="203"/>
      <c r="T959" s="269"/>
      <c r="U959" s="203"/>
      <c r="V959" s="203"/>
      <c r="W959" s="269"/>
      <c r="X959" s="206"/>
      <c r="Y959" s="206"/>
      <c r="Z959" s="206"/>
    </row>
    <row r="960" spans="1:26" ht="12.75" x14ac:dyDescent="0.2">
      <c r="A960" s="203"/>
      <c r="B960" s="203"/>
      <c r="C960" s="203"/>
      <c r="D960" s="203"/>
      <c r="E960" s="203"/>
      <c r="F960" s="203"/>
      <c r="G960" s="203"/>
      <c r="H960" s="203"/>
      <c r="I960" s="203"/>
      <c r="J960" s="203"/>
      <c r="K960" s="203"/>
      <c r="L960" s="203"/>
      <c r="M960" s="269"/>
      <c r="N960" s="269"/>
      <c r="O960" s="270"/>
      <c r="P960" s="270"/>
      <c r="Q960" s="270"/>
      <c r="R960" s="203"/>
      <c r="S960" s="203"/>
      <c r="T960" s="269"/>
      <c r="U960" s="203"/>
      <c r="V960" s="203"/>
      <c r="W960" s="269"/>
      <c r="X960" s="206"/>
      <c r="Y960" s="206"/>
      <c r="Z960" s="206"/>
    </row>
    <row r="961" spans="1:26" ht="12.75" x14ac:dyDescent="0.2">
      <c r="A961" s="203"/>
      <c r="B961" s="203"/>
      <c r="C961" s="203"/>
      <c r="D961" s="203"/>
      <c r="E961" s="203"/>
      <c r="F961" s="203"/>
      <c r="G961" s="203"/>
      <c r="H961" s="203"/>
      <c r="I961" s="203"/>
      <c r="J961" s="203"/>
      <c r="K961" s="203"/>
      <c r="L961" s="203"/>
      <c r="M961" s="269"/>
      <c r="N961" s="269"/>
      <c r="O961" s="270"/>
      <c r="P961" s="270"/>
      <c r="Q961" s="270"/>
      <c r="R961" s="203"/>
      <c r="S961" s="203"/>
      <c r="T961" s="269"/>
      <c r="U961" s="203"/>
      <c r="V961" s="203"/>
      <c r="W961" s="269"/>
      <c r="X961" s="206"/>
      <c r="Y961" s="206"/>
      <c r="Z961" s="206"/>
    </row>
    <row r="962" spans="1:26" ht="12.75" x14ac:dyDescent="0.2">
      <c r="A962" s="203"/>
      <c r="B962" s="203"/>
      <c r="C962" s="203"/>
      <c r="D962" s="203"/>
      <c r="E962" s="203"/>
      <c r="F962" s="203"/>
      <c r="G962" s="203"/>
      <c r="H962" s="203"/>
      <c r="I962" s="203"/>
      <c r="J962" s="203"/>
      <c r="K962" s="203"/>
      <c r="L962" s="203"/>
      <c r="M962" s="269"/>
      <c r="N962" s="269"/>
      <c r="O962" s="270"/>
      <c r="P962" s="270"/>
      <c r="Q962" s="270"/>
      <c r="R962" s="203"/>
      <c r="S962" s="203"/>
      <c r="T962" s="269"/>
      <c r="U962" s="203"/>
      <c r="V962" s="203"/>
      <c r="W962" s="269"/>
      <c r="X962" s="206"/>
      <c r="Y962" s="206"/>
      <c r="Z962" s="206"/>
    </row>
    <row r="963" spans="1:26" ht="12.75" x14ac:dyDescent="0.2">
      <c r="A963" s="203"/>
      <c r="B963" s="203"/>
      <c r="C963" s="203"/>
      <c r="D963" s="203"/>
      <c r="E963" s="203"/>
      <c r="F963" s="203"/>
      <c r="G963" s="203"/>
      <c r="H963" s="203"/>
      <c r="I963" s="203"/>
      <c r="J963" s="203"/>
      <c r="K963" s="203"/>
      <c r="L963" s="203"/>
      <c r="M963" s="269"/>
      <c r="N963" s="269"/>
      <c r="O963" s="270"/>
      <c r="P963" s="270"/>
      <c r="Q963" s="270"/>
      <c r="R963" s="203"/>
      <c r="S963" s="203"/>
      <c r="T963" s="269"/>
      <c r="U963" s="203"/>
      <c r="V963" s="203"/>
      <c r="W963" s="269"/>
      <c r="X963" s="206"/>
      <c r="Y963" s="206"/>
      <c r="Z963" s="206"/>
    </row>
    <row r="964" spans="1:26" ht="12.75" x14ac:dyDescent="0.2">
      <c r="A964" s="203"/>
      <c r="B964" s="203"/>
      <c r="C964" s="203"/>
      <c r="D964" s="203"/>
      <c r="E964" s="203"/>
      <c r="F964" s="203"/>
      <c r="G964" s="203"/>
      <c r="H964" s="203"/>
      <c r="I964" s="203"/>
      <c r="J964" s="203"/>
      <c r="K964" s="203"/>
      <c r="L964" s="203"/>
      <c r="M964" s="269"/>
      <c r="N964" s="269"/>
      <c r="O964" s="270"/>
      <c r="P964" s="270"/>
      <c r="Q964" s="270"/>
      <c r="R964" s="203"/>
      <c r="S964" s="203"/>
      <c r="T964" s="269"/>
      <c r="U964" s="203"/>
      <c r="V964" s="203"/>
      <c r="W964" s="269"/>
      <c r="X964" s="206"/>
      <c r="Y964" s="206"/>
      <c r="Z964" s="206"/>
    </row>
    <row r="965" spans="1:26" ht="12.75" x14ac:dyDescent="0.2">
      <c r="A965" s="203"/>
      <c r="B965" s="203"/>
      <c r="C965" s="203"/>
      <c r="D965" s="203"/>
      <c r="E965" s="203"/>
      <c r="F965" s="203"/>
      <c r="G965" s="203"/>
      <c r="H965" s="203"/>
      <c r="I965" s="203"/>
      <c r="J965" s="203"/>
      <c r="K965" s="203"/>
      <c r="L965" s="203"/>
      <c r="M965" s="269"/>
      <c r="N965" s="269"/>
      <c r="O965" s="270"/>
      <c r="P965" s="270"/>
      <c r="Q965" s="270"/>
      <c r="R965" s="203"/>
      <c r="S965" s="203"/>
      <c r="T965" s="269"/>
      <c r="U965" s="203"/>
      <c r="V965" s="203"/>
      <c r="W965" s="269"/>
      <c r="X965" s="206"/>
      <c r="Y965" s="206"/>
      <c r="Z965" s="206"/>
    </row>
    <row r="966" spans="1:26" ht="12.75" x14ac:dyDescent="0.2">
      <c r="A966" s="203"/>
      <c r="B966" s="203"/>
      <c r="C966" s="203"/>
      <c r="D966" s="203"/>
      <c r="E966" s="203"/>
      <c r="F966" s="203"/>
      <c r="G966" s="203"/>
      <c r="H966" s="203"/>
      <c r="I966" s="203"/>
      <c r="J966" s="203"/>
      <c r="K966" s="203"/>
      <c r="L966" s="203"/>
      <c r="M966" s="269"/>
      <c r="N966" s="269"/>
      <c r="O966" s="270"/>
      <c r="P966" s="270"/>
      <c r="Q966" s="270"/>
      <c r="R966" s="203"/>
      <c r="S966" s="203"/>
      <c r="T966" s="269"/>
      <c r="U966" s="203"/>
      <c r="V966" s="203"/>
      <c r="W966" s="269"/>
      <c r="X966" s="206"/>
      <c r="Y966" s="206"/>
      <c r="Z966" s="206"/>
    </row>
    <row r="967" spans="1:26" ht="12.75" x14ac:dyDescent="0.2">
      <c r="A967" s="203"/>
      <c r="B967" s="203"/>
      <c r="C967" s="203"/>
      <c r="D967" s="203"/>
      <c r="E967" s="203"/>
      <c r="F967" s="203"/>
      <c r="G967" s="203"/>
      <c r="H967" s="203"/>
      <c r="I967" s="203"/>
      <c r="J967" s="203"/>
      <c r="K967" s="203"/>
      <c r="L967" s="203"/>
      <c r="M967" s="269"/>
      <c r="N967" s="269"/>
      <c r="O967" s="270"/>
      <c r="P967" s="270"/>
      <c r="Q967" s="270"/>
      <c r="R967" s="203"/>
      <c r="S967" s="203"/>
      <c r="T967" s="269"/>
      <c r="U967" s="203"/>
      <c r="V967" s="203"/>
      <c r="W967" s="269"/>
      <c r="X967" s="206"/>
      <c r="Y967" s="206"/>
      <c r="Z967" s="206"/>
    </row>
    <row r="968" spans="1:26" ht="12.75" x14ac:dyDescent="0.2">
      <c r="A968" s="203"/>
      <c r="B968" s="203"/>
      <c r="C968" s="203"/>
      <c r="D968" s="203"/>
      <c r="E968" s="203"/>
      <c r="F968" s="203"/>
      <c r="G968" s="203"/>
      <c r="H968" s="203"/>
      <c r="I968" s="203"/>
      <c r="J968" s="203"/>
      <c r="K968" s="203"/>
      <c r="L968" s="203"/>
      <c r="M968" s="269"/>
      <c r="N968" s="269"/>
      <c r="O968" s="270"/>
      <c r="P968" s="270"/>
      <c r="Q968" s="270"/>
      <c r="R968" s="203"/>
      <c r="S968" s="203"/>
      <c r="T968" s="269"/>
      <c r="U968" s="203"/>
      <c r="V968" s="203"/>
      <c r="W968" s="269"/>
      <c r="X968" s="206"/>
      <c r="Y968" s="206"/>
      <c r="Z968" s="206"/>
    </row>
    <row r="969" spans="1:26" ht="12.75" x14ac:dyDescent="0.2">
      <c r="A969" s="203"/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203"/>
      <c r="M969" s="269"/>
      <c r="N969" s="269"/>
      <c r="O969" s="270"/>
      <c r="P969" s="270"/>
      <c r="Q969" s="270"/>
      <c r="R969" s="203"/>
      <c r="S969" s="203"/>
      <c r="T969" s="269"/>
      <c r="U969" s="203"/>
      <c r="V969" s="203"/>
      <c r="W969" s="269"/>
      <c r="X969" s="206"/>
      <c r="Y969" s="206"/>
      <c r="Z969" s="206"/>
    </row>
    <row r="970" spans="1:26" ht="12.75" x14ac:dyDescent="0.2">
      <c r="A970" s="203"/>
      <c r="B970" s="203"/>
      <c r="C970" s="203"/>
      <c r="D970" s="203"/>
      <c r="E970" s="203"/>
      <c r="F970" s="203"/>
      <c r="G970" s="203"/>
      <c r="H970" s="203"/>
      <c r="I970" s="203"/>
      <c r="J970" s="203"/>
      <c r="K970" s="203"/>
      <c r="L970" s="203"/>
      <c r="M970" s="269"/>
      <c r="N970" s="269"/>
      <c r="O970" s="270"/>
      <c r="P970" s="270"/>
      <c r="Q970" s="270"/>
      <c r="R970" s="203"/>
      <c r="S970" s="203"/>
      <c r="T970" s="269"/>
      <c r="U970" s="203"/>
      <c r="V970" s="203"/>
      <c r="W970" s="269"/>
      <c r="X970" s="206"/>
      <c r="Y970" s="206"/>
      <c r="Z970" s="206"/>
    </row>
    <row r="971" spans="1:26" ht="12.75" x14ac:dyDescent="0.2">
      <c r="A971" s="203"/>
      <c r="B971" s="203"/>
      <c r="C971" s="203"/>
      <c r="D971" s="203"/>
      <c r="E971" s="203"/>
      <c r="F971" s="203"/>
      <c r="G971" s="203"/>
      <c r="H971" s="203"/>
      <c r="I971" s="203"/>
      <c r="J971" s="203"/>
      <c r="K971" s="203"/>
      <c r="L971" s="203"/>
      <c r="M971" s="269"/>
      <c r="N971" s="269"/>
      <c r="O971" s="270"/>
      <c r="P971" s="270"/>
      <c r="Q971" s="270"/>
      <c r="R971" s="203"/>
      <c r="S971" s="203"/>
      <c r="T971" s="269"/>
      <c r="U971" s="203"/>
      <c r="V971" s="203"/>
      <c r="W971" s="269"/>
      <c r="X971" s="206"/>
      <c r="Y971" s="206"/>
      <c r="Z971" s="206"/>
    </row>
    <row r="972" spans="1:26" ht="12.75" x14ac:dyDescent="0.2">
      <c r="A972" s="203"/>
      <c r="B972" s="203"/>
      <c r="C972" s="203"/>
      <c r="D972" s="203"/>
      <c r="E972" s="203"/>
      <c r="F972" s="203"/>
      <c r="G972" s="203"/>
      <c r="H972" s="203"/>
      <c r="I972" s="203"/>
      <c r="J972" s="203"/>
      <c r="K972" s="203"/>
      <c r="L972" s="203"/>
      <c r="M972" s="269"/>
      <c r="N972" s="269"/>
      <c r="O972" s="270"/>
      <c r="P972" s="270"/>
      <c r="Q972" s="270"/>
      <c r="R972" s="203"/>
      <c r="S972" s="203"/>
      <c r="T972" s="269"/>
      <c r="U972" s="203"/>
      <c r="V972" s="203"/>
      <c r="W972" s="269"/>
      <c r="X972" s="206"/>
      <c r="Y972" s="206"/>
      <c r="Z972" s="206"/>
    </row>
    <row r="973" spans="1:26" ht="12.75" x14ac:dyDescent="0.2">
      <c r="A973" s="203"/>
      <c r="B973" s="203"/>
      <c r="C973" s="203"/>
      <c r="D973" s="203"/>
      <c r="E973" s="203"/>
      <c r="F973" s="203"/>
      <c r="G973" s="203"/>
      <c r="H973" s="203"/>
      <c r="I973" s="203"/>
      <c r="J973" s="203"/>
      <c r="K973" s="203"/>
      <c r="L973" s="203"/>
      <c r="M973" s="269"/>
      <c r="N973" s="269"/>
      <c r="O973" s="270"/>
      <c r="P973" s="270"/>
      <c r="Q973" s="270"/>
      <c r="R973" s="203"/>
      <c r="S973" s="203"/>
      <c r="T973" s="269"/>
      <c r="U973" s="203"/>
      <c r="V973" s="203"/>
      <c r="W973" s="269"/>
      <c r="X973" s="206"/>
      <c r="Y973" s="206"/>
      <c r="Z973" s="206"/>
    </row>
    <row r="974" spans="1:26" ht="12.75" x14ac:dyDescent="0.2">
      <c r="A974" s="203"/>
      <c r="B974" s="203"/>
      <c r="C974" s="203"/>
      <c r="D974" s="203"/>
      <c r="E974" s="203"/>
      <c r="F974" s="203"/>
      <c r="G974" s="203"/>
      <c r="H974" s="203"/>
      <c r="I974" s="203"/>
      <c r="J974" s="203"/>
      <c r="K974" s="203"/>
      <c r="L974" s="203"/>
      <c r="M974" s="269"/>
      <c r="N974" s="269"/>
      <c r="O974" s="270"/>
      <c r="P974" s="270"/>
      <c r="Q974" s="270"/>
      <c r="R974" s="203"/>
      <c r="S974" s="203"/>
      <c r="T974" s="269"/>
      <c r="U974" s="203"/>
      <c r="V974" s="203"/>
      <c r="W974" s="269"/>
      <c r="X974" s="206"/>
      <c r="Y974" s="206"/>
      <c r="Z974" s="206"/>
    </row>
    <row r="975" spans="1:26" ht="12.75" x14ac:dyDescent="0.2">
      <c r="A975" s="203"/>
      <c r="B975" s="203"/>
      <c r="C975" s="203"/>
      <c r="D975" s="203"/>
      <c r="E975" s="203"/>
      <c r="F975" s="203"/>
      <c r="G975" s="203"/>
      <c r="H975" s="203"/>
      <c r="I975" s="203"/>
      <c r="J975" s="203"/>
      <c r="K975" s="203"/>
      <c r="L975" s="203"/>
      <c r="M975" s="269"/>
      <c r="N975" s="269"/>
      <c r="O975" s="270"/>
      <c r="P975" s="270"/>
      <c r="Q975" s="270"/>
      <c r="R975" s="203"/>
      <c r="S975" s="203"/>
      <c r="T975" s="269"/>
      <c r="U975" s="203"/>
      <c r="V975" s="203"/>
      <c r="W975" s="269"/>
      <c r="X975" s="206"/>
      <c r="Y975" s="206"/>
      <c r="Z975" s="206"/>
    </row>
    <row r="976" spans="1:26" ht="12.75" x14ac:dyDescent="0.2">
      <c r="A976" s="203"/>
      <c r="B976" s="203"/>
      <c r="C976" s="203"/>
      <c r="D976" s="203"/>
      <c r="E976" s="203"/>
      <c r="F976" s="203"/>
      <c r="G976" s="203"/>
      <c r="H976" s="203"/>
      <c r="I976" s="203"/>
      <c r="J976" s="203"/>
      <c r="K976" s="203"/>
      <c r="L976" s="203"/>
      <c r="M976" s="269"/>
      <c r="N976" s="269"/>
      <c r="O976" s="270"/>
      <c r="P976" s="270"/>
      <c r="Q976" s="270"/>
      <c r="R976" s="203"/>
      <c r="S976" s="203"/>
      <c r="T976" s="269"/>
      <c r="U976" s="203"/>
      <c r="V976" s="203"/>
      <c r="W976" s="269"/>
      <c r="X976" s="206"/>
      <c r="Y976" s="206"/>
      <c r="Z976" s="206"/>
    </row>
    <row r="977" spans="1:26" ht="12.75" x14ac:dyDescent="0.2">
      <c r="A977" s="203"/>
      <c r="B977" s="203"/>
      <c r="C977" s="203"/>
      <c r="D977" s="203"/>
      <c r="E977" s="203"/>
      <c r="F977" s="203"/>
      <c r="G977" s="203"/>
      <c r="H977" s="203"/>
      <c r="I977" s="203"/>
      <c r="J977" s="203"/>
      <c r="K977" s="203"/>
      <c r="L977" s="203"/>
      <c r="M977" s="269"/>
      <c r="N977" s="269"/>
      <c r="O977" s="270"/>
      <c r="P977" s="270"/>
      <c r="Q977" s="270"/>
      <c r="R977" s="203"/>
      <c r="S977" s="203"/>
      <c r="T977" s="269"/>
      <c r="U977" s="203"/>
      <c r="V977" s="203"/>
      <c r="W977" s="269"/>
      <c r="X977" s="206"/>
      <c r="Y977" s="206"/>
      <c r="Z977" s="206"/>
    </row>
    <row r="978" spans="1:26" ht="12.75" x14ac:dyDescent="0.2">
      <c r="A978" s="203"/>
      <c r="B978" s="203"/>
      <c r="C978" s="203"/>
      <c r="D978" s="203"/>
      <c r="E978" s="203"/>
      <c r="F978" s="203"/>
      <c r="G978" s="203"/>
      <c r="H978" s="203"/>
      <c r="I978" s="203"/>
      <c r="J978" s="203"/>
      <c r="K978" s="203"/>
      <c r="L978" s="203"/>
      <c r="M978" s="269"/>
      <c r="N978" s="269"/>
      <c r="O978" s="270"/>
      <c r="P978" s="270"/>
      <c r="Q978" s="270"/>
      <c r="R978" s="203"/>
      <c r="S978" s="203"/>
      <c r="T978" s="269"/>
      <c r="U978" s="203"/>
      <c r="V978" s="203"/>
      <c r="W978" s="269"/>
      <c r="X978" s="206"/>
      <c r="Y978" s="206"/>
      <c r="Z978" s="206"/>
    </row>
    <row r="979" spans="1:26" ht="12.75" x14ac:dyDescent="0.2">
      <c r="A979" s="203"/>
      <c r="B979" s="203"/>
      <c r="C979" s="203"/>
      <c r="D979" s="203"/>
      <c r="E979" s="203"/>
      <c r="F979" s="203"/>
      <c r="G979" s="203"/>
      <c r="H979" s="203"/>
      <c r="I979" s="203"/>
      <c r="J979" s="203"/>
      <c r="K979" s="203"/>
      <c r="L979" s="203"/>
      <c r="M979" s="269"/>
      <c r="N979" s="269"/>
      <c r="O979" s="270"/>
      <c r="P979" s="270"/>
      <c r="Q979" s="270"/>
      <c r="R979" s="203"/>
      <c r="S979" s="203"/>
      <c r="T979" s="269"/>
      <c r="U979" s="203"/>
      <c r="V979" s="203"/>
      <c r="W979" s="269"/>
      <c r="X979" s="206"/>
      <c r="Y979" s="206"/>
      <c r="Z979" s="206"/>
    </row>
    <row r="980" spans="1:26" ht="12.75" x14ac:dyDescent="0.2">
      <c r="A980" s="203"/>
      <c r="B980" s="203"/>
      <c r="C980" s="203"/>
      <c r="D980" s="203"/>
      <c r="E980" s="203"/>
      <c r="F980" s="203"/>
      <c r="G980" s="203"/>
      <c r="H980" s="203"/>
      <c r="I980" s="203"/>
      <c r="J980" s="203"/>
      <c r="K980" s="203"/>
      <c r="L980" s="203"/>
      <c r="M980" s="269"/>
      <c r="N980" s="269"/>
      <c r="O980" s="270"/>
      <c r="P980" s="270"/>
      <c r="Q980" s="270"/>
      <c r="R980" s="203"/>
      <c r="S980" s="203"/>
      <c r="T980" s="269"/>
      <c r="U980" s="203"/>
      <c r="V980" s="203"/>
      <c r="W980" s="269"/>
      <c r="X980" s="206"/>
      <c r="Y980" s="206"/>
      <c r="Z980" s="206"/>
    </row>
    <row r="981" spans="1:26" ht="12.75" x14ac:dyDescent="0.2">
      <c r="A981" s="203"/>
      <c r="B981" s="203"/>
      <c r="C981" s="203"/>
      <c r="D981" s="203"/>
      <c r="E981" s="203"/>
      <c r="F981" s="203"/>
      <c r="G981" s="203"/>
      <c r="H981" s="203"/>
      <c r="I981" s="203"/>
      <c r="J981" s="203"/>
      <c r="K981" s="203"/>
      <c r="L981" s="203"/>
      <c r="M981" s="269"/>
      <c r="N981" s="269"/>
      <c r="O981" s="270"/>
      <c r="P981" s="270"/>
      <c r="Q981" s="270"/>
      <c r="R981" s="203"/>
      <c r="S981" s="203"/>
      <c r="T981" s="269"/>
      <c r="U981" s="203"/>
      <c r="V981" s="203"/>
      <c r="W981" s="269"/>
      <c r="X981" s="206"/>
      <c r="Y981" s="206"/>
      <c r="Z981" s="206"/>
    </row>
    <row r="982" spans="1:26" ht="12.75" x14ac:dyDescent="0.2">
      <c r="A982" s="203"/>
      <c r="B982" s="203"/>
      <c r="C982" s="203"/>
      <c r="D982" s="203"/>
      <c r="E982" s="203"/>
      <c r="F982" s="203"/>
      <c r="G982" s="203"/>
      <c r="H982" s="203"/>
      <c r="I982" s="203"/>
      <c r="J982" s="203"/>
      <c r="K982" s="203"/>
      <c r="L982" s="203"/>
      <c r="M982" s="269"/>
      <c r="N982" s="269"/>
      <c r="O982" s="270"/>
      <c r="P982" s="270"/>
      <c r="Q982" s="270"/>
      <c r="R982" s="203"/>
      <c r="S982" s="203"/>
      <c r="T982" s="269"/>
      <c r="U982" s="203"/>
      <c r="V982" s="203"/>
      <c r="W982" s="269"/>
      <c r="X982" s="206"/>
      <c r="Y982" s="206"/>
      <c r="Z982" s="206"/>
    </row>
    <row r="983" spans="1:26" ht="12.75" x14ac:dyDescent="0.2">
      <c r="A983" s="203"/>
      <c r="B983" s="203"/>
      <c r="C983" s="203"/>
      <c r="D983" s="203"/>
      <c r="E983" s="203"/>
      <c r="F983" s="203"/>
      <c r="G983" s="203"/>
      <c r="H983" s="203"/>
      <c r="I983" s="203"/>
      <c r="J983" s="203"/>
      <c r="K983" s="203"/>
      <c r="L983" s="203"/>
      <c r="M983" s="269"/>
      <c r="N983" s="269"/>
      <c r="O983" s="270"/>
      <c r="P983" s="270"/>
      <c r="Q983" s="270"/>
      <c r="R983" s="203"/>
      <c r="S983" s="203"/>
      <c r="T983" s="269"/>
      <c r="U983" s="203"/>
      <c r="V983" s="203"/>
      <c r="W983" s="269"/>
      <c r="X983" s="206"/>
      <c r="Y983" s="206"/>
      <c r="Z983" s="206"/>
    </row>
    <row r="984" spans="1:26" ht="12.75" x14ac:dyDescent="0.2">
      <c r="A984" s="203"/>
      <c r="B984" s="203"/>
      <c r="C984" s="203"/>
      <c r="D984" s="203"/>
      <c r="E984" s="203"/>
      <c r="F984" s="203"/>
      <c r="G984" s="203"/>
      <c r="H984" s="203"/>
      <c r="I984" s="203"/>
      <c r="J984" s="203"/>
      <c r="K984" s="203"/>
      <c r="L984" s="203"/>
      <c r="M984" s="269"/>
      <c r="N984" s="269"/>
      <c r="O984" s="270"/>
      <c r="P984" s="270"/>
      <c r="Q984" s="270"/>
      <c r="R984" s="203"/>
      <c r="S984" s="203"/>
      <c r="T984" s="269"/>
      <c r="U984" s="203"/>
      <c r="V984" s="203"/>
      <c r="W984" s="269"/>
      <c r="X984" s="206"/>
      <c r="Y984" s="206"/>
      <c r="Z984" s="206"/>
    </row>
    <row r="985" spans="1:26" ht="12.75" x14ac:dyDescent="0.2">
      <c r="A985" s="203"/>
      <c r="B985" s="203"/>
      <c r="C985" s="203"/>
      <c r="D985" s="203"/>
      <c r="E985" s="203"/>
      <c r="F985" s="203"/>
      <c r="G985" s="203"/>
      <c r="H985" s="203"/>
      <c r="I985" s="203"/>
      <c r="J985" s="203"/>
      <c r="K985" s="203"/>
      <c r="L985" s="203"/>
      <c r="M985" s="269"/>
      <c r="N985" s="269"/>
      <c r="O985" s="270"/>
      <c r="P985" s="270"/>
      <c r="Q985" s="270"/>
      <c r="R985" s="203"/>
      <c r="S985" s="203"/>
      <c r="T985" s="269"/>
      <c r="U985" s="203"/>
      <c r="V985" s="203"/>
      <c r="W985" s="269"/>
      <c r="X985" s="206"/>
      <c r="Y985" s="206"/>
      <c r="Z985" s="206"/>
    </row>
    <row r="986" spans="1:26" ht="12.75" x14ac:dyDescent="0.2">
      <c r="A986" s="203"/>
      <c r="B986" s="203"/>
      <c r="C986" s="203"/>
      <c r="D986" s="203"/>
      <c r="E986" s="203"/>
      <c r="F986" s="203"/>
      <c r="G986" s="203"/>
      <c r="H986" s="203"/>
      <c r="I986" s="203"/>
      <c r="J986" s="203"/>
      <c r="K986" s="203"/>
      <c r="L986" s="203"/>
      <c r="M986" s="269"/>
      <c r="N986" s="269"/>
      <c r="O986" s="270"/>
      <c r="P986" s="270"/>
      <c r="Q986" s="270"/>
      <c r="R986" s="203"/>
      <c r="S986" s="203"/>
      <c r="T986" s="269"/>
      <c r="U986" s="203"/>
      <c r="V986" s="203"/>
      <c r="W986" s="269"/>
      <c r="X986" s="206"/>
      <c r="Y986" s="206"/>
      <c r="Z986" s="206"/>
    </row>
    <row r="987" spans="1:26" ht="12.75" x14ac:dyDescent="0.2">
      <c r="A987" s="203"/>
      <c r="B987" s="203"/>
      <c r="C987" s="203"/>
      <c r="D987" s="203"/>
      <c r="E987" s="203"/>
      <c r="F987" s="203"/>
      <c r="G987" s="203"/>
      <c r="H987" s="203"/>
      <c r="I987" s="203"/>
      <c r="J987" s="203"/>
      <c r="K987" s="203"/>
      <c r="L987" s="203"/>
      <c r="M987" s="269"/>
      <c r="N987" s="269"/>
      <c r="O987" s="270"/>
      <c r="P987" s="270"/>
      <c r="Q987" s="270"/>
      <c r="R987" s="203"/>
      <c r="S987" s="203"/>
      <c r="T987" s="269"/>
      <c r="U987" s="203"/>
      <c r="V987" s="203"/>
      <c r="W987" s="269"/>
      <c r="X987" s="206"/>
      <c r="Y987" s="206"/>
      <c r="Z987" s="206"/>
    </row>
    <row r="988" spans="1:26" ht="12.75" x14ac:dyDescent="0.2">
      <c r="A988" s="203"/>
      <c r="B988" s="203"/>
      <c r="C988" s="203"/>
      <c r="D988" s="203"/>
      <c r="E988" s="203"/>
      <c r="F988" s="203"/>
      <c r="G988" s="203"/>
      <c r="H988" s="203"/>
      <c r="I988" s="203"/>
      <c r="J988" s="203"/>
      <c r="K988" s="203"/>
      <c r="L988" s="203"/>
      <c r="M988" s="269"/>
      <c r="N988" s="269"/>
      <c r="O988" s="270"/>
      <c r="P988" s="270"/>
      <c r="Q988" s="270"/>
      <c r="R988" s="203"/>
      <c r="S988" s="203"/>
      <c r="T988" s="269"/>
      <c r="U988" s="203"/>
      <c r="V988" s="203"/>
      <c r="W988" s="269"/>
      <c r="X988" s="206"/>
      <c r="Y988" s="206"/>
      <c r="Z988" s="206"/>
    </row>
    <row r="989" spans="1:26" ht="12.75" x14ac:dyDescent="0.2">
      <c r="A989" s="203"/>
      <c r="B989" s="203"/>
      <c r="C989" s="203"/>
      <c r="D989" s="203"/>
      <c r="E989" s="203"/>
      <c r="F989" s="203"/>
      <c r="G989" s="203"/>
      <c r="H989" s="203"/>
      <c r="I989" s="203"/>
      <c r="J989" s="203"/>
      <c r="K989" s="203"/>
      <c r="L989" s="203"/>
      <c r="M989" s="269"/>
      <c r="N989" s="269"/>
      <c r="O989" s="270"/>
      <c r="P989" s="270"/>
      <c r="Q989" s="270"/>
      <c r="R989" s="203"/>
      <c r="S989" s="203"/>
      <c r="T989" s="269"/>
      <c r="U989" s="203"/>
      <c r="V989" s="203"/>
      <c r="W989" s="269"/>
      <c r="X989" s="206"/>
      <c r="Y989" s="206"/>
      <c r="Z989" s="206"/>
    </row>
    <row r="990" spans="1:26" ht="12.75" x14ac:dyDescent="0.2">
      <c r="A990" s="206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</row>
  </sheetData>
  <mergeCells count="24">
    <mergeCell ref="A13:B13"/>
    <mergeCell ref="A31:B31"/>
    <mergeCell ref="A52:B52"/>
    <mergeCell ref="A74:B74"/>
    <mergeCell ref="A89:B89"/>
    <mergeCell ref="L5:N5"/>
    <mergeCell ref="O5:Q5"/>
    <mergeCell ref="S5:T5"/>
    <mergeCell ref="V5:W5"/>
    <mergeCell ref="A7:B7"/>
    <mergeCell ref="A2:B6"/>
    <mergeCell ref="C5:C6"/>
    <mergeCell ref="D5:D6"/>
    <mergeCell ref="E5:E6"/>
    <mergeCell ref="F5:F6"/>
    <mergeCell ref="G5:G6"/>
    <mergeCell ref="J5:K5"/>
    <mergeCell ref="C2:W2"/>
    <mergeCell ref="C3:Q3"/>
    <mergeCell ref="R3:T4"/>
    <mergeCell ref="U3:W4"/>
    <mergeCell ref="C4:G4"/>
    <mergeCell ref="H4:I4"/>
    <mergeCell ref="J4:Q4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CI989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8.85546875" customWidth="1"/>
    <col min="20" max="20" width="10.140625" customWidth="1"/>
    <col min="21" max="21" width="11.42578125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5" width="10.140625" customWidth="1"/>
    <col min="36" max="36" width="11.42578125" customWidth="1"/>
    <col min="37" max="39" width="10.140625" customWidth="1"/>
    <col min="40" max="40" width="12.5703125" customWidth="1"/>
    <col min="41" max="41" width="11.42578125" customWidth="1"/>
    <col min="42" max="43" width="10.140625" customWidth="1"/>
    <col min="44" max="44" width="11.42578125" customWidth="1"/>
    <col min="45" max="46" width="10.140625" customWidth="1"/>
    <col min="47" max="47" width="13.85546875" customWidth="1"/>
    <col min="48" max="55" width="10.140625" customWidth="1"/>
    <col min="56" max="57" width="11.42578125" customWidth="1"/>
    <col min="58" max="58" width="10.140625" customWidth="1"/>
    <col min="59" max="60" width="11.42578125" customWidth="1"/>
    <col min="61" max="61" width="10.140625" customWidth="1"/>
    <col min="62" max="63" width="13.85546875" customWidth="1"/>
    <col min="64" max="64" width="10.140625" customWidth="1"/>
    <col min="65" max="66" width="13.85546875" customWidth="1"/>
    <col min="67" max="70" width="10.140625" customWidth="1"/>
    <col min="71" max="72" width="13.85546875" customWidth="1"/>
    <col min="73" max="73" width="10.140625" customWidth="1"/>
    <col min="74" max="75" width="13.85546875" customWidth="1"/>
    <col min="76" max="76" width="10.140625" customWidth="1"/>
    <col min="77" max="78" width="12.5703125" customWidth="1"/>
    <col min="79" max="79" width="10.140625" customWidth="1"/>
    <col min="80" max="81" width="11.42578125" customWidth="1"/>
    <col min="82" max="87" width="10.140625" customWidth="1"/>
  </cols>
  <sheetData>
    <row r="1" spans="1:8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ht="24" customHeight="1" x14ac:dyDescent="0.2">
      <c r="A2" s="399" t="s">
        <v>1</v>
      </c>
      <c r="B2" s="400"/>
      <c r="C2" s="369" t="s">
        <v>145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1"/>
    </row>
    <row r="3" spans="1:87" ht="30" customHeight="1" x14ac:dyDescent="0.2">
      <c r="A3" s="401"/>
      <c r="B3" s="402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44" t="s">
        <v>146</v>
      </c>
      <c r="S3" s="378"/>
      <c r="T3" s="378"/>
      <c r="U3" s="378"/>
      <c r="V3" s="378"/>
      <c r="W3" s="378"/>
      <c r="X3" s="378"/>
      <c r="Y3" s="378"/>
      <c r="Z3" s="379"/>
      <c r="AA3" s="444" t="s">
        <v>147</v>
      </c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9"/>
      <c r="AO3" s="375" t="s">
        <v>148</v>
      </c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6"/>
      <c r="BD3" s="375" t="s">
        <v>149</v>
      </c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6"/>
      <c r="BS3" s="375" t="s">
        <v>150</v>
      </c>
      <c r="BT3" s="373"/>
      <c r="BU3" s="373"/>
      <c r="BV3" s="373"/>
      <c r="BW3" s="373"/>
      <c r="BX3" s="373"/>
      <c r="BY3" s="373"/>
      <c r="BZ3" s="373"/>
      <c r="CA3" s="373"/>
      <c r="CB3" s="373"/>
      <c r="CC3" s="373"/>
      <c r="CD3" s="373"/>
      <c r="CE3" s="373"/>
      <c r="CF3" s="373"/>
      <c r="CG3" s="373"/>
      <c r="CH3" s="373"/>
      <c r="CI3" s="376"/>
    </row>
    <row r="4" spans="1:87" ht="60" customHeight="1" x14ac:dyDescent="0.2">
      <c r="A4" s="401"/>
      <c r="B4" s="402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375" t="s">
        <v>151</v>
      </c>
      <c r="S4" s="373"/>
      <c r="T4" s="376"/>
      <c r="U4" s="449" t="s">
        <v>152</v>
      </c>
      <c r="V4" s="373"/>
      <c r="W4" s="376"/>
      <c r="X4" s="449" t="s">
        <v>153</v>
      </c>
      <c r="Y4" s="373"/>
      <c r="Z4" s="376"/>
      <c r="AA4" s="375" t="s">
        <v>154</v>
      </c>
      <c r="AB4" s="373"/>
      <c r="AC4" s="376"/>
      <c r="AD4" s="375" t="s">
        <v>155</v>
      </c>
      <c r="AE4" s="373"/>
      <c r="AF4" s="376"/>
      <c r="AG4" s="375" t="s">
        <v>156</v>
      </c>
      <c r="AH4" s="373"/>
      <c r="AI4" s="376"/>
      <c r="AJ4" s="449" t="s">
        <v>157</v>
      </c>
      <c r="AK4" s="373"/>
      <c r="AL4" s="376"/>
      <c r="AM4" s="449" t="s">
        <v>5</v>
      </c>
      <c r="AN4" s="376"/>
      <c r="AO4" s="375" t="s">
        <v>154</v>
      </c>
      <c r="AP4" s="373"/>
      <c r="AQ4" s="376"/>
      <c r="AR4" s="375" t="s">
        <v>156</v>
      </c>
      <c r="AS4" s="373"/>
      <c r="AT4" s="376"/>
      <c r="AU4" s="375" t="s">
        <v>155</v>
      </c>
      <c r="AV4" s="373"/>
      <c r="AW4" s="376"/>
      <c r="AX4" s="449" t="s">
        <v>158</v>
      </c>
      <c r="AY4" s="373"/>
      <c r="AZ4" s="376"/>
      <c r="BA4" s="449" t="s">
        <v>159</v>
      </c>
      <c r="BB4" s="373"/>
      <c r="BC4" s="376"/>
      <c r="BD4" s="375" t="s">
        <v>160</v>
      </c>
      <c r="BE4" s="373"/>
      <c r="BF4" s="376"/>
      <c r="BG4" s="375" t="s">
        <v>161</v>
      </c>
      <c r="BH4" s="373"/>
      <c r="BI4" s="376"/>
      <c r="BJ4" s="449" t="s">
        <v>162</v>
      </c>
      <c r="BK4" s="373"/>
      <c r="BL4" s="376"/>
      <c r="BM4" s="449" t="s">
        <v>163</v>
      </c>
      <c r="BN4" s="373"/>
      <c r="BO4" s="376"/>
      <c r="BP4" s="449" t="s">
        <v>164</v>
      </c>
      <c r="BQ4" s="373"/>
      <c r="BR4" s="376"/>
      <c r="BS4" s="375" t="s">
        <v>165</v>
      </c>
      <c r="BT4" s="373"/>
      <c r="BU4" s="376"/>
      <c r="BV4" s="375" t="s">
        <v>166</v>
      </c>
      <c r="BW4" s="373"/>
      <c r="BX4" s="376"/>
      <c r="BY4" s="375" t="s">
        <v>155</v>
      </c>
      <c r="BZ4" s="373"/>
      <c r="CA4" s="376"/>
      <c r="CB4" s="375" t="s">
        <v>167</v>
      </c>
      <c r="CC4" s="373"/>
      <c r="CD4" s="376"/>
      <c r="CE4" s="449" t="s">
        <v>168</v>
      </c>
      <c r="CF4" s="373"/>
      <c r="CG4" s="376"/>
      <c r="CH4" s="451" t="s">
        <v>5</v>
      </c>
      <c r="CI4" s="446"/>
    </row>
    <row r="5" spans="1:87" ht="24" customHeight="1" x14ac:dyDescent="0.3">
      <c r="A5" s="401"/>
      <c r="B5" s="402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207" t="s">
        <v>169</v>
      </c>
      <c r="S5" s="393" t="s">
        <v>170</v>
      </c>
      <c r="T5" s="376"/>
      <c r="U5" s="271" t="s">
        <v>21</v>
      </c>
      <c r="V5" s="452" t="s">
        <v>22</v>
      </c>
      <c r="W5" s="376"/>
      <c r="X5" s="272" t="s">
        <v>171</v>
      </c>
      <c r="Y5" s="272" t="s">
        <v>172</v>
      </c>
      <c r="Z5" s="272" t="s">
        <v>173</v>
      </c>
      <c r="AA5" s="207" t="s">
        <v>169</v>
      </c>
      <c r="AB5" s="393" t="s">
        <v>170</v>
      </c>
      <c r="AC5" s="376"/>
      <c r="AD5" s="207" t="s">
        <v>169</v>
      </c>
      <c r="AE5" s="393" t="s">
        <v>170</v>
      </c>
      <c r="AF5" s="376"/>
      <c r="AG5" s="207" t="s">
        <v>169</v>
      </c>
      <c r="AH5" s="393" t="s">
        <v>170</v>
      </c>
      <c r="AI5" s="376"/>
      <c r="AJ5" s="271" t="s">
        <v>21</v>
      </c>
      <c r="AK5" s="450" t="s">
        <v>22</v>
      </c>
      <c r="AL5" s="376"/>
      <c r="AM5" s="453" t="s">
        <v>22</v>
      </c>
      <c r="AN5" s="376"/>
      <c r="AO5" s="207" t="s">
        <v>169</v>
      </c>
      <c r="AP5" s="393" t="s">
        <v>170</v>
      </c>
      <c r="AQ5" s="376"/>
      <c r="AR5" s="207" t="s">
        <v>169</v>
      </c>
      <c r="AS5" s="393" t="s">
        <v>170</v>
      </c>
      <c r="AT5" s="376"/>
      <c r="AU5" s="207" t="s">
        <v>169</v>
      </c>
      <c r="AV5" s="393" t="s">
        <v>170</v>
      </c>
      <c r="AW5" s="376"/>
      <c r="AX5" s="271" t="s">
        <v>21</v>
      </c>
      <c r="AY5" s="450" t="s">
        <v>22</v>
      </c>
      <c r="AZ5" s="376"/>
      <c r="BA5" s="271" t="s">
        <v>21</v>
      </c>
      <c r="BB5" s="450" t="s">
        <v>22</v>
      </c>
      <c r="BC5" s="376"/>
      <c r="BD5" s="207" t="s">
        <v>169</v>
      </c>
      <c r="BE5" s="393" t="s">
        <v>170</v>
      </c>
      <c r="BF5" s="376"/>
      <c r="BG5" s="207" t="s">
        <v>169</v>
      </c>
      <c r="BH5" s="393" t="s">
        <v>170</v>
      </c>
      <c r="BI5" s="376"/>
      <c r="BJ5" s="271" t="s">
        <v>21</v>
      </c>
      <c r="BK5" s="450" t="s">
        <v>22</v>
      </c>
      <c r="BL5" s="376"/>
      <c r="BM5" s="271" t="s">
        <v>21</v>
      </c>
      <c r="BN5" s="450" t="s">
        <v>22</v>
      </c>
      <c r="BO5" s="376"/>
      <c r="BP5" s="271" t="s">
        <v>21</v>
      </c>
      <c r="BQ5" s="450" t="s">
        <v>22</v>
      </c>
      <c r="BR5" s="376"/>
      <c r="BS5" s="207" t="s">
        <v>169</v>
      </c>
      <c r="BT5" s="393" t="s">
        <v>170</v>
      </c>
      <c r="BU5" s="376"/>
      <c r="BV5" s="207" t="s">
        <v>169</v>
      </c>
      <c r="BW5" s="393" t="s">
        <v>170</v>
      </c>
      <c r="BX5" s="376"/>
      <c r="BY5" s="207" t="s">
        <v>169</v>
      </c>
      <c r="BZ5" s="393" t="s">
        <v>170</v>
      </c>
      <c r="CA5" s="376"/>
      <c r="CB5" s="207" t="s">
        <v>169</v>
      </c>
      <c r="CC5" s="393" t="s">
        <v>170</v>
      </c>
      <c r="CD5" s="376"/>
      <c r="CE5" s="271" t="s">
        <v>21</v>
      </c>
      <c r="CF5" s="450" t="s">
        <v>22</v>
      </c>
      <c r="CG5" s="376"/>
      <c r="CH5" s="273" t="s">
        <v>22</v>
      </c>
      <c r="CI5" s="273" t="s">
        <v>22</v>
      </c>
    </row>
    <row r="6" spans="1:87" ht="30" customHeight="1" x14ac:dyDescent="0.2">
      <c r="A6" s="403"/>
      <c r="B6" s="404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8" t="s">
        <v>23</v>
      </c>
      <c r="S6" s="210" t="s">
        <v>23</v>
      </c>
      <c r="T6" s="16" t="s">
        <v>24</v>
      </c>
      <c r="U6" s="274" t="s">
        <v>174</v>
      </c>
      <c r="V6" s="275" t="s">
        <v>174</v>
      </c>
      <c r="W6" s="276" t="s">
        <v>24</v>
      </c>
      <c r="X6" s="275" t="s">
        <v>28</v>
      </c>
      <c r="Y6" s="275" t="s">
        <v>28</v>
      </c>
      <c r="Z6" s="275" t="s">
        <v>28</v>
      </c>
      <c r="AA6" s="18" t="s">
        <v>23</v>
      </c>
      <c r="AB6" s="210" t="s">
        <v>23</v>
      </c>
      <c r="AC6" s="16" t="s">
        <v>24</v>
      </c>
      <c r="AD6" s="18" t="s">
        <v>23</v>
      </c>
      <c r="AE6" s="210" t="s">
        <v>23</v>
      </c>
      <c r="AF6" s="16" t="s">
        <v>24</v>
      </c>
      <c r="AG6" s="18" t="s">
        <v>23</v>
      </c>
      <c r="AH6" s="210" t="s">
        <v>23</v>
      </c>
      <c r="AI6" s="16" t="s">
        <v>24</v>
      </c>
      <c r="AJ6" s="277" t="s">
        <v>175</v>
      </c>
      <c r="AK6" s="278" t="s">
        <v>175</v>
      </c>
      <c r="AL6" s="276" t="s">
        <v>24</v>
      </c>
      <c r="AM6" s="278" t="s">
        <v>175</v>
      </c>
      <c r="AN6" s="279" t="s">
        <v>176</v>
      </c>
      <c r="AO6" s="18" t="s">
        <v>23</v>
      </c>
      <c r="AP6" s="210" t="s">
        <v>23</v>
      </c>
      <c r="AQ6" s="16" t="s">
        <v>24</v>
      </c>
      <c r="AR6" s="18" t="s">
        <v>23</v>
      </c>
      <c r="AS6" s="210" t="s">
        <v>23</v>
      </c>
      <c r="AT6" s="16" t="s">
        <v>24</v>
      </c>
      <c r="AU6" s="18" t="s">
        <v>23</v>
      </c>
      <c r="AV6" s="210" t="s">
        <v>23</v>
      </c>
      <c r="AW6" s="16" t="s">
        <v>24</v>
      </c>
      <c r="AX6" s="280" t="s">
        <v>175</v>
      </c>
      <c r="AY6" s="278" t="s">
        <v>175</v>
      </c>
      <c r="AZ6" s="276" t="s">
        <v>24</v>
      </c>
      <c r="BA6" s="280" t="s">
        <v>175</v>
      </c>
      <c r="BB6" s="278" t="s">
        <v>175</v>
      </c>
      <c r="BC6" s="276" t="s">
        <v>24</v>
      </c>
      <c r="BD6" s="18" t="s">
        <v>23</v>
      </c>
      <c r="BE6" s="210" t="s">
        <v>23</v>
      </c>
      <c r="BF6" s="16" t="s">
        <v>24</v>
      </c>
      <c r="BG6" s="18" t="s">
        <v>23</v>
      </c>
      <c r="BH6" s="210" t="s">
        <v>23</v>
      </c>
      <c r="BI6" s="16" t="s">
        <v>24</v>
      </c>
      <c r="BJ6" s="280" t="s">
        <v>177</v>
      </c>
      <c r="BK6" s="278" t="s">
        <v>177</v>
      </c>
      <c r="BL6" s="276" t="s">
        <v>24</v>
      </c>
      <c r="BM6" s="280" t="s">
        <v>177</v>
      </c>
      <c r="BN6" s="278" t="s">
        <v>177</v>
      </c>
      <c r="BO6" s="276" t="s">
        <v>24</v>
      </c>
      <c r="BP6" s="280" t="s">
        <v>28</v>
      </c>
      <c r="BQ6" s="278" t="s">
        <v>28</v>
      </c>
      <c r="BR6" s="276" t="s">
        <v>24</v>
      </c>
      <c r="BS6" s="18" t="s">
        <v>23</v>
      </c>
      <c r="BT6" s="210" t="s">
        <v>23</v>
      </c>
      <c r="BU6" s="16" t="s">
        <v>24</v>
      </c>
      <c r="BV6" s="18" t="s">
        <v>23</v>
      </c>
      <c r="BW6" s="210" t="s">
        <v>23</v>
      </c>
      <c r="BX6" s="16" t="s">
        <v>24</v>
      </c>
      <c r="BY6" s="18" t="s">
        <v>23</v>
      </c>
      <c r="BZ6" s="210" t="s">
        <v>23</v>
      </c>
      <c r="CA6" s="16" t="s">
        <v>24</v>
      </c>
      <c r="CB6" s="18" t="s">
        <v>23</v>
      </c>
      <c r="CC6" s="210" t="s">
        <v>23</v>
      </c>
      <c r="CD6" s="16" t="s">
        <v>24</v>
      </c>
      <c r="CE6" s="280" t="s">
        <v>28</v>
      </c>
      <c r="CF6" s="278" t="s">
        <v>28</v>
      </c>
      <c r="CG6" s="276" t="s">
        <v>24</v>
      </c>
      <c r="CH6" s="278" t="s">
        <v>28</v>
      </c>
      <c r="CI6" s="278" t="s">
        <v>139</v>
      </c>
    </row>
    <row r="7" spans="1:87" ht="24" customHeight="1" x14ac:dyDescent="0.3">
      <c r="A7" s="442" t="s">
        <v>31</v>
      </c>
      <c r="B7" s="417"/>
      <c r="C7" s="141">
        <f t="shared" ref="C7:C10" ca="1" si="0">D7+G7</f>
        <v>14194800</v>
      </c>
      <c r="D7" s="142">
        <f t="shared" ref="D7:E7" ca="1" si="1">D8+D9+D12</f>
        <v>14194800</v>
      </c>
      <c r="E7" s="143">
        <f t="shared" ca="1" si="1"/>
        <v>6387700</v>
      </c>
      <c r="F7" s="144">
        <f ca="1">F8+F9</f>
        <v>7807100</v>
      </c>
      <c r="G7" s="145">
        <f t="shared" ref="G7:I7" ca="1" si="2">G8+G9+G12</f>
        <v>0</v>
      </c>
      <c r="H7" s="211">
        <f t="shared" ca="1" si="2"/>
        <v>11324100</v>
      </c>
      <c r="I7" s="211">
        <f t="shared" ca="1" si="2"/>
        <v>0</v>
      </c>
      <c r="J7" s="147">
        <f t="shared" ref="J7:J10" ca="1" si="3">L7+O7</f>
        <v>2556660.0499999998</v>
      </c>
      <c r="K7" s="148">
        <f t="shared" ref="K7:K10" ca="1" si="4">IF(C7&gt;0,J7*100/C7,0)</f>
        <v>18.011243906219178</v>
      </c>
      <c r="L7" s="147">
        <f ca="1">L8+L9+L12</f>
        <v>2556660.0499999998</v>
      </c>
      <c r="M7" s="149">
        <f t="shared" ref="M7:M10" ca="1" si="5">IF(D7&gt;0,L7*100/D7,0)</f>
        <v>18.011243906219178</v>
      </c>
      <c r="N7" s="149">
        <f t="shared" ref="N7:N10" ca="1" si="6">IF(H7&gt;0,L7*100/H7,0)</f>
        <v>22.57715889121431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1">
        <f t="shared" ref="R7:S7" ca="1" si="9">R8</f>
        <v>432000</v>
      </c>
      <c r="S7" s="32">
        <f t="shared" ca="1" si="9"/>
        <v>11250</v>
      </c>
      <c r="T7" s="33">
        <f t="shared" ref="T7:T8" ca="1" si="10">IF(R7&gt;0,S7*100/R7,0)</f>
        <v>2.6041666666666665</v>
      </c>
      <c r="U7" s="281">
        <f t="shared" ref="U7:V7" ca="1" si="11">U8</f>
        <v>288</v>
      </c>
      <c r="V7" s="282">
        <f t="shared" ca="1" si="11"/>
        <v>25</v>
      </c>
      <c r="W7" s="283">
        <f t="shared" ref="W7:W8" ca="1" si="12">IF(U7&gt;0,V7*100/U7,0)</f>
        <v>8.6805555555555554</v>
      </c>
      <c r="X7" s="282">
        <f t="shared" ref="X7:AB7" ca="1" si="13">X8</f>
        <v>676</v>
      </c>
      <c r="Y7" s="282">
        <f t="shared" ca="1" si="13"/>
        <v>676</v>
      </c>
      <c r="Z7" s="282">
        <f t="shared" ca="1" si="13"/>
        <v>0</v>
      </c>
      <c r="AA7" s="31">
        <f t="shared" ca="1" si="13"/>
        <v>138000</v>
      </c>
      <c r="AB7" s="32">
        <f t="shared" ca="1" si="13"/>
        <v>7360</v>
      </c>
      <c r="AC7" s="33">
        <f t="shared" ref="AC7:AC8" ca="1" si="14">IF(AA7&gt;0,AB7*100/AA7,0)</f>
        <v>5.333333333333333</v>
      </c>
      <c r="AD7" s="31">
        <f t="shared" ref="AD7:AE7" ca="1" si="15">AD8</f>
        <v>1104000</v>
      </c>
      <c r="AE7" s="32">
        <f t="shared" ca="1" si="15"/>
        <v>75007</v>
      </c>
      <c r="AF7" s="33">
        <f t="shared" ref="AF7:AF8" ca="1" si="16">IF(AD7&gt;0,AE7*100/AD7,0)</f>
        <v>6.7941123188405799</v>
      </c>
      <c r="AG7" s="31">
        <f t="shared" ref="AG7:AH7" ca="1" si="17">AG8</f>
        <v>652000</v>
      </c>
      <c r="AH7" s="32">
        <f t="shared" ca="1" si="17"/>
        <v>0</v>
      </c>
      <c r="AI7" s="33">
        <f t="shared" ref="AI7:AI8" ca="1" si="18">IF(AG7&gt;0,AH7*100/AG7,0)</f>
        <v>0</v>
      </c>
      <c r="AJ7" s="281">
        <f t="shared" ref="AJ7:AK7" ca="1" si="19">AJ8</f>
        <v>138</v>
      </c>
      <c r="AK7" s="282">
        <f t="shared" ca="1" si="19"/>
        <v>8</v>
      </c>
      <c r="AL7" s="283">
        <f t="shared" ref="AL7:AL8" ca="1" si="20">IF(AJ7&gt;0,AK7*100/AJ7,0)</f>
        <v>5.7971014492753623</v>
      </c>
      <c r="AM7" s="282">
        <f t="shared" ref="AM7:AP7" ca="1" si="21">AM8</f>
        <v>0</v>
      </c>
      <c r="AN7" s="282">
        <f t="shared" ca="1" si="21"/>
        <v>0</v>
      </c>
      <c r="AO7" s="31">
        <f t="shared" ca="1" si="21"/>
        <v>45000</v>
      </c>
      <c r="AP7" s="32">
        <f t="shared" ca="1" si="21"/>
        <v>240</v>
      </c>
      <c r="AQ7" s="33">
        <f t="shared" ref="AQ7:AQ8" ca="1" si="22">IF(AO7&gt;0,AP7*100/AO7,0)</f>
        <v>0.53333333333333333</v>
      </c>
      <c r="AR7" s="31">
        <f t="shared" ref="AR7:AS7" ca="1" si="23">AR8</f>
        <v>225000</v>
      </c>
      <c r="AS7" s="32">
        <f t="shared" ca="1" si="23"/>
        <v>0</v>
      </c>
      <c r="AT7" s="33">
        <f t="shared" ref="AT7:AT8" ca="1" si="24">IF(AR7&gt;0,AS7*100/AR7,0)</f>
        <v>0</v>
      </c>
      <c r="AU7" s="31">
        <f t="shared" ref="AU7:AV7" ca="1" si="25">AU8</f>
        <v>360000</v>
      </c>
      <c r="AV7" s="32">
        <f t="shared" ca="1" si="25"/>
        <v>8000</v>
      </c>
      <c r="AW7" s="33">
        <f t="shared" ref="AW7:AW8" ca="1" si="26">IF(AU7&gt;0,AV7*100/AU7,0)</f>
        <v>2.2222222222222223</v>
      </c>
      <c r="AX7" s="281">
        <f t="shared" ref="AX7:AY7" ca="1" si="27">AX8</f>
        <v>45</v>
      </c>
      <c r="AY7" s="282">
        <f t="shared" ca="1" si="27"/>
        <v>0</v>
      </c>
      <c r="AZ7" s="283">
        <f t="shared" ref="AZ7:AZ8" ca="1" si="28">IF(AX7&gt;0,AY7*100/AX7,0)</f>
        <v>0</v>
      </c>
      <c r="BA7" s="281">
        <f t="shared" ref="BA7:BB7" ca="1" si="29">BA8</f>
        <v>45</v>
      </c>
      <c r="BB7" s="282">
        <f t="shared" ca="1" si="29"/>
        <v>1</v>
      </c>
      <c r="BC7" s="283">
        <f t="shared" ref="BC7:BC8" ca="1" si="30">IF(BA7&gt;0,BB7*100/BA7,0)</f>
        <v>2.2222222222222223</v>
      </c>
      <c r="BD7" s="31">
        <f t="shared" ref="BD7:BE7" ca="1" si="31">BD8</f>
        <v>381000</v>
      </c>
      <c r="BE7" s="32">
        <f t="shared" ca="1" si="31"/>
        <v>0</v>
      </c>
      <c r="BF7" s="33">
        <f t="shared" ref="BF7:BF8" ca="1" si="32">IF(BD7&gt;0,BE7*100/BD7,0)</f>
        <v>0</v>
      </c>
      <c r="BG7" s="31">
        <f t="shared" ref="BG7:BH7" ca="1" si="33">BG8</f>
        <v>106500</v>
      </c>
      <c r="BH7" s="32">
        <f t="shared" ca="1" si="33"/>
        <v>0</v>
      </c>
      <c r="BI7" s="33">
        <f t="shared" ref="BI7:BI8" ca="1" si="34">IF(BG7&gt;0,BH7*100/BG7,0)</f>
        <v>0</v>
      </c>
      <c r="BJ7" s="281">
        <f t="shared" ref="BJ7:BK7" ca="1" si="35">BJ8</f>
        <v>2633000</v>
      </c>
      <c r="BK7" s="282">
        <f t="shared" ca="1" si="35"/>
        <v>57800</v>
      </c>
      <c r="BL7" s="283">
        <f t="shared" ref="BL7:BL8" ca="1" si="36">IF(BJ7&gt;0,BK7*100/BJ7,0)</f>
        <v>2.1952145841245727</v>
      </c>
      <c r="BM7" s="281">
        <f t="shared" ref="BM7:BN7" ca="1" si="37">BM8</f>
        <v>2633000</v>
      </c>
      <c r="BN7" s="282">
        <f t="shared" ca="1" si="37"/>
        <v>0</v>
      </c>
      <c r="BO7" s="283">
        <f t="shared" ref="BO7:BO8" ca="1" si="38">IF(BM7&gt;0,BN7*100/BM7,0)</f>
        <v>0</v>
      </c>
      <c r="BP7" s="281">
        <f t="shared" ref="BP7:BQ7" ca="1" si="39">BP8</f>
        <v>0</v>
      </c>
      <c r="BQ7" s="282">
        <f t="shared" ca="1" si="39"/>
        <v>0</v>
      </c>
      <c r="BR7" s="283">
        <f t="shared" ref="BR7:BR8" ca="1" si="40">IF(BP7&gt;0,BQ7*100/BP7,0)</f>
        <v>0</v>
      </c>
      <c r="BS7" s="31">
        <f t="shared" ref="BS7:BT7" ca="1" si="41">BS8</f>
        <v>1070300</v>
      </c>
      <c r="BT7" s="32">
        <f t="shared" ca="1" si="41"/>
        <v>95218</v>
      </c>
      <c r="BU7" s="33">
        <f t="shared" ref="BU7:BU8" ca="1" si="42">IF(BS7&gt;0,BT7*100/BS7,0)</f>
        <v>8.8963841913482202</v>
      </c>
      <c r="BV7" s="31">
        <f t="shared" ref="BV7:BW7" ca="1" si="43">BV8</f>
        <v>59000</v>
      </c>
      <c r="BW7" s="32">
        <f t="shared" ca="1" si="43"/>
        <v>29450</v>
      </c>
      <c r="BX7" s="33">
        <f t="shared" ref="BX7:BX8" ca="1" si="44">IF(BV7&gt;0,BW7*100/BV7,0)</f>
        <v>49.915254237288138</v>
      </c>
      <c r="BY7" s="31">
        <f t="shared" ref="BY7:BZ7" ca="1" si="45">BY8</f>
        <v>945300</v>
      </c>
      <c r="BZ7" s="32">
        <f t="shared" ca="1" si="45"/>
        <v>92840</v>
      </c>
      <c r="CA7" s="33">
        <f t="shared" ref="CA7:CA8" ca="1" si="46">IF(BY7&gt;0,BZ7*100/BY7,0)</f>
        <v>9.8212207764730781</v>
      </c>
      <c r="CB7" s="31">
        <f t="shared" ref="CB7:CC7" ca="1" si="47">CB8</f>
        <v>757000</v>
      </c>
      <c r="CC7" s="32">
        <f t="shared" ca="1" si="47"/>
        <v>36000</v>
      </c>
      <c r="CD7" s="33">
        <f t="shared" ref="CD7:CD8" ca="1" si="48">IF(CB7&gt;0,CC7*100/CB7,0)</f>
        <v>4.7556142668428008</v>
      </c>
      <c r="CE7" s="281">
        <f t="shared" ref="CE7:CF7" ca="1" si="49">CE8</f>
        <v>660</v>
      </c>
      <c r="CF7" s="282">
        <f t="shared" ca="1" si="49"/>
        <v>70</v>
      </c>
      <c r="CG7" s="283">
        <f t="shared" ref="CG7:CG8" ca="1" si="50">IF(CE7&gt;0,CF7*100/CE7,0)</f>
        <v>10.606060606060606</v>
      </c>
      <c r="CH7" s="282">
        <f t="shared" ref="CH7:CI7" ca="1" si="51">CH8</f>
        <v>30</v>
      </c>
      <c r="CI7" s="282">
        <f t="shared" ca="1" si="51"/>
        <v>0</v>
      </c>
    </row>
    <row r="8" spans="1:87" ht="28.5" customHeight="1" x14ac:dyDescent="0.3">
      <c r="A8" s="34" t="s">
        <v>32</v>
      </c>
      <c r="B8" s="35"/>
      <c r="C8" s="154">
        <f t="shared" ca="1" si="0"/>
        <v>12171400</v>
      </c>
      <c r="D8" s="154">
        <f t="shared" ref="D8:I8" ca="1" si="52">+D13+D31+D52+D74</f>
        <v>12171400</v>
      </c>
      <c r="E8" s="154">
        <f t="shared" ca="1" si="52"/>
        <v>5896300</v>
      </c>
      <c r="F8" s="154">
        <f t="shared" ca="1" si="52"/>
        <v>6275100</v>
      </c>
      <c r="G8" s="154">
        <f t="shared" ca="1" si="52"/>
        <v>0</v>
      </c>
      <c r="H8" s="154">
        <f t="shared" ca="1" si="52"/>
        <v>8913125</v>
      </c>
      <c r="I8" s="154">
        <f t="shared" ca="1" si="52"/>
        <v>0</v>
      </c>
      <c r="J8" s="154">
        <f t="shared" ca="1" si="3"/>
        <v>2239887.34</v>
      </c>
      <c r="K8" s="155">
        <f t="shared" ca="1" si="4"/>
        <v>18.402873457449431</v>
      </c>
      <c r="L8" s="154">
        <f ca="1">+L13+L31+L52+L74</f>
        <v>2239887.34</v>
      </c>
      <c r="M8" s="156">
        <f t="shared" ca="1" si="5"/>
        <v>18.402873457449431</v>
      </c>
      <c r="N8" s="156">
        <f t="shared" ca="1" si="6"/>
        <v>25.130213477315756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8">
        <f t="shared" ref="R8:S8" ca="1" si="53">+R13+R31+R52+R74</f>
        <v>432000</v>
      </c>
      <c r="S8" s="38">
        <f t="shared" ca="1" si="53"/>
        <v>11250</v>
      </c>
      <c r="T8" s="40">
        <f t="shared" ca="1" si="10"/>
        <v>2.6041666666666665</v>
      </c>
      <c r="U8" s="38">
        <f t="shared" ref="U8:V8" ca="1" si="54">+U13+U31+U52+U74</f>
        <v>288</v>
      </c>
      <c r="V8" s="38">
        <f t="shared" ca="1" si="54"/>
        <v>25</v>
      </c>
      <c r="W8" s="40">
        <f t="shared" ca="1" si="12"/>
        <v>8.6805555555555554</v>
      </c>
      <c r="X8" s="38">
        <f t="shared" ref="X8:AB8" ca="1" si="55">+X13+X31+X52+X74</f>
        <v>676</v>
      </c>
      <c r="Y8" s="38">
        <f t="shared" ca="1" si="55"/>
        <v>676</v>
      </c>
      <c r="Z8" s="38">
        <f t="shared" ca="1" si="55"/>
        <v>0</v>
      </c>
      <c r="AA8" s="38">
        <f t="shared" ca="1" si="55"/>
        <v>138000</v>
      </c>
      <c r="AB8" s="38">
        <f t="shared" ca="1" si="55"/>
        <v>7360</v>
      </c>
      <c r="AC8" s="40">
        <f t="shared" ca="1" si="14"/>
        <v>5.333333333333333</v>
      </c>
      <c r="AD8" s="38">
        <f t="shared" ref="AD8:AE8" ca="1" si="56">+AD13+AD31+AD52+AD74</f>
        <v>1104000</v>
      </c>
      <c r="AE8" s="38">
        <f t="shared" ca="1" si="56"/>
        <v>75007</v>
      </c>
      <c r="AF8" s="40">
        <f t="shared" ca="1" si="16"/>
        <v>6.7941123188405799</v>
      </c>
      <c r="AG8" s="38">
        <f t="shared" ref="AG8:AH8" ca="1" si="57">+AG13+AG31+AG52+AG74</f>
        <v>652000</v>
      </c>
      <c r="AH8" s="38">
        <f t="shared" ca="1" si="57"/>
        <v>0</v>
      </c>
      <c r="AI8" s="40">
        <f t="shared" ca="1" si="18"/>
        <v>0</v>
      </c>
      <c r="AJ8" s="38">
        <f t="shared" ref="AJ8:AK8" ca="1" si="58">+AJ13+AJ31+AJ52+AJ74</f>
        <v>138</v>
      </c>
      <c r="AK8" s="38">
        <f t="shared" ca="1" si="58"/>
        <v>8</v>
      </c>
      <c r="AL8" s="40">
        <f t="shared" ca="1" si="20"/>
        <v>5.7971014492753623</v>
      </c>
      <c r="AM8" s="38">
        <f t="shared" ref="AM8:AP8" ca="1" si="59">+AM13+AM31+AM52+AM74</f>
        <v>0</v>
      </c>
      <c r="AN8" s="38">
        <f t="shared" ca="1" si="59"/>
        <v>0</v>
      </c>
      <c r="AO8" s="38">
        <f t="shared" ca="1" si="59"/>
        <v>45000</v>
      </c>
      <c r="AP8" s="38">
        <f t="shared" ca="1" si="59"/>
        <v>240</v>
      </c>
      <c r="AQ8" s="40">
        <f t="shared" ca="1" si="22"/>
        <v>0.53333333333333333</v>
      </c>
      <c r="AR8" s="38">
        <f t="shared" ref="AR8:AS8" ca="1" si="60">+AR13+AR31+AR52+AR74</f>
        <v>225000</v>
      </c>
      <c r="AS8" s="38">
        <f t="shared" ca="1" si="60"/>
        <v>0</v>
      </c>
      <c r="AT8" s="40">
        <f t="shared" ca="1" si="24"/>
        <v>0</v>
      </c>
      <c r="AU8" s="38">
        <f t="shared" ref="AU8:AV8" ca="1" si="61">+AU13+AU31+AU52+AU74</f>
        <v>360000</v>
      </c>
      <c r="AV8" s="38">
        <f t="shared" ca="1" si="61"/>
        <v>8000</v>
      </c>
      <c r="AW8" s="40">
        <f t="shared" ca="1" si="26"/>
        <v>2.2222222222222223</v>
      </c>
      <c r="AX8" s="38">
        <f t="shared" ref="AX8:AY8" ca="1" si="62">+AX13+AX31+AX52+AX74</f>
        <v>45</v>
      </c>
      <c r="AY8" s="38">
        <f t="shared" ca="1" si="62"/>
        <v>0</v>
      </c>
      <c r="AZ8" s="40">
        <f t="shared" ca="1" si="28"/>
        <v>0</v>
      </c>
      <c r="BA8" s="38">
        <f t="shared" ref="BA8:BB8" ca="1" si="63">+BA13+BA31+BA52+BA74</f>
        <v>45</v>
      </c>
      <c r="BB8" s="38">
        <f t="shared" ca="1" si="63"/>
        <v>1</v>
      </c>
      <c r="BC8" s="40">
        <f t="shared" ca="1" si="30"/>
        <v>2.2222222222222223</v>
      </c>
      <c r="BD8" s="38">
        <f t="shared" ref="BD8:BE8" ca="1" si="64">+BD13+BD31+BD52+BD74</f>
        <v>381000</v>
      </c>
      <c r="BE8" s="38">
        <f t="shared" ca="1" si="64"/>
        <v>0</v>
      </c>
      <c r="BF8" s="40">
        <f t="shared" ca="1" si="32"/>
        <v>0</v>
      </c>
      <c r="BG8" s="38">
        <f t="shared" ref="BG8:BH8" ca="1" si="65">+BG13+BG31+BG52+BG74</f>
        <v>106500</v>
      </c>
      <c r="BH8" s="38">
        <f t="shared" ca="1" si="65"/>
        <v>0</v>
      </c>
      <c r="BI8" s="40">
        <f t="shared" ca="1" si="34"/>
        <v>0</v>
      </c>
      <c r="BJ8" s="38">
        <f t="shared" ref="BJ8:BK8" ca="1" si="66">+BJ13+BJ31+BJ52+BJ74</f>
        <v>2633000</v>
      </c>
      <c r="BK8" s="38">
        <f t="shared" ca="1" si="66"/>
        <v>57800</v>
      </c>
      <c r="BL8" s="40">
        <f t="shared" ca="1" si="36"/>
        <v>2.1952145841245727</v>
      </c>
      <c r="BM8" s="38">
        <f t="shared" ref="BM8:BN8" ca="1" si="67">+BM13+BM31+BM52+BM74</f>
        <v>2633000</v>
      </c>
      <c r="BN8" s="38">
        <f t="shared" ca="1" si="67"/>
        <v>0</v>
      </c>
      <c r="BO8" s="40">
        <f t="shared" ca="1" si="38"/>
        <v>0</v>
      </c>
      <c r="BP8" s="38">
        <f t="shared" ref="BP8:BQ8" ca="1" si="68">+BP13+BP31+BP52+BP74</f>
        <v>0</v>
      </c>
      <c r="BQ8" s="38">
        <f t="shared" ca="1" si="68"/>
        <v>0</v>
      </c>
      <c r="BR8" s="40">
        <f t="shared" ca="1" si="40"/>
        <v>0</v>
      </c>
      <c r="BS8" s="38">
        <f t="shared" ref="BS8:BT8" ca="1" si="69">+BS13+BS31+BS52+BS74</f>
        <v>1070300</v>
      </c>
      <c r="BT8" s="38">
        <f t="shared" ca="1" si="69"/>
        <v>95218</v>
      </c>
      <c r="BU8" s="40">
        <f t="shared" ca="1" si="42"/>
        <v>8.8963841913482202</v>
      </c>
      <c r="BV8" s="38">
        <f t="shared" ref="BV8:BW8" ca="1" si="70">+BV13+BV31+BV52+BV74</f>
        <v>59000</v>
      </c>
      <c r="BW8" s="38">
        <f t="shared" ca="1" si="70"/>
        <v>29450</v>
      </c>
      <c r="BX8" s="40">
        <f t="shared" ca="1" si="44"/>
        <v>49.915254237288138</v>
      </c>
      <c r="BY8" s="38">
        <f t="shared" ref="BY8:BZ8" ca="1" si="71">+BY13+BY31+BY52+BY74</f>
        <v>945300</v>
      </c>
      <c r="BZ8" s="38">
        <f t="shared" ca="1" si="71"/>
        <v>92840</v>
      </c>
      <c r="CA8" s="40">
        <f t="shared" ca="1" si="46"/>
        <v>9.8212207764730781</v>
      </c>
      <c r="CB8" s="38">
        <f t="shared" ref="CB8:CC8" ca="1" si="72">+CB13+CB31+CB52+CB74</f>
        <v>757000</v>
      </c>
      <c r="CC8" s="38">
        <f t="shared" ca="1" si="72"/>
        <v>36000</v>
      </c>
      <c r="CD8" s="40">
        <f t="shared" ca="1" si="48"/>
        <v>4.7556142668428008</v>
      </c>
      <c r="CE8" s="38">
        <f t="shared" ref="CE8:CF8" ca="1" si="73">+CE13+CE31+CE52+CE74</f>
        <v>660</v>
      </c>
      <c r="CF8" s="38">
        <f t="shared" ca="1" si="73"/>
        <v>70</v>
      </c>
      <c r="CG8" s="40">
        <f t="shared" ca="1" si="50"/>
        <v>10.606060606060606</v>
      </c>
      <c r="CH8" s="38">
        <f t="shared" ref="CH8:CI8" ca="1" si="74">+CH13+CH31+CH52+CH74</f>
        <v>30</v>
      </c>
      <c r="CI8" s="38">
        <f t="shared" ca="1" si="74"/>
        <v>0</v>
      </c>
    </row>
    <row r="9" spans="1:87" ht="28.5" customHeight="1" x14ac:dyDescent="0.3">
      <c r="A9" s="44" t="s">
        <v>33</v>
      </c>
      <c r="B9" s="45"/>
      <c r="C9" s="160">
        <f t="shared" ca="1" si="0"/>
        <v>2023400</v>
      </c>
      <c r="D9" s="160">
        <f t="shared" ref="D9:I9" ca="1" si="75">+D10+D11</f>
        <v>2023400</v>
      </c>
      <c r="E9" s="160">
        <f t="shared" ca="1" si="75"/>
        <v>491400</v>
      </c>
      <c r="F9" s="160">
        <f t="shared" ca="1" si="75"/>
        <v>1532000</v>
      </c>
      <c r="G9" s="160">
        <f t="shared" ca="1" si="75"/>
        <v>0</v>
      </c>
      <c r="H9" s="160">
        <f t="shared" ca="1" si="75"/>
        <v>2410975</v>
      </c>
      <c r="I9" s="160">
        <f t="shared" ca="1" si="75"/>
        <v>0</v>
      </c>
      <c r="J9" s="160">
        <f t="shared" ca="1" si="3"/>
        <v>316772.70999999996</v>
      </c>
      <c r="K9" s="161">
        <f t="shared" ca="1" si="4"/>
        <v>15.655466541464859</v>
      </c>
      <c r="L9" s="160">
        <f ca="1">+L10+L11</f>
        <v>316772.70999999996</v>
      </c>
      <c r="M9" s="162">
        <f t="shared" ca="1" si="5"/>
        <v>15.655466541464859</v>
      </c>
      <c r="N9" s="162">
        <f t="shared" ca="1" si="6"/>
        <v>13.138780368937876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46"/>
      <c r="S9" s="46"/>
      <c r="T9" s="49"/>
      <c r="U9" s="46"/>
      <c r="V9" s="46"/>
      <c r="W9" s="49"/>
      <c r="X9" s="46"/>
      <c r="Y9" s="46"/>
      <c r="Z9" s="46"/>
      <c r="AA9" s="46"/>
      <c r="AB9" s="46"/>
      <c r="AC9" s="49"/>
      <c r="AD9" s="46"/>
      <c r="AE9" s="46"/>
      <c r="AF9" s="49"/>
      <c r="AG9" s="46"/>
      <c r="AH9" s="46"/>
      <c r="AI9" s="49"/>
      <c r="AJ9" s="46"/>
      <c r="AK9" s="46"/>
      <c r="AL9" s="49"/>
      <c r="AM9" s="46"/>
      <c r="AN9" s="46"/>
      <c r="AO9" s="46"/>
      <c r="AP9" s="46"/>
      <c r="AQ9" s="49"/>
      <c r="AR9" s="46"/>
      <c r="AS9" s="46"/>
      <c r="AT9" s="49"/>
      <c r="AU9" s="46"/>
      <c r="AV9" s="46"/>
      <c r="AW9" s="49"/>
      <c r="AX9" s="46"/>
      <c r="AY9" s="46"/>
      <c r="AZ9" s="49"/>
      <c r="BA9" s="46"/>
      <c r="BB9" s="46"/>
      <c r="BC9" s="49"/>
      <c r="BD9" s="46"/>
      <c r="BE9" s="46"/>
      <c r="BF9" s="49"/>
      <c r="BG9" s="46"/>
      <c r="BH9" s="46"/>
      <c r="BI9" s="49"/>
      <c r="BJ9" s="46"/>
      <c r="BK9" s="46"/>
      <c r="BL9" s="49"/>
      <c r="BM9" s="46"/>
      <c r="BN9" s="46"/>
      <c r="BO9" s="49"/>
      <c r="BP9" s="46"/>
      <c r="BQ9" s="46"/>
      <c r="BR9" s="49"/>
      <c r="BS9" s="46"/>
      <c r="BT9" s="46"/>
      <c r="BU9" s="49"/>
      <c r="BV9" s="46"/>
      <c r="BW9" s="46"/>
      <c r="BX9" s="49"/>
      <c r="BY9" s="46"/>
      <c r="BZ9" s="46"/>
      <c r="CA9" s="49"/>
      <c r="CB9" s="46"/>
      <c r="CC9" s="46"/>
      <c r="CD9" s="49"/>
      <c r="CE9" s="46"/>
      <c r="CF9" s="46"/>
      <c r="CG9" s="49"/>
      <c r="CH9" s="46"/>
      <c r="CI9" s="46"/>
    </row>
    <row r="10" spans="1:87" ht="28.5" customHeight="1" x14ac:dyDescent="0.3">
      <c r="A10" s="44" t="s">
        <v>34</v>
      </c>
      <c r="B10" s="45"/>
      <c r="C10" s="160">
        <f t="shared" ca="1" si="0"/>
        <v>2023400</v>
      </c>
      <c r="D10" s="160">
        <f t="shared" ref="D10:I10" ca="1" si="76">+D89</f>
        <v>2023400</v>
      </c>
      <c r="E10" s="160">
        <f t="shared" ca="1" si="76"/>
        <v>491400</v>
      </c>
      <c r="F10" s="160">
        <f t="shared" ca="1" si="76"/>
        <v>1532000</v>
      </c>
      <c r="G10" s="160">
        <f t="shared" ca="1" si="76"/>
        <v>0</v>
      </c>
      <c r="H10" s="160">
        <f t="shared" ca="1" si="76"/>
        <v>2410975</v>
      </c>
      <c r="I10" s="160">
        <f t="shared" ca="1" si="76"/>
        <v>0</v>
      </c>
      <c r="J10" s="160">
        <f t="shared" ca="1" si="3"/>
        <v>316772.70999999996</v>
      </c>
      <c r="K10" s="161">
        <f t="shared" ca="1" si="4"/>
        <v>15.655466541464859</v>
      </c>
      <c r="L10" s="160">
        <f ca="1">+L89</f>
        <v>316772.70999999996</v>
      </c>
      <c r="M10" s="162">
        <f t="shared" ca="1" si="5"/>
        <v>15.655466541464859</v>
      </c>
      <c r="N10" s="162">
        <f t="shared" ca="1" si="6"/>
        <v>13.138780368937876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46"/>
      <c r="S10" s="46"/>
      <c r="T10" s="49"/>
      <c r="U10" s="46"/>
      <c r="V10" s="46"/>
      <c r="W10" s="49"/>
      <c r="X10" s="46"/>
      <c r="Y10" s="46"/>
      <c r="Z10" s="46"/>
      <c r="AA10" s="46"/>
      <c r="AB10" s="46"/>
      <c r="AC10" s="49"/>
      <c r="AD10" s="46"/>
      <c r="AE10" s="46"/>
      <c r="AF10" s="49"/>
      <c r="AG10" s="46"/>
      <c r="AH10" s="46"/>
      <c r="AI10" s="49"/>
      <c r="AJ10" s="46"/>
      <c r="AK10" s="46"/>
      <c r="AL10" s="49"/>
      <c r="AM10" s="46"/>
      <c r="AN10" s="46"/>
      <c r="AO10" s="46"/>
      <c r="AP10" s="46"/>
      <c r="AQ10" s="49"/>
      <c r="AR10" s="46"/>
      <c r="AS10" s="46"/>
      <c r="AT10" s="49"/>
      <c r="AU10" s="46"/>
      <c r="AV10" s="46"/>
      <c r="AW10" s="49"/>
      <c r="AX10" s="46"/>
      <c r="AY10" s="46"/>
      <c r="AZ10" s="49"/>
      <c r="BA10" s="46"/>
      <c r="BB10" s="46"/>
      <c r="BC10" s="49"/>
      <c r="BD10" s="46"/>
      <c r="BE10" s="46"/>
      <c r="BF10" s="49"/>
      <c r="BG10" s="46"/>
      <c r="BH10" s="46"/>
      <c r="BI10" s="49"/>
      <c r="BJ10" s="46"/>
      <c r="BK10" s="46"/>
      <c r="BL10" s="49"/>
      <c r="BM10" s="46"/>
      <c r="BN10" s="46"/>
      <c r="BO10" s="49"/>
      <c r="BP10" s="46"/>
      <c r="BQ10" s="46"/>
      <c r="BR10" s="49"/>
      <c r="BS10" s="46"/>
      <c r="BT10" s="46"/>
      <c r="BU10" s="49"/>
      <c r="BV10" s="46"/>
      <c r="BW10" s="46"/>
      <c r="BX10" s="49"/>
      <c r="BY10" s="46"/>
      <c r="BZ10" s="46"/>
      <c r="CA10" s="49"/>
      <c r="CB10" s="46"/>
      <c r="CC10" s="46"/>
      <c r="CD10" s="49"/>
      <c r="CE10" s="46"/>
      <c r="CF10" s="46"/>
      <c r="CG10" s="49"/>
      <c r="CH10" s="46"/>
      <c r="CI10" s="46"/>
    </row>
    <row r="11" spans="1:87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218"/>
      <c r="S11" s="218"/>
      <c r="T11" s="219"/>
      <c r="U11" s="218"/>
      <c r="V11" s="218"/>
      <c r="W11" s="219"/>
      <c r="X11" s="218"/>
      <c r="Y11" s="218"/>
      <c r="Z11" s="218"/>
      <c r="AA11" s="218"/>
      <c r="AB11" s="218"/>
      <c r="AC11" s="219"/>
      <c r="AD11" s="218"/>
      <c r="AE11" s="218"/>
      <c r="AF11" s="219"/>
      <c r="AG11" s="218"/>
      <c r="AH11" s="218"/>
      <c r="AI11" s="219"/>
      <c r="AJ11" s="218"/>
      <c r="AK11" s="218"/>
      <c r="AL11" s="219"/>
      <c r="AM11" s="218"/>
      <c r="AN11" s="218"/>
      <c r="AO11" s="218"/>
      <c r="AP11" s="218"/>
      <c r="AQ11" s="219"/>
      <c r="AR11" s="218"/>
      <c r="AS11" s="218"/>
      <c r="AT11" s="219"/>
      <c r="AU11" s="218"/>
      <c r="AV11" s="218"/>
      <c r="AW11" s="219"/>
      <c r="AX11" s="218"/>
      <c r="AY11" s="218"/>
      <c r="AZ11" s="219"/>
      <c r="BA11" s="218"/>
      <c r="BB11" s="218"/>
      <c r="BC11" s="219"/>
      <c r="BD11" s="218"/>
      <c r="BE11" s="218"/>
      <c r="BF11" s="219"/>
      <c r="BG11" s="218"/>
      <c r="BH11" s="218"/>
      <c r="BI11" s="219"/>
      <c r="BJ11" s="218"/>
      <c r="BK11" s="218"/>
      <c r="BL11" s="219"/>
      <c r="BM11" s="218"/>
      <c r="BN11" s="218"/>
      <c r="BO11" s="219"/>
      <c r="BP11" s="218"/>
      <c r="BQ11" s="218"/>
      <c r="BR11" s="219"/>
      <c r="BS11" s="218"/>
      <c r="BT11" s="218"/>
      <c r="BU11" s="219"/>
      <c r="BV11" s="218"/>
      <c r="BW11" s="218"/>
      <c r="BX11" s="219"/>
      <c r="BY11" s="218"/>
      <c r="BZ11" s="218"/>
      <c r="CA11" s="219"/>
      <c r="CB11" s="218"/>
      <c r="CC11" s="218"/>
      <c r="CD11" s="219"/>
      <c r="CE11" s="218"/>
      <c r="CF11" s="218"/>
      <c r="CG11" s="219"/>
      <c r="CH11" s="218"/>
      <c r="CI11" s="218"/>
    </row>
    <row r="12" spans="1:87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221"/>
      <c r="S12" s="221"/>
      <c r="T12" s="222"/>
      <c r="U12" s="221"/>
      <c r="V12" s="221"/>
      <c r="W12" s="222"/>
      <c r="X12" s="221"/>
      <c r="Y12" s="221"/>
      <c r="Z12" s="221"/>
      <c r="AA12" s="221"/>
      <c r="AB12" s="221"/>
      <c r="AC12" s="222"/>
      <c r="AD12" s="221"/>
      <c r="AE12" s="221"/>
      <c r="AF12" s="222"/>
      <c r="AG12" s="221"/>
      <c r="AH12" s="221"/>
      <c r="AI12" s="222"/>
      <c r="AJ12" s="221"/>
      <c r="AK12" s="221"/>
      <c r="AL12" s="222"/>
      <c r="AM12" s="221"/>
      <c r="AN12" s="221"/>
      <c r="AO12" s="221"/>
      <c r="AP12" s="221"/>
      <c r="AQ12" s="222"/>
      <c r="AR12" s="221"/>
      <c r="AS12" s="221"/>
      <c r="AT12" s="222"/>
      <c r="AU12" s="221"/>
      <c r="AV12" s="221"/>
      <c r="AW12" s="222"/>
      <c r="AX12" s="221"/>
      <c r="AY12" s="221"/>
      <c r="AZ12" s="222"/>
      <c r="BA12" s="221"/>
      <c r="BB12" s="221"/>
      <c r="BC12" s="222"/>
      <c r="BD12" s="221"/>
      <c r="BE12" s="221"/>
      <c r="BF12" s="222"/>
      <c r="BG12" s="221"/>
      <c r="BH12" s="221"/>
      <c r="BI12" s="222"/>
      <c r="BJ12" s="221"/>
      <c r="BK12" s="221"/>
      <c r="BL12" s="222"/>
      <c r="BM12" s="221"/>
      <c r="BN12" s="221"/>
      <c r="BO12" s="222"/>
      <c r="BP12" s="221"/>
      <c r="BQ12" s="221"/>
      <c r="BR12" s="222"/>
      <c r="BS12" s="221"/>
      <c r="BT12" s="221"/>
      <c r="BU12" s="222"/>
      <c r="BV12" s="221"/>
      <c r="BW12" s="221"/>
      <c r="BX12" s="222"/>
      <c r="BY12" s="221"/>
      <c r="BZ12" s="221"/>
      <c r="CA12" s="222"/>
      <c r="CB12" s="221"/>
      <c r="CC12" s="221"/>
      <c r="CD12" s="222"/>
      <c r="CE12" s="221"/>
      <c r="CF12" s="221"/>
      <c r="CG12" s="222"/>
      <c r="CH12" s="221"/>
      <c r="CI12" s="221"/>
    </row>
    <row r="13" spans="1:87" ht="28.5" customHeight="1" x14ac:dyDescent="0.3">
      <c r="A13" s="394" t="s">
        <v>35</v>
      </c>
      <c r="B13" s="376"/>
      <c r="C13" s="154">
        <f t="shared" ref="C13:C88" ca="1" si="77">D13+G13</f>
        <v>3628200</v>
      </c>
      <c r="D13" s="154">
        <f t="shared" ref="D13:I13" ca="1" si="78">SUM(D14:D30)</f>
        <v>3628200</v>
      </c>
      <c r="E13" s="154">
        <f t="shared" ca="1" si="78"/>
        <v>1456000</v>
      </c>
      <c r="F13" s="154">
        <f t="shared" ca="1" si="78"/>
        <v>2172200</v>
      </c>
      <c r="G13" s="154">
        <f t="shared" ca="1" si="78"/>
        <v>0</v>
      </c>
      <c r="H13" s="154">
        <f t="shared" ca="1" si="78"/>
        <v>2637400</v>
      </c>
      <c r="I13" s="154">
        <f t="shared" ca="1" si="78"/>
        <v>0</v>
      </c>
      <c r="J13" s="154">
        <f t="shared" ref="J13:J88" ca="1" si="79">L13+O13</f>
        <v>586805.34</v>
      </c>
      <c r="K13" s="155">
        <f t="shared" ref="K13:K88" ca="1" si="80">IF(C13&gt;0,J13*100/C13,0)</f>
        <v>16.173456259302132</v>
      </c>
      <c r="L13" s="154">
        <f ca="1">SUM(L14:L30)</f>
        <v>586805.34</v>
      </c>
      <c r="M13" s="156">
        <f t="shared" ref="M13:M88" ca="1" si="81">IF(D13&gt;0,L13*100/D13,0)</f>
        <v>16.173456259302132</v>
      </c>
      <c r="N13" s="156">
        <f t="shared" ref="N13:N88" ca="1" si="82">IF(H13&gt;0,L13*100/H13,0)</f>
        <v>22.249387275346933</v>
      </c>
      <c r="O13" s="157">
        <f ca="1">SUM(O14:O30)</f>
        <v>0</v>
      </c>
      <c r="P13" s="157">
        <f t="shared" ref="P13:P88" ca="1" si="83">IF(G13&gt;0,O13*100/G13,0)</f>
        <v>0</v>
      </c>
      <c r="Q13" s="156">
        <f t="shared" ref="Q13:Q88" ca="1" si="84">IF(I13&gt;0,O13*100/I13,0)</f>
        <v>0</v>
      </c>
      <c r="R13" s="70">
        <f t="shared" ref="R13:S13" ca="1" si="85">SUM(R14:R30)</f>
        <v>102000</v>
      </c>
      <c r="S13" s="70">
        <f t="shared" ca="1" si="85"/>
        <v>360</v>
      </c>
      <c r="T13" s="72">
        <f t="shared" ref="T13:T88" ca="1" si="86">IF(R13&gt;0,S13*100/R13,0)</f>
        <v>0.35294117647058826</v>
      </c>
      <c r="U13" s="70">
        <f t="shared" ref="U13:V13" ca="1" si="87">SUM(U14:U30)</f>
        <v>68</v>
      </c>
      <c r="V13" s="70">
        <f t="shared" ca="1" si="87"/>
        <v>5</v>
      </c>
      <c r="W13" s="72">
        <f t="shared" ref="W13:W88" ca="1" si="88">IF(U13&gt;0,V13*100/U13,0)</f>
        <v>7.3529411764705879</v>
      </c>
      <c r="X13" s="70">
        <f t="shared" ref="X13:AB13" ca="1" si="89">SUM(X14:X30)</f>
        <v>92</v>
      </c>
      <c r="Y13" s="70">
        <f t="shared" ca="1" si="89"/>
        <v>92</v>
      </c>
      <c r="Z13" s="70">
        <f t="shared" ca="1" si="89"/>
        <v>0</v>
      </c>
      <c r="AA13" s="70">
        <f t="shared" ca="1" si="89"/>
        <v>42000</v>
      </c>
      <c r="AB13" s="70">
        <f t="shared" ca="1" si="89"/>
        <v>4440</v>
      </c>
      <c r="AC13" s="72">
        <f t="shared" ref="AC13:AC88" ca="1" si="90">IF(AA13&gt;0,AB13*100/AA13,0)</f>
        <v>10.571428571428571</v>
      </c>
      <c r="AD13" s="70">
        <f t="shared" ref="AD13:AE13" ca="1" si="91">SUM(AD14:AD30)</f>
        <v>336000</v>
      </c>
      <c r="AE13" s="70">
        <f t="shared" ca="1" si="91"/>
        <v>30260</v>
      </c>
      <c r="AF13" s="72">
        <f t="shared" ref="AF13:AF88" ca="1" si="92">IF(AD13&gt;0,AE13*100/AD13,0)</f>
        <v>9.0059523809523814</v>
      </c>
      <c r="AG13" s="70">
        <f t="shared" ref="AG13:AH13" ca="1" si="93">SUM(AG14:AG30)</f>
        <v>199000</v>
      </c>
      <c r="AH13" s="70">
        <f t="shared" ca="1" si="93"/>
        <v>0</v>
      </c>
      <c r="AI13" s="72">
        <f t="shared" ref="AI13:AI88" ca="1" si="94">IF(AG13&gt;0,AH13*100/AG13,0)</f>
        <v>0</v>
      </c>
      <c r="AJ13" s="70">
        <f t="shared" ref="AJ13:AK13" ca="1" si="95">SUM(AJ14:AJ30)</f>
        <v>42</v>
      </c>
      <c r="AK13" s="70">
        <f t="shared" ca="1" si="95"/>
        <v>4</v>
      </c>
      <c r="AL13" s="72">
        <f t="shared" ref="AL13:AL88" ca="1" si="96">IF(AJ13&gt;0,AK13*100/AJ13,0)</f>
        <v>9.5238095238095237</v>
      </c>
      <c r="AM13" s="70">
        <f t="shared" ref="AM13:AP13" ca="1" si="97">SUM(AM14:AM30)</f>
        <v>0</v>
      </c>
      <c r="AN13" s="70">
        <f t="shared" ca="1" si="97"/>
        <v>0</v>
      </c>
      <c r="AO13" s="70">
        <f t="shared" ca="1" si="97"/>
        <v>4000</v>
      </c>
      <c r="AP13" s="70">
        <f t="shared" ca="1" si="97"/>
        <v>0</v>
      </c>
      <c r="AQ13" s="72">
        <f t="shared" ref="AQ13:AQ88" ca="1" si="98">IF(AO13&gt;0,AP13*100/AO13,0)</f>
        <v>0</v>
      </c>
      <c r="AR13" s="70">
        <f t="shared" ref="AR13:AS13" ca="1" si="99">SUM(AR14:AR30)</f>
        <v>20000</v>
      </c>
      <c r="AS13" s="70">
        <f t="shared" ca="1" si="99"/>
        <v>0</v>
      </c>
      <c r="AT13" s="72">
        <f t="shared" ref="AT13:AT88" ca="1" si="100">IF(AR13&gt;0,AS13*100/AR13,0)</f>
        <v>0</v>
      </c>
      <c r="AU13" s="70">
        <f t="shared" ref="AU13:AV13" ca="1" si="101">SUM(AU14:AU30)</f>
        <v>32000</v>
      </c>
      <c r="AV13" s="70">
        <f t="shared" ca="1" si="101"/>
        <v>0</v>
      </c>
      <c r="AW13" s="72">
        <f t="shared" ref="AW13:AW88" ca="1" si="102">IF(AU13&gt;0,AV13*100/AU13,0)</f>
        <v>0</v>
      </c>
      <c r="AX13" s="70">
        <f t="shared" ref="AX13:AY13" ca="1" si="103">SUM(AX14:AX30)</f>
        <v>4</v>
      </c>
      <c r="AY13" s="70">
        <f t="shared" ca="1" si="103"/>
        <v>0</v>
      </c>
      <c r="AZ13" s="72">
        <f t="shared" ref="AZ13:AZ88" ca="1" si="104">IF(AX13&gt;0,AY13*100/AX13,0)</f>
        <v>0</v>
      </c>
      <c r="BA13" s="70">
        <f t="shared" ref="BA13:BB13" ca="1" si="105">SUM(BA14:BA30)</f>
        <v>4</v>
      </c>
      <c r="BB13" s="70">
        <f t="shared" ca="1" si="105"/>
        <v>0</v>
      </c>
      <c r="BC13" s="72">
        <f t="shared" ref="BC13:BC88" ca="1" si="106">IF(BA13&gt;0,BB13*100/BA13,0)</f>
        <v>0</v>
      </c>
      <c r="BD13" s="70">
        <f t="shared" ref="BD13:BE13" ca="1" si="107">SUM(BD14:BD30)</f>
        <v>129000</v>
      </c>
      <c r="BE13" s="70">
        <f t="shared" ca="1" si="107"/>
        <v>0</v>
      </c>
      <c r="BF13" s="72">
        <f t="shared" ref="BF13:BF88" ca="1" si="108">IF(BD13&gt;0,BE13*100/BD13,0)</f>
        <v>0</v>
      </c>
      <c r="BG13" s="70">
        <f t="shared" ref="BG13:BH13" ca="1" si="109">SUM(BG14:BG30)</f>
        <v>25500</v>
      </c>
      <c r="BH13" s="70">
        <f t="shared" ca="1" si="109"/>
        <v>0</v>
      </c>
      <c r="BI13" s="72">
        <f t="shared" ref="BI13:BI88" ca="1" si="110">IF(BG13&gt;0,BH13*100/BG13,0)</f>
        <v>0</v>
      </c>
      <c r="BJ13" s="70">
        <f t="shared" ref="BJ13:BK13" ca="1" si="111">SUM(BJ14:BJ30)</f>
        <v>1024000</v>
      </c>
      <c r="BK13" s="70">
        <f t="shared" ca="1" si="111"/>
        <v>0</v>
      </c>
      <c r="BL13" s="72">
        <f t="shared" ref="BL13:BL88" ca="1" si="112">IF(BJ13&gt;0,BK13*100/BJ13,0)</f>
        <v>0</v>
      </c>
      <c r="BM13" s="70">
        <f t="shared" ref="BM13:BN13" ca="1" si="113">SUM(BM14:BM30)</f>
        <v>1024000</v>
      </c>
      <c r="BN13" s="70">
        <f t="shared" ca="1" si="113"/>
        <v>0</v>
      </c>
      <c r="BO13" s="72">
        <f t="shared" ref="BO13:BO88" ca="1" si="114">IF(BM13&gt;0,BN13*100/BM13,0)</f>
        <v>0</v>
      </c>
      <c r="BP13" s="70">
        <f t="shared" ref="BP13:BQ13" ca="1" si="115">SUM(BP14:BP30)</f>
        <v>0</v>
      </c>
      <c r="BQ13" s="70">
        <f t="shared" ca="1" si="115"/>
        <v>0</v>
      </c>
      <c r="BR13" s="72">
        <f t="shared" ref="BR13:BR88" ca="1" si="116">IF(BP13&gt;0,BQ13*100/BP13,0)</f>
        <v>0</v>
      </c>
      <c r="BS13" s="70">
        <f t="shared" ref="BS13:BT13" ca="1" si="117">SUM(BS14:BS30)</f>
        <v>669300</v>
      </c>
      <c r="BT13" s="70">
        <f t="shared" ca="1" si="117"/>
        <v>69200</v>
      </c>
      <c r="BU13" s="72">
        <f t="shared" ref="BU13:BU88" ca="1" si="118">IF(BS13&gt;0,BT13*100/BS13,0)</f>
        <v>10.339160316748842</v>
      </c>
      <c r="BV13" s="70">
        <f t="shared" ref="BV13:BW13" ca="1" si="119">SUM(BV14:BV30)</f>
        <v>17000</v>
      </c>
      <c r="BW13" s="70">
        <f t="shared" ca="1" si="119"/>
        <v>2800</v>
      </c>
      <c r="BX13" s="72">
        <f t="shared" ref="BX13:BX88" ca="1" si="120">IF(BV13&gt;0,BW13*100/BV13,0)</f>
        <v>16.470588235294116</v>
      </c>
      <c r="BY13" s="70">
        <f t="shared" ref="BY13:BZ13" ca="1" si="121">SUM(BY14:BY30)</f>
        <v>329400</v>
      </c>
      <c r="BZ13" s="70">
        <f t="shared" ca="1" si="121"/>
        <v>24640</v>
      </c>
      <c r="CA13" s="72">
        <f t="shared" ref="CA13:CA88" ca="1" si="122">IF(BY13&gt;0,BZ13*100/BY13,0)</f>
        <v>7.4802671523982998</v>
      </c>
      <c r="CB13" s="70">
        <f t="shared" ref="CB13:CC13" ca="1" si="123">SUM(CB14:CB30)</f>
        <v>267000</v>
      </c>
      <c r="CC13" s="70">
        <f t="shared" ca="1" si="123"/>
        <v>0</v>
      </c>
      <c r="CD13" s="72">
        <f t="shared" ref="CD13:CD88" ca="1" si="124">IF(CB13&gt;0,CC13*100/CB13,0)</f>
        <v>0</v>
      </c>
      <c r="CE13" s="70">
        <f t="shared" ref="CE13:CF13" ca="1" si="125">SUM(CE14:CE30)</f>
        <v>210</v>
      </c>
      <c r="CF13" s="70">
        <f t="shared" ca="1" si="125"/>
        <v>10</v>
      </c>
      <c r="CG13" s="72">
        <f t="shared" ref="CG13:CG88" ca="1" si="126">IF(CE13&gt;0,CF13*100/CE13,0)</f>
        <v>4.7619047619047619</v>
      </c>
      <c r="CH13" s="70">
        <f t="shared" ref="CH13:CI13" ca="1" si="127">SUM(CH14:CH30)</f>
        <v>0</v>
      </c>
      <c r="CI13" s="70">
        <f t="shared" ca="1" si="127"/>
        <v>0</v>
      </c>
    </row>
    <row r="14" spans="1:87" ht="24" customHeight="1" x14ac:dyDescent="0.3">
      <c r="A14" s="74">
        <v>1</v>
      </c>
      <c r="B14" s="75" t="s">
        <v>36</v>
      </c>
      <c r="C14" s="174">
        <f t="shared" ca="1" si="77"/>
        <v>235500</v>
      </c>
      <c r="D14" s="175">
        <f t="shared" ref="D14:D30" ca="1" si="128">+E14+F14</f>
        <v>235500</v>
      </c>
      <c r="E14" s="176">
        <f ca="1">IFERROR(__xludf.DUMMYFUNCTION("IMPORTRANGE(""https://docs.google.com/spreadsheets/d/1-uDff_7J0KD5mKrp0Vvzr7lt3OU09vwQwhkpOPPYv2Y/edit?usp=sharing"",""งบพรบ!CV14"")"),182000)</f>
        <v>182000</v>
      </c>
      <c r="F14" s="176">
        <f ca="1">IFERROR(__xludf.DUMMYFUNCTION("IMPORTRANGE(""https://docs.google.com/spreadsheets/d/1-uDff_7J0KD5mKrp0Vvzr7lt3OU09vwQwhkpOPPYv2Y/edit?usp=sharing"",""งบพรบ!CW14"")"),53500)</f>
        <v>53500</v>
      </c>
      <c r="G14" s="177">
        <f ca="1">IFERROR(__xludf.DUMMYFUNCTION("IMPORTRANGE(""https://docs.google.com/spreadsheets/d/1-uDff_7J0KD5mKrp0Vvzr7lt3OU09vwQwhkpOPPYv2Y/edit?usp=sharing"",""งบพรบ!CX14"")"),0)</f>
        <v>0</v>
      </c>
      <c r="H14" s="177">
        <f ca="1">IFERROR(__xludf.DUMMYFUNCTION("IMPORTRANGE(""https://docs.google.com/spreadsheets/d/1-uDff_7J0KD5mKrp0Vvzr7lt3OU09vwQwhkpOPPYv2Y/edit?usp=sharing"",""งบพรบ!CZ14"")"),161500)</f>
        <v>161500</v>
      </c>
      <c r="I14" s="177">
        <f ca="1">IFERROR(__xludf.DUMMYFUNCTION("IMPORTRANGE(""https://docs.google.com/spreadsheets/d/1-uDff_7J0KD5mKrp0Vvzr7lt3OU09vwQwhkpOPPYv2Y/edit?usp=sharing"",""งบพรบ!DA14"")"),0)</f>
        <v>0</v>
      </c>
      <c r="J14" s="177">
        <f t="shared" ca="1" si="79"/>
        <v>53000</v>
      </c>
      <c r="K14" s="178">
        <f t="shared" ca="1" si="80"/>
        <v>22.505307855626327</v>
      </c>
      <c r="L14" s="177">
        <f ca="1">IFERROR(__xludf.DUMMYFUNCTION("IMPORTRANGE(""https://docs.google.com/spreadsheets/d/1-uDff_7J0KD5mKrp0Vvzr7lt3OU09vwQwhkpOPPYv2Y/edit?usp=sharing"",""งบพรบ!DB14"")"),53000)</f>
        <v>53000</v>
      </c>
      <c r="M14" s="179">
        <f t="shared" ca="1" si="81"/>
        <v>22.505307855626327</v>
      </c>
      <c r="N14" s="179">
        <f t="shared" ca="1" si="82"/>
        <v>32.817337461300312</v>
      </c>
      <c r="O14" s="180">
        <f ca="1">IFERROR(__xludf.DUMMYFUNCTION("IMPORTRANGE(""https://docs.google.com/spreadsheets/d/1-uDff_7J0KD5mKrp0Vvzr7lt3OU09vwQwhkpOPPYv2Y/edit?usp=sharing"",""งบพรบ!DC14"")"),0)</f>
        <v>0</v>
      </c>
      <c r="P14" s="180">
        <f t="shared" ca="1" si="83"/>
        <v>0</v>
      </c>
      <c r="Q14" s="179">
        <f t="shared" ca="1" si="84"/>
        <v>0</v>
      </c>
      <c r="R14" s="79">
        <f ca="1">IFERROR(__xludf.DUMMYFUNCTION("IMPORTRANGE(""https://docs.google.com/spreadsheets/d/1jTcq05yEiRwXcBMLjiodW9e4biSGYWAHcDj22rKWQ3s/edit?usp=sharing"",""กำแพงเพชร!L196"")"),6000)</f>
        <v>6000</v>
      </c>
      <c r="S14" s="79">
        <f ca="1">IFERROR(__xludf.DUMMYFUNCTION("IMPORTRANGE(""https://docs.google.com/spreadsheets/d/1jTcq05yEiRwXcBMLjiodW9e4biSGYWAHcDj22rKWQ3s/edit?usp=sharing"",""กำแพงเพชร!N196"")"),0)</f>
        <v>0</v>
      </c>
      <c r="T14" s="83">
        <f t="shared" ca="1" si="86"/>
        <v>0</v>
      </c>
      <c r="U14" s="79">
        <f ca="1">IFERROR(__xludf.DUMMYFUNCTION("IMPORTRANGE(""https://docs.google.com/spreadsheets/d/1jTcq05yEiRwXcBMLjiodW9e4biSGYWAHcDj22rKWQ3s/edit?usp=sharing"",""กำแพงเพชร!I198"")"),4)</f>
        <v>4</v>
      </c>
      <c r="V14" s="79">
        <f ca="1">IFERROR(__xludf.DUMMYFUNCTION("IMPORTRANGE(""https://docs.google.com/spreadsheets/d/1jTcq05yEiRwXcBMLjiodW9e4biSGYWAHcDj22rKWQ3s/edit?usp=sharing"",""กำแพงเพชร!J198"")"),0)</f>
        <v>0</v>
      </c>
      <c r="W14" s="83">
        <f t="shared" ca="1" si="88"/>
        <v>0</v>
      </c>
      <c r="X14" s="79">
        <f ca="1">IFERROR(__xludf.DUMMYFUNCTION("IMPORTRANGE(""https://docs.google.com/spreadsheets/d/1jTcq05yEiRwXcBMLjiodW9e4biSGYWAHcDj22rKWQ3s/edit?usp=sharing"",""กำแพงเพชร!J199"")"),0)</f>
        <v>0</v>
      </c>
      <c r="Y14" s="79">
        <f ca="1">IFERROR(__xludf.DUMMYFUNCTION("IMPORTRANGE(""https://docs.google.com/spreadsheets/d/1jTcq05yEiRwXcBMLjiodW9e4biSGYWAHcDj22rKWQ3s/edit?usp=sharing"",""กำแพงเพชร!J200"")"),0)</f>
        <v>0</v>
      </c>
      <c r="Z14" s="79">
        <f ca="1">IFERROR(__xludf.DUMMYFUNCTION("IMPORTRANGE(""https://docs.google.com/spreadsheets/d/1jTcq05yEiRwXcBMLjiodW9e4biSGYWAHcDj22rKWQ3s/edit?usp=sharing"",""กำแพงเพชร!J201"")"),0)</f>
        <v>0</v>
      </c>
      <c r="AA14" s="79">
        <f ca="1">IFERROR(__xludf.DUMMYFUNCTION("IMPORTRANGE(""https://docs.google.com/spreadsheets/d/1jTcq05yEiRwXcBMLjiodW9e4biSGYWAHcDj22rKWQ3s/edit?usp=sharing"",""กำแพงเพชร!L204"")"),3000)</f>
        <v>3000</v>
      </c>
      <c r="AB14" s="79">
        <f ca="1">IFERROR(__xludf.DUMMYFUNCTION("IMPORTRANGE(""https://docs.google.com/spreadsheets/d/1jTcq05yEiRwXcBMLjiodW9e4biSGYWAHcDj22rKWQ3s/edit?usp=sharing"",""กำแพงเพชร!N204"")"),3000)</f>
        <v>3000</v>
      </c>
      <c r="AC14" s="83">
        <f t="shared" ca="1" si="90"/>
        <v>100</v>
      </c>
      <c r="AD14" s="79">
        <f ca="1">IFERROR(__xludf.DUMMYFUNCTION("IMPORTRANGE(""https://docs.google.com/spreadsheets/d/1jTcq05yEiRwXcBMLjiodW9e4biSGYWAHcDj22rKWQ3s/edit?usp=sharing"",""กำแพงเพชร!L206"")"),24000)</f>
        <v>24000</v>
      </c>
      <c r="AE14" s="79">
        <f ca="1">IFERROR(__xludf.DUMMYFUNCTION("IMPORTRANGE(""https://docs.google.com/spreadsheets/d/1jTcq05yEiRwXcBMLjiodW9e4biSGYWAHcDj22rKWQ3s/edit?usp=sharing"",""กำแพงเพชร!N206"")"),24000)</f>
        <v>24000</v>
      </c>
      <c r="AF14" s="83">
        <f t="shared" ca="1" si="92"/>
        <v>100</v>
      </c>
      <c r="AG14" s="79">
        <f ca="1">IFERROR(__xludf.DUMMYFUNCTION("IMPORTRANGE(""https://docs.google.com/spreadsheets/d/1jTcq05yEiRwXcBMLjiodW9e4biSGYWAHcDj22rKWQ3s/edit?usp=sharing"",""กำแพงเพชร!L207"")"),12000)</f>
        <v>12000</v>
      </c>
      <c r="AH14" s="79">
        <f ca="1">IFERROR(__xludf.DUMMYFUNCTION("IMPORTRANGE(""https://docs.google.com/spreadsheets/d/1jTcq05yEiRwXcBMLjiodW9e4biSGYWAHcDj22rKWQ3s/edit?usp=sharing"",""กำแพงเพชร!N207"")"),0)</f>
        <v>0</v>
      </c>
      <c r="AI14" s="83">
        <f t="shared" ca="1" si="94"/>
        <v>0</v>
      </c>
      <c r="AJ14" s="79">
        <f ca="1">IFERROR(__xludf.DUMMYFUNCTION("IMPORTRANGE(""https://docs.google.com/spreadsheets/d/1jTcq05yEiRwXcBMLjiodW9e4biSGYWAHcDj22rKWQ3s/edit?usp=sharing"",""กำแพงเพชร!I209"")"),3)</f>
        <v>3</v>
      </c>
      <c r="AK14" s="79">
        <f ca="1">IFERROR(__xludf.DUMMYFUNCTION("IMPORTRANGE(""https://docs.google.com/spreadsheets/d/1jTcq05yEiRwXcBMLjiodW9e4biSGYWAHcDj22rKWQ3s/edit?usp=sharing"",""กำแพงเพชร!J209"")"),3)</f>
        <v>3</v>
      </c>
      <c r="AL14" s="83">
        <f t="shared" ca="1" si="96"/>
        <v>100</v>
      </c>
      <c r="AM14" s="79">
        <f ca="1">IFERROR(__xludf.DUMMYFUNCTION("IMPORTRANGE(""https://docs.google.com/spreadsheets/d/1jTcq05yEiRwXcBMLjiodW9e4biSGYWAHcDj22rKWQ3s/edit?usp=sharing"",""กำแพงเพชร!J211"")"),0)</f>
        <v>0</v>
      </c>
      <c r="AN14" s="79">
        <f ca="1">IFERROR(__xludf.DUMMYFUNCTION("IMPORTRANGE(""https://docs.google.com/spreadsheets/d/1jTcq05yEiRwXcBMLjiodW9e4biSGYWAHcDj22rKWQ3s/edit?usp=sharing"",""กำแพงเพชร!J212"")"),0)</f>
        <v>0</v>
      </c>
      <c r="AO14" s="79">
        <f ca="1">IFERROR(__xludf.DUMMYFUNCTION("IMPORTRANGE(""https://docs.google.com/spreadsheets/d/1jTcq05yEiRwXcBMLjiodW9e4biSGYWAHcDj22rKWQ3s/edit?usp=sharing"",""กำแพงเพชร!L215"")"),0)</f>
        <v>0</v>
      </c>
      <c r="AP14" s="79">
        <f ca="1">IFERROR(__xludf.DUMMYFUNCTION("IMPORTRANGE(""https://docs.google.com/spreadsheets/d/1jTcq05yEiRwXcBMLjiodW9e4biSGYWAHcDj22rKWQ3s/edit?usp=sharing"",""กำแพงเพชร!N215"")"),0)</f>
        <v>0</v>
      </c>
      <c r="AQ14" s="83">
        <f t="shared" ca="1" si="98"/>
        <v>0</v>
      </c>
      <c r="AR14" s="79">
        <f ca="1">IFERROR(__xludf.DUMMYFUNCTION("IMPORTRANGE(""https://docs.google.com/spreadsheets/d/1jTcq05yEiRwXcBMLjiodW9e4biSGYWAHcDj22rKWQ3s/edit?usp=sharing"",""กำแพงเพชร!L216"")"),0)</f>
        <v>0</v>
      </c>
      <c r="AS14" s="79">
        <f ca="1">IFERROR(__xludf.DUMMYFUNCTION("IMPORTRANGE(""https://docs.google.com/spreadsheets/d/1jTcq05yEiRwXcBMLjiodW9e4biSGYWAHcDj22rKWQ3s/edit?usp=sharing"",""กำแพงเพชร!N216"")"),0)</f>
        <v>0</v>
      </c>
      <c r="AT14" s="83">
        <f t="shared" ca="1" si="100"/>
        <v>0</v>
      </c>
      <c r="AU14" s="79">
        <f ca="1">IFERROR(__xludf.DUMMYFUNCTION("IMPORTRANGE(""https://docs.google.com/spreadsheets/d/1jTcq05yEiRwXcBMLjiodW9e4biSGYWAHcDj22rKWQ3s/edit?usp=sharing"",""กำแพงเพชร!L217"")"),0)</f>
        <v>0</v>
      </c>
      <c r="AV14" s="79">
        <f ca="1">IFERROR(__xludf.DUMMYFUNCTION("IMPORTRANGE(""https://docs.google.com/spreadsheets/d/1jTcq05yEiRwXcBMLjiodW9e4biSGYWAHcDj22rKWQ3s/edit?usp=sharing"",""กำแพงเพชร!N217"")"),0)</f>
        <v>0</v>
      </c>
      <c r="AW14" s="83">
        <f t="shared" ca="1" si="102"/>
        <v>0</v>
      </c>
      <c r="AX14" s="79">
        <f ca="1">IFERROR(__xludf.DUMMYFUNCTION("IMPORTRANGE(""https://docs.google.com/spreadsheets/d/1jTcq05yEiRwXcBMLjiodW9e4biSGYWAHcDj22rKWQ3s/edit?usp=sharing"",""กำแพงเพชร!I219"")"),0)</f>
        <v>0</v>
      </c>
      <c r="AY14" s="79">
        <f ca="1">IFERROR(__xludf.DUMMYFUNCTION("IMPORTRANGE(""https://docs.google.com/spreadsheets/d/1jTcq05yEiRwXcBMLjiodW9e4biSGYWAHcDj22rKWQ3s/edit?usp=sharing"",""กำแพงเพชร!J219"")"),0)</f>
        <v>0</v>
      </c>
      <c r="AZ14" s="83">
        <f t="shared" ca="1" si="104"/>
        <v>0</v>
      </c>
      <c r="BA14" s="79">
        <f ca="1">IFERROR(__xludf.DUMMYFUNCTION("IMPORTRANGE(""https://docs.google.com/spreadsheets/d/1jTcq05yEiRwXcBMLjiodW9e4biSGYWAHcDj22rKWQ3s/edit?usp=sharing"",""กำแพงเพชร!I220"")"),0)</f>
        <v>0</v>
      </c>
      <c r="BB14" s="79">
        <f ca="1">IFERROR(__xludf.DUMMYFUNCTION("IMPORTRANGE(""https://docs.google.com/spreadsheets/d/1jTcq05yEiRwXcBMLjiodW9e4biSGYWAHcDj22rKWQ3s/edit?usp=sharing"",""กำแพงเพชร!J220"")"),0)</f>
        <v>0</v>
      </c>
      <c r="BC14" s="83">
        <f t="shared" ca="1" si="106"/>
        <v>0</v>
      </c>
      <c r="BD14" s="79">
        <f ca="1">IFERROR(__xludf.DUMMYFUNCTION("IMPORTRANGE(""https://docs.google.com/spreadsheets/d/1jTcq05yEiRwXcBMLjiodW9e4biSGYWAHcDj22rKWQ3s/edit?usp=sharing"",""กำแพงเพชร!L223"")"),7000)</f>
        <v>7000</v>
      </c>
      <c r="BE14" s="79">
        <f ca="1">IFERROR(__xludf.DUMMYFUNCTION("IMPORTRANGE(""https://docs.google.com/spreadsheets/d/1jTcq05yEiRwXcBMLjiodW9e4biSGYWAHcDj22rKWQ3s/edit?usp=sharing"",""กำแพงเพชร!N223"")"),0)</f>
        <v>0</v>
      </c>
      <c r="BF14" s="83">
        <f t="shared" ca="1" si="108"/>
        <v>0</v>
      </c>
      <c r="BG14" s="79">
        <f ca="1">IFERROR(__xludf.DUMMYFUNCTION("IMPORTRANGE(""https://docs.google.com/spreadsheets/d/1jTcq05yEiRwXcBMLjiodW9e4biSGYWAHcDj22rKWQ3s/edit?usp=sharing"",""กำแพงเพชร!L224"")"),1500)</f>
        <v>1500</v>
      </c>
      <c r="BH14" s="79">
        <f ca="1">IFERROR(__xludf.DUMMYFUNCTION("IMPORTRANGE(""https://docs.google.com/spreadsheets/d/1jTcq05yEiRwXcBMLjiodW9e4biSGYWAHcDj22rKWQ3s/edit?usp=sharing"",""กำแพงเพชร!N224"")"),0)</f>
        <v>0</v>
      </c>
      <c r="BI14" s="83">
        <f t="shared" ca="1" si="110"/>
        <v>0</v>
      </c>
      <c r="BJ14" s="79">
        <f ca="1">IFERROR(__xludf.DUMMYFUNCTION("IMPORTRANGE(""https://docs.google.com/spreadsheets/d/1jTcq05yEiRwXcBMLjiodW9e4biSGYWAHcDj22rKWQ3s/edit?usp=sharing"",""กำแพงเพชร!I228"")"),50000)</f>
        <v>50000</v>
      </c>
      <c r="BK14" s="79">
        <f ca="1">IFERROR(__xludf.DUMMYFUNCTION("IMPORTRANGE(""https://docs.google.com/spreadsheets/d/1jTcq05yEiRwXcBMLjiodW9e4biSGYWAHcDj22rKWQ3s/edit?usp=sharing"",""กำแพงเพชร!J228"")"),0)</f>
        <v>0</v>
      </c>
      <c r="BL14" s="83">
        <f t="shared" ca="1" si="112"/>
        <v>0</v>
      </c>
      <c r="BM14" s="79">
        <f ca="1">IFERROR(__xludf.DUMMYFUNCTION("IMPORTRANGE(""https://docs.google.com/spreadsheets/d/1jTcq05yEiRwXcBMLjiodW9e4biSGYWAHcDj22rKWQ3s/edit?usp=sharing"",""กำแพงเพชร!I229"")"),50000)</f>
        <v>50000</v>
      </c>
      <c r="BN14" s="79">
        <f ca="1">IFERROR(__xludf.DUMMYFUNCTION("IMPORTRANGE(""https://docs.google.com/spreadsheets/d/1jTcq05yEiRwXcBMLjiodW9e4biSGYWAHcDj22rKWQ3s/edit?usp=sharing"",""กำแพงเพชร!J229"")"),0)</f>
        <v>0</v>
      </c>
      <c r="BO14" s="83">
        <f t="shared" ca="1" si="114"/>
        <v>0</v>
      </c>
      <c r="BP14" s="79">
        <f ca="1">IFERROR(__xludf.DUMMYFUNCTION("IMPORTRANGE(""https://docs.google.com/spreadsheets/d/1jTcq05yEiRwXcBMLjiodW9e4biSGYWAHcDj22rKWQ3s/edit?usp=sharing"",""กำแพงเพชร!I230"")"),0)</f>
        <v>0</v>
      </c>
      <c r="BQ14" s="79">
        <f ca="1">IFERROR(__xludf.DUMMYFUNCTION("IMPORTRANGE(""https://docs.google.com/spreadsheets/d/1jTcq05yEiRwXcBMLjiodW9e4biSGYWAHcDj22rKWQ3s/edit?usp=sharing"",""กำแพงเพชร!J230"")"),0)</f>
        <v>0</v>
      </c>
      <c r="BR14" s="83">
        <f t="shared" ca="1" si="116"/>
        <v>0</v>
      </c>
      <c r="BS14" s="79">
        <f ca="1">IFERROR(__xludf.DUMMYFUNCTION("IMPORTRANGE(""https://docs.google.com/spreadsheets/d/1jTcq05yEiRwXcBMLjiodW9e4biSGYWAHcDj22rKWQ3s/edit?usp=sharing"",""กำแพงเพชร!L233"")"),0)</f>
        <v>0</v>
      </c>
      <c r="BT14" s="79">
        <f ca="1">IFERROR(__xludf.DUMMYFUNCTION("IMPORTRANGE(""https://docs.google.com/spreadsheets/d/1jTcq05yEiRwXcBMLjiodW9e4biSGYWAHcDj22rKWQ3s/edit?usp=sharing"",""กำแพงเพชร!N233"")"),0)</f>
        <v>0</v>
      </c>
      <c r="BU14" s="83">
        <f t="shared" ca="1" si="118"/>
        <v>0</v>
      </c>
      <c r="BV14" s="79">
        <f ca="1">IFERROR(__xludf.DUMMYFUNCTION("IMPORTRANGE(""https://docs.google.com/spreadsheets/d/1jTcq05yEiRwXcBMLjiodW9e4biSGYWAHcDj22rKWQ3s/edit?usp=sharing"",""กำแพงเพชร!L234"")"),0)</f>
        <v>0</v>
      </c>
      <c r="BW14" s="79">
        <f ca="1">IFERROR(__xludf.DUMMYFUNCTION("IMPORTRANGE(""https://docs.google.com/spreadsheets/d/1jTcq05yEiRwXcBMLjiodW9e4biSGYWAHcDj22rKWQ3s/edit?usp=sharing"",""กำแพงเพชร!N234"")"),0)</f>
        <v>0</v>
      </c>
      <c r="BX14" s="83">
        <f t="shared" ca="1" si="120"/>
        <v>0</v>
      </c>
      <c r="BY14" s="79">
        <f ca="1">IFERROR(__xludf.DUMMYFUNCTION("IMPORTRANGE(""https://docs.google.com/spreadsheets/d/1jTcq05yEiRwXcBMLjiodW9e4biSGYWAHcDj22rKWQ3s/edit?usp=sharing"",""กำแพงเพชร!L235"")"),0)</f>
        <v>0</v>
      </c>
      <c r="BZ14" s="79">
        <f ca="1">IFERROR(__xludf.DUMMYFUNCTION("IMPORTRANGE(""https://docs.google.com/spreadsheets/d/1jTcq05yEiRwXcBMLjiodW9e4biSGYWAHcDj22rKWQ3s/edit?usp=sharing"",""กำแพงเพชร!N235"")"),0)</f>
        <v>0</v>
      </c>
      <c r="CA14" s="83">
        <f t="shared" ca="1" si="122"/>
        <v>0</v>
      </c>
      <c r="CB14" s="79">
        <f ca="1">IFERROR(__xludf.DUMMYFUNCTION("IMPORTRANGE(""https://docs.google.com/spreadsheets/d/1jTcq05yEiRwXcBMLjiodW9e4biSGYWAHcDj22rKWQ3s/edit?usp=sharing"",""กำแพงเพชร!L236"")"),0)</f>
        <v>0</v>
      </c>
      <c r="CC14" s="79">
        <f ca="1">IFERROR(__xludf.DUMMYFUNCTION("IMPORTRANGE(""https://docs.google.com/spreadsheets/d/1jTcq05yEiRwXcBMLjiodW9e4biSGYWAHcDj22rKWQ3s/edit?usp=sharing"",""กำแพงเพชร!N236"")"),0)</f>
        <v>0</v>
      </c>
      <c r="CD14" s="83">
        <f t="shared" ca="1" si="124"/>
        <v>0</v>
      </c>
      <c r="CE14" s="79">
        <f ca="1">IFERROR(__xludf.DUMMYFUNCTION("IMPORTRANGE(""https://docs.google.com/spreadsheets/d/1jTcq05yEiRwXcBMLjiodW9e4biSGYWAHcDj22rKWQ3s/edit?usp=sharing"",""กำแพงเพชร!I238"")"),0)</f>
        <v>0</v>
      </c>
      <c r="CF14" s="79">
        <f ca="1">IFERROR(__xludf.DUMMYFUNCTION("IMPORTRANGE(""https://docs.google.com/spreadsheets/d/1jTcq05yEiRwXcBMLjiodW9e4biSGYWAHcDj22rKWQ3s/edit?usp=sharing"",""กำแพงเพชร!J238"")"),0)</f>
        <v>0</v>
      </c>
      <c r="CG14" s="83">
        <f t="shared" ca="1" si="126"/>
        <v>0</v>
      </c>
      <c r="CH14" s="79">
        <f ca="1">IFERROR(__xludf.DUMMYFUNCTION("IMPORTRANGE(""https://docs.google.com/spreadsheets/d/1jTcq05yEiRwXcBMLjiodW9e4biSGYWAHcDj22rKWQ3s/edit?usp=sharing"",""กำแพงเพชร!J240"")"),0)</f>
        <v>0</v>
      </c>
      <c r="CI14" s="79">
        <f ca="1">IFERROR(__xludf.DUMMYFUNCTION("IMPORTRANGE(""https://docs.google.com/spreadsheets/d/1jTcq05yEiRwXcBMLjiodW9e4biSGYWAHcDj22rKWQ3s/edit?usp=sharing"",""กำแพงเพชร!J241"")"),0)</f>
        <v>0</v>
      </c>
    </row>
    <row r="15" spans="1:87" ht="24" customHeight="1" x14ac:dyDescent="0.3">
      <c r="A15" s="84">
        <v>2</v>
      </c>
      <c r="B15" s="85" t="s">
        <v>37</v>
      </c>
      <c r="C15" s="174">
        <f t="shared" ca="1" si="77"/>
        <v>66500</v>
      </c>
      <c r="D15" s="175">
        <f t="shared" ca="1" si="128"/>
        <v>66500</v>
      </c>
      <c r="E15" s="176">
        <f ca="1">IFERROR(__xludf.DUMMYFUNCTION("IMPORTRANGE(""https://docs.google.com/spreadsheets/d/1-uDff_7J0KD5mKrp0Vvzr7lt3OU09vwQwhkpOPPYv2Y/edit?usp=sharing"",""งบพรบ!CV15"")"),0)</f>
        <v>0</v>
      </c>
      <c r="F15" s="176">
        <f ca="1">IFERROR(__xludf.DUMMYFUNCTION("IMPORTRANGE(""https://docs.google.com/spreadsheets/d/1-uDff_7J0KD5mKrp0Vvzr7lt3OU09vwQwhkpOPPYv2Y/edit?usp=sharing"",""งบพรบ!CW15"")"),66500)</f>
        <v>66500</v>
      </c>
      <c r="G15" s="176">
        <f ca="1">IFERROR(__xludf.DUMMYFUNCTION("IMPORTRANGE(""https://docs.google.com/spreadsheets/d/1-uDff_7J0KD5mKrp0Vvzr7lt3OU09vwQwhkpOPPYv2Y/edit?usp=sharing"",""งบพรบ!CX15"")"),0)</f>
        <v>0</v>
      </c>
      <c r="H15" s="176">
        <f ca="1">IFERROR(__xludf.DUMMYFUNCTION("IMPORTRANGE(""https://docs.google.com/spreadsheets/d/1-uDff_7J0KD5mKrp0Vvzr7lt3OU09vwQwhkpOPPYv2Y/edit?usp=sharing"",""งบพรบ!CZ15"")"),40500)</f>
        <v>40500</v>
      </c>
      <c r="I15" s="176">
        <f ca="1">IFERROR(__xludf.DUMMYFUNCTION("IMPORTRANGE(""https://docs.google.com/spreadsheets/d/1-uDff_7J0KD5mKrp0Vvzr7lt3OU09vwQwhkpOPPYv2Y/edit?usp=sharing"",""งบพรบ!DA15"")"),0)</f>
        <v>0</v>
      </c>
      <c r="J15" s="176">
        <f t="shared" ca="1" si="79"/>
        <v>0</v>
      </c>
      <c r="K15" s="181">
        <f t="shared" ca="1" si="80"/>
        <v>0</v>
      </c>
      <c r="L15" s="176">
        <f ca="1">IFERROR(__xludf.DUMMYFUNCTION("IMPORTRANGE(""https://docs.google.com/spreadsheets/d/1-uDff_7J0KD5mKrp0Vvzr7lt3OU09vwQwhkpOPPYv2Y/edit?usp=sharing"",""งบพรบ!DB15"")"),0)</f>
        <v>0</v>
      </c>
      <c r="M15" s="179">
        <f t="shared" ca="1" si="81"/>
        <v>0</v>
      </c>
      <c r="N15" s="179">
        <f t="shared" ca="1" si="82"/>
        <v>0</v>
      </c>
      <c r="O15" s="180">
        <f ca="1">IFERROR(__xludf.DUMMYFUNCTION("IMPORTRANGE(""https://docs.google.com/spreadsheets/d/1-uDff_7J0KD5mKrp0Vvzr7lt3OU09vwQwhkpOPPYv2Y/edit?usp=sharing"",""งบพรบ!DC15"")"),0)</f>
        <v>0</v>
      </c>
      <c r="P15" s="180">
        <f t="shared" ca="1" si="83"/>
        <v>0</v>
      </c>
      <c r="Q15" s="179">
        <f t="shared" ca="1" si="84"/>
        <v>0</v>
      </c>
      <c r="R15" s="92">
        <f ca="1">IFERROR(__xludf.DUMMYFUNCTION("IMPORTRANGE(""https://docs.google.com/spreadsheets/d/1KS0zmDSZPk8KnTAbGN-Xk6MtX1YRZD0ldgdt20K4CRk/edit?usp=sharing"",""เชียงราย!L196"")"),6000)</f>
        <v>6000</v>
      </c>
      <c r="S15" s="92">
        <f ca="1">IFERROR(__xludf.DUMMYFUNCTION("IMPORTRANGE(""https://docs.google.com/spreadsheets/d/1KS0zmDSZPk8KnTAbGN-Xk6MtX1YRZD0ldgdt20K4CRk/edit?usp=sharing"",""เชียงราย!N196"")"),0)</f>
        <v>0</v>
      </c>
      <c r="T15" s="93">
        <f t="shared" ca="1" si="86"/>
        <v>0</v>
      </c>
      <c r="U15" s="92">
        <f ca="1">IFERROR(__xludf.DUMMYFUNCTION("IMPORTRANGE(""https://docs.google.com/spreadsheets/d/1KS0zmDSZPk8KnTAbGN-Xk6MtX1YRZD0ldgdt20K4CRk/edit?usp=sharing"",""เชียงราย!I198"")"),4)</f>
        <v>4</v>
      </c>
      <c r="V15" s="92">
        <f ca="1">IFERROR(__xludf.DUMMYFUNCTION("IMPORTRANGE(""https://docs.google.com/spreadsheets/d/1KS0zmDSZPk8KnTAbGN-Xk6MtX1YRZD0ldgdt20K4CRk/edit?usp=sharing"",""เชียงราย!J198"")"),0)</f>
        <v>0</v>
      </c>
      <c r="W15" s="93">
        <f t="shared" ca="1" si="88"/>
        <v>0</v>
      </c>
      <c r="X15" s="92">
        <f ca="1">IFERROR(__xludf.DUMMYFUNCTION("IMPORTRANGE(""https://docs.google.com/spreadsheets/d/1KS0zmDSZPk8KnTAbGN-Xk6MtX1YRZD0ldgdt20K4CRk/edit?usp=sharing"",""เชียงราย!J199"")"),0)</f>
        <v>0</v>
      </c>
      <c r="Y15" s="92">
        <f ca="1">IFERROR(__xludf.DUMMYFUNCTION("IMPORTRANGE(""https://docs.google.com/spreadsheets/d/1KS0zmDSZPk8KnTAbGN-Xk6MtX1YRZD0ldgdt20K4CRk/edit?usp=sharing"",""เชียงราย!J200"")"),0)</f>
        <v>0</v>
      </c>
      <c r="Z15" s="92">
        <f ca="1">IFERROR(__xludf.DUMMYFUNCTION("IMPORTRANGE(""https://docs.google.com/spreadsheets/d/1KS0zmDSZPk8KnTAbGN-Xk6MtX1YRZD0ldgdt20K4CRk/edit?usp=sharing"",""เชียงราย!J201"")"),0)</f>
        <v>0</v>
      </c>
      <c r="AA15" s="92">
        <f ca="1">IFERROR(__xludf.DUMMYFUNCTION("IMPORTRANGE(""https://docs.google.com/spreadsheets/d/1KS0zmDSZPk8KnTAbGN-Xk6MtX1YRZD0ldgdt20K4CRk/edit?usp=sharing"",""เชียงราย!L204"")"),4000)</f>
        <v>4000</v>
      </c>
      <c r="AB15" s="92">
        <f ca="1">IFERROR(__xludf.DUMMYFUNCTION("IMPORTRANGE(""https://docs.google.com/spreadsheets/d/1KS0zmDSZPk8KnTAbGN-Xk6MtX1YRZD0ldgdt20K4CRk/edit?usp=sharing"",""เชียงราย!N204"")"),0)</f>
        <v>0</v>
      </c>
      <c r="AC15" s="93">
        <f t="shared" ca="1" si="90"/>
        <v>0</v>
      </c>
      <c r="AD15" s="92">
        <f ca="1">IFERROR(__xludf.DUMMYFUNCTION("IMPORTRANGE(""https://docs.google.com/spreadsheets/d/1KS0zmDSZPk8KnTAbGN-Xk6MtX1YRZD0ldgdt20K4CRk/edit?usp=sharing"",""เชียงราย!L206"")"),32000)</f>
        <v>32000</v>
      </c>
      <c r="AE15" s="92">
        <f ca="1">IFERROR(__xludf.DUMMYFUNCTION("IMPORTRANGE(""https://docs.google.com/spreadsheets/d/1KS0zmDSZPk8KnTAbGN-Xk6MtX1YRZD0ldgdt20K4CRk/edit?usp=sharing"",""เชียงราย!N206"")"),0)</f>
        <v>0</v>
      </c>
      <c r="AF15" s="93">
        <f t="shared" ca="1" si="92"/>
        <v>0</v>
      </c>
      <c r="AG15" s="92">
        <f ca="1">IFERROR(__xludf.DUMMYFUNCTION("IMPORTRANGE(""https://docs.google.com/spreadsheets/d/1KS0zmDSZPk8KnTAbGN-Xk6MtX1YRZD0ldgdt20K4CRk/edit?usp=sharing"",""เชียงราย!L207"")"),16000)</f>
        <v>16000</v>
      </c>
      <c r="AH15" s="92">
        <f ca="1">IFERROR(__xludf.DUMMYFUNCTION("IMPORTRANGE(""https://docs.google.com/spreadsheets/d/1KS0zmDSZPk8KnTAbGN-Xk6MtX1YRZD0ldgdt20K4CRk/edit?usp=sharing"",""เชียงราย!N207"")"),0)</f>
        <v>0</v>
      </c>
      <c r="AI15" s="93">
        <f t="shared" ca="1" si="94"/>
        <v>0</v>
      </c>
      <c r="AJ15" s="92">
        <f ca="1">IFERROR(__xludf.DUMMYFUNCTION("IMPORTRANGE(""https://docs.google.com/spreadsheets/d/1KS0zmDSZPk8KnTAbGN-Xk6MtX1YRZD0ldgdt20K4CRk/edit?usp=sharing"",""เชียงราย!I209"")"),4)</f>
        <v>4</v>
      </c>
      <c r="AK15" s="92">
        <f ca="1">IFERROR(__xludf.DUMMYFUNCTION("IMPORTRANGE(""https://docs.google.com/spreadsheets/d/1KS0zmDSZPk8KnTAbGN-Xk6MtX1YRZD0ldgdt20K4CRk/edit?usp=sharing"",""เชียงราย!J209"")"),0)</f>
        <v>0</v>
      </c>
      <c r="AL15" s="93">
        <f t="shared" ca="1" si="96"/>
        <v>0</v>
      </c>
      <c r="AM15" s="92">
        <f ca="1">IFERROR(__xludf.DUMMYFUNCTION("IMPORTRANGE(""https://docs.google.com/spreadsheets/d/1KS0zmDSZPk8KnTAbGN-Xk6MtX1YRZD0ldgdt20K4CRk/edit?usp=sharing"",""เชียงราย!J211"")"),0)</f>
        <v>0</v>
      </c>
      <c r="AN15" s="92">
        <f ca="1">IFERROR(__xludf.DUMMYFUNCTION("IMPORTRANGE(""https://docs.google.com/spreadsheets/d/1KS0zmDSZPk8KnTAbGN-Xk6MtX1YRZD0ldgdt20K4CRk/edit?usp=sharing"",""เชียงราย!J212"")"),0)</f>
        <v>0</v>
      </c>
      <c r="AO15" s="92">
        <f ca="1">IFERROR(__xludf.DUMMYFUNCTION("IMPORTRANGE(""https://docs.google.com/spreadsheets/d/1KS0zmDSZPk8KnTAbGN-Xk6MtX1YRZD0ldgdt20K4CRk/edit?usp=sharing"",""เชียงราย!L215"")"),0)</f>
        <v>0</v>
      </c>
      <c r="AP15" s="92">
        <f ca="1">IFERROR(__xludf.DUMMYFUNCTION("IMPORTRANGE(""https://docs.google.com/spreadsheets/d/1KS0zmDSZPk8KnTAbGN-Xk6MtX1YRZD0ldgdt20K4CRk/edit?usp=sharing"",""เชียงราย!N215"")"),0)</f>
        <v>0</v>
      </c>
      <c r="AQ15" s="93">
        <f t="shared" ca="1" si="98"/>
        <v>0</v>
      </c>
      <c r="AR15" s="92">
        <f ca="1">IFERROR(__xludf.DUMMYFUNCTION("IMPORTRANGE(""https://docs.google.com/spreadsheets/d/1KS0zmDSZPk8KnTAbGN-Xk6MtX1YRZD0ldgdt20K4CRk/edit?usp=sharing"",""เชียงราย!L216"")"),0)</f>
        <v>0</v>
      </c>
      <c r="AS15" s="92">
        <f ca="1">IFERROR(__xludf.DUMMYFUNCTION("IMPORTRANGE(""https://docs.google.com/spreadsheets/d/1KS0zmDSZPk8KnTAbGN-Xk6MtX1YRZD0ldgdt20K4CRk/edit?usp=sharing"",""เชียงราย!N216"")"),0)</f>
        <v>0</v>
      </c>
      <c r="AT15" s="93">
        <f t="shared" ca="1" si="100"/>
        <v>0</v>
      </c>
      <c r="AU15" s="92">
        <f ca="1">IFERROR(__xludf.DUMMYFUNCTION("IMPORTRANGE(""https://docs.google.com/spreadsheets/d/1KS0zmDSZPk8KnTAbGN-Xk6MtX1YRZD0ldgdt20K4CRk/edit?usp=sharing"",""เชียงราย!L217"")"),0)</f>
        <v>0</v>
      </c>
      <c r="AV15" s="92">
        <f ca="1">IFERROR(__xludf.DUMMYFUNCTION("IMPORTRANGE(""https://docs.google.com/spreadsheets/d/1KS0zmDSZPk8KnTAbGN-Xk6MtX1YRZD0ldgdt20K4CRk/edit?usp=sharing"",""เชียงราย!N217"")"),0)</f>
        <v>0</v>
      </c>
      <c r="AW15" s="93">
        <f t="shared" ca="1" si="102"/>
        <v>0</v>
      </c>
      <c r="AX15" s="92">
        <f ca="1">IFERROR(__xludf.DUMMYFUNCTION("IMPORTRANGE(""https://docs.google.com/spreadsheets/d/1KS0zmDSZPk8KnTAbGN-Xk6MtX1YRZD0ldgdt20K4CRk/edit?usp=sharing"",""เชียงราย!I219"")"),0)</f>
        <v>0</v>
      </c>
      <c r="AY15" s="92">
        <f ca="1">IFERROR(__xludf.DUMMYFUNCTION("IMPORTRANGE(""https://docs.google.com/spreadsheets/d/1KS0zmDSZPk8KnTAbGN-Xk6MtX1YRZD0ldgdt20K4CRk/edit?usp=sharing"",""เชียงราย!J219"")"),0)</f>
        <v>0</v>
      </c>
      <c r="AZ15" s="93">
        <f t="shared" ca="1" si="104"/>
        <v>0</v>
      </c>
      <c r="BA15" s="92">
        <f ca="1">IFERROR(__xludf.DUMMYFUNCTION("IMPORTRANGE(""https://docs.google.com/spreadsheets/d/1KS0zmDSZPk8KnTAbGN-Xk6MtX1YRZD0ldgdt20K4CRk/edit?usp=sharing"",""เชียงราย!I220"")"),0)</f>
        <v>0</v>
      </c>
      <c r="BB15" s="92">
        <f ca="1">IFERROR(__xludf.DUMMYFUNCTION("IMPORTRANGE(""https://docs.google.com/spreadsheets/d/1KS0zmDSZPk8KnTAbGN-Xk6MtX1YRZD0ldgdt20K4CRk/edit?usp=sharing"",""เชียงราย!J220"")"),0)</f>
        <v>0</v>
      </c>
      <c r="BC15" s="93">
        <f t="shared" ca="1" si="106"/>
        <v>0</v>
      </c>
      <c r="BD15" s="92">
        <f ca="1">IFERROR(__xludf.DUMMYFUNCTION("IMPORTRANGE(""https://docs.google.com/spreadsheets/d/1KS0zmDSZPk8KnTAbGN-Xk6MtX1YRZD0ldgdt20K4CRk/edit?usp=sharing"",""เชียงราย!L223"")"),7000)</f>
        <v>7000</v>
      </c>
      <c r="BE15" s="92">
        <f ca="1">IFERROR(__xludf.DUMMYFUNCTION("IMPORTRANGE(""https://docs.google.com/spreadsheets/d/1KS0zmDSZPk8KnTAbGN-Xk6MtX1YRZD0ldgdt20K4CRk/edit?usp=sharing"",""เชียงราย!N223"")"),0)</f>
        <v>0</v>
      </c>
      <c r="BF15" s="93">
        <f t="shared" ca="1" si="108"/>
        <v>0</v>
      </c>
      <c r="BG15" s="92">
        <f ca="1">IFERROR(__xludf.DUMMYFUNCTION("IMPORTRANGE(""https://docs.google.com/spreadsheets/d/1KS0zmDSZPk8KnTAbGN-Xk6MtX1YRZD0ldgdt20K4CRk/edit?usp=sharing"",""เชียงราย!L224"")"),1500)</f>
        <v>1500</v>
      </c>
      <c r="BH15" s="92">
        <f ca="1">IFERROR(__xludf.DUMMYFUNCTION("IMPORTRANGE(""https://docs.google.com/spreadsheets/d/1KS0zmDSZPk8KnTAbGN-Xk6MtX1YRZD0ldgdt20K4CRk/edit?usp=sharing"",""เชียงราย!N224"")"),0)</f>
        <v>0</v>
      </c>
      <c r="BI15" s="93">
        <f t="shared" ca="1" si="110"/>
        <v>0</v>
      </c>
      <c r="BJ15" s="92">
        <f ca="1">IFERROR(__xludf.DUMMYFUNCTION("IMPORTRANGE(""https://docs.google.com/spreadsheets/d/1KS0zmDSZPk8KnTAbGN-Xk6MtX1YRZD0ldgdt20K4CRk/edit?usp=sharing"",""เชียงราย!I228"")"),60000)</f>
        <v>60000</v>
      </c>
      <c r="BK15" s="92">
        <f ca="1">IFERROR(__xludf.DUMMYFUNCTION("IMPORTRANGE(""https://docs.google.com/spreadsheets/d/1KS0zmDSZPk8KnTAbGN-Xk6MtX1YRZD0ldgdt20K4CRk/edit?usp=sharing"",""เชียงราย!J228"")"),0)</f>
        <v>0</v>
      </c>
      <c r="BL15" s="93">
        <f t="shared" ca="1" si="112"/>
        <v>0</v>
      </c>
      <c r="BM15" s="92">
        <f ca="1">IFERROR(__xludf.DUMMYFUNCTION("IMPORTRANGE(""https://docs.google.com/spreadsheets/d/1KS0zmDSZPk8KnTAbGN-Xk6MtX1YRZD0ldgdt20K4CRk/edit?usp=sharing"",""เชียงราย!I229"")"),60000)</f>
        <v>60000</v>
      </c>
      <c r="BN15" s="92">
        <f ca="1">IFERROR(__xludf.DUMMYFUNCTION("IMPORTRANGE(""https://docs.google.com/spreadsheets/d/1KS0zmDSZPk8KnTAbGN-Xk6MtX1YRZD0ldgdt20K4CRk/edit?usp=sharing"",""เชียงราย!J229"")"),0)</f>
        <v>0</v>
      </c>
      <c r="BO15" s="93">
        <f t="shared" ca="1" si="114"/>
        <v>0</v>
      </c>
      <c r="BP15" s="92">
        <f ca="1">IFERROR(__xludf.DUMMYFUNCTION("IMPORTRANGE(""https://docs.google.com/spreadsheets/d/1KS0zmDSZPk8KnTAbGN-Xk6MtX1YRZD0ldgdt20K4CRk/edit?usp=sharing"",""เชียงราย!I230"")"),0)</f>
        <v>0</v>
      </c>
      <c r="BQ15" s="92">
        <f ca="1">IFERROR(__xludf.DUMMYFUNCTION("IMPORTRANGE(""https://docs.google.com/spreadsheets/d/1KS0zmDSZPk8KnTAbGN-Xk6MtX1YRZD0ldgdt20K4CRk/edit?usp=sharing"",""เชียงราย!J230"")"),0)</f>
        <v>0</v>
      </c>
      <c r="BR15" s="93">
        <f t="shared" ca="1" si="116"/>
        <v>0</v>
      </c>
      <c r="BS15" s="92">
        <f ca="1">IFERROR(__xludf.DUMMYFUNCTION("IMPORTRANGE(""https://docs.google.com/spreadsheets/d/1KS0zmDSZPk8KnTAbGN-Xk6MtX1YRZD0ldgdt20K4CRk/edit?usp=sharing"",""เชียงราย!L233"")"),0)</f>
        <v>0</v>
      </c>
      <c r="BT15" s="92">
        <f ca="1">IFERROR(__xludf.DUMMYFUNCTION("IMPORTRANGE(""https://docs.google.com/spreadsheets/d/1KS0zmDSZPk8KnTAbGN-Xk6MtX1YRZD0ldgdt20K4CRk/edit?usp=sharing"",""เชียงราย!N233"")"),0)</f>
        <v>0</v>
      </c>
      <c r="BU15" s="93">
        <f t="shared" ca="1" si="118"/>
        <v>0</v>
      </c>
      <c r="BV15" s="92">
        <f ca="1">IFERROR(__xludf.DUMMYFUNCTION("IMPORTRANGE(""https://docs.google.com/spreadsheets/d/1KS0zmDSZPk8KnTAbGN-Xk6MtX1YRZD0ldgdt20K4CRk/edit?usp=sharing"",""เชียงราย!L234"")"),0)</f>
        <v>0</v>
      </c>
      <c r="BW15" s="92">
        <f ca="1">IFERROR(__xludf.DUMMYFUNCTION("IMPORTRANGE(""https://docs.google.com/spreadsheets/d/1KS0zmDSZPk8KnTAbGN-Xk6MtX1YRZD0ldgdt20K4CRk/edit?usp=sharing"",""เชียงราย!N234"")"),0)</f>
        <v>0</v>
      </c>
      <c r="BX15" s="93">
        <f t="shared" ca="1" si="120"/>
        <v>0</v>
      </c>
      <c r="BY15" s="92">
        <f ca="1">IFERROR(__xludf.DUMMYFUNCTION("IMPORTRANGE(""https://docs.google.com/spreadsheets/d/1KS0zmDSZPk8KnTAbGN-Xk6MtX1YRZD0ldgdt20K4CRk/edit?usp=sharing"",""เชียงราย!L235"")"),0)</f>
        <v>0</v>
      </c>
      <c r="BZ15" s="92">
        <f ca="1">IFERROR(__xludf.DUMMYFUNCTION("IMPORTRANGE(""https://docs.google.com/spreadsheets/d/1KS0zmDSZPk8KnTAbGN-Xk6MtX1YRZD0ldgdt20K4CRk/edit?usp=sharing"",""เชียงราย!N235"")"),0)</f>
        <v>0</v>
      </c>
      <c r="CA15" s="93">
        <f t="shared" ca="1" si="122"/>
        <v>0</v>
      </c>
      <c r="CB15" s="92">
        <f ca="1">IFERROR(__xludf.DUMMYFUNCTION("IMPORTRANGE(""https://docs.google.com/spreadsheets/d/1KS0zmDSZPk8KnTAbGN-Xk6MtX1YRZD0ldgdt20K4CRk/edit?usp=sharing"",""เชียงราย!L236"")"),0)</f>
        <v>0</v>
      </c>
      <c r="CC15" s="92">
        <f ca="1">IFERROR(__xludf.DUMMYFUNCTION("IMPORTRANGE(""https://docs.google.com/spreadsheets/d/1KS0zmDSZPk8KnTAbGN-Xk6MtX1YRZD0ldgdt20K4CRk/edit?usp=sharing"",""เชียงราย!N236"")"),0)</f>
        <v>0</v>
      </c>
      <c r="CD15" s="93">
        <f t="shared" ca="1" si="124"/>
        <v>0</v>
      </c>
      <c r="CE15" s="92">
        <f ca="1">IFERROR(__xludf.DUMMYFUNCTION("IMPORTRANGE(""https://docs.google.com/spreadsheets/d/1KS0zmDSZPk8KnTAbGN-Xk6MtX1YRZD0ldgdt20K4CRk/edit?usp=sharing"",""เชียงราย!I238"")"),0)</f>
        <v>0</v>
      </c>
      <c r="CF15" s="92">
        <f ca="1">IFERROR(__xludf.DUMMYFUNCTION("IMPORTRANGE(""https://docs.google.com/spreadsheets/d/1KS0zmDSZPk8KnTAbGN-Xk6MtX1YRZD0ldgdt20K4CRk/edit?usp=sharing"",""เชียงราย!J238"")"),0)</f>
        <v>0</v>
      </c>
      <c r="CG15" s="93">
        <f t="shared" ca="1" si="126"/>
        <v>0</v>
      </c>
      <c r="CH15" s="92">
        <f ca="1">IFERROR(__xludf.DUMMYFUNCTION("IMPORTRANGE(""https://docs.google.com/spreadsheets/d/1KS0zmDSZPk8KnTAbGN-Xk6MtX1YRZD0ldgdt20K4CRk/edit?usp=sharing"",""เชียงราย!J240"")"),0)</f>
        <v>0</v>
      </c>
      <c r="CI15" s="92">
        <f ca="1">IFERROR(__xludf.DUMMYFUNCTION("IMPORTRANGE(""https://docs.google.com/spreadsheets/d/1KS0zmDSZPk8KnTAbGN-Xk6MtX1YRZD0ldgdt20K4CRk/edit?usp=sharing"",""เชียงราย!J241"")"),0)</f>
        <v>0</v>
      </c>
    </row>
    <row r="16" spans="1:87" ht="24" customHeight="1" x14ac:dyDescent="0.3">
      <c r="A16" s="84">
        <v>3</v>
      </c>
      <c r="B16" s="85" t="s">
        <v>38</v>
      </c>
      <c r="C16" s="174">
        <f t="shared" ca="1" si="77"/>
        <v>509400</v>
      </c>
      <c r="D16" s="175">
        <f t="shared" ca="1" si="128"/>
        <v>509400</v>
      </c>
      <c r="E16" s="176">
        <f ca="1">IFERROR(__xludf.DUMMYFUNCTION("IMPORTRANGE(""https://docs.google.com/spreadsheets/d/1-uDff_7J0KD5mKrp0Vvzr7lt3OU09vwQwhkpOPPYv2Y/edit?usp=sharing"",""งบพรบ!CV16"")"),91000)</f>
        <v>91000</v>
      </c>
      <c r="F16" s="176">
        <f ca="1">IFERROR(__xludf.DUMMYFUNCTION("IMPORTRANGE(""https://docs.google.com/spreadsheets/d/1-uDff_7J0KD5mKrp0Vvzr7lt3OU09vwQwhkpOPPYv2Y/edit?usp=sharing"",""งบพรบ!CW16"")"),418400)</f>
        <v>418400</v>
      </c>
      <c r="G16" s="176">
        <f ca="1">IFERROR(__xludf.DUMMYFUNCTION("IMPORTRANGE(""https://docs.google.com/spreadsheets/d/1-uDff_7J0KD5mKrp0Vvzr7lt3OU09vwQwhkpOPPYv2Y/edit?usp=sharing"",""งบพรบ!CX16"")"),0)</f>
        <v>0</v>
      </c>
      <c r="H16" s="176">
        <f ca="1">IFERROR(__xludf.DUMMYFUNCTION("IMPORTRANGE(""https://docs.google.com/spreadsheets/d/1-uDff_7J0KD5mKrp0Vvzr7lt3OU09vwQwhkpOPPYv2Y/edit?usp=sharing"",""งบพรบ!CZ16"")"),410000)</f>
        <v>410000</v>
      </c>
      <c r="I16" s="176">
        <f ca="1">IFERROR(__xludf.DUMMYFUNCTION("IMPORTRANGE(""https://docs.google.com/spreadsheets/d/1-uDff_7J0KD5mKrp0Vvzr7lt3OU09vwQwhkpOPPYv2Y/edit?usp=sharing"",""งบพรบ!DA16"")"),0)</f>
        <v>0</v>
      </c>
      <c r="J16" s="176">
        <f t="shared" ca="1" si="79"/>
        <v>83000</v>
      </c>
      <c r="K16" s="181">
        <f t="shared" ca="1" si="80"/>
        <v>16.29367883784845</v>
      </c>
      <c r="L16" s="176">
        <f ca="1">IFERROR(__xludf.DUMMYFUNCTION("IMPORTRANGE(""https://docs.google.com/spreadsheets/d/1-uDff_7J0KD5mKrp0Vvzr7lt3OU09vwQwhkpOPPYv2Y/edit?usp=sharing"",""งบพรบ!DB16"")"),83000)</f>
        <v>83000</v>
      </c>
      <c r="M16" s="179">
        <f t="shared" ca="1" si="81"/>
        <v>16.29367883784845</v>
      </c>
      <c r="N16" s="179">
        <f t="shared" ca="1" si="82"/>
        <v>20.243902439024389</v>
      </c>
      <c r="O16" s="180">
        <f ca="1">IFERROR(__xludf.DUMMYFUNCTION("IMPORTRANGE(""https://docs.google.com/spreadsheets/d/1-uDff_7J0KD5mKrp0Vvzr7lt3OU09vwQwhkpOPPYv2Y/edit?usp=sharing"",""งบพรบ!DC16"")"),0)</f>
        <v>0</v>
      </c>
      <c r="P16" s="180">
        <f t="shared" ca="1" si="83"/>
        <v>0</v>
      </c>
      <c r="Q16" s="179">
        <f t="shared" ca="1" si="84"/>
        <v>0</v>
      </c>
      <c r="R16" s="92">
        <f ca="1">IFERROR(__xludf.DUMMYFUNCTION("IMPORTRANGE(""https://docs.google.com/spreadsheets/d/1rEDxBtusbi64tE0zunoIbsTVV16HeL0oJ6trHQeQ7K8/edit?usp=sharing"",""เชียงใหม่!L196"")"),6000)</f>
        <v>6000</v>
      </c>
      <c r="S16" s="92">
        <f ca="1">IFERROR(__xludf.DUMMYFUNCTION("IMPORTRANGE(""https://docs.google.com/spreadsheets/d/1rEDxBtusbi64tE0zunoIbsTVV16HeL0oJ6trHQeQ7K8/edit?usp=sharing"",""เชียงใหม่!N196"")"),0)</f>
        <v>0</v>
      </c>
      <c r="T16" s="93">
        <f t="shared" ca="1" si="86"/>
        <v>0</v>
      </c>
      <c r="U16" s="92">
        <f ca="1">IFERROR(__xludf.DUMMYFUNCTION("IMPORTRANGE(""https://docs.google.com/spreadsheets/d/1rEDxBtusbi64tE0zunoIbsTVV16HeL0oJ6trHQeQ7K8/edit?usp=sharing"",""เชียงใหม่!I198"")"),4)</f>
        <v>4</v>
      </c>
      <c r="V16" s="92">
        <f ca="1">IFERROR(__xludf.DUMMYFUNCTION("IMPORTRANGE(""https://docs.google.com/spreadsheets/d/1rEDxBtusbi64tE0zunoIbsTVV16HeL0oJ6trHQeQ7K8/edit?usp=sharing"",""เชียงใหม่!J198"")"),1)</f>
        <v>1</v>
      </c>
      <c r="W16" s="93">
        <f t="shared" ca="1" si="88"/>
        <v>25</v>
      </c>
      <c r="X16" s="92">
        <f ca="1">IFERROR(__xludf.DUMMYFUNCTION("IMPORTRANGE(""https://docs.google.com/spreadsheets/d/1rEDxBtusbi64tE0zunoIbsTVV16HeL0oJ6trHQeQ7K8/edit?usp=sharing"",""เชียงใหม่!J199"")"),0)</f>
        <v>0</v>
      </c>
      <c r="Y16" s="92">
        <f ca="1">IFERROR(__xludf.DUMMYFUNCTION("IMPORTRANGE(""https://docs.google.com/spreadsheets/d/1rEDxBtusbi64tE0zunoIbsTVV16HeL0oJ6trHQeQ7K8/edit?usp=sharing"",""เชียงใหม่!J200"")"),0)</f>
        <v>0</v>
      </c>
      <c r="Z16" s="92">
        <f ca="1">IFERROR(__xludf.DUMMYFUNCTION("IMPORTRANGE(""https://docs.google.com/spreadsheets/d/1rEDxBtusbi64tE0zunoIbsTVV16HeL0oJ6trHQeQ7K8/edit?usp=sharing"",""เชียงใหม่!J201"")"),0)</f>
        <v>0</v>
      </c>
      <c r="AA16" s="92">
        <f ca="1">IFERROR(__xludf.DUMMYFUNCTION("IMPORTRANGE(""https://docs.google.com/spreadsheets/d/1rEDxBtusbi64tE0zunoIbsTVV16HeL0oJ6trHQeQ7K8/edit?usp=sharing"",""เชียงใหม่!L204"")"),2000)</f>
        <v>2000</v>
      </c>
      <c r="AB16" s="92">
        <f ca="1">IFERROR(__xludf.DUMMYFUNCTION("IMPORTRANGE(""https://docs.google.com/spreadsheets/d/1rEDxBtusbi64tE0zunoIbsTVV16HeL0oJ6trHQeQ7K8/edit?usp=sharing"",""เชียงใหม่!N204"")"),0)</f>
        <v>0</v>
      </c>
      <c r="AC16" s="93">
        <f t="shared" ca="1" si="90"/>
        <v>0</v>
      </c>
      <c r="AD16" s="92">
        <f ca="1">IFERROR(__xludf.DUMMYFUNCTION("IMPORTRANGE(""https://docs.google.com/spreadsheets/d/1rEDxBtusbi64tE0zunoIbsTVV16HeL0oJ6trHQeQ7K8/edit?usp=sharing"",""เชียงใหม่!L206"")"),16000)</f>
        <v>16000</v>
      </c>
      <c r="AE16" s="92">
        <f ca="1">IFERROR(__xludf.DUMMYFUNCTION("IMPORTRANGE(""https://docs.google.com/spreadsheets/d/1rEDxBtusbi64tE0zunoIbsTVV16HeL0oJ6trHQeQ7K8/edit?usp=sharing"",""เชียงใหม่!N206"")"),0)</f>
        <v>0</v>
      </c>
      <c r="AF16" s="93">
        <f t="shared" ca="1" si="92"/>
        <v>0</v>
      </c>
      <c r="AG16" s="92">
        <f ca="1">IFERROR(__xludf.DUMMYFUNCTION("IMPORTRANGE(""https://docs.google.com/spreadsheets/d/1rEDxBtusbi64tE0zunoIbsTVV16HeL0oJ6trHQeQ7K8/edit?usp=sharing"",""เชียงใหม่!L207"")"),8000)</f>
        <v>8000</v>
      </c>
      <c r="AH16" s="92">
        <f ca="1">IFERROR(__xludf.DUMMYFUNCTION("IMPORTRANGE(""https://docs.google.com/spreadsheets/d/1rEDxBtusbi64tE0zunoIbsTVV16HeL0oJ6trHQeQ7K8/edit?usp=sharing"",""เชียงใหม่!N207"")"),0)</f>
        <v>0</v>
      </c>
      <c r="AI16" s="93">
        <f t="shared" ca="1" si="94"/>
        <v>0</v>
      </c>
      <c r="AJ16" s="92">
        <f ca="1">IFERROR(__xludf.DUMMYFUNCTION("IMPORTRANGE(""https://docs.google.com/spreadsheets/d/1rEDxBtusbi64tE0zunoIbsTVV16HeL0oJ6trHQeQ7K8/edit?usp=sharing"",""เชียงใหม่!I209"")"),2)</f>
        <v>2</v>
      </c>
      <c r="AK16" s="92">
        <f ca="1">IFERROR(__xludf.DUMMYFUNCTION("IMPORTRANGE(""https://docs.google.com/spreadsheets/d/1rEDxBtusbi64tE0zunoIbsTVV16HeL0oJ6trHQeQ7K8/edit?usp=sharing"",""เชียงใหม่!J209"")"),0)</f>
        <v>0</v>
      </c>
      <c r="AL16" s="93">
        <f t="shared" ca="1" si="96"/>
        <v>0</v>
      </c>
      <c r="AM16" s="92">
        <f ca="1">IFERROR(__xludf.DUMMYFUNCTION("IMPORTRANGE(""https://docs.google.com/spreadsheets/d/1rEDxBtusbi64tE0zunoIbsTVV16HeL0oJ6trHQeQ7K8/edit?usp=sharing"",""เชียงใหม่!J211"")"),0)</f>
        <v>0</v>
      </c>
      <c r="AN16" s="92">
        <f ca="1">IFERROR(__xludf.DUMMYFUNCTION("IMPORTRANGE(""https://docs.google.com/spreadsheets/d/1rEDxBtusbi64tE0zunoIbsTVV16HeL0oJ6trHQeQ7K8/edit?usp=sharing"",""เชียงใหม่!J212"")"),0)</f>
        <v>0</v>
      </c>
      <c r="AO16" s="92">
        <f ca="1">IFERROR(__xludf.DUMMYFUNCTION("IMPORTRANGE(""https://docs.google.com/spreadsheets/d/1rEDxBtusbi64tE0zunoIbsTVV16HeL0oJ6trHQeQ7K8/edit?usp=sharing"",""เชียงใหม่!L215"")"),1000)</f>
        <v>1000</v>
      </c>
      <c r="AP16" s="92">
        <f ca="1">IFERROR(__xludf.DUMMYFUNCTION("IMPORTRANGE(""https://docs.google.com/spreadsheets/d/1rEDxBtusbi64tE0zunoIbsTVV16HeL0oJ6trHQeQ7K8/edit?usp=sharing"",""เชียงใหม่!N215"")"),0)</f>
        <v>0</v>
      </c>
      <c r="AQ16" s="93">
        <f t="shared" ca="1" si="98"/>
        <v>0</v>
      </c>
      <c r="AR16" s="92">
        <f ca="1">IFERROR(__xludf.DUMMYFUNCTION("IMPORTRANGE(""https://docs.google.com/spreadsheets/d/1rEDxBtusbi64tE0zunoIbsTVV16HeL0oJ6trHQeQ7K8/edit?usp=sharing"",""เชียงใหม่!L216"")"),5000)</f>
        <v>5000</v>
      </c>
      <c r="AS16" s="92">
        <f ca="1">IFERROR(__xludf.DUMMYFUNCTION("IMPORTRANGE(""https://docs.google.com/spreadsheets/d/1rEDxBtusbi64tE0zunoIbsTVV16HeL0oJ6trHQeQ7K8/edit?usp=sharing"",""เชียงใหม่!N216"")"),0)</f>
        <v>0</v>
      </c>
      <c r="AT16" s="93">
        <f t="shared" ca="1" si="100"/>
        <v>0</v>
      </c>
      <c r="AU16" s="92">
        <f ca="1">IFERROR(__xludf.DUMMYFUNCTION("IMPORTRANGE(""https://docs.google.com/spreadsheets/d/1rEDxBtusbi64tE0zunoIbsTVV16HeL0oJ6trHQeQ7K8/edit?usp=sharing"",""เชียงใหม่!L217"")"),8000)</f>
        <v>8000</v>
      </c>
      <c r="AV16" s="92">
        <f ca="1">IFERROR(__xludf.DUMMYFUNCTION("IMPORTRANGE(""https://docs.google.com/spreadsheets/d/1rEDxBtusbi64tE0zunoIbsTVV16HeL0oJ6trHQeQ7K8/edit?usp=sharing"",""เชียงใหม่!N217"")"),0)</f>
        <v>0</v>
      </c>
      <c r="AW16" s="93">
        <f t="shared" ca="1" si="102"/>
        <v>0</v>
      </c>
      <c r="AX16" s="92">
        <f ca="1">IFERROR(__xludf.DUMMYFUNCTION("IMPORTRANGE(""https://docs.google.com/spreadsheets/d/1rEDxBtusbi64tE0zunoIbsTVV16HeL0oJ6trHQeQ7K8/edit?usp=sharing"",""เชียงใหม่!I219"")"),1)</f>
        <v>1</v>
      </c>
      <c r="AY16" s="92">
        <f ca="1">IFERROR(__xludf.DUMMYFUNCTION("IMPORTRANGE(""https://docs.google.com/spreadsheets/d/1rEDxBtusbi64tE0zunoIbsTVV16HeL0oJ6trHQeQ7K8/edit?usp=sharing"",""เชียงใหม่!J219"")"),0)</f>
        <v>0</v>
      </c>
      <c r="AZ16" s="93">
        <f t="shared" ca="1" si="104"/>
        <v>0</v>
      </c>
      <c r="BA16" s="92">
        <f ca="1">IFERROR(__xludf.DUMMYFUNCTION("IMPORTRANGE(""https://docs.google.com/spreadsheets/d/1rEDxBtusbi64tE0zunoIbsTVV16HeL0oJ6trHQeQ7K8/edit?usp=sharing"",""เชียงใหม่!I220"")"),1)</f>
        <v>1</v>
      </c>
      <c r="BB16" s="92">
        <f ca="1">IFERROR(__xludf.DUMMYFUNCTION("IMPORTRANGE(""https://docs.google.com/spreadsheets/d/1rEDxBtusbi64tE0zunoIbsTVV16HeL0oJ6trHQeQ7K8/edit?usp=sharing"",""เชียงใหม่!J220"")"),0)</f>
        <v>0</v>
      </c>
      <c r="BC16" s="93">
        <f t="shared" ca="1" si="106"/>
        <v>0</v>
      </c>
      <c r="BD16" s="92">
        <f ca="1">IFERROR(__xludf.DUMMYFUNCTION("IMPORTRANGE(""https://docs.google.com/spreadsheets/d/1rEDxBtusbi64tE0zunoIbsTVV16HeL0oJ6trHQeQ7K8/edit?usp=sharing"",""เชียงใหม่!L223"")"),3000)</f>
        <v>3000</v>
      </c>
      <c r="BE16" s="92">
        <f ca="1">IFERROR(__xludf.DUMMYFUNCTION("IMPORTRANGE(""https://docs.google.com/spreadsheets/d/1rEDxBtusbi64tE0zunoIbsTVV16HeL0oJ6trHQeQ7K8/edit?usp=sharing"",""เชียงใหม่!N223"")"),0)</f>
        <v>0</v>
      </c>
      <c r="BF16" s="93">
        <f t="shared" ca="1" si="108"/>
        <v>0</v>
      </c>
      <c r="BG16" s="92">
        <f ca="1">IFERROR(__xludf.DUMMYFUNCTION("IMPORTRANGE(""https://docs.google.com/spreadsheets/d/1rEDxBtusbi64tE0zunoIbsTVV16HeL0oJ6trHQeQ7K8/edit?usp=sharing"",""เชียงใหม่!L224"")"),1500)</f>
        <v>1500</v>
      </c>
      <c r="BH16" s="92">
        <f ca="1">IFERROR(__xludf.DUMMYFUNCTION("IMPORTRANGE(""https://docs.google.com/spreadsheets/d/1rEDxBtusbi64tE0zunoIbsTVV16HeL0oJ6trHQeQ7K8/edit?usp=sharing"",""เชียงใหม่!N224"")"),0)</f>
        <v>0</v>
      </c>
      <c r="BI16" s="93">
        <f t="shared" ca="1" si="110"/>
        <v>0</v>
      </c>
      <c r="BJ16" s="92">
        <f ca="1">IFERROR(__xludf.DUMMYFUNCTION("IMPORTRANGE(""https://docs.google.com/spreadsheets/d/1rEDxBtusbi64tE0zunoIbsTVV16HeL0oJ6trHQeQ7K8/edit?usp=sharing"",""เชียงใหม่!I228"")"),16000)</f>
        <v>16000</v>
      </c>
      <c r="BK16" s="92">
        <f ca="1">IFERROR(__xludf.DUMMYFUNCTION("IMPORTRANGE(""https://docs.google.com/spreadsheets/d/1rEDxBtusbi64tE0zunoIbsTVV16HeL0oJ6trHQeQ7K8/edit?usp=sharing"",""เชียงใหม่!J228"")"),0)</f>
        <v>0</v>
      </c>
      <c r="BL16" s="93">
        <f t="shared" ca="1" si="112"/>
        <v>0</v>
      </c>
      <c r="BM16" s="92">
        <f ca="1">IFERROR(__xludf.DUMMYFUNCTION("IMPORTRANGE(""https://docs.google.com/spreadsheets/d/1rEDxBtusbi64tE0zunoIbsTVV16HeL0oJ6trHQeQ7K8/edit?usp=sharing"",""เชียงใหม่!I229"")"),16000)</f>
        <v>16000</v>
      </c>
      <c r="BN16" s="92">
        <f ca="1">IFERROR(__xludf.DUMMYFUNCTION("IMPORTRANGE(""https://docs.google.com/spreadsheets/d/1rEDxBtusbi64tE0zunoIbsTVV16HeL0oJ6trHQeQ7K8/edit?usp=sharing"",""เชียงใหม่!J229"")"),0)</f>
        <v>0</v>
      </c>
      <c r="BO16" s="93">
        <f t="shared" ca="1" si="114"/>
        <v>0</v>
      </c>
      <c r="BP16" s="92">
        <f ca="1">IFERROR(__xludf.DUMMYFUNCTION("IMPORTRANGE(""https://docs.google.com/spreadsheets/d/1rEDxBtusbi64tE0zunoIbsTVV16HeL0oJ6trHQeQ7K8/edit?usp=sharing"",""เชียงใหม่!I230"")"),0)</f>
        <v>0</v>
      </c>
      <c r="BQ16" s="92">
        <f ca="1">IFERROR(__xludf.DUMMYFUNCTION("IMPORTRANGE(""https://docs.google.com/spreadsheets/d/1rEDxBtusbi64tE0zunoIbsTVV16HeL0oJ6trHQeQ7K8/edit?usp=sharing"",""เชียงใหม่!J230"")"),0)</f>
        <v>0</v>
      </c>
      <c r="BR16" s="93">
        <f t="shared" ca="1" si="116"/>
        <v>0</v>
      </c>
      <c r="BS16" s="92">
        <f ca="1">IFERROR(__xludf.DUMMYFUNCTION("IMPORTRANGE(""https://docs.google.com/spreadsheets/d/1rEDxBtusbi64tE0zunoIbsTVV16HeL0oJ6trHQeQ7K8/edit?usp=sharing"",""เชียงใหม่!L233"")"),205400)</f>
        <v>205400</v>
      </c>
      <c r="BT16" s="92">
        <f ca="1">IFERROR(__xludf.DUMMYFUNCTION("IMPORTRANGE(""https://docs.google.com/spreadsheets/d/1rEDxBtusbi64tE0zunoIbsTVV16HeL0oJ6trHQeQ7K8/edit?usp=sharing"",""เชียงใหม่!N233"")"),0)</f>
        <v>0</v>
      </c>
      <c r="BU16" s="93">
        <f t="shared" ca="1" si="118"/>
        <v>0</v>
      </c>
      <c r="BV16" s="92">
        <f ca="1">IFERROR(__xludf.DUMMYFUNCTION("IMPORTRANGE(""https://docs.google.com/spreadsheets/d/1rEDxBtusbi64tE0zunoIbsTVV16HeL0oJ6trHQeQ7K8/edit?usp=sharing"",""เชียงใหม่!L234"")"),5000)</f>
        <v>5000</v>
      </c>
      <c r="BW16" s="92">
        <f ca="1">IFERROR(__xludf.DUMMYFUNCTION("IMPORTRANGE(""https://docs.google.com/spreadsheets/d/1rEDxBtusbi64tE0zunoIbsTVV16HeL0oJ6trHQeQ7K8/edit?usp=sharing"",""เชียงใหม่!N234"")"),0)</f>
        <v>0</v>
      </c>
      <c r="BX16" s="93">
        <f t="shared" ca="1" si="120"/>
        <v>0</v>
      </c>
      <c r="BY16" s="92">
        <f ca="1">IFERROR(__xludf.DUMMYFUNCTION("IMPORTRANGE(""https://docs.google.com/spreadsheets/d/1rEDxBtusbi64tE0zunoIbsTVV16HeL0oJ6trHQeQ7K8/edit?usp=sharing"",""เชียงใหม่!L235"")"),80500)</f>
        <v>80500</v>
      </c>
      <c r="BZ16" s="92">
        <f ca="1">IFERROR(__xludf.DUMMYFUNCTION("IMPORTRANGE(""https://docs.google.com/spreadsheets/d/1rEDxBtusbi64tE0zunoIbsTVV16HeL0oJ6trHQeQ7K8/edit?usp=sharing"",""เชียงใหม่!N235"")"),0)</f>
        <v>0</v>
      </c>
      <c r="CA16" s="93">
        <f t="shared" ca="1" si="122"/>
        <v>0</v>
      </c>
      <c r="CB16" s="92">
        <f ca="1">IFERROR(__xludf.DUMMYFUNCTION("IMPORTRANGE(""https://docs.google.com/spreadsheets/d/1rEDxBtusbi64tE0zunoIbsTVV16HeL0oJ6trHQeQ7K8/edit?usp=sharing"",""เชียงใหม่!L236"")"),77000)</f>
        <v>77000</v>
      </c>
      <c r="CC16" s="92">
        <f ca="1">IFERROR(__xludf.DUMMYFUNCTION("IMPORTRANGE(""https://docs.google.com/spreadsheets/d/1rEDxBtusbi64tE0zunoIbsTVV16HeL0oJ6trHQeQ7K8/edit?usp=sharing"",""เชียงใหม่!N236"")"),0)</f>
        <v>0</v>
      </c>
      <c r="CD16" s="93">
        <f t="shared" ca="1" si="124"/>
        <v>0</v>
      </c>
      <c r="CE16" s="92">
        <f ca="1">IFERROR(__xludf.DUMMYFUNCTION("IMPORTRANGE(""https://docs.google.com/spreadsheets/d/1rEDxBtusbi64tE0zunoIbsTVV16HeL0oJ6trHQeQ7K8/edit?usp=sharing"",""เชียงใหม่!I238"")"),60)</f>
        <v>60</v>
      </c>
      <c r="CF16" s="92">
        <f ca="1">IFERROR(__xludf.DUMMYFUNCTION("IMPORTRANGE(""https://docs.google.com/spreadsheets/d/1rEDxBtusbi64tE0zunoIbsTVV16HeL0oJ6trHQeQ7K8/edit?usp=sharing"",""เชียงใหม่!J238"")"),0)</f>
        <v>0</v>
      </c>
      <c r="CG16" s="93">
        <f t="shared" ca="1" si="126"/>
        <v>0</v>
      </c>
      <c r="CH16" s="92">
        <f ca="1">IFERROR(__xludf.DUMMYFUNCTION("IMPORTRANGE(""https://docs.google.com/spreadsheets/d/1rEDxBtusbi64tE0zunoIbsTVV16HeL0oJ6trHQeQ7K8/edit?usp=sharing"",""เชียงใหม่!J240"")"),0)</f>
        <v>0</v>
      </c>
      <c r="CI16" s="92">
        <f ca="1">IFERROR(__xludf.DUMMYFUNCTION("IMPORTRANGE(""https://docs.google.com/spreadsheets/d/1rEDxBtusbi64tE0zunoIbsTVV16HeL0oJ6trHQeQ7K8/edit?usp=sharing"",""เชียงใหม่!J241"")"),0)</f>
        <v>0</v>
      </c>
    </row>
    <row r="17" spans="1:87" ht="24" customHeight="1" x14ac:dyDescent="0.3">
      <c r="A17" s="84">
        <v>4</v>
      </c>
      <c r="B17" s="85" t="s">
        <v>39</v>
      </c>
      <c r="C17" s="174">
        <f t="shared" ca="1" si="77"/>
        <v>214500</v>
      </c>
      <c r="D17" s="175">
        <f t="shared" ca="1" si="128"/>
        <v>214500</v>
      </c>
      <c r="E17" s="176">
        <f ca="1">IFERROR(__xludf.DUMMYFUNCTION("IMPORTRANGE(""https://docs.google.com/spreadsheets/d/1-uDff_7J0KD5mKrp0Vvzr7lt3OU09vwQwhkpOPPYv2Y/edit?usp=sharing"",""งบพรบ!CV17"")"),182000)</f>
        <v>182000</v>
      </c>
      <c r="F17" s="176">
        <f ca="1">IFERROR(__xludf.DUMMYFUNCTION("IMPORTRANGE(""https://docs.google.com/spreadsheets/d/1-uDff_7J0KD5mKrp0Vvzr7lt3OU09vwQwhkpOPPYv2Y/edit?usp=sharing"",""งบพรบ!CW17"")"),32500)</f>
        <v>32500</v>
      </c>
      <c r="G17" s="176">
        <f ca="1">IFERROR(__xludf.DUMMYFUNCTION("IMPORTRANGE(""https://docs.google.com/spreadsheets/d/1-uDff_7J0KD5mKrp0Vvzr7lt3OU09vwQwhkpOPPYv2Y/edit?usp=sharing"",""งบพรบ!CX17"")"),0)</f>
        <v>0</v>
      </c>
      <c r="H17" s="176">
        <f ca="1">IFERROR(__xludf.DUMMYFUNCTION("IMPORTRANGE(""https://docs.google.com/spreadsheets/d/1-uDff_7J0KD5mKrp0Vvzr7lt3OU09vwQwhkpOPPYv2Y/edit?usp=sharing"",""งบพรบ!CZ17"")"),143500)</f>
        <v>143500</v>
      </c>
      <c r="I17" s="176">
        <f ca="1">IFERROR(__xludf.DUMMYFUNCTION("IMPORTRANGE(""https://docs.google.com/spreadsheets/d/1-uDff_7J0KD5mKrp0Vvzr7lt3OU09vwQwhkpOPPYv2Y/edit?usp=sharing"",""งบพรบ!DA17"")"),0)</f>
        <v>0</v>
      </c>
      <c r="J17" s="176">
        <f t="shared" ca="1" si="79"/>
        <v>33880</v>
      </c>
      <c r="K17" s="181">
        <f t="shared" ca="1" si="80"/>
        <v>15.794871794871796</v>
      </c>
      <c r="L17" s="176">
        <f ca="1">IFERROR(__xludf.DUMMYFUNCTION("IMPORTRANGE(""https://docs.google.com/spreadsheets/d/1-uDff_7J0KD5mKrp0Vvzr7lt3OU09vwQwhkpOPPYv2Y/edit?usp=sharing"",""งบพรบ!DB17"")"),33880)</f>
        <v>33880</v>
      </c>
      <c r="M17" s="179">
        <f t="shared" ca="1" si="81"/>
        <v>15.794871794871796</v>
      </c>
      <c r="N17" s="179">
        <f t="shared" ca="1" si="82"/>
        <v>23.609756097560975</v>
      </c>
      <c r="O17" s="180">
        <f ca="1">IFERROR(__xludf.DUMMYFUNCTION("IMPORTRANGE(""https://docs.google.com/spreadsheets/d/1-uDff_7J0KD5mKrp0Vvzr7lt3OU09vwQwhkpOPPYv2Y/edit?usp=sharing"",""งบพรบ!DC17"")"),0)</f>
        <v>0</v>
      </c>
      <c r="P17" s="180">
        <f t="shared" ca="1" si="83"/>
        <v>0</v>
      </c>
      <c r="Q17" s="179">
        <f t="shared" ca="1" si="84"/>
        <v>0</v>
      </c>
      <c r="R17" s="92">
        <f ca="1">IFERROR(__xludf.DUMMYFUNCTION("IMPORTRANGE(""https://docs.google.com/spreadsheets/d/1W6MnUbDkMi6xHnHko_XkFDO9kkuL6Wqyc-6OCDFjW9I/edit?usp=sharing"",""ตาก!L196"")"),6000)</f>
        <v>6000</v>
      </c>
      <c r="S17" s="92">
        <f ca="1">IFERROR(__xludf.DUMMYFUNCTION("IMPORTRANGE(""https://docs.google.com/spreadsheets/d/1W6MnUbDkMi6xHnHko_XkFDO9kkuL6Wqyc-6OCDFjW9I/edit?usp=sharing"",""ตาก!N196"")"),0)</f>
        <v>0</v>
      </c>
      <c r="T17" s="93">
        <f t="shared" ca="1" si="86"/>
        <v>0</v>
      </c>
      <c r="U17" s="92">
        <f ca="1">IFERROR(__xludf.DUMMYFUNCTION("IMPORTRANGE(""https://docs.google.com/spreadsheets/d/1W6MnUbDkMi6xHnHko_XkFDO9kkuL6Wqyc-6OCDFjW9I/edit?usp=sharing"",""ตาก!I198"")"),4)</f>
        <v>4</v>
      </c>
      <c r="V17" s="92">
        <f ca="1">IFERROR(__xludf.DUMMYFUNCTION("IMPORTRANGE(""https://docs.google.com/spreadsheets/d/1W6MnUbDkMi6xHnHko_XkFDO9kkuL6Wqyc-6OCDFjW9I/edit?usp=sharing"",""ตาก!J198"")"),0)</f>
        <v>0</v>
      </c>
      <c r="W17" s="93">
        <f t="shared" ca="1" si="88"/>
        <v>0</v>
      </c>
      <c r="X17" s="92">
        <f ca="1">IFERROR(__xludf.DUMMYFUNCTION("IMPORTRANGE(""https://docs.google.com/spreadsheets/d/1W6MnUbDkMi6xHnHko_XkFDO9kkuL6Wqyc-6OCDFjW9I/edit?usp=sharing"",""ตาก!J199"")"),0)</f>
        <v>0</v>
      </c>
      <c r="Y17" s="92">
        <f ca="1">IFERROR(__xludf.DUMMYFUNCTION("IMPORTRANGE(""https://docs.google.com/spreadsheets/d/1W6MnUbDkMi6xHnHko_XkFDO9kkuL6Wqyc-6OCDFjW9I/edit?usp=sharing"",""ตาก!J200"")"),0)</f>
        <v>0</v>
      </c>
      <c r="Z17" s="92">
        <f ca="1">IFERROR(__xludf.DUMMYFUNCTION("IMPORTRANGE(""https://docs.google.com/spreadsheets/d/1W6MnUbDkMi6xHnHko_XkFDO9kkuL6Wqyc-6OCDFjW9I/edit?usp=sharing"",""ตาก!J201"")"),0)</f>
        <v>0</v>
      </c>
      <c r="AA17" s="92">
        <f ca="1">IFERROR(__xludf.DUMMYFUNCTION("IMPORTRANGE(""https://docs.google.com/spreadsheets/d/1W6MnUbDkMi6xHnHko_XkFDO9kkuL6Wqyc-6OCDFjW9I/edit?usp=sharing"",""ตาก!L204"")"),1000)</f>
        <v>1000</v>
      </c>
      <c r="AB17" s="92">
        <f ca="1">IFERROR(__xludf.DUMMYFUNCTION("IMPORTRANGE(""https://docs.google.com/spreadsheets/d/1W6MnUbDkMi6xHnHko_XkFDO9kkuL6Wqyc-6OCDFjW9I/edit?usp=sharing"",""ตาก!N204"")"),0)</f>
        <v>0</v>
      </c>
      <c r="AC17" s="93">
        <f t="shared" ca="1" si="90"/>
        <v>0</v>
      </c>
      <c r="AD17" s="92">
        <f ca="1">IFERROR(__xludf.DUMMYFUNCTION("IMPORTRANGE(""https://docs.google.com/spreadsheets/d/1W6MnUbDkMi6xHnHko_XkFDO9kkuL6Wqyc-6OCDFjW9I/edit?usp=sharing"",""ตาก!L206"")"),8000)</f>
        <v>8000</v>
      </c>
      <c r="AE17" s="92">
        <f ca="1">IFERROR(__xludf.DUMMYFUNCTION("IMPORTRANGE(""https://docs.google.com/spreadsheets/d/1W6MnUbDkMi6xHnHko_XkFDO9kkuL6Wqyc-6OCDFjW9I/edit?usp=sharing"",""ตาก!N206"")"),0)</f>
        <v>0</v>
      </c>
      <c r="AF17" s="93">
        <f t="shared" ca="1" si="92"/>
        <v>0</v>
      </c>
      <c r="AG17" s="92">
        <f ca="1">IFERROR(__xludf.DUMMYFUNCTION("IMPORTRANGE(""https://docs.google.com/spreadsheets/d/1W6MnUbDkMi6xHnHko_XkFDO9kkuL6Wqyc-6OCDFjW9I/edit?usp=sharing"",""ตาก!L207"")"),9000)</f>
        <v>9000</v>
      </c>
      <c r="AH17" s="92">
        <f ca="1">IFERROR(__xludf.DUMMYFUNCTION("IMPORTRANGE(""https://docs.google.com/spreadsheets/d/1W6MnUbDkMi6xHnHko_XkFDO9kkuL6Wqyc-6OCDFjW9I/edit?usp=sharing"",""ตาก!N207"")"),0)</f>
        <v>0</v>
      </c>
      <c r="AI17" s="93">
        <f t="shared" ca="1" si="94"/>
        <v>0</v>
      </c>
      <c r="AJ17" s="92">
        <f ca="1">IFERROR(__xludf.DUMMYFUNCTION("IMPORTRANGE(""https://docs.google.com/spreadsheets/d/1W6MnUbDkMi6xHnHko_XkFDO9kkuL6Wqyc-6OCDFjW9I/edit?usp=sharing"",""ตาก!I209"")"),1)</f>
        <v>1</v>
      </c>
      <c r="AK17" s="92">
        <f ca="1">IFERROR(__xludf.DUMMYFUNCTION("IMPORTRANGE(""https://docs.google.com/spreadsheets/d/1W6MnUbDkMi6xHnHko_XkFDO9kkuL6Wqyc-6OCDFjW9I/edit?usp=sharing"",""ตาก!J209"")"),1)</f>
        <v>1</v>
      </c>
      <c r="AL17" s="93">
        <f t="shared" ca="1" si="96"/>
        <v>100</v>
      </c>
      <c r="AM17" s="92">
        <f ca="1">IFERROR(__xludf.DUMMYFUNCTION("IMPORTRANGE(""https://docs.google.com/spreadsheets/d/1W6MnUbDkMi6xHnHko_XkFDO9kkuL6Wqyc-6OCDFjW9I/edit?usp=sharing"",""ตาก!J211"")"),0)</f>
        <v>0</v>
      </c>
      <c r="AN17" s="92">
        <f ca="1">IFERROR(__xludf.DUMMYFUNCTION("IMPORTRANGE(""https://docs.google.com/spreadsheets/d/1W6MnUbDkMi6xHnHko_XkFDO9kkuL6Wqyc-6OCDFjW9I/edit?usp=sharing"",""ตาก!J212"")"),0)</f>
        <v>0</v>
      </c>
      <c r="AO17" s="92">
        <f ca="1">IFERROR(__xludf.DUMMYFUNCTION("IMPORTRANGE(""https://docs.google.com/spreadsheets/d/1W6MnUbDkMi6xHnHko_XkFDO9kkuL6Wqyc-6OCDFjW9I/edit?usp=sharing"",""ตาก!L215"")"),0)</f>
        <v>0</v>
      </c>
      <c r="AP17" s="92">
        <f ca="1">IFERROR(__xludf.DUMMYFUNCTION("IMPORTRANGE(""https://docs.google.com/spreadsheets/d/1W6MnUbDkMi6xHnHko_XkFDO9kkuL6Wqyc-6OCDFjW9I/edit?usp=sharing"",""ตาก!N215"")"),0)</f>
        <v>0</v>
      </c>
      <c r="AQ17" s="93">
        <f t="shared" ca="1" si="98"/>
        <v>0</v>
      </c>
      <c r="AR17" s="92">
        <f ca="1">IFERROR(__xludf.DUMMYFUNCTION("IMPORTRANGE(""https://docs.google.com/spreadsheets/d/1W6MnUbDkMi6xHnHko_XkFDO9kkuL6Wqyc-6OCDFjW9I/edit?usp=sharing"",""ตาก!L216"")"),0)</f>
        <v>0</v>
      </c>
      <c r="AS17" s="92">
        <f ca="1">IFERROR(__xludf.DUMMYFUNCTION("IMPORTRANGE(""https://docs.google.com/spreadsheets/d/1W6MnUbDkMi6xHnHko_XkFDO9kkuL6Wqyc-6OCDFjW9I/edit?usp=sharing"",""ตาก!N216"")"),0)</f>
        <v>0</v>
      </c>
      <c r="AT17" s="93">
        <f t="shared" ca="1" si="100"/>
        <v>0</v>
      </c>
      <c r="AU17" s="92">
        <f ca="1">IFERROR(__xludf.DUMMYFUNCTION("IMPORTRANGE(""https://docs.google.com/spreadsheets/d/1W6MnUbDkMi6xHnHko_XkFDO9kkuL6Wqyc-6OCDFjW9I/edit?usp=sharing"",""ตาก!L217"")"),0)</f>
        <v>0</v>
      </c>
      <c r="AV17" s="92">
        <f ca="1">IFERROR(__xludf.DUMMYFUNCTION("IMPORTRANGE(""https://docs.google.com/spreadsheets/d/1W6MnUbDkMi6xHnHko_XkFDO9kkuL6Wqyc-6OCDFjW9I/edit?usp=sharing"",""ตาก!N217"")"),0)</f>
        <v>0</v>
      </c>
      <c r="AW17" s="93">
        <f t="shared" ca="1" si="102"/>
        <v>0</v>
      </c>
      <c r="AX17" s="92">
        <f ca="1">IFERROR(__xludf.DUMMYFUNCTION("IMPORTRANGE(""https://docs.google.com/spreadsheets/d/1W6MnUbDkMi6xHnHko_XkFDO9kkuL6Wqyc-6OCDFjW9I/edit?usp=sharing"",""ตาก!I219"")"),0)</f>
        <v>0</v>
      </c>
      <c r="AY17" s="92">
        <f ca="1">IFERROR(__xludf.DUMMYFUNCTION("IMPORTRANGE(""https://docs.google.com/spreadsheets/d/1W6MnUbDkMi6xHnHko_XkFDO9kkuL6Wqyc-6OCDFjW9I/edit?usp=sharing"",""ตาก!J219"")"),0)</f>
        <v>0</v>
      </c>
      <c r="AZ17" s="93">
        <f t="shared" ca="1" si="104"/>
        <v>0</v>
      </c>
      <c r="BA17" s="92">
        <f ca="1">IFERROR(__xludf.DUMMYFUNCTION("IMPORTRANGE(""https://docs.google.com/spreadsheets/d/1W6MnUbDkMi6xHnHko_XkFDO9kkuL6Wqyc-6OCDFjW9I/edit?usp=sharing"",""ตาก!I220"")"),0)</f>
        <v>0</v>
      </c>
      <c r="BB17" s="92">
        <f ca="1">IFERROR(__xludf.DUMMYFUNCTION("IMPORTRANGE(""https://docs.google.com/spreadsheets/d/1W6MnUbDkMi6xHnHko_XkFDO9kkuL6Wqyc-6OCDFjW9I/edit?usp=sharing"",""ตาก!J220"")"),0)</f>
        <v>0</v>
      </c>
      <c r="BC17" s="93">
        <f t="shared" ca="1" si="106"/>
        <v>0</v>
      </c>
      <c r="BD17" s="92">
        <f ca="1">IFERROR(__xludf.DUMMYFUNCTION("IMPORTRANGE(""https://docs.google.com/spreadsheets/d/1W6MnUbDkMi6xHnHko_XkFDO9kkuL6Wqyc-6OCDFjW9I/edit?usp=sharing"",""ตาก!L223"")"),7000)</f>
        <v>7000</v>
      </c>
      <c r="BE17" s="92">
        <f ca="1">IFERROR(__xludf.DUMMYFUNCTION("IMPORTRANGE(""https://docs.google.com/spreadsheets/d/1W6MnUbDkMi6xHnHko_XkFDO9kkuL6Wqyc-6OCDFjW9I/edit?usp=sharing"",""ตาก!N223"")"),0)</f>
        <v>0</v>
      </c>
      <c r="BF17" s="93">
        <f t="shared" ca="1" si="108"/>
        <v>0</v>
      </c>
      <c r="BG17" s="92">
        <f ca="1">IFERROR(__xludf.DUMMYFUNCTION("IMPORTRANGE(""https://docs.google.com/spreadsheets/d/1W6MnUbDkMi6xHnHko_XkFDO9kkuL6Wqyc-6OCDFjW9I/edit?usp=sharing"",""ตาก!L224"")"),1500)</f>
        <v>1500</v>
      </c>
      <c r="BH17" s="92">
        <f ca="1">IFERROR(__xludf.DUMMYFUNCTION("IMPORTRANGE(""https://docs.google.com/spreadsheets/d/1W6MnUbDkMi6xHnHko_XkFDO9kkuL6Wqyc-6OCDFjW9I/edit?usp=sharing"",""ตาก!N224"")"),0)</f>
        <v>0</v>
      </c>
      <c r="BI17" s="93">
        <f t="shared" ca="1" si="110"/>
        <v>0</v>
      </c>
      <c r="BJ17" s="92">
        <f ca="1">IFERROR(__xludf.DUMMYFUNCTION("IMPORTRANGE(""https://docs.google.com/spreadsheets/d/1W6MnUbDkMi6xHnHko_XkFDO9kkuL6Wqyc-6OCDFjW9I/edit?usp=sharing"",""ตาก!I228"")"),50000)</f>
        <v>50000</v>
      </c>
      <c r="BK17" s="92">
        <f ca="1">IFERROR(__xludf.DUMMYFUNCTION("IMPORTRANGE(""https://docs.google.com/spreadsheets/d/1W6MnUbDkMi6xHnHko_XkFDO9kkuL6Wqyc-6OCDFjW9I/edit?usp=sharing"",""ตาก!J228"")"),0)</f>
        <v>0</v>
      </c>
      <c r="BL17" s="93">
        <f t="shared" ca="1" si="112"/>
        <v>0</v>
      </c>
      <c r="BM17" s="92">
        <f ca="1">IFERROR(__xludf.DUMMYFUNCTION("IMPORTRANGE(""https://docs.google.com/spreadsheets/d/1W6MnUbDkMi6xHnHko_XkFDO9kkuL6Wqyc-6OCDFjW9I/edit?usp=sharing"",""ตาก!I229"")"),50000)</f>
        <v>50000</v>
      </c>
      <c r="BN17" s="92">
        <f ca="1">IFERROR(__xludf.DUMMYFUNCTION("IMPORTRANGE(""https://docs.google.com/spreadsheets/d/1W6MnUbDkMi6xHnHko_XkFDO9kkuL6Wqyc-6OCDFjW9I/edit?usp=sharing"",""ตาก!J229"")"),0)</f>
        <v>0</v>
      </c>
      <c r="BO17" s="93">
        <f t="shared" ca="1" si="114"/>
        <v>0</v>
      </c>
      <c r="BP17" s="92">
        <f ca="1">IFERROR(__xludf.DUMMYFUNCTION("IMPORTRANGE(""https://docs.google.com/spreadsheets/d/1W6MnUbDkMi6xHnHko_XkFDO9kkuL6Wqyc-6OCDFjW9I/edit?usp=sharing"",""ตาก!I230"")"),0)</f>
        <v>0</v>
      </c>
      <c r="BQ17" s="92">
        <f ca="1">IFERROR(__xludf.DUMMYFUNCTION("IMPORTRANGE(""https://docs.google.com/spreadsheets/d/1W6MnUbDkMi6xHnHko_XkFDO9kkuL6Wqyc-6OCDFjW9I/edit?usp=sharing"",""ตาก!J230"")"),0)</f>
        <v>0</v>
      </c>
      <c r="BR17" s="93">
        <f t="shared" ca="1" si="116"/>
        <v>0</v>
      </c>
      <c r="BS17" s="92">
        <f ca="1">IFERROR(__xludf.DUMMYFUNCTION("IMPORTRANGE(""https://docs.google.com/spreadsheets/d/1W6MnUbDkMi6xHnHko_XkFDO9kkuL6Wqyc-6OCDFjW9I/edit?usp=sharing"",""ตาก!L233"")"),0)</f>
        <v>0</v>
      </c>
      <c r="BT17" s="92">
        <f ca="1">IFERROR(__xludf.DUMMYFUNCTION("IMPORTRANGE(""https://docs.google.com/spreadsheets/d/1W6MnUbDkMi6xHnHko_XkFDO9kkuL6Wqyc-6OCDFjW9I/edit?usp=sharing"",""ตาก!N233"")"),0)</f>
        <v>0</v>
      </c>
      <c r="BU17" s="93">
        <f t="shared" ca="1" si="118"/>
        <v>0</v>
      </c>
      <c r="BV17" s="92">
        <f ca="1">IFERROR(__xludf.DUMMYFUNCTION("IMPORTRANGE(""https://docs.google.com/spreadsheets/d/1W6MnUbDkMi6xHnHko_XkFDO9kkuL6Wqyc-6OCDFjW9I/edit?usp=sharing"",""ตาก!L234"")"),0)</f>
        <v>0</v>
      </c>
      <c r="BW17" s="92">
        <f ca="1">IFERROR(__xludf.DUMMYFUNCTION("IMPORTRANGE(""https://docs.google.com/spreadsheets/d/1W6MnUbDkMi6xHnHko_XkFDO9kkuL6Wqyc-6OCDFjW9I/edit?usp=sharing"",""ตาก!N234"")"),0)</f>
        <v>0</v>
      </c>
      <c r="BX17" s="93">
        <f t="shared" ca="1" si="120"/>
        <v>0</v>
      </c>
      <c r="BY17" s="92">
        <f ca="1">IFERROR(__xludf.DUMMYFUNCTION("IMPORTRANGE(""https://docs.google.com/spreadsheets/d/1W6MnUbDkMi6xHnHko_XkFDO9kkuL6Wqyc-6OCDFjW9I/edit?usp=sharing"",""ตาก!L235"")"),0)</f>
        <v>0</v>
      </c>
      <c r="BZ17" s="92">
        <f ca="1">IFERROR(__xludf.DUMMYFUNCTION("IMPORTRANGE(""https://docs.google.com/spreadsheets/d/1W6MnUbDkMi6xHnHko_XkFDO9kkuL6Wqyc-6OCDFjW9I/edit?usp=sharing"",""ตาก!N235"")"),0)</f>
        <v>0</v>
      </c>
      <c r="CA17" s="93">
        <f t="shared" ca="1" si="122"/>
        <v>0</v>
      </c>
      <c r="CB17" s="92">
        <f ca="1">IFERROR(__xludf.DUMMYFUNCTION("IMPORTRANGE(""https://docs.google.com/spreadsheets/d/1W6MnUbDkMi6xHnHko_XkFDO9kkuL6Wqyc-6OCDFjW9I/edit?usp=sharing"",""ตาก!L236"")"),0)</f>
        <v>0</v>
      </c>
      <c r="CC17" s="92">
        <f ca="1">IFERROR(__xludf.DUMMYFUNCTION("IMPORTRANGE(""https://docs.google.com/spreadsheets/d/1W6MnUbDkMi6xHnHko_XkFDO9kkuL6Wqyc-6OCDFjW9I/edit?usp=sharing"",""ตาก!N236"")"),0)</f>
        <v>0</v>
      </c>
      <c r="CD17" s="93">
        <f t="shared" ca="1" si="124"/>
        <v>0</v>
      </c>
      <c r="CE17" s="92">
        <f ca="1">IFERROR(__xludf.DUMMYFUNCTION("IMPORTRANGE(""https://docs.google.com/spreadsheets/d/1W6MnUbDkMi6xHnHko_XkFDO9kkuL6Wqyc-6OCDFjW9I/edit?usp=sharing"",""ตาก!I238"")"),0)</f>
        <v>0</v>
      </c>
      <c r="CF17" s="92">
        <f ca="1">IFERROR(__xludf.DUMMYFUNCTION("IMPORTRANGE(""https://docs.google.com/spreadsheets/d/1W6MnUbDkMi6xHnHko_XkFDO9kkuL6Wqyc-6OCDFjW9I/edit?usp=sharing"",""ตาก!J238"")"),0)</f>
        <v>0</v>
      </c>
      <c r="CG17" s="93">
        <f t="shared" ca="1" si="126"/>
        <v>0</v>
      </c>
      <c r="CH17" s="92">
        <f ca="1">IFERROR(__xludf.DUMMYFUNCTION("IMPORTRANGE(""https://docs.google.com/spreadsheets/d/1W6MnUbDkMi6xHnHko_XkFDO9kkuL6Wqyc-6OCDFjW9I/edit?usp=sharing"",""ตาก!J240"")"),0)</f>
        <v>0</v>
      </c>
      <c r="CI17" s="92">
        <f ca="1">IFERROR(__xludf.DUMMYFUNCTION("IMPORTRANGE(""https://docs.google.com/spreadsheets/d/1W6MnUbDkMi6xHnHko_XkFDO9kkuL6Wqyc-6OCDFjW9I/edit?usp=sharing"",""ตาก!J241"")"),0)</f>
        <v>0</v>
      </c>
    </row>
    <row r="18" spans="1:87" ht="24" customHeight="1" x14ac:dyDescent="0.3">
      <c r="A18" s="84">
        <v>5</v>
      </c>
      <c r="B18" s="85" t="s">
        <v>40</v>
      </c>
      <c r="C18" s="174">
        <f t="shared" ca="1" si="77"/>
        <v>161500</v>
      </c>
      <c r="D18" s="175">
        <f t="shared" ca="1" si="128"/>
        <v>161500</v>
      </c>
      <c r="E18" s="176">
        <f ca="1">IFERROR(__xludf.DUMMYFUNCTION("IMPORTRANGE(""https://docs.google.com/spreadsheets/d/1-uDff_7J0KD5mKrp0Vvzr7lt3OU09vwQwhkpOPPYv2Y/edit?usp=sharing"",""งบพรบ!CV18"")"),91000)</f>
        <v>91000</v>
      </c>
      <c r="F18" s="176">
        <f ca="1">IFERROR(__xludf.DUMMYFUNCTION("IMPORTRANGE(""https://docs.google.com/spreadsheets/d/1-uDff_7J0KD5mKrp0Vvzr7lt3OU09vwQwhkpOPPYv2Y/edit?usp=sharing"",""งบพรบ!CW18"")"),70500)</f>
        <v>70500</v>
      </c>
      <c r="G18" s="176">
        <f ca="1">IFERROR(__xludf.DUMMYFUNCTION("IMPORTRANGE(""https://docs.google.com/spreadsheets/d/1-uDff_7J0KD5mKrp0Vvzr7lt3OU09vwQwhkpOPPYv2Y/edit?usp=sharing"",""งบพรบ!CX18"")"),0)</f>
        <v>0</v>
      </c>
      <c r="H18" s="176">
        <f ca="1">IFERROR(__xludf.DUMMYFUNCTION("IMPORTRANGE(""https://docs.google.com/spreadsheets/d/1-uDff_7J0KD5mKrp0Vvzr7lt3OU09vwQwhkpOPPYv2Y/edit?usp=sharing"",""งบพรบ!CZ18"")"),105500)</f>
        <v>105500</v>
      </c>
      <c r="I18" s="176">
        <f ca="1">IFERROR(__xludf.DUMMYFUNCTION("IMPORTRANGE(""https://docs.google.com/spreadsheets/d/1-uDff_7J0KD5mKrp0Vvzr7lt3OU09vwQwhkpOPPYv2Y/edit?usp=sharing"",""งบพรบ!DA18"")"),0)</f>
        <v>0</v>
      </c>
      <c r="J18" s="176">
        <f t="shared" ca="1" si="79"/>
        <v>9962</v>
      </c>
      <c r="K18" s="181">
        <f t="shared" ca="1" si="80"/>
        <v>6.1684210526315786</v>
      </c>
      <c r="L18" s="176">
        <f ca="1">IFERROR(__xludf.DUMMYFUNCTION("IMPORTRANGE(""https://docs.google.com/spreadsheets/d/1-uDff_7J0KD5mKrp0Vvzr7lt3OU09vwQwhkpOPPYv2Y/edit?usp=sharing"",""งบพรบ!DB18"")"),9962)</f>
        <v>9962</v>
      </c>
      <c r="M18" s="179">
        <f t="shared" ca="1" si="81"/>
        <v>6.1684210526315786</v>
      </c>
      <c r="N18" s="179">
        <f t="shared" ca="1" si="82"/>
        <v>9.442654028436019</v>
      </c>
      <c r="O18" s="180">
        <f ca="1">IFERROR(__xludf.DUMMYFUNCTION("IMPORTRANGE(""https://docs.google.com/spreadsheets/d/1-uDff_7J0KD5mKrp0Vvzr7lt3OU09vwQwhkpOPPYv2Y/edit?usp=sharing"",""งบพรบ!DC18"")"),0)</f>
        <v>0</v>
      </c>
      <c r="P18" s="180">
        <f t="shared" ca="1" si="83"/>
        <v>0</v>
      </c>
      <c r="Q18" s="179">
        <f t="shared" ca="1" si="84"/>
        <v>0</v>
      </c>
      <c r="R18" s="92">
        <f ca="1">IFERROR(__xludf.DUMMYFUNCTION("IMPORTRANGE(""https://docs.google.com/spreadsheets/d/1IQAWArduLkta9LpYo4a_ULsyqdta6-6aDDiwpUnQT6c/edit?usp=sharing"",""นครสวรรค์!L196"")"),6000)</f>
        <v>6000</v>
      </c>
      <c r="S18" s="92">
        <f ca="1">IFERROR(__xludf.DUMMYFUNCTION("IMPORTRANGE(""https://docs.google.com/spreadsheets/d/1IQAWArduLkta9LpYo4a_ULsyqdta6-6aDDiwpUnQT6c/edit?usp=sharing"",""นครสวรรค์!N196"")"),0)</f>
        <v>0</v>
      </c>
      <c r="T18" s="93">
        <f t="shared" ca="1" si="86"/>
        <v>0</v>
      </c>
      <c r="U18" s="92">
        <f ca="1">IFERROR(__xludf.DUMMYFUNCTION("IMPORTRANGE(""https://docs.google.com/spreadsheets/d/1IQAWArduLkta9LpYo4a_ULsyqdta6-6aDDiwpUnQT6c/edit?usp=sharing"",""นครสวรรค์!I198"")"),4)</f>
        <v>4</v>
      </c>
      <c r="V18" s="92">
        <f ca="1">IFERROR(__xludf.DUMMYFUNCTION("IMPORTRANGE(""https://docs.google.com/spreadsheets/d/1IQAWArduLkta9LpYo4a_ULsyqdta6-6aDDiwpUnQT6c/edit?usp=sharing"",""นครสวรรค์!J198"")"),0)</f>
        <v>0</v>
      </c>
      <c r="W18" s="93">
        <f t="shared" ca="1" si="88"/>
        <v>0</v>
      </c>
      <c r="X18" s="92">
        <f ca="1">IFERROR(__xludf.DUMMYFUNCTION("IMPORTRANGE(""https://docs.google.com/spreadsheets/d/1IQAWArduLkta9LpYo4a_ULsyqdta6-6aDDiwpUnQT6c/edit?usp=sharing"",""นครสวรรค์!J199"")"),0)</f>
        <v>0</v>
      </c>
      <c r="Y18" s="92">
        <f ca="1">IFERROR(__xludf.DUMMYFUNCTION("IMPORTRANGE(""https://docs.google.com/spreadsheets/d/1IQAWArduLkta9LpYo4a_ULsyqdta6-6aDDiwpUnQT6c/edit?usp=sharing"",""นครสวรรค์!J200"")"),0)</f>
        <v>0</v>
      </c>
      <c r="Z18" s="92">
        <f ca="1">IFERROR(__xludf.DUMMYFUNCTION("IMPORTRANGE(""https://docs.google.com/spreadsheets/d/1IQAWArduLkta9LpYo4a_ULsyqdta6-6aDDiwpUnQT6c/edit?usp=sharing"",""นครสวรรค์!J201"")"),0)</f>
        <v>0</v>
      </c>
      <c r="AA18" s="92">
        <f ca="1">IFERROR(__xludf.DUMMYFUNCTION("IMPORTRANGE(""https://docs.google.com/spreadsheets/d/1IQAWArduLkta9LpYo4a_ULsyqdta6-6aDDiwpUnQT6c/edit?usp=sharing"",""นครสวรรค์!L204"")"),4000)</f>
        <v>4000</v>
      </c>
      <c r="AB18" s="92">
        <f ca="1">IFERROR(__xludf.DUMMYFUNCTION("IMPORTRANGE(""https://docs.google.com/spreadsheets/d/1IQAWArduLkta9LpYo4a_ULsyqdta6-6aDDiwpUnQT6c/edit?usp=sharing"",""นครสวรรค์!N204"")"),0)</f>
        <v>0</v>
      </c>
      <c r="AC18" s="93">
        <f t="shared" ca="1" si="90"/>
        <v>0</v>
      </c>
      <c r="AD18" s="92">
        <f ca="1">IFERROR(__xludf.DUMMYFUNCTION("IMPORTRANGE(""https://docs.google.com/spreadsheets/d/1IQAWArduLkta9LpYo4a_ULsyqdta6-6aDDiwpUnQT6c/edit?usp=sharing"",""นครสวรรค์!L206"")"),32000)</f>
        <v>32000</v>
      </c>
      <c r="AE18" s="92">
        <f ca="1">IFERROR(__xludf.DUMMYFUNCTION("IMPORTRANGE(""https://docs.google.com/spreadsheets/d/1IQAWArduLkta9LpYo4a_ULsyqdta6-6aDDiwpUnQT6c/edit?usp=sharing"",""นครสวรรค์!N206"")"),0)</f>
        <v>0</v>
      </c>
      <c r="AF18" s="93">
        <f t="shared" ca="1" si="92"/>
        <v>0</v>
      </c>
      <c r="AG18" s="92">
        <f ca="1">IFERROR(__xludf.DUMMYFUNCTION("IMPORTRANGE(""https://docs.google.com/spreadsheets/d/1IQAWArduLkta9LpYo4a_ULsyqdta6-6aDDiwpUnQT6c/edit?usp=sharing"",""นครสวรรค์!L207"")"),16000)</f>
        <v>16000</v>
      </c>
      <c r="AH18" s="92">
        <f ca="1">IFERROR(__xludf.DUMMYFUNCTION("IMPORTRANGE(""https://docs.google.com/spreadsheets/d/1IQAWArduLkta9LpYo4a_ULsyqdta6-6aDDiwpUnQT6c/edit?usp=sharing"",""นครสวรรค์!N207"")"),0)</f>
        <v>0</v>
      </c>
      <c r="AI18" s="93">
        <f t="shared" ca="1" si="94"/>
        <v>0</v>
      </c>
      <c r="AJ18" s="92">
        <f ca="1">IFERROR(__xludf.DUMMYFUNCTION("IMPORTRANGE(""https://docs.google.com/spreadsheets/d/1IQAWArduLkta9LpYo4a_ULsyqdta6-6aDDiwpUnQT6c/edit?usp=sharing"",""นครสวรรค์!I209"")"),4)</f>
        <v>4</v>
      </c>
      <c r="AK18" s="92">
        <f ca="1">IFERROR(__xludf.DUMMYFUNCTION("IMPORTRANGE(""https://docs.google.com/spreadsheets/d/1IQAWArduLkta9LpYo4a_ULsyqdta6-6aDDiwpUnQT6c/edit?usp=sharing"",""นครสวรรค์!J209"")"),0)</f>
        <v>0</v>
      </c>
      <c r="AL18" s="93">
        <f t="shared" ca="1" si="96"/>
        <v>0</v>
      </c>
      <c r="AM18" s="92">
        <f ca="1">IFERROR(__xludf.DUMMYFUNCTION("IMPORTRANGE(""https://docs.google.com/spreadsheets/d/1IQAWArduLkta9LpYo4a_ULsyqdta6-6aDDiwpUnQT6c/edit?usp=sharing"",""นครสวรรค์!J211"")"),0)</f>
        <v>0</v>
      </c>
      <c r="AN18" s="92">
        <f ca="1">IFERROR(__xludf.DUMMYFUNCTION("IMPORTRANGE(""https://docs.google.com/spreadsheets/d/1IQAWArduLkta9LpYo4a_ULsyqdta6-6aDDiwpUnQT6c/edit?usp=sharing"",""นครสวรรค์!J212"")"),0)</f>
        <v>0</v>
      </c>
      <c r="AO18" s="92">
        <f ca="1">IFERROR(__xludf.DUMMYFUNCTION("IMPORTRANGE(""https://docs.google.com/spreadsheets/d/1IQAWArduLkta9LpYo4a_ULsyqdta6-6aDDiwpUnQT6c/edit?usp=sharing"",""นครสวรรค์!L215"")"),0)</f>
        <v>0</v>
      </c>
      <c r="AP18" s="92">
        <f ca="1">IFERROR(__xludf.DUMMYFUNCTION("IMPORTRANGE(""https://docs.google.com/spreadsheets/d/1IQAWArduLkta9LpYo4a_ULsyqdta6-6aDDiwpUnQT6c/edit?usp=sharing"",""นครสวรรค์!N215"")"),0)</f>
        <v>0</v>
      </c>
      <c r="AQ18" s="93">
        <f t="shared" ca="1" si="98"/>
        <v>0</v>
      </c>
      <c r="AR18" s="92">
        <f ca="1">IFERROR(__xludf.DUMMYFUNCTION("IMPORTRANGE(""https://docs.google.com/spreadsheets/d/1IQAWArduLkta9LpYo4a_ULsyqdta6-6aDDiwpUnQT6c/edit?usp=sharing"",""นครสวรรค์!L216"")"),0)</f>
        <v>0</v>
      </c>
      <c r="AS18" s="92">
        <f ca="1">IFERROR(__xludf.DUMMYFUNCTION("IMPORTRANGE(""https://docs.google.com/spreadsheets/d/1IQAWArduLkta9LpYo4a_ULsyqdta6-6aDDiwpUnQT6c/edit?usp=sharing"",""นครสวรรค์!N216"")"),0)</f>
        <v>0</v>
      </c>
      <c r="AT18" s="93">
        <f t="shared" ca="1" si="100"/>
        <v>0</v>
      </c>
      <c r="AU18" s="92">
        <f ca="1">IFERROR(__xludf.DUMMYFUNCTION("IMPORTRANGE(""https://docs.google.com/spreadsheets/d/1IQAWArduLkta9LpYo4a_ULsyqdta6-6aDDiwpUnQT6c/edit?usp=sharing"",""นครสวรรค์!L217"")"),0)</f>
        <v>0</v>
      </c>
      <c r="AV18" s="92">
        <f ca="1">IFERROR(__xludf.DUMMYFUNCTION("IMPORTRANGE(""https://docs.google.com/spreadsheets/d/1IQAWArduLkta9LpYo4a_ULsyqdta6-6aDDiwpUnQT6c/edit?usp=sharing"",""นครสวรรค์!N217"")"),0)</f>
        <v>0</v>
      </c>
      <c r="AW18" s="93">
        <f t="shared" ca="1" si="102"/>
        <v>0</v>
      </c>
      <c r="AX18" s="92">
        <f ca="1">IFERROR(__xludf.DUMMYFUNCTION("IMPORTRANGE(""https://docs.google.com/spreadsheets/d/1IQAWArduLkta9LpYo4a_ULsyqdta6-6aDDiwpUnQT6c/edit?usp=sharing"",""นครสวรรค์!I219"")"),0)</f>
        <v>0</v>
      </c>
      <c r="AY18" s="92">
        <f ca="1">IFERROR(__xludf.DUMMYFUNCTION("IMPORTRANGE(""https://docs.google.com/spreadsheets/d/1IQAWArduLkta9LpYo4a_ULsyqdta6-6aDDiwpUnQT6c/edit?usp=sharing"",""นครสวรรค์!J219"")"),0)</f>
        <v>0</v>
      </c>
      <c r="AZ18" s="93">
        <f t="shared" ca="1" si="104"/>
        <v>0</v>
      </c>
      <c r="BA18" s="92">
        <f ca="1">IFERROR(__xludf.DUMMYFUNCTION("IMPORTRANGE(""https://docs.google.com/spreadsheets/d/1IQAWArduLkta9LpYo4a_ULsyqdta6-6aDDiwpUnQT6c/edit?usp=sharing"",""นครสวรรค์!I220"")"),0)</f>
        <v>0</v>
      </c>
      <c r="BB18" s="92">
        <f ca="1">IFERROR(__xludf.DUMMYFUNCTION("IMPORTRANGE(""https://docs.google.com/spreadsheets/d/1IQAWArduLkta9LpYo4a_ULsyqdta6-6aDDiwpUnQT6c/edit?usp=sharing"",""นครสวรรค์!J220"")"),0)</f>
        <v>0</v>
      </c>
      <c r="BC18" s="93">
        <f t="shared" ca="1" si="106"/>
        <v>0</v>
      </c>
      <c r="BD18" s="92">
        <f ca="1">IFERROR(__xludf.DUMMYFUNCTION("IMPORTRANGE(""https://docs.google.com/spreadsheets/d/1IQAWArduLkta9LpYo4a_ULsyqdta6-6aDDiwpUnQT6c/edit?usp=sharing"",""นครสวรรค์!L223"")"),11000)</f>
        <v>11000</v>
      </c>
      <c r="BE18" s="92">
        <f ca="1">IFERROR(__xludf.DUMMYFUNCTION("IMPORTRANGE(""https://docs.google.com/spreadsheets/d/1IQAWArduLkta9LpYo4a_ULsyqdta6-6aDDiwpUnQT6c/edit?usp=sharing"",""นครสวรรค์!N223"")"),0)</f>
        <v>0</v>
      </c>
      <c r="BF18" s="93">
        <f t="shared" ca="1" si="108"/>
        <v>0</v>
      </c>
      <c r="BG18" s="92">
        <f ca="1">IFERROR(__xludf.DUMMYFUNCTION("IMPORTRANGE(""https://docs.google.com/spreadsheets/d/1IQAWArduLkta9LpYo4a_ULsyqdta6-6aDDiwpUnQT6c/edit?usp=sharing"",""นครสวรรค์!L224"")"),1500)</f>
        <v>1500</v>
      </c>
      <c r="BH18" s="92">
        <f ca="1">IFERROR(__xludf.DUMMYFUNCTION("IMPORTRANGE(""https://docs.google.com/spreadsheets/d/1IQAWArduLkta9LpYo4a_ULsyqdta6-6aDDiwpUnQT6c/edit?usp=sharing"",""นครสวรรค์!N224"")"),0)</f>
        <v>0</v>
      </c>
      <c r="BI18" s="93">
        <f t="shared" ca="1" si="110"/>
        <v>0</v>
      </c>
      <c r="BJ18" s="92">
        <f ca="1">IFERROR(__xludf.DUMMYFUNCTION("IMPORTRANGE(""https://docs.google.com/spreadsheets/d/1IQAWArduLkta9LpYo4a_ULsyqdta6-6aDDiwpUnQT6c/edit?usp=sharing"",""นครสวรรค์!I228"")"),100000)</f>
        <v>100000</v>
      </c>
      <c r="BK18" s="92">
        <f ca="1">IFERROR(__xludf.DUMMYFUNCTION("IMPORTRANGE(""https://docs.google.com/spreadsheets/d/1IQAWArduLkta9LpYo4a_ULsyqdta6-6aDDiwpUnQT6c/edit?usp=sharing"",""นครสวรรค์!J228"")"),0)</f>
        <v>0</v>
      </c>
      <c r="BL18" s="93">
        <f t="shared" ca="1" si="112"/>
        <v>0</v>
      </c>
      <c r="BM18" s="92">
        <f ca="1">IFERROR(__xludf.DUMMYFUNCTION("IMPORTRANGE(""https://docs.google.com/spreadsheets/d/1IQAWArduLkta9LpYo4a_ULsyqdta6-6aDDiwpUnQT6c/edit?usp=sharing"",""นครสวรรค์!I229"")"),100000)</f>
        <v>100000</v>
      </c>
      <c r="BN18" s="92">
        <f ca="1">IFERROR(__xludf.DUMMYFUNCTION("IMPORTRANGE(""https://docs.google.com/spreadsheets/d/1IQAWArduLkta9LpYo4a_ULsyqdta6-6aDDiwpUnQT6c/edit?usp=sharing"",""นครสวรรค์!J229"")"),0)</f>
        <v>0</v>
      </c>
      <c r="BO18" s="93">
        <f t="shared" ca="1" si="114"/>
        <v>0</v>
      </c>
      <c r="BP18" s="92">
        <f ca="1">IFERROR(__xludf.DUMMYFUNCTION("IMPORTRANGE(""https://docs.google.com/spreadsheets/d/1IQAWArduLkta9LpYo4a_ULsyqdta6-6aDDiwpUnQT6c/edit?usp=sharing"",""นครสวรรค์!I230"")"),0)</f>
        <v>0</v>
      </c>
      <c r="BQ18" s="92">
        <f ca="1">IFERROR(__xludf.DUMMYFUNCTION("IMPORTRANGE(""https://docs.google.com/spreadsheets/d/1IQAWArduLkta9LpYo4a_ULsyqdta6-6aDDiwpUnQT6c/edit?usp=sharing"",""นครสวรรค์!J230"")"),0)</f>
        <v>0</v>
      </c>
      <c r="BR18" s="93">
        <f t="shared" ca="1" si="116"/>
        <v>0</v>
      </c>
      <c r="BS18" s="92">
        <f ca="1">IFERROR(__xludf.DUMMYFUNCTION("IMPORTRANGE(""https://docs.google.com/spreadsheets/d/1IQAWArduLkta9LpYo4a_ULsyqdta6-6aDDiwpUnQT6c/edit?usp=sharing"",""นครสวรรค์!L233"")"),0)</f>
        <v>0</v>
      </c>
      <c r="BT18" s="92">
        <f ca="1">IFERROR(__xludf.DUMMYFUNCTION("IMPORTRANGE(""https://docs.google.com/spreadsheets/d/1IQAWArduLkta9LpYo4a_ULsyqdta6-6aDDiwpUnQT6c/edit?usp=sharing"",""นครสวรรค์!N233"")"),0)</f>
        <v>0</v>
      </c>
      <c r="BU18" s="93">
        <f t="shared" ca="1" si="118"/>
        <v>0</v>
      </c>
      <c r="BV18" s="92">
        <f ca="1">IFERROR(__xludf.DUMMYFUNCTION("IMPORTRANGE(""https://docs.google.com/spreadsheets/d/1IQAWArduLkta9LpYo4a_ULsyqdta6-6aDDiwpUnQT6c/edit?usp=sharing"",""นครสวรรค์!L234"")"),0)</f>
        <v>0</v>
      </c>
      <c r="BW18" s="92">
        <f ca="1">IFERROR(__xludf.DUMMYFUNCTION("IMPORTRANGE(""https://docs.google.com/spreadsheets/d/1IQAWArduLkta9LpYo4a_ULsyqdta6-6aDDiwpUnQT6c/edit?usp=sharing"",""นครสวรรค์!N234"")"),0)</f>
        <v>0</v>
      </c>
      <c r="BX18" s="93">
        <f t="shared" ca="1" si="120"/>
        <v>0</v>
      </c>
      <c r="BY18" s="92">
        <f ca="1">IFERROR(__xludf.DUMMYFUNCTION("IMPORTRANGE(""https://docs.google.com/spreadsheets/d/1IQAWArduLkta9LpYo4a_ULsyqdta6-6aDDiwpUnQT6c/edit?usp=sharing"",""นครสวรรค์!L235"")"),0)</f>
        <v>0</v>
      </c>
      <c r="BZ18" s="92">
        <f ca="1">IFERROR(__xludf.DUMMYFUNCTION("IMPORTRANGE(""https://docs.google.com/spreadsheets/d/1IQAWArduLkta9LpYo4a_ULsyqdta6-6aDDiwpUnQT6c/edit?usp=sharing"",""นครสวรรค์!N235"")"),0)</f>
        <v>0</v>
      </c>
      <c r="CA18" s="93">
        <f t="shared" ca="1" si="122"/>
        <v>0</v>
      </c>
      <c r="CB18" s="92">
        <f ca="1">IFERROR(__xludf.DUMMYFUNCTION("IMPORTRANGE(""https://docs.google.com/spreadsheets/d/1IQAWArduLkta9LpYo4a_ULsyqdta6-6aDDiwpUnQT6c/edit?usp=sharing"",""นครสวรรค์!L236"")"),0)</f>
        <v>0</v>
      </c>
      <c r="CC18" s="92">
        <f ca="1">IFERROR(__xludf.DUMMYFUNCTION("IMPORTRANGE(""https://docs.google.com/spreadsheets/d/1IQAWArduLkta9LpYo4a_ULsyqdta6-6aDDiwpUnQT6c/edit?usp=sharing"",""นครสวรรค์!N236"")"),0)</f>
        <v>0</v>
      </c>
      <c r="CD18" s="93">
        <f t="shared" ca="1" si="124"/>
        <v>0</v>
      </c>
      <c r="CE18" s="92">
        <f ca="1">IFERROR(__xludf.DUMMYFUNCTION("IMPORTRANGE(""https://docs.google.com/spreadsheets/d/1IQAWArduLkta9LpYo4a_ULsyqdta6-6aDDiwpUnQT6c/edit?usp=sharing"",""นครสวรรค์!I238"")"),0)</f>
        <v>0</v>
      </c>
      <c r="CF18" s="92">
        <f ca="1">IFERROR(__xludf.DUMMYFUNCTION("IMPORTRANGE(""https://docs.google.com/spreadsheets/d/1IQAWArduLkta9LpYo4a_ULsyqdta6-6aDDiwpUnQT6c/edit?usp=sharing"",""นครสวรรค์!J238"")"),0)</f>
        <v>0</v>
      </c>
      <c r="CG18" s="93">
        <f t="shared" ca="1" si="126"/>
        <v>0</v>
      </c>
      <c r="CH18" s="92">
        <f ca="1">IFERROR(__xludf.DUMMYFUNCTION("IMPORTRANGE(""https://docs.google.com/spreadsheets/d/1IQAWArduLkta9LpYo4a_ULsyqdta6-6aDDiwpUnQT6c/edit?usp=sharing"",""นครสวรรค์!J240"")"),0)</f>
        <v>0</v>
      </c>
      <c r="CI18" s="92">
        <f ca="1">IFERROR(__xludf.DUMMYFUNCTION("IMPORTRANGE(""https://docs.google.com/spreadsheets/d/1IQAWArduLkta9LpYo4a_ULsyqdta6-6aDDiwpUnQT6c/edit?usp=sharing"",""นครสวรรค์!J241"")"),0)</f>
        <v>0</v>
      </c>
    </row>
    <row r="19" spans="1:87" ht="24" customHeight="1" x14ac:dyDescent="0.3">
      <c r="A19" s="84">
        <v>6</v>
      </c>
      <c r="B19" s="85" t="s">
        <v>41</v>
      </c>
      <c r="C19" s="174">
        <f t="shared" ca="1" si="77"/>
        <v>389800</v>
      </c>
      <c r="D19" s="175">
        <f t="shared" ca="1" si="128"/>
        <v>389800</v>
      </c>
      <c r="E19" s="176">
        <f ca="1">IFERROR(__xludf.DUMMYFUNCTION("IMPORTRANGE(""https://docs.google.com/spreadsheets/d/1-uDff_7J0KD5mKrp0Vvzr7lt3OU09vwQwhkpOPPYv2Y/edit?usp=sharing"",""งบพรบ!CV19"")"),91000)</f>
        <v>91000</v>
      </c>
      <c r="F19" s="176">
        <f ca="1">IFERROR(__xludf.DUMMYFUNCTION("IMPORTRANGE(""https://docs.google.com/spreadsheets/d/1-uDff_7J0KD5mKrp0Vvzr7lt3OU09vwQwhkpOPPYv2Y/edit?usp=sharing"",""งบพรบ!CW19"")"),298800)</f>
        <v>298800</v>
      </c>
      <c r="G19" s="176">
        <f ca="1">IFERROR(__xludf.DUMMYFUNCTION("IMPORTRANGE(""https://docs.google.com/spreadsheets/d/1-uDff_7J0KD5mKrp0Vvzr7lt3OU09vwQwhkpOPPYv2Y/edit?usp=sharing"",""งบพรบ!CX19"")"),0)</f>
        <v>0</v>
      </c>
      <c r="H19" s="176">
        <f ca="1">IFERROR(__xludf.DUMMYFUNCTION("IMPORTRANGE(""https://docs.google.com/spreadsheets/d/1-uDff_7J0KD5mKrp0Vvzr7lt3OU09vwQwhkpOPPYv2Y/edit?usp=sharing"",""งบพรบ!CZ19"")"),312800)</f>
        <v>312800</v>
      </c>
      <c r="I19" s="176">
        <f ca="1">IFERROR(__xludf.DUMMYFUNCTION("IMPORTRANGE(""https://docs.google.com/spreadsheets/d/1-uDff_7J0KD5mKrp0Vvzr7lt3OU09vwQwhkpOPPYv2Y/edit?usp=sharing"",""งบพรบ!DA19"")"),0)</f>
        <v>0</v>
      </c>
      <c r="J19" s="176">
        <f t="shared" ca="1" si="79"/>
        <v>51593</v>
      </c>
      <c r="K19" s="181">
        <f t="shared" ca="1" si="80"/>
        <v>13.235761929194458</v>
      </c>
      <c r="L19" s="176">
        <f ca="1">IFERROR(__xludf.DUMMYFUNCTION("IMPORTRANGE(""https://docs.google.com/spreadsheets/d/1-uDff_7J0KD5mKrp0Vvzr7lt3OU09vwQwhkpOPPYv2Y/edit?usp=sharing"",""งบพรบ!DB19"")"),51593)</f>
        <v>51593</v>
      </c>
      <c r="M19" s="179">
        <f t="shared" ca="1" si="81"/>
        <v>13.235761929194458</v>
      </c>
      <c r="N19" s="179">
        <f t="shared" ca="1" si="82"/>
        <v>16.493925831202045</v>
      </c>
      <c r="O19" s="180">
        <f ca="1">IFERROR(__xludf.DUMMYFUNCTION("IMPORTRANGE(""https://docs.google.com/spreadsheets/d/1-uDff_7J0KD5mKrp0Vvzr7lt3OU09vwQwhkpOPPYv2Y/edit?usp=sharing"",""งบพรบ!DC19"")"),0)</f>
        <v>0</v>
      </c>
      <c r="P19" s="180">
        <f t="shared" ca="1" si="83"/>
        <v>0</v>
      </c>
      <c r="Q19" s="179">
        <f t="shared" ca="1" si="84"/>
        <v>0</v>
      </c>
      <c r="R19" s="92">
        <f ca="1">IFERROR(__xludf.DUMMYFUNCTION("IMPORTRANGE(""https://docs.google.com/spreadsheets/d/10s13Sk5xrltsiR-Zkbmk5DwIaDIKO8XlbJAfqyT7Gvg/edit?usp=sharing"",""น่าน!L196"")"),6000)</f>
        <v>6000</v>
      </c>
      <c r="S19" s="92">
        <f ca="1">IFERROR(__xludf.DUMMYFUNCTION("IMPORTRANGE(""https://docs.google.com/spreadsheets/d/10s13Sk5xrltsiR-Zkbmk5DwIaDIKO8XlbJAfqyT7Gvg/edit?usp=sharing"",""น่าน!N196"")"),0)</f>
        <v>0</v>
      </c>
      <c r="T19" s="93">
        <f t="shared" ca="1" si="86"/>
        <v>0</v>
      </c>
      <c r="U19" s="92">
        <f ca="1">IFERROR(__xludf.DUMMYFUNCTION("IMPORTRANGE(""https://docs.google.com/spreadsheets/d/10s13Sk5xrltsiR-Zkbmk5DwIaDIKO8XlbJAfqyT7Gvg/edit?usp=sharing"",""น่าน!I198"")"),4)</f>
        <v>4</v>
      </c>
      <c r="V19" s="92">
        <f ca="1">IFERROR(__xludf.DUMMYFUNCTION("IMPORTRANGE(""https://docs.google.com/spreadsheets/d/10s13Sk5xrltsiR-Zkbmk5DwIaDIKO8XlbJAfqyT7Gvg/edit?usp=sharing"",""น่าน!J198"")"),0)</f>
        <v>0</v>
      </c>
      <c r="W19" s="93">
        <f t="shared" ca="1" si="88"/>
        <v>0</v>
      </c>
      <c r="X19" s="92">
        <f ca="1">IFERROR(__xludf.DUMMYFUNCTION("IMPORTRANGE(""https://docs.google.com/spreadsheets/d/10s13Sk5xrltsiR-Zkbmk5DwIaDIKO8XlbJAfqyT7Gvg/edit?usp=sharing"",""น่าน!J199"")"),0)</f>
        <v>0</v>
      </c>
      <c r="Y19" s="92">
        <f ca="1">IFERROR(__xludf.DUMMYFUNCTION("IMPORTRANGE(""https://docs.google.com/spreadsheets/d/10s13Sk5xrltsiR-Zkbmk5DwIaDIKO8XlbJAfqyT7Gvg/edit?usp=sharing"",""น่าน!J200"")"),0)</f>
        <v>0</v>
      </c>
      <c r="Z19" s="92">
        <f ca="1">IFERROR(__xludf.DUMMYFUNCTION("IMPORTRANGE(""https://docs.google.com/spreadsheets/d/10s13Sk5xrltsiR-Zkbmk5DwIaDIKO8XlbJAfqyT7Gvg/edit?usp=sharing"",""น่าน!J201"")"),0)</f>
        <v>0</v>
      </c>
      <c r="AA19" s="92">
        <f ca="1">IFERROR(__xludf.DUMMYFUNCTION("IMPORTRANGE(""https://docs.google.com/spreadsheets/d/10s13Sk5xrltsiR-Zkbmk5DwIaDIKO8XlbJAfqyT7Gvg/edit?usp=sharing"",""น่าน!L204"")"),3000)</f>
        <v>3000</v>
      </c>
      <c r="AB19" s="92">
        <f ca="1">IFERROR(__xludf.DUMMYFUNCTION("IMPORTRANGE(""https://docs.google.com/spreadsheets/d/10s13Sk5xrltsiR-Zkbmk5DwIaDIKO8XlbJAfqyT7Gvg/edit?usp=sharing"",""น่าน!N204"")"),0)</f>
        <v>0</v>
      </c>
      <c r="AC19" s="93">
        <f t="shared" ca="1" si="90"/>
        <v>0</v>
      </c>
      <c r="AD19" s="92">
        <f ca="1">IFERROR(__xludf.DUMMYFUNCTION("IMPORTRANGE(""https://docs.google.com/spreadsheets/d/10s13Sk5xrltsiR-Zkbmk5DwIaDIKO8XlbJAfqyT7Gvg/edit?usp=sharing"",""น่าน!L206"")"),24000)</f>
        <v>24000</v>
      </c>
      <c r="AE19" s="92">
        <f ca="1">IFERROR(__xludf.DUMMYFUNCTION("IMPORTRANGE(""https://docs.google.com/spreadsheets/d/10s13Sk5xrltsiR-Zkbmk5DwIaDIKO8XlbJAfqyT7Gvg/edit?usp=sharing"",""น่าน!N206"")"),0)</f>
        <v>0</v>
      </c>
      <c r="AF19" s="93">
        <f t="shared" ca="1" si="92"/>
        <v>0</v>
      </c>
      <c r="AG19" s="92">
        <f ca="1">IFERROR(__xludf.DUMMYFUNCTION("IMPORTRANGE(""https://docs.google.com/spreadsheets/d/10s13Sk5xrltsiR-Zkbmk5DwIaDIKO8XlbJAfqyT7Gvg/edit?usp=sharing"",""น่าน!L207"")"),15000)</f>
        <v>15000</v>
      </c>
      <c r="AH19" s="92">
        <f ca="1">IFERROR(__xludf.DUMMYFUNCTION("IMPORTRANGE(""https://docs.google.com/spreadsheets/d/10s13Sk5xrltsiR-Zkbmk5DwIaDIKO8XlbJAfqyT7Gvg/edit?usp=sharing"",""น่าน!N207"")"),0)</f>
        <v>0</v>
      </c>
      <c r="AI19" s="93">
        <f t="shared" ca="1" si="94"/>
        <v>0</v>
      </c>
      <c r="AJ19" s="92">
        <f ca="1">IFERROR(__xludf.DUMMYFUNCTION("IMPORTRANGE(""https://docs.google.com/spreadsheets/d/10s13Sk5xrltsiR-Zkbmk5DwIaDIKO8XlbJAfqyT7Gvg/edit?usp=sharing"",""น่าน!I209"")"),3)</f>
        <v>3</v>
      </c>
      <c r="AK19" s="92">
        <f ca="1">IFERROR(__xludf.DUMMYFUNCTION("IMPORTRANGE(""https://docs.google.com/spreadsheets/d/10s13Sk5xrltsiR-Zkbmk5DwIaDIKO8XlbJAfqyT7Gvg/edit?usp=sharing"",""น่าน!J209"")"),0)</f>
        <v>0</v>
      </c>
      <c r="AL19" s="93">
        <f t="shared" ca="1" si="96"/>
        <v>0</v>
      </c>
      <c r="AM19" s="92">
        <f ca="1">IFERROR(__xludf.DUMMYFUNCTION("IMPORTRANGE(""https://docs.google.com/spreadsheets/d/10s13Sk5xrltsiR-Zkbmk5DwIaDIKO8XlbJAfqyT7Gvg/edit?usp=sharing"",""น่าน!J211"")"),0)</f>
        <v>0</v>
      </c>
      <c r="AN19" s="92">
        <f ca="1">IFERROR(__xludf.DUMMYFUNCTION("IMPORTRANGE(""https://docs.google.com/spreadsheets/d/10s13Sk5xrltsiR-Zkbmk5DwIaDIKO8XlbJAfqyT7Gvg/edit?usp=sharing"",""น่าน!J212"")"),0)</f>
        <v>0</v>
      </c>
      <c r="AO19" s="92">
        <f ca="1">IFERROR(__xludf.DUMMYFUNCTION("IMPORTRANGE(""https://docs.google.com/spreadsheets/d/10s13Sk5xrltsiR-Zkbmk5DwIaDIKO8XlbJAfqyT7Gvg/edit?usp=sharing"",""น่าน!L215"")"),0)</f>
        <v>0</v>
      </c>
      <c r="AP19" s="92">
        <f ca="1">IFERROR(__xludf.DUMMYFUNCTION("IMPORTRANGE(""https://docs.google.com/spreadsheets/d/10s13Sk5xrltsiR-Zkbmk5DwIaDIKO8XlbJAfqyT7Gvg/edit?usp=sharing"",""น่าน!N215"")"),0)</f>
        <v>0</v>
      </c>
      <c r="AQ19" s="93">
        <f t="shared" ca="1" si="98"/>
        <v>0</v>
      </c>
      <c r="AR19" s="92">
        <f ca="1">IFERROR(__xludf.DUMMYFUNCTION("IMPORTRANGE(""https://docs.google.com/spreadsheets/d/10s13Sk5xrltsiR-Zkbmk5DwIaDIKO8XlbJAfqyT7Gvg/edit?usp=sharing"",""น่าน!L216"")"),0)</f>
        <v>0</v>
      </c>
      <c r="AS19" s="92">
        <f ca="1">IFERROR(__xludf.DUMMYFUNCTION("IMPORTRANGE(""https://docs.google.com/spreadsheets/d/10s13Sk5xrltsiR-Zkbmk5DwIaDIKO8XlbJAfqyT7Gvg/edit?usp=sharing"",""น่าน!N216"")"),0)</f>
        <v>0</v>
      </c>
      <c r="AT19" s="93">
        <f t="shared" ca="1" si="100"/>
        <v>0</v>
      </c>
      <c r="AU19" s="92">
        <f ca="1">IFERROR(__xludf.DUMMYFUNCTION("IMPORTRANGE(""https://docs.google.com/spreadsheets/d/10s13Sk5xrltsiR-Zkbmk5DwIaDIKO8XlbJAfqyT7Gvg/edit?usp=sharing"",""น่าน!L217"")"),0)</f>
        <v>0</v>
      </c>
      <c r="AV19" s="92">
        <f ca="1">IFERROR(__xludf.DUMMYFUNCTION("IMPORTRANGE(""https://docs.google.com/spreadsheets/d/10s13Sk5xrltsiR-Zkbmk5DwIaDIKO8XlbJAfqyT7Gvg/edit?usp=sharing"",""น่าน!N217"")"),0)</f>
        <v>0</v>
      </c>
      <c r="AW19" s="93">
        <f t="shared" ca="1" si="102"/>
        <v>0</v>
      </c>
      <c r="AX19" s="92">
        <f ca="1">IFERROR(__xludf.DUMMYFUNCTION("IMPORTRANGE(""https://docs.google.com/spreadsheets/d/10s13Sk5xrltsiR-Zkbmk5DwIaDIKO8XlbJAfqyT7Gvg/edit?usp=sharing"",""น่าน!I219"")"),0)</f>
        <v>0</v>
      </c>
      <c r="AY19" s="92">
        <f ca="1">IFERROR(__xludf.DUMMYFUNCTION("IMPORTRANGE(""https://docs.google.com/spreadsheets/d/10s13Sk5xrltsiR-Zkbmk5DwIaDIKO8XlbJAfqyT7Gvg/edit?usp=sharing"",""น่าน!J219"")"),0)</f>
        <v>0</v>
      </c>
      <c r="AZ19" s="93">
        <f t="shared" ca="1" si="104"/>
        <v>0</v>
      </c>
      <c r="BA19" s="92">
        <f ca="1">IFERROR(__xludf.DUMMYFUNCTION("IMPORTRANGE(""https://docs.google.com/spreadsheets/d/10s13Sk5xrltsiR-Zkbmk5DwIaDIKO8XlbJAfqyT7Gvg/edit?usp=sharing"",""น่าน!I220"")"),0)</f>
        <v>0</v>
      </c>
      <c r="BB19" s="92">
        <f ca="1">IFERROR(__xludf.DUMMYFUNCTION("IMPORTRANGE(""https://docs.google.com/spreadsheets/d/10s13Sk5xrltsiR-Zkbmk5DwIaDIKO8XlbJAfqyT7Gvg/edit?usp=sharing"",""น่าน!J220"")"),0)</f>
        <v>0</v>
      </c>
      <c r="BC19" s="93">
        <f t="shared" ca="1" si="106"/>
        <v>0</v>
      </c>
      <c r="BD19" s="92">
        <f ca="1">IFERROR(__xludf.DUMMYFUNCTION("IMPORTRANGE(""https://docs.google.com/spreadsheets/d/10s13Sk5xrltsiR-Zkbmk5DwIaDIKO8XlbJAfqyT7Gvg/edit?usp=sharing"",""น่าน!L223"")"),7000)</f>
        <v>7000</v>
      </c>
      <c r="BE19" s="92">
        <f ca="1">IFERROR(__xludf.DUMMYFUNCTION("IMPORTRANGE(""https://docs.google.com/spreadsheets/d/10s13Sk5xrltsiR-Zkbmk5DwIaDIKO8XlbJAfqyT7Gvg/edit?usp=sharing"",""น่าน!N223"")"),0)</f>
        <v>0</v>
      </c>
      <c r="BF19" s="93">
        <f t="shared" ca="1" si="108"/>
        <v>0</v>
      </c>
      <c r="BG19" s="92">
        <f ca="1">IFERROR(__xludf.DUMMYFUNCTION("IMPORTRANGE(""https://docs.google.com/spreadsheets/d/10s13Sk5xrltsiR-Zkbmk5DwIaDIKO8XlbJAfqyT7Gvg/edit?usp=sharing"",""น่าน!L224"")"),1500)</f>
        <v>1500</v>
      </c>
      <c r="BH19" s="92">
        <f ca="1">IFERROR(__xludf.DUMMYFUNCTION("IMPORTRANGE(""https://docs.google.com/spreadsheets/d/10s13Sk5xrltsiR-Zkbmk5DwIaDIKO8XlbJAfqyT7Gvg/edit?usp=sharing"",""น่าน!N224"")"),0)</f>
        <v>0</v>
      </c>
      <c r="BI19" s="93">
        <f t="shared" ca="1" si="110"/>
        <v>0</v>
      </c>
      <c r="BJ19" s="92">
        <f ca="1">IFERROR(__xludf.DUMMYFUNCTION("IMPORTRANGE(""https://docs.google.com/spreadsheets/d/10s13Sk5xrltsiR-Zkbmk5DwIaDIKO8XlbJAfqyT7Gvg/edit?usp=sharing"",""น่าน!I228"")"),50000)</f>
        <v>50000</v>
      </c>
      <c r="BK19" s="92">
        <f ca="1">IFERROR(__xludf.DUMMYFUNCTION("IMPORTRANGE(""https://docs.google.com/spreadsheets/d/10s13Sk5xrltsiR-Zkbmk5DwIaDIKO8XlbJAfqyT7Gvg/edit?usp=sharing"",""น่าน!J228"")"),0)</f>
        <v>0</v>
      </c>
      <c r="BL19" s="93">
        <f t="shared" ca="1" si="112"/>
        <v>0</v>
      </c>
      <c r="BM19" s="92">
        <f ca="1">IFERROR(__xludf.DUMMYFUNCTION("IMPORTRANGE(""https://docs.google.com/spreadsheets/d/10s13Sk5xrltsiR-Zkbmk5DwIaDIKO8XlbJAfqyT7Gvg/edit?usp=sharing"",""น่าน!I229"")"),50000)</f>
        <v>50000</v>
      </c>
      <c r="BN19" s="92">
        <f ca="1">IFERROR(__xludf.DUMMYFUNCTION("IMPORTRANGE(""https://docs.google.com/spreadsheets/d/10s13Sk5xrltsiR-Zkbmk5DwIaDIKO8XlbJAfqyT7Gvg/edit?usp=sharing"",""น่าน!J229"")"),0)</f>
        <v>0</v>
      </c>
      <c r="BO19" s="93">
        <f t="shared" ca="1" si="114"/>
        <v>0</v>
      </c>
      <c r="BP19" s="92">
        <f ca="1">IFERROR(__xludf.DUMMYFUNCTION("IMPORTRANGE(""https://docs.google.com/spreadsheets/d/10s13Sk5xrltsiR-Zkbmk5DwIaDIKO8XlbJAfqyT7Gvg/edit?usp=sharing"",""น่าน!I230"")"),0)</f>
        <v>0</v>
      </c>
      <c r="BQ19" s="92">
        <f ca="1">IFERROR(__xludf.DUMMYFUNCTION("IMPORTRANGE(""https://docs.google.com/spreadsheets/d/10s13Sk5xrltsiR-Zkbmk5DwIaDIKO8XlbJAfqyT7Gvg/edit?usp=sharing"",""น่าน!J230"")"),0)</f>
        <v>0</v>
      </c>
      <c r="BR19" s="93">
        <f t="shared" ca="1" si="116"/>
        <v>0</v>
      </c>
      <c r="BS19" s="92">
        <f ca="1">IFERROR(__xludf.DUMMYFUNCTION("IMPORTRANGE(""https://docs.google.com/spreadsheets/d/10s13Sk5xrltsiR-Zkbmk5DwIaDIKO8XlbJAfqyT7Gvg/edit?usp=sharing"",""น่าน!L233"")"),107000)</f>
        <v>107000</v>
      </c>
      <c r="BT19" s="92">
        <f ca="1">IFERROR(__xludf.DUMMYFUNCTION("IMPORTRANGE(""https://docs.google.com/spreadsheets/d/10s13Sk5xrltsiR-Zkbmk5DwIaDIKO8XlbJAfqyT7Gvg/edit?usp=sharing"",""น่าน!N233"")"),0)</f>
        <v>0</v>
      </c>
      <c r="BU19" s="93">
        <f t="shared" ca="1" si="118"/>
        <v>0</v>
      </c>
      <c r="BV19" s="92">
        <f ca="1">IFERROR(__xludf.DUMMYFUNCTION("IMPORTRANGE(""https://docs.google.com/spreadsheets/d/10s13Sk5xrltsiR-Zkbmk5DwIaDIKO8XlbJAfqyT7Gvg/edit?usp=sharing"",""น่าน!L234"")"),4000)</f>
        <v>4000</v>
      </c>
      <c r="BW19" s="92">
        <f ca="1">IFERROR(__xludf.DUMMYFUNCTION("IMPORTRANGE(""https://docs.google.com/spreadsheets/d/10s13Sk5xrltsiR-Zkbmk5DwIaDIKO8XlbJAfqyT7Gvg/edit?usp=sharing"",""น่าน!N234"")"),0)</f>
        <v>0</v>
      </c>
      <c r="BX19" s="93">
        <f t="shared" ca="1" si="120"/>
        <v>0</v>
      </c>
      <c r="BY19" s="92">
        <f ca="1">IFERROR(__xludf.DUMMYFUNCTION("IMPORTRANGE(""https://docs.google.com/spreadsheets/d/10s13Sk5xrltsiR-Zkbmk5DwIaDIKO8XlbJAfqyT7Gvg/edit?usp=sharing"",""น่าน!L235"")"),47300)</f>
        <v>47300</v>
      </c>
      <c r="BZ19" s="92">
        <f ca="1">IFERROR(__xludf.DUMMYFUNCTION("IMPORTRANGE(""https://docs.google.com/spreadsheets/d/10s13Sk5xrltsiR-Zkbmk5DwIaDIKO8XlbJAfqyT7Gvg/edit?usp=sharing"",""น่าน!N235"")"),0)</f>
        <v>0</v>
      </c>
      <c r="CA19" s="93">
        <f t="shared" ca="1" si="122"/>
        <v>0</v>
      </c>
      <c r="CB19" s="92">
        <f ca="1">IFERROR(__xludf.DUMMYFUNCTION("IMPORTRANGE(""https://docs.google.com/spreadsheets/d/10s13Sk5xrltsiR-Zkbmk5DwIaDIKO8XlbJAfqyT7Gvg/edit?usp=sharing"",""น่าน!L236"")"),84000)</f>
        <v>84000</v>
      </c>
      <c r="CC19" s="92">
        <f ca="1">IFERROR(__xludf.DUMMYFUNCTION("IMPORTRANGE(""https://docs.google.com/spreadsheets/d/10s13Sk5xrltsiR-Zkbmk5DwIaDIKO8XlbJAfqyT7Gvg/edit?usp=sharing"",""น่าน!N236"")"),0)</f>
        <v>0</v>
      </c>
      <c r="CD19" s="93">
        <f t="shared" ca="1" si="124"/>
        <v>0</v>
      </c>
      <c r="CE19" s="92">
        <f ca="1">IFERROR(__xludf.DUMMYFUNCTION("IMPORTRANGE(""https://docs.google.com/spreadsheets/d/10s13Sk5xrltsiR-Zkbmk5DwIaDIKO8XlbJAfqyT7Gvg/edit?usp=sharing"",""น่าน!I238"")"),70)</f>
        <v>70</v>
      </c>
      <c r="CF19" s="92">
        <f ca="1">IFERROR(__xludf.DUMMYFUNCTION("IMPORTRANGE(""https://docs.google.com/spreadsheets/d/10s13Sk5xrltsiR-Zkbmk5DwIaDIKO8XlbJAfqyT7Gvg/edit?usp=sharing"",""น่าน!J238"")"),0)</f>
        <v>0</v>
      </c>
      <c r="CG19" s="93">
        <f t="shared" ca="1" si="126"/>
        <v>0</v>
      </c>
      <c r="CH19" s="92">
        <f ca="1">IFERROR(__xludf.DUMMYFUNCTION("IMPORTRANGE(""https://docs.google.com/spreadsheets/d/10s13Sk5xrltsiR-Zkbmk5DwIaDIKO8XlbJAfqyT7Gvg/edit?usp=sharing"",""น่าน!J240"")"),0)</f>
        <v>0</v>
      </c>
      <c r="CI19" s="92">
        <f ca="1">IFERROR(__xludf.DUMMYFUNCTION("IMPORTRANGE(""https://docs.google.com/spreadsheets/d/10s13Sk5xrltsiR-Zkbmk5DwIaDIKO8XlbJAfqyT7Gvg/edit?usp=sharing"",""น่าน!J241"")"),0)</f>
        <v>0</v>
      </c>
    </row>
    <row r="20" spans="1:87" ht="24" customHeight="1" x14ac:dyDescent="0.3">
      <c r="A20" s="84">
        <v>7</v>
      </c>
      <c r="B20" s="85" t="s">
        <v>42</v>
      </c>
      <c r="C20" s="174">
        <f t="shared" ca="1" si="77"/>
        <v>305900</v>
      </c>
      <c r="D20" s="175">
        <f t="shared" ca="1" si="128"/>
        <v>305900</v>
      </c>
      <c r="E20" s="176">
        <f ca="1">IFERROR(__xludf.DUMMYFUNCTION("IMPORTRANGE(""https://docs.google.com/spreadsheets/d/1-uDff_7J0KD5mKrp0Vvzr7lt3OU09vwQwhkpOPPYv2Y/edit?usp=sharing"",""งบพรบ!CV20"")"),0)</f>
        <v>0</v>
      </c>
      <c r="F20" s="176">
        <f ca="1">IFERROR(__xludf.DUMMYFUNCTION("IMPORTRANGE(""https://docs.google.com/spreadsheets/d/1-uDff_7J0KD5mKrp0Vvzr7lt3OU09vwQwhkpOPPYv2Y/edit?usp=sharing"",""งบพรบ!CW20"")"),305900)</f>
        <v>305900</v>
      </c>
      <c r="G20" s="176">
        <f ca="1">IFERROR(__xludf.DUMMYFUNCTION("IMPORTRANGE(""https://docs.google.com/spreadsheets/d/1-uDff_7J0KD5mKrp0Vvzr7lt3OU09vwQwhkpOPPYv2Y/edit?usp=sharing"",""งบพรบ!CX20"")"),0)</f>
        <v>0</v>
      </c>
      <c r="H20" s="176">
        <f ca="1">IFERROR(__xludf.DUMMYFUNCTION("IMPORTRANGE(""https://docs.google.com/spreadsheets/d/1-uDff_7J0KD5mKrp0Vvzr7lt3OU09vwQwhkpOPPYv2Y/edit?usp=sharing"",""งบพรบ!CZ20"")"),265900)</f>
        <v>265900</v>
      </c>
      <c r="I20" s="176">
        <f ca="1">IFERROR(__xludf.DUMMYFUNCTION("IMPORTRANGE(""https://docs.google.com/spreadsheets/d/1-uDff_7J0KD5mKrp0Vvzr7lt3OU09vwQwhkpOPPYv2Y/edit?usp=sharing"",""งบพรบ!DA20"")"),0)</f>
        <v>0</v>
      </c>
      <c r="J20" s="176">
        <f t="shared" ca="1" si="79"/>
        <v>25132</v>
      </c>
      <c r="K20" s="181">
        <f t="shared" ca="1" si="80"/>
        <v>8.2157567832625045</v>
      </c>
      <c r="L20" s="176">
        <f ca="1">IFERROR(__xludf.DUMMYFUNCTION("IMPORTRANGE(""https://docs.google.com/spreadsheets/d/1-uDff_7J0KD5mKrp0Vvzr7lt3OU09vwQwhkpOPPYv2Y/edit?usp=sharing"",""งบพรบ!DB20"")"),25132)</f>
        <v>25132</v>
      </c>
      <c r="M20" s="179">
        <f t="shared" ca="1" si="81"/>
        <v>8.2157567832625045</v>
      </c>
      <c r="N20" s="179">
        <f t="shared" ca="1" si="82"/>
        <v>9.4516735614892813</v>
      </c>
      <c r="O20" s="180">
        <f ca="1">IFERROR(__xludf.DUMMYFUNCTION("IMPORTRANGE(""https://docs.google.com/spreadsheets/d/1-uDff_7J0KD5mKrp0Vvzr7lt3OU09vwQwhkpOPPYv2Y/edit?usp=sharing"",""งบพรบ!DC20"")"),0)</f>
        <v>0</v>
      </c>
      <c r="P20" s="180">
        <f t="shared" ca="1" si="83"/>
        <v>0</v>
      </c>
      <c r="Q20" s="179">
        <f t="shared" ca="1" si="84"/>
        <v>0</v>
      </c>
      <c r="R20" s="92">
        <f ca="1">IFERROR(__xludf.DUMMYFUNCTION("IMPORTRANGE(""https://docs.google.com/spreadsheets/d/1uu4nAn4Dbi1XREnLKKotUANlKXa7yCgRcgq8HEzQYW8/edit?usp=sharing"",""พะเยา!L196"")"),6000)</f>
        <v>6000</v>
      </c>
      <c r="S20" s="92">
        <f ca="1">IFERROR(__xludf.DUMMYFUNCTION("IMPORTRANGE(""https://docs.google.com/spreadsheets/d/1uu4nAn4Dbi1XREnLKKotUANlKXa7yCgRcgq8HEzQYW8/edit?usp=sharing"",""พะเยา!N196"")"),0)</f>
        <v>0</v>
      </c>
      <c r="T20" s="93">
        <f t="shared" ca="1" si="86"/>
        <v>0</v>
      </c>
      <c r="U20" s="92">
        <f ca="1">IFERROR(__xludf.DUMMYFUNCTION("IMPORTRANGE(""https://docs.google.com/spreadsheets/d/1uu4nAn4Dbi1XREnLKKotUANlKXa7yCgRcgq8HEzQYW8/edit?usp=sharing"",""พะเยา!I198"")"),4)</f>
        <v>4</v>
      </c>
      <c r="V20" s="92">
        <f ca="1">IFERROR(__xludf.DUMMYFUNCTION("IMPORTRANGE(""https://docs.google.com/spreadsheets/d/1uu4nAn4Dbi1XREnLKKotUANlKXa7yCgRcgq8HEzQYW8/edit?usp=sharing"",""พะเยา!J198"")"),0)</f>
        <v>0</v>
      </c>
      <c r="W20" s="93">
        <f t="shared" ca="1" si="88"/>
        <v>0</v>
      </c>
      <c r="X20" s="92">
        <f ca="1">IFERROR(__xludf.DUMMYFUNCTION("IMPORTRANGE(""https://docs.google.com/spreadsheets/d/1uu4nAn4Dbi1XREnLKKotUANlKXa7yCgRcgq8HEzQYW8/edit?usp=sharing"",""พะเยา!J199"")"),0)</f>
        <v>0</v>
      </c>
      <c r="Y20" s="92">
        <f ca="1">IFERROR(__xludf.DUMMYFUNCTION("IMPORTRANGE(""https://docs.google.com/spreadsheets/d/1uu4nAn4Dbi1XREnLKKotUANlKXa7yCgRcgq8HEzQYW8/edit?usp=sharing"",""พะเยา!J200"")"),0)</f>
        <v>0</v>
      </c>
      <c r="Z20" s="92">
        <f ca="1">IFERROR(__xludf.DUMMYFUNCTION("IMPORTRANGE(""https://docs.google.com/spreadsheets/d/1uu4nAn4Dbi1XREnLKKotUANlKXa7yCgRcgq8HEzQYW8/edit?usp=sharing"",""พะเยา!J201"")"),0)</f>
        <v>0</v>
      </c>
      <c r="AA20" s="92">
        <f ca="1">IFERROR(__xludf.DUMMYFUNCTION("IMPORTRANGE(""https://docs.google.com/spreadsheets/d/1uu4nAn4Dbi1XREnLKKotUANlKXa7yCgRcgq8HEzQYW8/edit?usp=sharing"",""พะเยา!L204"")"),2000)</f>
        <v>2000</v>
      </c>
      <c r="AB20" s="92">
        <f ca="1">IFERROR(__xludf.DUMMYFUNCTION("IMPORTRANGE(""https://docs.google.com/spreadsheets/d/1uu4nAn4Dbi1XREnLKKotUANlKXa7yCgRcgq8HEzQYW8/edit?usp=sharing"",""พะเยา!N204"")"),0)</f>
        <v>0</v>
      </c>
      <c r="AC20" s="93">
        <f t="shared" ca="1" si="90"/>
        <v>0</v>
      </c>
      <c r="AD20" s="92">
        <f ca="1">IFERROR(__xludf.DUMMYFUNCTION("IMPORTRANGE(""https://docs.google.com/spreadsheets/d/1uu4nAn4Dbi1XREnLKKotUANlKXa7yCgRcgq8HEzQYW8/edit?usp=sharing"",""พะเยา!L206"")"),16000)</f>
        <v>16000</v>
      </c>
      <c r="AE20" s="92">
        <f ca="1">IFERROR(__xludf.DUMMYFUNCTION("IMPORTRANGE(""https://docs.google.com/spreadsheets/d/1uu4nAn4Dbi1XREnLKKotUANlKXa7yCgRcgq8HEzQYW8/edit?usp=sharing"",""พะเยา!N206"")"),0)</f>
        <v>0</v>
      </c>
      <c r="AF20" s="93">
        <f t="shared" ca="1" si="92"/>
        <v>0</v>
      </c>
      <c r="AG20" s="92">
        <f ca="1">IFERROR(__xludf.DUMMYFUNCTION("IMPORTRANGE(""https://docs.google.com/spreadsheets/d/1uu4nAn4Dbi1XREnLKKotUANlKXa7yCgRcgq8HEzQYW8/edit?usp=sharing"",""พะเยา!L207"")"),8000)</f>
        <v>8000</v>
      </c>
      <c r="AH20" s="92">
        <f ca="1">IFERROR(__xludf.DUMMYFUNCTION("IMPORTRANGE(""https://docs.google.com/spreadsheets/d/1uu4nAn4Dbi1XREnLKKotUANlKXa7yCgRcgq8HEzQYW8/edit?usp=sharing"",""พะเยา!N207"")"),0)</f>
        <v>0</v>
      </c>
      <c r="AI20" s="93">
        <f t="shared" ca="1" si="94"/>
        <v>0</v>
      </c>
      <c r="AJ20" s="92">
        <f ca="1">IFERROR(__xludf.DUMMYFUNCTION("IMPORTRANGE(""https://docs.google.com/spreadsheets/d/1uu4nAn4Dbi1XREnLKKotUANlKXa7yCgRcgq8HEzQYW8/edit?usp=sharing"",""พะเยา!I209"")"),2)</f>
        <v>2</v>
      </c>
      <c r="AK20" s="92">
        <f ca="1">IFERROR(__xludf.DUMMYFUNCTION("IMPORTRANGE(""https://docs.google.com/spreadsheets/d/1uu4nAn4Dbi1XREnLKKotUANlKXa7yCgRcgq8HEzQYW8/edit?usp=sharing"",""พะเยา!J209"")"),0)</f>
        <v>0</v>
      </c>
      <c r="AL20" s="93">
        <f t="shared" ca="1" si="96"/>
        <v>0</v>
      </c>
      <c r="AM20" s="92">
        <f ca="1">IFERROR(__xludf.DUMMYFUNCTION("IMPORTRANGE(""https://docs.google.com/spreadsheets/d/1uu4nAn4Dbi1XREnLKKotUANlKXa7yCgRcgq8HEzQYW8/edit?usp=sharing"",""พะเยา!J211"")"),0)</f>
        <v>0</v>
      </c>
      <c r="AN20" s="92">
        <f ca="1">IFERROR(__xludf.DUMMYFUNCTION("IMPORTRANGE(""https://docs.google.com/spreadsheets/d/1uu4nAn4Dbi1XREnLKKotUANlKXa7yCgRcgq8HEzQYW8/edit?usp=sharing"",""พะเยา!J212"")"),0)</f>
        <v>0</v>
      </c>
      <c r="AO20" s="92">
        <f ca="1">IFERROR(__xludf.DUMMYFUNCTION("IMPORTRANGE(""https://docs.google.com/spreadsheets/d/1uu4nAn4Dbi1XREnLKKotUANlKXa7yCgRcgq8HEzQYW8/edit?usp=sharing"",""พะเยา!L215"")"),0)</f>
        <v>0</v>
      </c>
      <c r="AP20" s="92">
        <f ca="1">IFERROR(__xludf.DUMMYFUNCTION("IMPORTRANGE(""https://docs.google.com/spreadsheets/d/1uu4nAn4Dbi1XREnLKKotUANlKXa7yCgRcgq8HEzQYW8/edit?usp=sharing"",""พะเยา!N215"")"),0)</f>
        <v>0</v>
      </c>
      <c r="AQ20" s="93">
        <f t="shared" ca="1" si="98"/>
        <v>0</v>
      </c>
      <c r="AR20" s="92">
        <f ca="1">IFERROR(__xludf.DUMMYFUNCTION("IMPORTRANGE(""https://docs.google.com/spreadsheets/d/1uu4nAn4Dbi1XREnLKKotUANlKXa7yCgRcgq8HEzQYW8/edit?usp=sharing"",""พะเยา!L216"")"),0)</f>
        <v>0</v>
      </c>
      <c r="AS20" s="92">
        <f ca="1">IFERROR(__xludf.DUMMYFUNCTION("IMPORTRANGE(""https://docs.google.com/spreadsheets/d/1uu4nAn4Dbi1XREnLKKotUANlKXa7yCgRcgq8HEzQYW8/edit?usp=sharing"",""พะเยา!N216"")"),0)</f>
        <v>0</v>
      </c>
      <c r="AT20" s="93">
        <f t="shared" ca="1" si="100"/>
        <v>0</v>
      </c>
      <c r="AU20" s="92">
        <f ca="1">IFERROR(__xludf.DUMMYFUNCTION("IMPORTRANGE(""https://docs.google.com/spreadsheets/d/1uu4nAn4Dbi1XREnLKKotUANlKXa7yCgRcgq8HEzQYW8/edit?usp=sharing"",""พะเยา!L217"")"),0)</f>
        <v>0</v>
      </c>
      <c r="AV20" s="92">
        <f ca="1">IFERROR(__xludf.DUMMYFUNCTION("IMPORTRANGE(""https://docs.google.com/spreadsheets/d/1uu4nAn4Dbi1XREnLKKotUANlKXa7yCgRcgq8HEzQYW8/edit?usp=sharing"",""พะเยา!N217"")"),0)</f>
        <v>0</v>
      </c>
      <c r="AW20" s="93">
        <f t="shared" ca="1" si="102"/>
        <v>0</v>
      </c>
      <c r="AX20" s="92">
        <f ca="1">IFERROR(__xludf.DUMMYFUNCTION("IMPORTRANGE(""https://docs.google.com/spreadsheets/d/1uu4nAn4Dbi1XREnLKKotUANlKXa7yCgRcgq8HEzQYW8/edit?usp=sharing"",""พะเยา!I219"")"),0)</f>
        <v>0</v>
      </c>
      <c r="AY20" s="92">
        <f ca="1">IFERROR(__xludf.DUMMYFUNCTION("IMPORTRANGE(""https://docs.google.com/spreadsheets/d/1uu4nAn4Dbi1XREnLKKotUANlKXa7yCgRcgq8HEzQYW8/edit?usp=sharing"",""พะเยา!J219"")"),0)</f>
        <v>0</v>
      </c>
      <c r="AZ20" s="93">
        <f t="shared" ca="1" si="104"/>
        <v>0</v>
      </c>
      <c r="BA20" s="92">
        <f ca="1">IFERROR(__xludf.DUMMYFUNCTION("IMPORTRANGE(""https://docs.google.com/spreadsheets/d/1uu4nAn4Dbi1XREnLKKotUANlKXa7yCgRcgq8HEzQYW8/edit?usp=sharing"",""พะเยา!I220"")"),0)</f>
        <v>0</v>
      </c>
      <c r="BB20" s="92">
        <f ca="1">IFERROR(__xludf.DUMMYFUNCTION("IMPORTRANGE(""https://docs.google.com/spreadsheets/d/1uu4nAn4Dbi1XREnLKKotUANlKXa7yCgRcgq8HEzQYW8/edit?usp=sharing"",""พะเยา!J220"")"),0)</f>
        <v>0</v>
      </c>
      <c r="BC20" s="93">
        <f t="shared" ca="1" si="106"/>
        <v>0</v>
      </c>
      <c r="BD20" s="92">
        <f ca="1">IFERROR(__xludf.DUMMYFUNCTION("IMPORTRANGE(""https://docs.google.com/spreadsheets/d/1uu4nAn4Dbi1XREnLKKotUANlKXa7yCgRcgq8HEzQYW8/edit?usp=sharing"",""พะเยา!L223"")"),3000)</f>
        <v>3000</v>
      </c>
      <c r="BE20" s="92">
        <f ca="1">IFERROR(__xludf.DUMMYFUNCTION("IMPORTRANGE(""https://docs.google.com/spreadsheets/d/1uu4nAn4Dbi1XREnLKKotUANlKXa7yCgRcgq8HEzQYW8/edit?usp=sharing"",""พะเยา!N223"")"),0)</f>
        <v>0</v>
      </c>
      <c r="BF20" s="93">
        <f t="shared" ca="1" si="108"/>
        <v>0</v>
      </c>
      <c r="BG20" s="92">
        <f ca="1">IFERROR(__xludf.DUMMYFUNCTION("IMPORTRANGE(""https://docs.google.com/spreadsheets/d/1uu4nAn4Dbi1XREnLKKotUANlKXa7yCgRcgq8HEzQYW8/edit?usp=sharing"",""พะเยา!L224"")"),1500)</f>
        <v>1500</v>
      </c>
      <c r="BH20" s="92">
        <f ca="1">IFERROR(__xludf.DUMMYFUNCTION("IMPORTRANGE(""https://docs.google.com/spreadsheets/d/1uu4nAn4Dbi1XREnLKKotUANlKXa7yCgRcgq8HEzQYW8/edit?usp=sharing"",""พะเยา!N224"")"),0)</f>
        <v>0</v>
      </c>
      <c r="BI20" s="93">
        <f t="shared" ca="1" si="110"/>
        <v>0</v>
      </c>
      <c r="BJ20" s="92">
        <f ca="1">IFERROR(__xludf.DUMMYFUNCTION("IMPORTRANGE(""https://docs.google.com/spreadsheets/d/1uu4nAn4Dbi1XREnLKKotUANlKXa7yCgRcgq8HEzQYW8/edit?usp=sharing"",""พะเยา!I228"")"),20000)</f>
        <v>20000</v>
      </c>
      <c r="BK20" s="92">
        <f ca="1">IFERROR(__xludf.DUMMYFUNCTION("IMPORTRANGE(""https://docs.google.com/spreadsheets/d/1uu4nAn4Dbi1XREnLKKotUANlKXa7yCgRcgq8HEzQYW8/edit?usp=sharing"",""พะเยา!J228"")"),0)</f>
        <v>0</v>
      </c>
      <c r="BL20" s="93">
        <f t="shared" ca="1" si="112"/>
        <v>0</v>
      </c>
      <c r="BM20" s="92">
        <f ca="1">IFERROR(__xludf.DUMMYFUNCTION("IMPORTRANGE(""https://docs.google.com/spreadsheets/d/1uu4nAn4Dbi1XREnLKKotUANlKXa7yCgRcgq8HEzQYW8/edit?usp=sharing"",""พะเยา!I229"")"),20000)</f>
        <v>20000</v>
      </c>
      <c r="BN20" s="92">
        <f ca="1">IFERROR(__xludf.DUMMYFUNCTION("IMPORTRANGE(""https://docs.google.com/spreadsheets/d/1uu4nAn4Dbi1XREnLKKotUANlKXa7yCgRcgq8HEzQYW8/edit?usp=sharing"",""พะเยา!J229"")"),0)</f>
        <v>0</v>
      </c>
      <c r="BO20" s="93">
        <f t="shared" ca="1" si="114"/>
        <v>0</v>
      </c>
      <c r="BP20" s="92">
        <f ca="1">IFERROR(__xludf.DUMMYFUNCTION("IMPORTRANGE(""https://docs.google.com/spreadsheets/d/1uu4nAn4Dbi1XREnLKKotUANlKXa7yCgRcgq8HEzQYW8/edit?usp=sharing"",""พะเยา!I230"")"),0)</f>
        <v>0</v>
      </c>
      <c r="BQ20" s="92">
        <f ca="1">IFERROR(__xludf.DUMMYFUNCTION("IMPORTRANGE(""https://docs.google.com/spreadsheets/d/1uu4nAn4Dbi1XREnLKKotUANlKXa7yCgRcgq8HEzQYW8/edit?usp=sharing"",""พะเยา!J230"")"),0)</f>
        <v>0</v>
      </c>
      <c r="BR20" s="93">
        <f t="shared" ca="1" si="116"/>
        <v>0</v>
      </c>
      <c r="BS20" s="92">
        <f ca="1">IFERROR(__xludf.DUMMYFUNCTION("IMPORTRANGE(""https://docs.google.com/spreadsheets/d/1uu4nAn4Dbi1XREnLKKotUANlKXa7yCgRcgq8HEzQYW8/edit?usp=sharing"",""พะเยา!L233"")"),99000)</f>
        <v>99000</v>
      </c>
      <c r="BT20" s="92">
        <f ca="1">IFERROR(__xludf.DUMMYFUNCTION("IMPORTRANGE(""https://docs.google.com/spreadsheets/d/1uu4nAn4Dbi1XREnLKKotUANlKXa7yCgRcgq8HEzQYW8/edit?usp=sharing"",""พะเยา!N233"")"),0)</f>
        <v>0</v>
      </c>
      <c r="BU20" s="93">
        <f t="shared" ca="1" si="118"/>
        <v>0</v>
      </c>
      <c r="BV20" s="92">
        <f ca="1">IFERROR(__xludf.DUMMYFUNCTION("IMPORTRANGE(""https://docs.google.com/spreadsheets/d/1uu4nAn4Dbi1XREnLKKotUANlKXa7yCgRcgq8HEzQYW8/edit?usp=sharing"",""พะเยา!L234"")"),3000)</f>
        <v>3000</v>
      </c>
      <c r="BW20" s="92">
        <f ca="1">IFERROR(__xludf.DUMMYFUNCTION("IMPORTRANGE(""https://docs.google.com/spreadsheets/d/1uu4nAn4Dbi1XREnLKKotUANlKXa7yCgRcgq8HEzQYW8/edit?usp=sharing"",""พะเยา!N234"")"),0)</f>
        <v>0</v>
      </c>
      <c r="BX20" s="93">
        <f t="shared" ca="1" si="120"/>
        <v>0</v>
      </c>
      <c r="BY20" s="92">
        <f ca="1">IFERROR(__xludf.DUMMYFUNCTION("IMPORTRANGE(""https://docs.google.com/spreadsheets/d/1uu4nAn4Dbi1XREnLKKotUANlKXa7yCgRcgq8HEzQYW8/edit?usp=sharing"",""พะเยา!L235"")"),114400)</f>
        <v>114400</v>
      </c>
      <c r="BZ20" s="92">
        <f ca="1">IFERROR(__xludf.DUMMYFUNCTION("IMPORTRANGE(""https://docs.google.com/spreadsheets/d/1uu4nAn4Dbi1XREnLKKotUANlKXa7yCgRcgq8HEzQYW8/edit?usp=sharing"",""พะเยา!N235"")"),0)</f>
        <v>0</v>
      </c>
      <c r="CA20" s="93">
        <f t="shared" ca="1" si="122"/>
        <v>0</v>
      </c>
      <c r="CB20" s="92">
        <f ca="1">IFERROR(__xludf.DUMMYFUNCTION("IMPORTRANGE(""https://docs.google.com/spreadsheets/d/1uu4nAn4Dbi1XREnLKKotUANlKXa7yCgRcgq8HEzQYW8/edit?usp=sharing"",""พะเยา!L236"")"),53000)</f>
        <v>53000</v>
      </c>
      <c r="CC20" s="92">
        <f ca="1">IFERROR(__xludf.DUMMYFUNCTION("IMPORTRANGE(""https://docs.google.com/spreadsheets/d/1uu4nAn4Dbi1XREnLKKotUANlKXa7yCgRcgq8HEzQYW8/edit?usp=sharing"",""พะเยา!N236"")"),0)</f>
        <v>0</v>
      </c>
      <c r="CD20" s="93">
        <f t="shared" ca="1" si="124"/>
        <v>0</v>
      </c>
      <c r="CE20" s="92">
        <f ca="1">IFERROR(__xludf.DUMMYFUNCTION("IMPORTRANGE(""https://docs.google.com/spreadsheets/d/1uu4nAn4Dbi1XREnLKKotUANlKXa7yCgRcgq8HEzQYW8/edit?usp=sharing"",""พะเยา!I238"")"),40)</f>
        <v>40</v>
      </c>
      <c r="CF20" s="92">
        <f ca="1">IFERROR(__xludf.DUMMYFUNCTION("IMPORTRANGE(""https://docs.google.com/spreadsheets/d/1uu4nAn4Dbi1XREnLKKotUANlKXa7yCgRcgq8HEzQYW8/edit?usp=sharing"",""พะเยา!J238"")"),0)</f>
        <v>0</v>
      </c>
      <c r="CG20" s="93">
        <f t="shared" ca="1" si="126"/>
        <v>0</v>
      </c>
      <c r="CH20" s="92">
        <f ca="1">IFERROR(__xludf.DUMMYFUNCTION("IMPORTRANGE(""https://docs.google.com/spreadsheets/d/1uu4nAn4Dbi1XREnLKKotUANlKXa7yCgRcgq8HEzQYW8/edit?usp=sharing"",""พะเยา!J240"")"),0)</f>
        <v>0</v>
      </c>
      <c r="CI20" s="92">
        <f ca="1">IFERROR(__xludf.DUMMYFUNCTION("IMPORTRANGE(""https://docs.google.com/spreadsheets/d/1uu4nAn4Dbi1XREnLKKotUANlKXa7yCgRcgq8HEzQYW8/edit?usp=sharing"",""พะเยา!J241"")"),0)</f>
        <v>0</v>
      </c>
    </row>
    <row r="21" spans="1:87" ht="24" customHeight="1" x14ac:dyDescent="0.3">
      <c r="A21" s="84">
        <v>8</v>
      </c>
      <c r="B21" s="85" t="s">
        <v>43</v>
      </c>
      <c r="C21" s="174">
        <f t="shared" ca="1" si="77"/>
        <v>218500</v>
      </c>
      <c r="D21" s="175">
        <f t="shared" ca="1" si="128"/>
        <v>218500</v>
      </c>
      <c r="E21" s="176">
        <f ca="1">IFERROR(__xludf.DUMMYFUNCTION("IMPORTRANGE(""https://docs.google.com/spreadsheets/d/1-uDff_7J0KD5mKrp0Vvzr7lt3OU09vwQwhkpOPPYv2Y/edit?usp=sharing"",""งบพรบ!CV21"")"),182000)</f>
        <v>182000</v>
      </c>
      <c r="F21" s="176">
        <f ca="1">IFERROR(__xludf.DUMMYFUNCTION("IMPORTRANGE(""https://docs.google.com/spreadsheets/d/1-uDff_7J0KD5mKrp0Vvzr7lt3OU09vwQwhkpOPPYv2Y/edit?usp=sharing"",""งบพรบ!CW21"")"),36500)</f>
        <v>36500</v>
      </c>
      <c r="G21" s="176">
        <f ca="1">IFERROR(__xludf.DUMMYFUNCTION("IMPORTRANGE(""https://docs.google.com/spreadsheets/d/1-uDff_7J0KD5mKrp0Vvzr7lt3OU09vwQwhkpOPPYv2Y/edit?usp=sharing"",""งบพรบ!CX21"")"),0)</f>
        <v>0</v>
      </c>
      <c r="H21" s="176">
        <f ca="1">IFERROR(__xludf.DUMMYFUNCTION("IMPORTRANGE(""https://docs.google.com/spreadsheets/d/1-uDff_7J0KD5mKrp0Vvzr7lt3OU09vwQwhkpOPPYv2Y/edit?usp=sharing"",""งบพรบ!CZ21"")"),152500)</f>
        <v>152500</v>
      </c>
      <c r="I21" s="176">
        <f ca="1">IFERROR(__xludf.DUMMYFUNCTION("IMPORTRANGE(""https://docs.google.com/spreadsheets/d/1-uDff_7J0KD5mKrp0Vvzr7lt3OU09vwQwhkpOPPYv2Y/edit?usp=sharing"",""งบพรบ!DA21"")"),0)</f>
        <v>0</v>
      </c>
      <c r="J21" s="176">
        <f t="shared" ca="1" si="79"/>
        <v>51866.67</v>
      </c>
      <c r="K21" s="181">
        <f t="shared" ca="1" si="80"/>
        <v>23.737606407322655</v>
      </c>
      <c r="L21" s="176">
        <f ca="1">IFERROR(__xludf.DUMMYFUNCTION("IMPORTRANGE(""https://docs.google.com/spreadsheets/d/1-uDff_7J0KD5mKrp0Vvzr7lt3OU09vwQwhkpOPPYv2Y/edit?usp=sharing"",""งบพรบ!DB21"")"),51866.67)</f>
        <v>51866.67</v>
      </c>
      <c r="M21" s="179">
        <f t="shared" ca="1" si="81"/>
        <v>23.737606407322655</v>
      </c>
      <c r="N21" s="179">
        <f t="shared" ca="1" si="82"/>
        <v>34.010931147540987</v>
      </c>
      <c r="O21" s="180">
        <f ca="1">IFERROR(__xludf.DUMMYFUNCTION("IMPORTRANGE(""https://docs.google.com/spreadsheets/d/1-uDff_7J0KD5mKrp0Vvzr7lt3OU09vwQwhkpOPPYv2Y/edit?usp=sharing"",""งบพรบ!DC21"")"),0)</f>
        <v>0</v>
      </c>
      <c r="P21" s="180">
        <f t="shared" ca="1" si="83"/>
        <v>0</v>
      </c>
      <c r="Q21" s="179">
        <f t="shared" ca="1" si="84"/>
        <v>0</v>
      </c>
      <c r="R21" s="92">
        <f ca="1">IFERROR(__xludf.DUMMYFUNCTION("IMPORTRANGE(""https://docs.google.com/spreadsheets/d/1xfJKIQxVOaPDIICqsflNlLu3JacTDk1FP9RH4phX7mI/edit?usp=sharing"",""พิจิตร!L196"")"),6000)</f>
        <v>6000</v>
      </c>
      <c r="S21" s="92">
        <f ca="1">IFERROR(__xludf.DUMMYFUNCTION("IMPORTRANGE(""https://docs.google.com/spreadsheets/d/1xfJKIQxVOaPDIICqsflNlLu3JacTDk1FP9RH4phX7mI/edit?usp=sharing"",""พิจิตร!N196"")"),0)</f>
        <v>0</v>
      </c>
      <c r="T21" s="93">
        <f t="shared" ca="1" si="86"/>
        <v>0</v>
      </c>
      <c r="U21" s="92">
        <f ca="1">IFERROR(__xludf.DUMMYFUNCTION("IMPORTRANGE(""https://docs.google.com/spreadsheets/d/1xfJKIQxVOaPDIICqsflNlLu3JacTDk1FP9RH4phX7mI/edit?usp=sharing"",""พิจิตร!I198"")"),4)</f>
        <v>4</v>
      </c>
      <c r="V21" s="92">
        <f ca="1">IFERROR(__xludf.DUMMYFUNCTION("IMPORTRANGE(""https://docs.google.com/spreadsheets/d/1xfJKIQxVOaPDIICqsflNlLu3JacTDk1FP9RH4phX7mI/edit?usp=sharing"",""พิจิตร!J198"")"),1)</f>
        <v>1</v>
      </c>
      <c r="W21" s="93">
        <f t="shared" ca="1" si="88"/>
        <v>25</v>
      </c>
      <c r="X21" s="92">
        <f ca="1">IFERROR(__xludf.DUMMYFUNCTION("IMPORTRANGE(""https://docs.google.com/spreadsheets/d/1xfJKIQxVOaPDIICqsflNlLu3JacTDk1FP9RH4phX7mI/edit?usp=sharing"",""พิจิตร!J199"")"),32)</f>
        <v>32</v>
      </c>
      <c r="Y21" s="92">
        <f ca="1">IFERROR(__xludf.DUMMYFUNCTION("IMPORTRANGE(""https://docs.google.com/spreadsheets/d/1xfJKIQxVOaPDIICqsflNlLu3JacTDk1FP9RH4phX7mI/edit?usp=sharing"",""พิจิตร!J200"")"),32)</f>
        <v>32</v>
      </c>
      <c r="Z21" s="92">
        <f ca="1">IFERROR(__xludf.DUMMYFUNCTION("IMPORTRANGE(""https://docs.google.com/spreadsheets/d/1xfJKIQxVOaPDIICqsflNlLu3JacTDk1FP9RH4phX7mI/edit?usp=sharing"",""พิจิตร!J201"")"),0)</f>
        <v>0</v>
      </c>
      <c r="AA21" s="92">
        <f ca="1">IFERROR(__xludf.DUMMYFUNCTION("IMPORTRANGE(""https://docs.google.com/spreadsheets/d/1xfJKIQxVOaPDIICqsflNlLu3JacTDk1FP9RH4phX7mI/edit?usp=sharing"",""พิจิตร!L204"")"),2000)</f>
        <v>2000</v>
      </c>
      <c r="AB21" s="92">
        <f ca="1">IFERROR(__xludf.DUMMYFUNCTION("IMPORTRANGE(""https://docs.google.com/spreadsheets/d/1xfJKIQxVOaPDIICqsflNlLu3JacTDk1FP9RH4phX7mI/edit?usp=sharing"",""พิจิตร!N204"")"),0)</f>
        <v>0</v>
      </c>
      <c r="AC21" s="93">
        <f t="shared" ca="1" si="90"/>
        <v>0</v>
      </c>
      <c r="AD21" s="92">
        <f ca="1">IFERROR(__xludf.DUMMYFUNCTION("IMPORTRANGE(""https://docs.google.com/spreadsheets/d/1xfJKIQxVOaPDIICqsflNlLu3JacTDk1FP9RH4phX7mI/edit?usp=sharing"",""พิจิตร!L206"")"),16000)</f>
        <v>16000</v>
      </c>
      <c r="AE21" s="92">
        <f ca="1">IFERROR(__xludf.DUMMYFUNCTION("IMPORTRANGE(""https://docs.google.com/spreadsheets/d/1xfJKIQxVOaPDIICqsflNlLu3JacTDk1FP9RH4phX7mI/edit?usp=sharing"",""พิจิตร!N206"")"),0)</f>
        <v>0</v>
      </c>
      <c r="AF21" s="93">
        <f t="shared" ca="1" si="92"/>
        <v>0</v>
      </c>
      <c r="AG21" s="92">
        <f ca="1">IFERROR(__xludf.DUMMYFUNCTION("IMPORTRANGE(""https://docs.google.com/spreadsheets/d/1xfJKIQxVOaPDIICqsflNlLu3JacTDk1FP9RH4phX7mI/edit?usp=sharing"",""พิจิตร!L207"")"),8000)</f>
        <v>8000</v>
      </c>
      <c r="AH21" s="92">
        <f ca="1">IFERROR(__xludf.DUMMYFUNCTION("IMPORTRANGE(""https://docs.google.com/spreadsheets/d/1xfJKIQxVOaPDIICqsflNlLu3JacTDk1FP9RH4phX7mI/edit?usp=sharing"",""พิจิตร!N207"")"),0)</f>
        <v>0</v>
      </c>
      <c r="AI21" s="93">
        <f t="shared" ca="1" si="94"/>
        <v>0</v>
      </c>
      <c r="AJ21" s="92">
        <f ca="1">IFERROR(__xludf.DUMMYFUNCTION("IMPORTRANGE(""https://docs.google.com/spreadsheets/d/1xfJKIQxVOaPDIICqsflNlLu3JacTDk1FP9RH4phX7mI/edit?usp=sharing"",""พิจิตร!I209"")"),2)</f>
        <v>2</v>
      </c>
      <c r="AK21" s="92">
        <f ca="1">IFERROR(__xludf.DUMMYFUNCTION("IMPORTRANGE(""https://docs.google.com/spreadsheets/d/1xfJKIQxVOaPDIICqsflNlLu3JacTDk1FP9RH4phX7mI/edit?usp=sharing"",""พิจิตร!J209"")"),0)</f>
        <v>0</v>
      </c>
      <c r="AL21" s="93">
        <f t="shared" ca="1" si="96"/>
        <v>0</v>
      </c>
      <c r="AM21" s="92">
        <f ca="1">IFERROR(__xludf.DUMMYFUNCTION("IMPORTRANGE(""https://docs.google.com/spreadsheets/d/1xfJKIQxVOaPDIICqsflNlLu3JacTDk1FP9RH4phX7mI/edit?usp=sharing"",""พิจิตร!J211"")"),0)</f>
        <v>0</v>
      </c>
      <c r="AN21" s="92">
        <f ca="1">IFERROR(__xludf.DUMMYFUNCTION("IMPORTRANGE(""https://docs.google.com/spreadsheets/d/1xfJKIQxVOaPDIICqsflNlLu3JacTDk1FP9RH4phX7mI/edit?usp=sharing"",""พิจิตร!J212"")"),0)</f>
        <v>0</v>
      </c>
      <c r="AO21" s="92">
        <f ca="1">IFERROR(__xludf.DUMMYFUNCTION("IMPORTRANGE(""https://docs.google.com/spreadsheets/d/1xfJKIQxVOaPDIICqsflNlLu3JacTDk1FP9RH4phX7mI/edit?usp=sharing"",""พิจิตร!L215"")"),0)</f>
        <v>0</v>
      </c>
      <c r="AP21" s="92">
        <f ca="1">IFERROR(__xludf.DUMMYFUNCTION("IMPORTRANGE(""https://docs.google.com/spreadsheets/d/1xfJKIQxVOaPDIICqsflNlLu3JacTDk1FP9RH4phX7mI/edit?usp=sharing"",""พิจิตร!N215"")"),0)</f>
        <v>0</v>
      </c>
      <c r="AQ21" s="93">
        <f t="shared" ca="1" si="98"/>
        <v>0</v>
      </c>
      <c r="AR21" s="92">
        <f ca="1">IFERROR(__xludf.DUMMYFUNCTION("IMPORTRANGE(""https://docs.google.com/spreadsheets/d/1xfJKIQxVOaPDIICqsflNlLu3JacTDk1FP9RH4phX7mI/edit?usp=sharing"",""พิจิตร!L216"")"),0)</f>
        <v>0</v>
      </c>
      <c r="AS21" s="92">
        <f ca="1">IFERROR(__xludf.DUMMYFUNCTION("IMPORTRANGE(""https://docs.google.com/spreadsheets/d/1xfJKIQxVOaPDIICqsflNlLu3JacTDk1FP9RH4phX7mI/edit?usp=sharing"",""พิจิตร!N216"")"),0)</f>
        <v>0</v>
      </c>
      <c r="AT21" s="93">
        <f t="shared" ca="1" si="100"/>
        <v>0</v>
      </c>
      <c r="AU21" s="92">
        <f ca="1">IFERROR(__xludf.DUMMYFUNCTION("IMPORTRANGE(""https://docs.google.com/spreadsheets/d/1xfJKIQxVOaPDIICqsflNlLu3JacTDk1FP9RH4phX7mI/edit?usp=sharing"",""พิจิตร!L217"")"),0)</f>
        <v>0</v>
      </c>
      <c r="AV21" s="92">
        <f ca="1">IFERROR(__xludf.DUMMYFUNCTION("IMPORTRANGE(""https://docs.google.com/spreadsheets/d/1xfJKIQxVOaPDIICqsflNlLu3JacTDk1FP9RH4phX7mI/edit?usp=sharing"",""พิจิตร!N217"")"),0)</f>
        <v>0</v>
      </c>
      <c r="AW21" s="93">
        <f t="shared" ca="1" si="102"/>
        <v>0</v>
      </c>
      <c r="AX21" s="92">
        <f ca="1">IFERROR(__xludf.DUMMYFUNCTION("IMPORTRANGE(""https://docs.google.com/spreadsheets/d/1xfJKIQxVOaPDIICqsflNlLu3JacTDk1FP9RH4phX7mI/edit?usp=sharing"",""พิจิตร!I219"")"),0)</f>
        <v>0</v>
      </c>
      <c r="AY21" s="92">
        <f ca="1">IFERROR(__xludf.DUMMYFUNCTION("IMPORTRANGE(""https://docs.google.com/spreadsheets/d/1xfJKIQxVOaPDIICqsflNlLu3JacTDk1FP9RH4phX7mI/edit?usp=sharing"",""พิจิตร!J219"")"),0)</f>
        <v>0</v>
      </c>
      <c r="AZ21" s="93">
        <f t="shared" ca="1" si="104"/>
        <v>0</v>
      </c>
      <c r="BA21" s="92">
        <f ca="1">IFERROR(__xludf.DUMMYFUNCTION("IMPORTRANGE(""https://docs.google.com/spreadsheets/d/1xfJKIQxVOaPDIICqsflNlLu3JacTDk1FP9RH4phX7mI/edit?usp=sharing"",""พิจิตร!I220"")"),0)</f>
        <v>0</v>
      </c>
      <c r="BB21" s="92">
        <f ca="1">IFERROR(__xludf.DUMMYFUNCTION("IMPORTRANGE(""https://docs.google.com/spreadsheets/d/1xfJKIQxVOaPDIICqsflNlLu3JacTDk1FP9RH4phX7mI/edit?usp=sharing"",""พิจิตร!J220"")"),0)</f>
        <v>0</v>
      </c>
      <c r="BC21" s="93">
        <f t="shared" ca="1" si="106"/>
        <v>0</v>
      </c>
      <c r="BD21" s="92">
        <f ca="1">IFERROR(__xludf.DUMMYFUNCTION("IMPORTRANGE(""https://docs.google.com/spreadsheets/d/1xfJKIQxVOaPDIICqsflNlLu3JacTDk1FP9RH4phX7mI/edit?usp=sharing"",""พิจิตร!L223"")"),3000)</f>
        <v>3000</v>
      </c>
      <c r="BE21" s="92">
        <f ca="1">IFERROR(__xludf.DUMMYFUNCTION("IMPORTRANGE(""https://docs.google.com/spreadsheets/d/1xfJKIQxVOaPDIICqsflNlLu3JacTDk1FP9RH4phX7mI/edit?usp=sharing"",""พิจิตร!N223"")"),0)</f>
        <v>0</v>
      </c>
      <c r="BF21" s="93">
        <f t="shared" ca="1" si="108"/>
        <v>0</v>
      </c>
      <c r="BG21" s="92">
        <f ca="1">IFERROR(__xludf.DUMMYFUNCTION("IMPORTRANGE(""https://docs.google.com/spreadsheets/d/1xfJKIQxVOaPDIICqsflNlLu3JacTDk1FP9RH4phX7mI/edit?usp=sharing"",""พิจิตร!L224"")"),1500)</f>
        <v>1500</v>
      </c>
      <c r="BH21" s="92">
        <f ca="1">IFERROR(__xludf.DUMMYFUNCTION("IMPORTRANGE(""https://docs.google.com/spreadsheets/d/1xfJKIQxVOaPDIICqsflNlLu3JacTDk1FP9RH4phX7mI/edit?usp=sharing"",""พิจิตร!N224"")"),0)</f>
        <v>0</v>
      </c>
      <c r="BI21" s="93">
        <f t="shared" ca="1" si="110"/>
        <v>0</v>
      </c>
      <c r="BJ21" s="92">
        <f ca="1">IFERROR(__xludf.DUMMYFUNCTION("IMPORTRANGE(""https://docs.google.com/spreadsheets/d/1xfJKIQxVOaPDIICqsflNlLu3JacTDk1FP9RH4phX7mI/edit?usp=sharing"",""พิจิตร!I228"")"),20000)</f>
        <v>20000</v>
      </c>
      <c r="BK21" s="92">
        <f ca="1">IFERROR(__xludf.DUMMYFUNCTION("IMPORTRANGE(""https://docs.google.com/spreadsheets/d/1xfJKIQxVOaPDIICqsflNlLu3JacTDk1FP9RH4phX7mI/edit?usp=sharing"",""พิจิตร!J228"")"),0)</f>
        <v>0</v>
      </c>
      <c r="BL21" s="93">
        <f t="shared" ca="1" si="112"/>
        <v>0</v>
      </c>
      <c r="BM21" s="92">
        <f ca="1">IFERROR(__xludf.DUMMYFUNCTION("IMPORTRANGE(""https://docs.google.com/spreadsheets/d/1xfJKIQxVOaPDIICqsflNlLu3JacTDk1FP9RH4phX7mI/edit?usp=sharing"",""พิจิตร!I229"")"),20000)</f>
        <v>20000</v>
      </c>
      <c r="BN21" s="92">
        <f ca="1">IFERROR(__xludf.DUMMYFUNCTION("IMPORTRANGE(""https://docs.google.com/spreadsheets/d/1xfJKIQxVOaPDIICqsflNlLu3JacTDk1FP9RH4phX7mI/edit?usp=sharing"",""พิจิตร!J229"")"),0)</f>
        <v>0</v>
      </c>
      <c r="BO21" s="93">
        <f t="shared" ca="1" si="114"/>
        <v>0</v>
      </c>
      <c r="BP21" s="92">
        <f ca="1">IFERROR(__xludf.DUMMYFUNCTION("IMPORTRANGE(""https://docs.google.com/spreadsheets/d/1xfJKIQxVOaPDIICqsflNlLu3JacTDk1FP9RH4phX7mI/edit?usp=sharing"",""พิจิตร!I230"")"),0)</f>
        <v>0</v>
      </c>
      <c r="BQ21" s="92">
        <f ca="1">IFERROR(__xludf.DUMMYFUNCTION("IMPORTRANGE(""https://docs.google.com/spreadsheets/d/1xfJKIQxVOaPDIICqsflNlLu3JacTDk1FP9RH4phX7mI/edit?usp=sharing"",""พิจิตร!J230"")"),0)</f>
        <v>0</v>
      </c>
      <c r="BR21" s="93">
        <f t="shared" ca="1" si="116"/>
        <v>0</v>
      </c>
      <c r="BS21" s="92">
        <f ca="1">IFERROR(__xludf.DUMMYFUNCTION("IMPORTRANGE(""https://docs.google.com/spreadsheets/d/1xfJKIQxVOaPDIICqsflNlLu3JacTDk1FP9RH4phX7mI/edit?usp=sharing"",""พิจิตร!L233"")"),0)</f>
        <v>0</v>
      </c>
      <c r="BT21" s="92">
        <f ca="1">IFERROR(__xludf.DUMMYFUNCTION("IMPORTRANGE(""https://docs.google.com/spreadsheets/d/1xfJKIQxVOaPDIICqsflNlLu3JacTDk1FP9RH4phX7mI/edit?usp=sharing"",""พิจิตร!N233"")"),0)</f>
        <v>0</v>
      </c>
      <c r="BU21" s="93">
        <f t="shared" ca="1" si="118"/>
        <v>0</v>
      </c>
      <c r="BV21" s="92">
        <f ca="1">IFERROR(__xludf.DUMMYFUNCTION("IMPORTRANGE(""https://docs.google.com/spreadsheets/d/1xfJKIQxVOaPDIICqsflNlLu3JacTDk1FP9RH4phX7mI/edit?usp=sharing"",""พิจิตร!L234"")"),0)</f>
        <v>0</v>
      </c>
      <c r="BW21" s="92">
        <f ca="1">IFERROR(__xludf.DUMMYFUNCTION("IMPORTRANGE(""https://docs.google.com/spreadsheets/d/1xfJKIQxVOaPDIICqsflNlLu3JacTDk1FP9RH4phX7mI/edit?usp=sharing"",""พิจิตร!N234"")"),0)</f>
        <v>0</v>
      </c>
      <c r="BX21" s="93">
        <f t="shared" ca="1" si="120"/>
        <v>0</v>
      </c>
      <c r="BY21" s="92">
        <f ca="1">IFERROR(__xludf.DUMMYFUNCTION("IMPORTRANGE(""https://docs.google.com/spreadsheets/d/1xfJKIQxVOaPDIICqsflNlLu3JacTDk1FP9RH4phX7mI/edit?usp=sharing"",""พิจิตร!L235"")"),0)</f>
        <v>0</v>
      </c>
      <c r="BZ21" s="92">
        <f ca="1">IFERROR(__xludf.DUMMYFUNCTION("IMPORTRANGE(""https://docs.google.com/spreadsheets/d/1xfJKIQxVOaPDIICqsflNlLu3JacTDk1FP9RH4phX7mI/edit?usp=sharing"",""พิจิตร!N235"")"),0)</f>
        <v>0</v>
      </c>
      <c r="CA21" s="93">
        <f t="shared" ca="1" si="122"/>
        <v>0</v>
      </c>
      <c r="CB21" s="92">
        <f ca="1">IFERROR(__xludf.DUMMYFUNCTION("IMPORTRANGE(""https://docs.google.com/spreadsheets/d/1xfJKIQxVOaPDIICqsflNlLu3JacTDk1FP9RH4phX7mI/edit?usp=sharing"",""พิจิตร!L236"")"),0)</f>
        <v>0</v>
      </c>
      <c r="CC21" s="92">
        <f ca="1">IFERROR(__xludf.DUMMYFUNCTION("IMPORTRANGE(""https://docs.google.com/spreadsheets/d/1xfJKIQxVOaPDIICqsflNlLu3JacTDk1FP9RH4phX7mI/edit?usp=sharing"",""พิจิตร!N236"")"),0)</f>
        <v>0</v>
      </c>
      <c r="CD21" s="93">
        <f t="shared" ca="1" si="124"/>
        <v>0</v>
      </c>
      <c r="CE21" s="92">
        <f ca="1">IFERROR(__xludf.DUMMYFUNCTION("IMPORTRANGE(""https://docs.google.com/spreadsheets/d/1xfJKIQxVOaPDIICqsflNlLu3JacTDk1FP9RH4phX7mI/edit?usp=sharing"",""พิจิตร!I238"")"),0)</f>
        <v>0</v>
      </c>
      <c r="CF21" s="92">
        <f ca="1">IFERROR(__xludf.DUMMYFUNCTION("IMPORTRANGE(""https://docs.google.com/spreadsheets/d/1xfJKIQxVOaPDIICqsflNlLu3JacTDk1FP9RH4phX7mI/edit?usp=sharing"",""พิจิตร!J238"")"),0)</f>
        <v>0</v>
      </c>
      <c r="CG21" s="93">
        <f t="shared" ca="1" si="126"/>
        <v>0</v>
      </c>
      <c r="CH21" s="92">
        <f ca="1">IFERROR(__xludf.DUMMYFUNCTION("IMPORTRANGE(""https://docs.google.com/spreadsheets/d/1xfJKIQxVOaPDIICqsflNlLu3JacTDk1FP9RH4phX7mI/edit?usp=sharing"",""พิจิตร!J240"")"),0)</f>
        <v>0</v>
      </c>
      <c r="CI21" s="92">
        <f ca="1">IFERROR(__xludf.DUMMYFUNCTION("IMPORTRANGE(""https://docs.google.com/spreadsheets/d/1xfJKIQxVOaPDIICqsflNlLu3JacTDk1FP9RH4phX7mI/edit?usp=sharing"",""พิจิตร!J241"")"),0)</f>
        <v>0</v>
      </c>
    </row>
    <row r="22" spans="1:87" ht="24" customHeight="1" x14ac:dyDescent="0.3">
      <c r="A22" s="84">
        <v>9</v>
      </c>
      <c r="B22" s="85" t="s">
        <v>44</v>
      </c>
      <c r="C22" s="174">
        <f t="shared" ca="1" si="77"/>
        <v>222500</v>
      </c>
      <c r="D22" s="175">
        <f t="shared" ca="1" si="128"/>
        <v>222500</v>
      </c>
      <c r="E22" s="176">
        <f ca="1">IFERROR(__xludf.DUMMYFUNCTION("IMPORTRANGE(""https://docs.google.com/spreadsheets/d/1-uDff_7J0KD5mKrp0Vvzr7lt3OU09vwQwhkpOPPYv2Y/edit?usp=sharing"",""งบพรบ!CV22"")"),182000)</f>
        <v>182000</v>
      </c>
      <c r="F22" s="176">
        <f ca="1">IFERROR(__xludf.DUMMYFUNCTION("IMPORTRANGE(""https://docs.google.com/spreadsheets/d/1-uDff_7J0KD5mKrp0Vvzr7lt3OU09vwQwhkpOPPYv2Y/edit?usp=sharing"",""งบพรบ!CW22"")"),40500)</f>
        <v>40500</v>
      </c>
      <c r="G22" s="176">
        <f ca="1">IFERROR(__xludf.DUMMYFUNCTION("IMPORTRANGE(""https://docs.google.com/spreadsheets/d/1-uDff_7J0KD5mKrp0Vvzr7lt3OU09vwQwhkpOPPYv2Y/edit?usp=sharing"",""งบพรบ!CX22"")"),0)</f>
        <v>0</v>
      </c>
      <c r="H22" s="176">
        <f ca="1">IFERROR(__xludf.DUMMYFUNCTION("IMPORTRANGE(""https://docs.google.com/spreadsheets/d/1-uDff_7J0KD5mKrp0Vvzr7lt3OU09vwQwhkpOPPYv2Y/edit?usp=sharing"",""งบพรบ!CZ22"")"),152500)</f>
        <v>152500</v>
      </c>
      <c r="I22" s="176">
        <f ca="1">IFERROR(__xludf.DUMMYFUNCTION("IMPORTRANGE(""https://docs.google.com/spreadsheets/d/1-uDff_7J0KD5mKrp0Vvzr7lt3OU09vwQwhkpOPPYv2Y/edit?usp=sharing"",""งบพรบ!DA22"")"),0)</f>
        <v>0</v>
      </c>
      <c r="J22" s="176">
        <f t="shared" ca="1" si="79"/>
        <v>54000</v>
      </c>
      <c r="K22" s="181">
        <f t="shared" ca="1" si="80"/>
        <v>24.269662921348313</v>
      </c>
      <c r="L22" s="176">
        <f ca="1">IFERROR(__xludf.DUMMYFUNCTION("IMPORTRANGE(""https://docs.google.com/spreadsheets/d/1-uDff_7J0KD5mKrp0Vvzr7lt3OU09vwQwhkpOPPYv2Y/edit?usp=sharing"",""งบพรบ!DB22"")"),54000)</f>
        <v>54000</v>
      </c>
      <c r="M22" s="179">
        <f t="shared" ca="1" si="81"/>
        <v>24.269662921348313</v>
      </c>
      <c r="N22" s="179">
        <f t="shared" ca="1" si="82"/>
        <v>35.409836065573771</v>
      </c>
      <c r="O22" s="180">
        <f ca="1">IFERROR(__xludf.DUMMYFUNCTION("IMPORTRANGE(""https://docs.google.com/spreadsheets/d/1-uDff_7J0KD5mKrp0Vvzr7lt3OU09vwQwhkpOPPYv2Y/edit?usp=sharing"",""งบพรบ!DC22"")"),0)</f>
        <v>0</v>
      </c>
      <c r="P22" s="180">
        <f t="shared" ca="1" si="83"/>
        <v>0</v>
      </c>
      <c r="Q22" s="179">
        <f t="shared" ca="1" si="84"/>
        <v>0</v>
      </c>
      <c r="R22" s="92">
        <f ca="1">IFERROR(__xludf.DUMMYFUNCTION("IMPORTRANGE(""https://docs.google.com/spreadsheets/d/1JtRfZkJMHtEhI5RdRHxYUG4FIZHqKDpNyIuN7A1Q0_k/edit?usp=sharing"",""พิษณุโลก!L196"")"),6000)</f>
        <v>6000</v>
      </c>
      <c r="S22" s="92">
        <f ca="1">IFERROR(__xludf.DUMMYFUNCTION("IMPORTRANGE(""https://docs.google.com/spreadsheets/d/1JtRfZkJMHtEhI5RdRHxYUG4FIZHqKDpNyIuN7A1Q0_k/edit?usp=sharing"",""พิษณุโลก!N196"")"),0)</f>
        <v>0</v>
      </c>
      <c r="T22" s="93">
        <f t="shared" ca="1" si="86"/>
        <v>0</v>
      </c>
      <c r="U22" s="92">
        <f ca="1">IFERROR(__xludf.DUMMYFUNCTION("IMPORTRANGE(""https://docs.google.com/spreadsheets/d/1JtRfZkJMHtEhI5RdRHxYUG4FIZHqKDpNyIuN7A1Q0_k/edit?usp=sharing"",""พิษณุโลก!I198"")"),4)</f>
        <v>4</v>
      </c>
      <c r="V22" s="92">
        <f ca="1">IFERROR(__xludf.DUMMYFUNCTION("IMPORTRANGE(""https://docs.google.com/spreadsheets/d/1JtRfZkJMHtEhI5RdRHxYUG4FIZHqKDpNyIuN7A1Q0_k/edit?usp=sharing"",""พิษณุโลก!J198"")"),0)</f>
        <v>0</v>
      </c>
      <c r="W22" s="93">
        <f t="shared" ca="1" si="88"/>
        <v>0</v>
      </c>
      <c r="X22" s="92">
        <f ca="1">IFERROR(__xludf.DUMMYFUNCTION("IMPORTRANGE(""https://docs.google.com/spreadsheets/d/1JtRfZkJMHtEhI5RdRHxYUG4FIZHqKDpNyIuN7A1Q0_k/edit?usp=sharing"",""พิษณุโลก!J199"")"),0)</f>
        <v>0</v>
      </c>
      <c r="Y22" s="92">
        <f ca="1">IFERROR(__xludf.DUMMYFUNCTION("IMPORTRANGE(""https://docs.google.com/spreadsheets/d/1JtRfZkJMHtEhI5RdRHxYUG4FIZHqKDpNyIuN7A1Q0_k/edit?usp=sharing"",""พิษณุโลก!J200"")"),0)</f>
        <v>0</v>
      </c>
      <c r="Z22" s="92">
        <f ca="1">IFERROR(__xludf.DUMMYFUNCTION("IMPORTRANGE(""https://docs.google.com/spreadsheets/d/1JtRfZkJMHtEhI5RdRHxYUG4FIZHqKDpNyIuN7A1Q0_k/edit?usp=sharing"",""พิษณุโลก!J201"")"),0)</f>
        <v>0</v>
      </c>
      <c r="AA22" s="92">
        <f ca="1">IFERROR(__xludf.DUMMYFUNCTION("IMPORTRANGE(""https://docs.google.com/spreadsheets/d/1JtRfZkJMHtEhI5RdRHxYUG4FIZHqKDpNyIuN7A1Q0_k/edit?usp=sharing"",""พิษณุโลก!L204"")"),2000)</f>
        <v>2000</v>
      </c>
      <c r="AB22" s="92">
        <f ca="1">IFERROR(__xludf.DUMMYFUNCTION("IMPORTRANGE(""https://docs.google.com/spreadsheets/d/1JtRfZkJMHtEhI5RdRHxYUG4FIZHqKDpNyIuN7A1Q0_k/edit?usp=sharing"",""พิษณุโลก!N204"")"),0)</f>
        <v>0</v>
      </c>
      <c r="AC22" s="93">
        <f t="shared" ca="1" si="90"/>
        <v>0</v>
      </c>
      <c r="AD22" s="92">
        <f ca="1">IFERROR(__xludf.DUMMYFUNCTION("IMPORTRANGE(""https://docs.google.com/spreadsheets/d/1JtRfZkJMHtEhI5RdRHxYUG4FIZHqKDpNyIuN7A1Q0_k/edit?usp=sharing"",""พิษณุโลก!L206"")"),16000)</f>
        <v>16000</v>
      </c>
      <c r="AE22" s="92">
        <f ca="1">IFERROR(__xludf.DUMMYFUNCTION("IMPORTRANGE(""https://docs.google.com/spreadsheets/d/1JtRfZkJMHtEhI5RdRHxYUG4FIZHqKDpNyIuN7A1Q0_k/edit?usp=sharing"",""พิษณุโลก!N206"")"),0)</f>
        <v>0</v>
      </c>
      <c r="AF22" s="93">
        <f t="shared" ca="1" si="92"/>
        <v>0</v>
      </c>
      <c r="AG22" s="92">
        <f ca="1">IFERROR(__xludf.DUMMYFUNCTION("IMPORTRANGE(""https://docs.google.com/spreadsheets/d/1JtRfZkJMHtEhI5RdRHxYUG4FIZHqKDpNyIuN7A1Q0_k/edit?usp=sharing"",""พิษณุโลก!L207"")"),8000)</f>
        <v>8000</v>
      </c>
      <c r="AH22" s="92">
        <f ca="1">IFERROR(__xludf.DUMMYFUNCTION("IMPORTRANGE(""https://docs.google.com/spreadsheets/d/1JtRfZkJMHtEhI5RdRHxYUG4FIZHqKDpNyIuN7A1Q0_k/edit?usp=sharing"",""พิษณุโลก!N207"")"),0)</f>
        <v>0</v>
      </c>
      <c r="AI22" s="93">
        <f t="shared" ca="1" si="94"/>
        <v>0</v>
      </c>
      <c r="AJ22" s="92">
        <f ca="1">IFERROR(__xludf.DUMMYFUNCTION("IMPORTRANGE(""https://docs.google.com/spreadsheets/d/1JtRfZkJMHtEhI5RdRHxYUG4FIZHqKDpNyIuN7A1Q0_k/edit?usp=sharing"",""พิษณุโลก!I209"")"),2)</f>
        <v>2</v>
      </c>
      <c r="AK22" s="92">
        <f ca="1">IFERROR(__xludf.DUMMYFUNCTION("IMPORTRANGE(""https://docs.google.com/spreadsheets/d/1JtRfZkJMHtEhI5RdRHxYUG4FIZHqKDpNyIuN7A1Q0_k/edit?usp=sharing"",""พิษณุโลก!J209"")"),0)</f>
        <v>0</v>
      </c>
      <c r="AL22" s="93">
        <f t="shared" ca="1" si="96"/>
        <v>0</v>
      </c>
      <c r="AM22" s="92">
        <f ca="1">IFERROR(__xludf.DUMMYFUNCTION("IMPORTRANGE(""https://docs.google.com/spreadsheets/d/1JtRfZkJMHtEhI5RdRHxYUG4FIZHqKDpNyIuN7A1Q0_k/edit?usp=sharing"",""พิษณุโลก!J211"")"),0)</f>
        <v>0</v>
      </c>
      <c r="AN22" s="92">
        <f ca="1">IFERROR(__xludf.DUMMYFUNCTION("IMPORTRANGE(""https://docs.google.com/spreadsheets/d/1JtRfZkJMHtEhI5RdRHxYUG4FIZHqKDpNyIuN7A1Q0_k/edit?usp=sharing"",""พิษณุโลก!J212"")"),0)</f>
        <v>0</v>
      </c>
      <c r="AO22" s="92">
        <f ca="1">IFERROR(__xludf.DUMMYFUNCTION("IMPORTRANGE(""https://docs.google.com/spreadsheets/d/1JtRfZkJMHtEhI5RdRHxYUG4FIZHqKDpNyIuN7A1Q0_k/edit?usp=sharing"",""พิษณุโลก!L215"")"),0)</f>
        <v>0</v>
      </c>
      <c r="AP22" s="92">
        <f ca="1">IFERROR(__xludf.DUMMYFUNCTION("IMPORTRANGE(""https://docs.google.com/spreadsheets/d/1JtRfZkJMHtEhI5RdRHxYUG4FIZHqKDpNyIuN7A1Q0_k/edit?usp=sharing"",""พิษณุโลก!N215"")"),0)</f>
        <v>0</v>
      </c>
      <c r="AQ22" s="93">
        <f t="shared" ca="1" si="98"/>
        <v>0</v>
      </c>
      <c r="AR22" s="92">
        <f ca="1">IFERROR(__xludf.DUMMYFUNCTION("IMPORTRANGE(""https://docs.google.com/spreadsheets/d/1JtRfZkJMHtEhI5RdRHxYUG4FIZHqKDpNyIuN7A1Q0_k/edit?usp=sharing"",""พิษณุโลก!L216"")"),0)</f>
        <v>0</v>
      </c>
      <c r="AS22" s="92">
        <f ca="1">IFERROR(__xludf.DUMMYFUNCTION("IMPORTRANGE(""https://docs.google.com/spreadsheets/d/1JtRfZkJMHtEhI5RdRHxYUG4FIZHqKDpNyIuN7A1Q0_k/edit?usp=sharing"",""พิษณุโลก!N216"")"),0)</f>
        <v>0</v>
      </c>
      <c r="AT22" s="93">
        <f t="shared" ca="1" si="100"/>
        <v>0</v>
      </c>
      <c r="AU22" s="92">
        <f ca="1">IFERROR(__xludf.DUMMYFUNCTION("IMPORTRANGE(""https://docs.google.com/spreadsheets/d/1JtRfZkJMHtEhI5RdRHxYUG4FIZHqKDpNyIuN7A1Q0_k/edit?usp=sharing"",""พิษณุโลก!L217"")"),0)</f>
        <v>0</v>
      </c>
      <c r="AV22" s="92">
        <f ca="1">IFERROR(__xludf.DUMMYFUNCTION("IMPORTRANGE(""https://docs.google.com/spreadsheets/d/1JtRfZkJMHtEhI5RdRHxYUG4FIZHqKDpNyIuN7A1Q0_k/edit?usp=sharing"",""พิษณุโลก!N217"")"),0)</f>
        <v>0</v>
      </c>
      <c r="AW22" s="93">
        <f t="shared" ca="1" si="102"/>
        <v>0</v>
      </c>
      <c r="AX22" s="92">
        <f ca="1">IFERROR(__xludf.DUMMYFUNCTION("IMPORTRANGE(""https://docs.google.com/spreadsheets/d/1JtRfZkJMHtEhI5RdRHxYUG4FIZHqKDpNyIuN7A1Q0_k/edit?usp=sharing"",""พิษณุโลก!I219"")"),0)</f>
        <v>0</v>
      </c>
      <c r="AY22" s="92">
        <f ca="1">IFERROR(__xludf.DUMMYFUNCTION("IMPORTRANGE(""https://docs.google.com/spreadsheets/d/1JtRfZkJMHtEhI5RdRHxYUG4FIZHqKDpNyIuN7A1Q0_k/edit?usp=sharing"",""พิษณุโลก!J219"")"),0)</f>
        <v>0</v>
      </c>
      <c r="AZ22" s="93">
        <f t="shared" ca="1" si="104"/>
        <v>0</v>
      </c>
      <c r="BA22" s="92">
        <f ca="1">IFERROR(__xludf.DUMMYFUNCTION("IMPORTRANGE(""https://docs.google.com/spreadsheets/d/1JtRfZkJMHtEhI5RdRHxYUG4FIZHqKDpNyIuN7A1Q0_k/edit?usp=sharing"",""พิษณุโลก!I220"")"),0)</f>
        <v>0</v>
      </c>
      <c r="BB22" s="92">
        <f ca="1">IFERROR(__xludf.DUMMYFUNCTION("IMPORTRANGE(""https://docs.google.com/spreadsheets/d/1JtRfZkJMHtEhI5RdRHxYUG4FIZHqKDpNyIuN7A1Q0_k/edit?usp=sharing"",""พิษณุโลก!J220"")"),0)</f>
        <v>0</v>
      </c>
      <c r="BC22" s="93">
        <f t="shared" ca="1" si="106"/>
        <v>0</v>
      </c>
      <c r="BD22" s="92">
        <f ca="1">IFERROR(__xludf.DUMMYFUNCTION("IMPORTRANGE(""https://docs.google.com/spreadsheets/d/1JtRfZkJMHtEhI5RdRHxYUG4FIZHqKDpNyIuN7A1Q0_k/edit?usp=sharing"",""พิษณุโลก!L223"")"),7000)</f>
        <v>7000</v>
      </c>
      <c r="BE22" s="92">
        <f ca="1">IFERROR(__xludf.DUMMYFUNCTION("IMPORTRANGE(""https://docs.google.com/spreadsheets/d/1JtRfZkJMHtEhI5RdRHxYUG4FIZHqKDpNyIuN7A1Q0_k/edit?usp=sharing"",""พิษณุโลก!N223"")"),0)</f>
        <v>0</v>
      </c>
      <c r="BF22" s="93">
        <f t="shared" ca="1" si="108"/>
        <v>0</v>
      </c>
      <c r="BG22" s="92">
        <f ca="1">IFERROR(__xludf.DUMMYFUNCTION("IMPORTRANGE(""https://docs.google.com/spreadsheets/d/1JtRfZkJMHtEhI5RdRHxYUG4FIZHqKDpNyIuN7A1Q0_k/edit?usp=sharing"",""พิษณุโลก!L224"")"),1500)</f>
        <v>1500</v>
      </c>
      <c r="BH22" s="92">
        <f ca="1">IFERROR(__xludf.DUMMYFUNCTION("IMPORTRANGE(""https://docs.google.com/spreadsheets/d/1JtRfZkJMHtEhI5RdRHxYUG4FIZHqKDpNyIuN7A1Q0_k/edit?usp=sharing"",""พิษณุโลก!N224"")"),0)</f>
        <v>0</v>
      </c>
      <c r="BI22" s="93">
        <f t="shared" ca="1" si="110"/>
        <v>0</v>
      </c>
      <c r="BJ22" s="92">
        <f ca="1">IFERROR(__xludf.DUMMYFUNCTION("IMPORTRANGE(""https://docs.google.com/spreadsheets/d/1JtRfZkJMHtEhI5RdRHxYUG4FIZHqKDpNyIuN7A1Q0_k/edit?usp=sharing"",""พิษณุโลก!I228"")"),50000)</f>
        <v>50000</v>
      </c>
      <c r="BK22" s="92">
        <f ca="1">IFERROR(__xludf.DUMMYFUNCTION("IMPORTRANGE(""https://docs.google.com/spreadsheets/d/1JtRfZkJMHtEhI5RdRHxYUG4FIZHqKDpNyIuN7A1Q0_k/edit?usp=sharing"",""พิษณุโลก!J228"")"),0)</f>
        <v>0</v>
      </c>
      <c r="BL22" s="93">
        <f t="shared" ca="1" si="112"/>
        <v>0</v>
      </c>
      <c r="BM22" s="92">
        <f ca="1">IFERROR(__xludf.DUMMYFUNCTION("IMPORTRANGE(""https://docs.google.com/spreadsheets/d/1JtRfZkJMHtEhI5RdRHxYUG4FIZHqKDpNyIuN7A1Q0_k/edit?usp=sharing"",""พิษณุโลก!I229"")"),50000)</f>
        <v>50000</v>
      </c>
      <c r="BN22" s="92">
        <f ca="1">IFERROR(__xludf.DUMMYFUNCTION("IMPORTRANGE(""https://docs.google.com/spreadsheets/d/1JtRfZkJMHtEhI5RdRHxYUG4FIZHqKDpNyIuN7A1Q0_k/edit?usp=sharing"",""พิษณุโลก!J229"")"),0)</f>
        <v>0</v>
      </c>
      <c r="BO22" s="93">
        <f t="shared" ca="1" si="114"/>
        <v>0</v>
      </c>
      <c r="BP22" s="92">
        <f ca="1">IFERROR(__xludf.DUMMYFUNCTION("IMPORTRANGE(""https://docs.google.com/spreadsheets/d/1JtRfZkJMHtEhI5RdRHxYUG4FIZHqKDpNyIuN7A1Q0_k/edit?usp=sharing"",""พิษณุโลก!I230"")"),0)</f>
        <v>0</v>
      </c>
      <c r="BQ22" s="92">
        <f ca="1">IFERROR(__xludf.DUMMYFUNCTION("IMPORTRANGE(""https://docs.google.com/spreadsheets/d/1JtRfZkJMHtEhI5RdRHxYUG4FIZHqKDpNyIuN7A1Q0_k/edit?usp=sharing"",""พิษณุโลก!J230"")"),0)</f>
        <v>0</v>
      </c>
      <c r="BR22" s="93">
        <f t="shared" ca="1" si="116"/>
        <v>0</v>
      </c>
      <c r="BS22" s="92">
        <f ca="1">IFERROR(__xludf.DUMMYFUNCTION("IMPORTRANGE(""https://docs.google.com/spreadsheets/d/1JtRfZkJMHtEhI5RdRHxYUG4FIZHqKDpNyIuN7A1Q0_k/edit?usp=sharing"",""พิษณุโลก!L233"")"),0)</f>
        <v>0</v>
      </c>
      <c r="BT22" s="92">
        <f ca="1">IFERROR(__xludf.DUMMYFUNCTION("IMPORTRANGE(""https://docs.google.com/spreadsheets/d/1JtRfZkJMHtEhI5RdRHxYUG4FIZHqKDpNyIuN7A1Q0_k/edit?usp=sharing"",""พิษณุโลก!N233"")"),0)</f>
        <v>0</v>
      </c>
      <c r="BU22" s="93">
        <f t="shared" ca="1" si="118"/>
        <v>0</v>
      </c>
      <c r="BV22" s="92">
        <f ca="1">IFERROR(__xludf.DUMMYFUNCTION("IMPORTRANGE(""https://docs.google.com/spreadsheets/d/1JtRfZkJMHtEhI5RdRHxYUG4FIZHqKDpNyIuN7A1Q0_k/edit?usp=sharing"",""พิษณุโลก!L234"")"),0)</f>
        <v>0</v>
      </c>
      <c r="BW22" s="92">
        <f ca="1">IFERROR(__xludf.DUMMYFUNCTION("IMPORTRANGE(""https://docs.google.com/spreadsheets/d/1JtRfZkJMHtEhI5RdRHxYUG4FIZHqKDpNyIuN7A1Q0_k/edit?usp=sharing"",""พิษณุโลก!N234"")"),0)</f>
        <v>0</v>
      </c>
      <c r="BX22" s="93">
        <f t="shared" ca="1" si="120"/>
        <v>0</v>
      </c>
      <c r="BY22" s="92">
        <f ca="1">IFERROR(__xludf.DUMMYFUNCTION("IMPORTRANGE(""https://docs.google.com/spreadsheets/d/1JtRfZkJMHtEhI5RdRHxYUG4FIZHqKDpNyIuN7A1Q0_k/edit?usp=sharing"",""พิษณุโลก!L235"")"),0)</f>
        <v>0</v>
      </c>
      <c r="BZ22" s="92">
        <f ca="1">IFERROR(__xludf.DUMMYFUNCTION("IMPORTRANGE(""https://docs.google.com/spreadsheets/d/1JtRfZkJMHtEhI5RdRHxYUG4FIZHqKDpNyIuN7A1Q0_k/edit?usp=sharing"",""พิษณุโลก!N235"")"),0)</f>
        <v>0</v>
      </c>
      <c r="CA22" s="93">
        <f t="shared" ca="1" si="122"/>
        <v>0</v>
      </c>
      <c r="CB22" s="92">
        <f ca="1">IFERROR(__xludf.DUMMYFUNCTION("IMPORTRANGE(""https://docs.google.com/spreadsheets/d/1JtRfZkJMHtEhI5RdRHxYUG4FIZHqKDpNyIuN7A1Q0_k/edit?usp=sharing"",""พิษณุโลก!L236"")"),0)</f>
        <v>0</v>
      </c>
      <c r="CC22" s="92">
        <f ca="1">IFERROR(__xludf.DUMMYFUNCTION("IMPORTRANGE(""https://docs.google.com/spreadsheets/d/1JtRfZkJMHtEhI5RdRHxYUG4FIZHqKDpNyIuN7A1Q0_k/edit?usp=sharing"",""พิษณุโลก!N236"")"),0)</f>
        <v>0</v>
      </c>
      <c r="CD22" s="93">
        <f t="shared" ca="1" si="124"/>
        <v>0</v>
      </c>
      <c r="CE22" s="92">
        <f ca="1">IFERROR(__xludf.DUMMYFUNCTION("IMPORTRANGE(""https://docs.google.com/spreadsheets/d/1JtRfZkJMHtEhI5RdRHxYUG4FIZHqKDpNyIuN7A1Q0_k/edit?usp=sharing"",""พิษณุโลก!I238"")"),0)</f>
        <v>0</v>
      </c>
      <c r="CF22" s="92">
        <f ca="1">IFERROR(__xludf.DUMMYFUNCTION("IMPORTRANGE(""https://docs.google.com/spreadsheets/d/1JtRfZkJMHtEhI5RdRHxYUG4FIZHqKDpNyIuN7A1Q0_k/edit?usp=sharing"",""พิษณุโลก!J238"")"),0)</f>
        <v>0</v>
      </c>
      <c r="CG22" s="93">
        <f t="shared" ca="1" si="126"/>
        <v>0</v>
      </c>
      <c r="CH22" s="92">
        <f ca="1">IFERROR(__xludf.DUMMYFUNCTION("IMPORTRANGE(""https://docs.google.com/spreadsheets/d/1JtRfZkJMHtEhI5RdRHxYUG4FIZHqKDpNyIuN7A1Q0_k/edit?usp=sharing"",""พิษณุโลก!J240"")"),0)</f>
        <v>0</v>
      </c>
      <c r="CI22" s="92">
        <f ca="1">IFERROR(__xludf.DUMMYFUNCTION("IMPORTRANGE(""https://docs.google.com/spreadsheets/d/1JtRfZkJMHtEhI5RdRHxYUG4FIZHqKDpNyIuN7A1Q0_k/edit?usp=sharing"",""พิษณุโลก!J241"")"),0)</f>
        <v>0</v>
      </c>
    </row>
    <row r="23" spans="1:87" ht="24" customHeight="1" x14ac:dyDescent="0.3">
      <c r="A23" s="84">
        <v>10</v>
      </c>
      <c r="B23" s="85" t="s">
        <v>45</v>
      </c>
      <c r="C23" s="174">
        <f t="shared" ca="1" si="77"/>
        <v>198500</v>
      </c>
      <c r="D23" s="175">
        <f t="shared" ca="1" si="128"/>
        <v>198500</v>
      </c>
      <c r="E23" s="176">
        <f ca="1">IFERROR(__xludf.DUMMYFUNCTION("IMPORTRANGE(""https://docs.google.com/spreadsheets/d/1-uDff_7J0KD5mKrp0Vvzr7lt3OU09vwQwhkpOPPYv2Y/edit?usp=sharing"",""งบพรบ!CV23"")"),91000)</f>
        <v>91000</v>
      </c>
      <c r="F23" s="176">
        <f ca="1">IFERROR(__xludf.DUMMYFUNCTION("IMPORTRANGE(""https://docs.google.com/spreadsheets/d/1-uDff_7J0KD5mKrp0Vvzr7lt3OU09vwQwhkpOPPYv2Y/edit?usp=sharing"",""งบพรบ!CW23"")"),107500)</f>
        <v>107500</v>
      </c>
      <c r="G23" s="176">
        <f ca="1">IFERROR(__xludf.DUMMYFUNCTION("IMPORTRANGE(""https://docs.google.com/spreadsheets/d/1-uDff_7J0KD5mKrp0Vvzr7lt3OU09vwQwhkpOPPYv2Y/edit?usp=sharing"",""งบพรบ!CX23"")"),0)</f>
        <v>0</v>
      </c>
      <c r="H23" s="176">
        <f ca="1">IFERROR(__xludf.DUMMYFUNCTION("IMPORTRANGE(""https://docs.google.com/spreadsheets/d/1-uDff_7J0KD5mKrp0Vvzr7lt3OU09vwQwhkpOPPYv2Y/edit?usp=sharing"",""งบพรบ!CZ23"")"),123500)</f>
        <v>123500</v>
      </c>
      <c r="I23" s="176">
        <f ca="1">IFERROR(__xludf.DUMMYFUNCTION("IMPORTRANGE(""https://docs.google.com/spreadsheets/d/1-uDff_7J0KD5mKrp0Vvzr7lt3OU09vwQwhkpOPPYv2Y/edit?usp=sharing"",""งบพรบ!DA23"")"),0)</f>
        <v>0</v>
      </c>
      <c r="J23" s="176">
        <f t="shared" ca="1" si="79"/>
        <v>26360</v>
      </c>
      <c r="K23" s="181">
        <f t="shared" ca="1" si="80"/>
        <v>13.279596977329975</v>
      </c>
      <c r="L23" s="176">
        <f ca="1">IFERROR(__xludf.DUMMYFUNCTION("IMPORTRANGE(""https://docs.google.com/spreadsheets/d/1-uDff_7J0KD5mKrp0Vvzr7lt3OU09vwQwhkpOPPYv2Y/edit?usp=sharing"",""งบพรบ!DB23"")"),26360)</f>
        <v>26360</v>
      </c>
      <c r="M23" s="179">
        <f t="shared" ca="1" si="81"/>
        <v>13.279596977329975</v>
      </c>
      <c r="N23" s="179">
        <f t="shared" ca="1" si="82"/>
        <v>21.344129554655872</v>
      </c>
      <c r="O23" s="180">
        <f ca="1">IFERROR(__xludf.DUMMYFUNCTION("IMPORTRANGE(""https://docs.google.com/spreadsheets/d/1-uDff_7J0KD5mKrp0Vvzr7lt3OU09vwQwhkpOPPYv2Y/edit?usp=sharing"",""งบพรบ!DC23"")"),0)</f>
        <v>0</v>
      </c>
      <c r="P23" s="180">
        <f t="shared" ca="1" si="83"/>
        <v>0</v>
      </c>
      <c r="Q23" s="179">
        <f t="shared" ca="1" si="84"/>
        <v>0</v>
      </c>
      <c r="R23" s="92">
        <f ca="1">IFERROR(__xludf.DUMMYFUNCTION("IMPORTRANGE(""https://docs.google.com/spreadsheets/d/1xlcVZWUNn6SuWm0c307h32SiGkd9BaeQWlAktfD3KO8/edit?usp=sharing"",""เพชรบูรณ์!L196"")"),6000)</f>
        <v>6000</v>
      </c>
      <c r="S23" s="92">
        <f ca="1">IFERROR(__xludf.DUMMYFUNCTION("IMPORTRANGE(""https://docs.google.com/spreadsheets/d/1xlcVZWUNn6SuWm0c307h32SiGkd9BaeQWlAktfD3KO8/edit?usp=sharing"",""เพชรบูรณ์!N196"")"),360)</f>
        <v>360</v>
      </c>
      <c r="T23" s="93">
        <f t="shared" ca="1" si="86"/>
        <v>6</v>
      </c>
      <c r="U23" s="92">
        <f ca="1">IFERROR(__xludf.DUMMYFUNCTION("IMPORTRANGE(""https://docs.google.com/spreadsheets/d/1xlcVZWUNn6SuWm0c307h32SiGkd9BaeQWlAktfD3KO8/edit?usp=sharing"",""เพชรบูรณ์!I198"")"),4)</f>
        <v>4</v>
      </c>
      <c r="V23" s="92">
        <f ca="1">IFERROR(__xludf.DUMMYFUNCTION("IMPORTRANGE(""https://docs.google.com/spreadsheets/d/1xlcVZWUNn6SuWm0c307h32SiGkd9BaeQWlAktfD3KO8/edit?usp=sharing"",""เพชรบูรณ์!J198"")"),1)</f>
        <v>1</v>
      </c>
      <c r="W23" s="93">
        <f t="shared" ca="1" si="88"/>
        <v>25</v>
      </c>
      <c r="X23" s="92">
        <f ca="1">IFERROR(__xludf.DUMMYFUNCTION("IMPORTRANGE(""https://docs.google.com/spreadsheets/d/1xlcVZWUNn6SuWm0c307h32SiGkd9BaeQWlAktfD3KO8/edit?usp=sharing"",""เพชรบูรณ์!J199"")"),1)</f>
        <v>1</v>
      </c>
      <c r="Y23" s="92">
        <f ca="1">IFERROR(__xludf.DUMMYFUNCTION("IMPORTRANGE(""https://docs.google.com/spreadsheets/d/1xlcVZWUNn6SuWm0c307h32SiGkd9BaeQWlAktfD3KO8/edit?usp=sharing"",""เพชรบูรณ์!J200"")"),1)</f>
        <v>1</v>
      </c>
      <c r="Z23" s="92">
        <f ca="1">IFERROR(__xludf.DUMMYFUNCTION("IMPORTRANGE(""https://docs.google.com/spreadsheets/d/1xlcVZWUNn6SuWm0c307h32SiGkd9BaeQWlAktfD3KO8/edit?usp=sharing"",""เพชรบูรณ์!J201"")"),0)</f>
        <v>0</v>
      </c>
      <c r="AA23" s="92">
        <f ca="1">IFERROR(__xludf.DUMMYFUNCTION("IMPORTRANGE(""https://docs.google.com/spreadsheets/d/1xlcVZWUNn6SuWm0c307h32SiGkd9BaeQWlAktfD3KO8/edit?usp=sharing"",""เพชรบูรณ์!L204"")"),4000)</f>
        <v>4000</v>
      </c>
      <c r="AB23" s="92">
        <f ca="1">IFERROR(__xludf.DUMMYFUNCTION("IMPORTRANGE(""https://docs.google.com/spreadsheets/d/1xlcVZWUNn6SuWm0c307h32SiGkd9BaeQWlAktfD3KO8/edit?usp=sharing"",""เพชรบูรณ์!N204"")"),0)</f>
        <v>0</v>
      </c>
      <c r="AC23" s="93">
        <f t="shared" ca="1" si="90"/>
        <v>0</v>
      </c>
      <c r="AD23" s="92">
        <f ca="1">IFERROR(__xludf.DUMMYFUNCTION("IMPORTRANGE(""https://docs.google.com/spreadsheets/d/1xlcVZWUNn6SuWm0c307h32SiGkd9BaeQWlAktfD3KO8/edit?usp=sharing"",""เพชรบูรณ์!L206"")"),32000)</f>
        <v>32000</v>
      </c>
      <c r="AE23" s="92">
        <f ca="1">IFERROR(__xludf.DUMMYFUNCTION("IMPORTRANGE(""https://docs.google.com/spreadsheets/d/1xlcVZWUNn6SuWm0c307h32SiGkd9BaeQWlAktfD3KO8/edit?usp=sharing"",""เพชรบูรณ์!N206"")"),0)</f>
        <v>0</v>
      </c>
      <c r="AF23" s="93">
        <f t="shared" ca="1" si="92"/>
        <v>0</v>
      </c>
      <c r="AG23" s="92">
        <f ca="1">IFERROR(__xludf.DUMMYFUNCTION("IMPORTRANGE(""https://docs.google.com/spreadsheets/d/1xlcVZWUNn6SuWm0c307h32SiGkd9BaeQWlAktfD3KO8/edit?usp=sharing"",""เพชรบูรณ์!L207"")"),21000)</f>
        <v>21000</v>
      </c>
      <c r="AH23" s="92">
        <f ca="1">IFERROR(__xludf.DUMMYFUNCTION("IMPORTRANGE(""https://docs.google.com/spreadsheets/d/1xlcVZWUNn6SuWm0c307h32SiGkd9BaeQWlAktfD3KO8/edit?usp=sharing"",""เพชรบูรณ์!N207"")"),0)</f>
        <v>0</v>
      </c>
      <c r="AI23" s="93">
        <f t="shared" ca="1" si="94"/>
        <v>0</v>
      </c>
      <c r="AJ23" s="92">
        <f ca="1">IFERROR(__xludf.DUMMYFUNCTION("IMPORTRANGE(""https://docs.google.com/spreadsheets/d/1xlcVZWUNn6SuWm0c307h32SiGkd9BaeQWlAktfD3KO8/edit?usp=sharing"",""เพชรบูรณ์!I209"")"),4)</f>
        <v>4</v>
      </c>
      <c r="AK23" s="92">
        <f ca="1">IFERROR(__xludf.DUMMYFUNCTION("IMPORTRANGE(""https://docs.google.com/spreadsheets/d/1xlcVZWUNn6SuWm0c307h32SiGkd9BaeQWlAktfD3KO8/edit?usp=sharing"",""เพชรบูรณ์!J209"")"),0)</f>
        <v>0</v>
      </c>
      <c r="AL23" s="93">
        <f t="shared" ca="1" si="96"/>
        <v>0</v>
      </c>
      <c r="AM23" s="92">
        <f ca="1">IFERROR(__xludf.DUMMYFUNCTION("IMPORTRANGE(""https://docs.google.com/spreadsheets/d/1xlcVZWUNn6SuWm0c307h32SiGkd9BaeQWlAktfD3KO8/edit?usp=sharing"",""เพชรบูรณ์!J211"")"),0)</f>
        <v>0</v>
      </c>
      <c r="AN23" s="92">
        <f ca="1">IFERROR(__xludf.DUMMYFUNCTION("IMPORTRANGE(""https://docs.google.com/spreadsheets/d/1xlcVZWUNn6SuWm0c307h32SiGkd9BaeQWlAktfD3KO8/edit?usp=sharing"",""เพชรบูรณ์!J212"")"),0)</f>
        <v>0</v>
      </c>
      <c r="AO23" s="92">
        <f ca="1">IFERROR(__xludf.DUMMYFUNCTION("IMPORTRANGE(""https://docs.google.com/spreadsheets/d/1xlcVZWUNn6SuWm0c307h32SiGkd9BaeQWlAktfD3KO8/edit?usp=sharing"",""เพชรบูรณ์!L215"")"),2000)</f>
        <v>2000</v>
      </c>
      <c r="AP23" s="92">
        <f ca="1">IFERROR(__xludf.DUMMYFUNCTION("IMPORTRANGE(""https://docs.google.com/spreadsheets/d/1xlcVZWUNn6SuWm0c307h32SiGkd9BaeQWlAktfD3KO8/edit?usp=sharing"",""เพชรบูรณ์!N215"")"),0)</f>
        <v>0</v>
      </c>
      <c r="AQ23" s="93">
        <f t="shared" ca="1" si="98"/>
        <v>0</v>
      </c>
      <c r="AR23" s="92">
        <f ca="1">IFERROR(__xludf.DUMMYFUNCTION("IMPORTRANGE(""https://docs.google.com/spreadsheets/d/1xlcVZWUNn6SuWm0c307h32SiGkd9BaeQWlAktfD3KO8/edit?usp=sharing"",""เพชรบูรณ์!L216"")"),10000)</f>
        <v>10000</v>
      </c>
      <c r="AS23" s="92">
        <f ca="1">IFERROR(__xludf.DUMMYFUNCTION("IMPORTRANGE(""https://docs.google.com/spreadsheets/d/1xlcVZWUNn6SuWm0c307h32SiGkd9BaeQWlAktfD3KO8/edit?usp=sharing"",""เพชรบูรณ์!N216"")"),0)</f>
        <v>0</v>
      </c>
      <c r="AT23" s="93">
        <f t="shared" ca="1" si="100"/>
        <v>0</v>
      </c>
      <c r="AU23" s="92">
        <f ca="1">IFERROR(__xludf.DUMMYFUNCTION("IMPORTRANGE(""https://docs.google.com/spreadsheets/d/1xlcVZWUNn6SuWm0c307h32SiGkd9BaeQWlAktfD3KO8/edit?usp=sharing"",""เพชรบูรณ์!L217"")"),16000)</f>
        <v>16000</v>
      </c>
      <c r="AV23" s="92">
        <f ca="1">IFERROR(__xludf.DUMMYFUNCTION("IMPORTRANGE(""https://docs.google.com/spreadsheets/d/1xlcVZWUNn6SuWm0c307h32SiGkd9BaeQWlAktfD3KO8/edit?usp=sharing"",""เพชรบูรณ์!N217"")"),0)</f>
        <v>0</v>
      </c>
      <c r="AW23" s="93">
        <f t="shared" ca="1" si="102"/>
        <v>0</v>
      </c>
      <c r="AX23" s="92">
        <f ca="1">IFERROR(__xludf.DUMMYFUNCTION("IMPORTRANGE(""https://docs.google.com/spreadsheets/d/1xlcVZWUNn6SuWm0c307h32SiGkd9BaeQWlAktfD3KO8/edit?usp=sharing"",""เพชรบูรณ์!I219"")"),2)</f>
        <v>2</v>
      </c>
      <c r="AY23" s="92">
        <f ca="1">IFERROR(__xludf.DUMMYFUNCTION("IMPORTRANGE(""https://docs.google.com/spreadsheets/d/1xlcVZWUNn6SuWm0c307h32SiGkd9BaeQWlAktfD3KO8/edit?usp=sharing"",""เพชรบูรณ์!J219"")"),0)</f>
        <v>0</v>
      </c>
      <c r="AZ23" s="93">
        <f t="shared" ca="1" si="104"/>
        <v>0</v>
      </c>
      <c r="BA23" s="92">
        <f ca="1">IFERROR(__xludf.DUMMYFUNCTION("IMPORTRANGE(""https://docs.google.com/spreadsheets/d/1xlcVZWUNn6SuWm0c307h32SiGkd9BaeQWlAktfD3KO8/edit?usp=sharing"",""เพชรบูรณ์!I220"")"),2)</f>
        <v>2</v>
      </c>
      <c r="BB23" s="92">
        <f ca="1">IFERROR(__xludf.DUMMYFUNCTION("IMPORTRANGE(""https://docs.google.com/spreadsheets/d/1xlcVZWUNn6SuWm0c307h32SiGkd9BaeQWlAktfD3KO8/edit?usp=sharing"",""เพชรบูรณ์!J220"")"),0)</f>
        <v>0</v>
      </c>
      <c r="BC23" s="93">
        <f t="shared" ca="1" si="106"/>
        <v>0</v>
      </c>
      <c r="BD23" s="92">
        <f ca="1">IFERROR(__xludf.DUMMYFUNCTION("IMPORTRANGE(""https://docs.google.com/spreadsheets/d/1xlcVZWUNn6SuWm0c307h32SiGkd9BaeQWlAktfD3KO8/edit?usp=sharing"",""เพชรบูรณ์!L223"")"),15000)</f>
        <v>15000</v>
      </c>
      <c r="BE23" s="92">
        <f ca="1">IFERROR(__xludf.DUMMYFUNCTION("IMPORTRANGE(""https://docs.google.com/spreadsheets/d/1xlcVZWUNn6SuWm0c307h32SiGkd9BaeQWlAktfD3KO8/edit?usp=sharing"",""เพชรบูรณ์!N223"")"),0)</f>
        <v>0</v>
      </c>
      <c r="BF23" s="93">
        <f t="shared" ca="1" si="108"/>
        <v>0</v>
      </c>
      <c r="BG23" s="92">
        <f ca="1">IFERROR(__xludf.DUMMYFUNCTION("IMPORTRANGE(""https://docs.google.com/spreadsheets/d/1xlcVZWUNn6SuWm0c307h32SiGkd9BaeQWlAktfD3KO8/edit?usp=sharing"",""เพชรบูรณ์!L224"")"),1500)</f>
        <v>1500</v>
      </c>
      <c r="BH23" s="92">
        <f ca="1">IFERROR(__xludf.DUMMYFUNCTION("IMPORTRANGE(""https://docs.google.com/spreadsheets/d/1xlcVZWUNn6SuWm0c307h32SiGkd9BaeQWlAktfD3KO8/edit?usp=sharing"",""เพชรบูรณ์!N224"")"),0)</f>
        <v>0</v>
      </c>
      <c r="BI23" s="93">
        <f t="shared" ca="1" si="110"/>
        <v>0</v>
      </c>
      <c r="BJ23" s="92">
        <f ca="1">IFERROR(__xludf.DUMMYFUNCTION("IMPORTRANGE(""https://docs.google.com/spreadsheets/d/1xlcVZWUNn6SuWm0c307h32SiGkd9BaeQWlAktfD3KO8/edit?usp=sharing"",""เพชรบูรณ์!I228"")"),128000)</f>
        <v>128000</v>
      </c>
      <c r="BK23" s="92">
        <f ca="1">IFERROR(__xludf.DUMMYFUNCTION("IMPORTRANGE(""https://docs.google.com/spreadsheets/d/1xlcVZWUNn6SuWm0c307h32SiGkd9BaeQWlAktfD3KO8/edit?usp=sharing"",""เพชรบูรณ์!J228"")"),0)</f>
        <v>0</v>
      </c>
      <c r="BL23" s="93">
        <f t="shared" ca="1" si="112"/>
        <v>0</v>
      </c>
      <c r="BM23" s="92">
        <f ca="1">IFERROR(__xludf.DUMMYFUNCTION("IMPORTRANGE(""https://docs.google.com/spreadsheets/d/1xlcVZWUNn6SuWm0c307h32SiGkd9BaeQWlAktfD3KO8/edit?usp=sharing"",""เพชรบูรณ์!I229"")"),128000)</f>
        <v>128000</v>
      </c>
      <c r="BN23" s="92">
        <f ca="1">IFERROR(__xludf.DUMMYFUNCTION("IMPORTRANGE(""https://docs.google.com/spreadsheets/d/1xlcVZWUNn6SuWm0c307h32SiGkd9BaeQWlAktfD3KO8/edit?usp=sharing"",""เพชรบูรณ์!J229"")"),0)</f>
        <v>0</v>
      </c>
      <c r="BO23" s="93">
        <f t="shared" ca="1" si="114"/>
        <v>0</v>
      </c>
      <c r="BP23" s="92">
        <f ca="1">IFERROR(__xludf.DUMMYFUNCTION("IMPORTRANGE(""https://docs.google.com/spreadsheets/d/1xlcVZWUNn6SuWm0c307h32SiGkd9BaeQWlAktfD3KO8/edit?usp=sharing"",""เพชรบูรณ์!I230"")"),0)</f>
        <v>0</v>
      </c>
      <c r="BQ23" s="92">
        <f ca="1">IFERROR(__xludf.DUMMYFUNCTION("IMPORTRANGE(""https://docs.google.com/spreadsheets/d/1xlcVZWUNn6SuWm0c307h32SiGkd9BaeQWlAktfD3KO8/edit?usp=sharing"",""เพชรบูรณ์!J230"")"),0)</f>
        <v>0</v>
      </c>
      <c r="BR23" s="93">
        <f t="shared" ca="1" si="116"/>
        <v>0</v>
      </c>
      <c r="BS23" s="92">
        <f ca="1">IFERROR(__xludf.DUMMYFUNCTION("IMPORTRANGE(""https://docs.google.com/spreadsheets/d/1xlcVZWUNn6SuWm0c307h32SiGkd9BaeQWlAktfD3KO8/edit?usp=sharing"",""เพชรบูรณ์!L233"")"),0)</f>
        <v>0</v>
      </c>
      <c r="BT23" s="92">
        <f ca="1">IFERROR(__xludf.DUMMYFUNCTION("IMPORTRANGE(""https://docs.google.com/spreadsheets/d/1xlcVZWUNn6SuWm0c307h32SiGkd9BaeQWlAktfD3KO8/edit?usp=sharing"",""เพชรบูรณ์!N233"")"),0)</f>
        <v>0</v>
      </c>
      <c r="BU23" s="93">
        <f t="shared" ca="1" si="118"/>
        <v>0</v>
      </c>
      <c r="BV23" s="92">
        <f ca="1">IFERROR(__xludf.DUMMYFUNCTION("IMPORTRANGE(""https://docs.google.com/spreadsheets/d/1xlcVZWUNn6SuWm0c307h32SiGkd9BaeQWlAktfD3KO8/edit?usp=sharing"",""เพชรบูรณ์!L234"")"),0)</f>
        <v>0</v>
      </c>
      <c r="BW23" s="92">
        <f ca="1">IFERROR(__xludf.DUMMYFUNCTION("IMPORTRANGE(""https://docs.google.com/spreadsheets/d/1xlcVZWUNn6SuWm0c307h32SiGkd9BaeQWlAktfD3KO8/edit?usp=sharing"",""เพชรบูรณ์!N234"")"),0)</f>
        <v>0</v>
      </c>
      <c r="BX23" s="93">
        <f t="shared" ca="1" si="120"/>
        <v>0</v>
      </c>
      <c r="BY23" s="92">
        <f ca="1">IFERROR(__xludf.DUMMYFUNCTION("IMPORTRANGE(""https://docs.google.com/spreadsheets/d/1xlcVZWUNn6SuWm0c307h32SiGkd9BaeQWlAktfD3KO8/edit?usp=sharing"",""เพชรบูรณ์!L235"")"),0)</f>
        <v>0</v>
      </c>
      <c r="BZ23" s="92">
        <f ca="1">IFERROR(__xludf.DUMMYFUNCTION("IMPORTRANGE(""https://docs.google.com/spreadsheets/d/1xlcVZWUNn6SuWm0c307h32SiGkd9BaeQWlAktfD3KO8/edit?usp=sharing"",""เพชรบูรณ์!N235"")"),0)</f>
        <v>0</v>
      </c>
      <c r="CA23" s="93">
        <f t="shared" ca="1" si="122"/>
        <v>0</v>
      </c>
      <c r="CB23" s="92">
        <f ca="1">IFERROR(__xludf.DUMMYFUNCTION("IMPORTRANGE(""https://docs.google.com/spreadsheets/d/1xlcVZWUNn6SuWm0c307h32SiGkd9BaeQWlAktfD3KO8/edit?usp=sharing"",""เพชรบูรณ์!L236"")"),0)</f>
        <v>0</v>
      </c>
      <c r="CC23" s="92">
        <f ca="1">IFERROR(__xludf.DUMMYFUNCTION("IMPORTRANGE(""https://docs.google.com/spreadsheets/d/1xlcVZWUNn6SuWm0c307h32SiGkd9BaeQWlAktfD3KO8/edit?usp=sharing"",""เพชรบูรณ์!N236"")"),0)</f>
        <v>0</v>
      </c>
      <c r="CD23" s="93">
        <f t="shared" ca="1" si="124"/>
        <v>0</v>
      </c>
      <c r="CE23" s="92">
        <f ca="1">IFERROR(__xludf.DUMMYFUNCTION("IMPORTRANGE(""https://docs.google.com/spreadsheets/d/1xlcVZWUNn6SuWm0c307h32SiGkd9BaeQWlAktfD3KO8/edit?usp=sharing"",""เพชรบูรณ์!I238"")"),0)</f>
        <v>0</v>
      </c>
      <c r="CF23" s="92">
        <f ca="1">IFERROR(__xludf.DUMMYFUNCTION("IMPORTRANGE(""https://docs.google.com/spreadsheets/d/1xlcVZWUNn6SuWm0c307h32SiGkd9BaeQWlAktfD3KO8/edit?usp=sharing"",""เพชรบูรณ์!J238"")"),0)</f>
        <v>0</v>
      </c>
      <c r="CG23" s="93">
        <f t="shared" ca="1" si="126"/>
        <v>0</v>
      </c>
      <c r="CH23" s="92">
        <f ca="1">IFERROR(__xludf.DUMMYFUNCTION("IMPORTRANGE(""https://docs.google.com/spreadsheets/d/1xlcVZWUNn6SuWm0c307h32SiGkd9BaeQWlAktfD3KO8/edit?usp=sharing"",""เพชรบูรณ์!J240"")"),0)</f>
        <v>0</v>
      </c>
      <c r="CI23" s="92">
        <f ca="1">IFERROR(__xludf.DUMMYFUNCTION("IMPORTRANGE(""https://docs.google.com/spreadsheets/d/1xlcVZWUNn6SuWm0c307h32SiGkd9BaeQWlAktfD3KO8/edit?usp=sharing"",""เพชรบูรณ์!J241"")"),0)</f>
        <v>0</v>
      </c>
    </row>
    <row r="24" spans="1:87" ht="24" customHeight="1" x14ac:dyDescent="0.3">
      <c r="A24" s="84">
        <v>11</v>
      </c>
      <c r="B24" s="85" t="s">
        <v>46</v>
      </c>
      <c r="C24" s="174">
        <f t="shared" ca="1" si="77"/>
        <v>140500</v>
      </c>
      <c r="D24" s="175">
        <f t="shared" ca="1" si="128"/>
        <v>140500</v>
      </c>
      <c r="E24" s="176">
        <f ca="1">IFERROR(__xludf.DUMMYFUNCTION("IMPORTRANGE(""https://docs.google.com/spreadsheets/d/1-uDff_7J0KD5mKrp0Vvzr7lt3OU09vwQwhkpOPPYv2Y/edit?usp=sharing"",""งบพรบ!CV24"")"),91000)</f>
        <v>91000</v>
      </c>
      <c r="F24" s="176">
        <f ca="1">IFERROR(__xludf.DUMMYFUNCTION("IMPORTRANGE(""https://docs.google.com/spreadsheets/d/1-uDff_7J0KD5mKrp0Vvzr7lt3OU09vwQwhkpOPPYv2Y/edit?usp=sharing"",""งบพรบ!CW24"")"),49500)</f>
        <v>49500</v>
      </c>
      <c r="G24" s="176">
        <f ca="1">IFERROR(__xludf.DUMMYFUNCTION("IMPORTRANGE(""https://docs.google.com/spreadsheets/d/1-uDff_7J0KD5mKrp0Vvzr7lt3OU09vwQwhkpOPPYv2Y/edit?usp=sharing"",""งบพรบ!CX24"")"),0)</f>
        <v>0</v>
      </c>
      <c r="H24" s="176">
        <f ca="1">IFERROR(__xludf.DUMMYFUNCTION("IMPORTRANGE(""https://docs.google.com/spreadsheets/d/1-uDff_7J0KD5mKrp0Vvzr7lt3OU09vwQwhkpOPPYv2Y/edit?usp=sharing"",""งบพรบ!CZ24"")"),87500)</f>
        <v>87500</v>
      </c>
      <c r="I24" s="176">
        <f ca="1">IFERROR(__xludf.DUMMYFUNCTION("IMPORTRANGE(""https://docs.google.com/spreadsheets/d/1-uDff_7J0KD5mKrp0Vvzr7lt3OU09vwQwhkpOPPYv2Y/edit?usp=sharing"",""งบพรบ!DA24"")"),0)</f>
        <v>0</v>
      </c>
      <c r="J24" s="176">
        <f t="shared" ca="1" si="79"/>
        <v>30479</v>
      </c>
      <c r="K24" s="181">
        <f t="shared" ca="1" si="80"/>
        <v>21.6932384341637</v>
      </c>
      <c r="L24" s="176">
        <f ca="1">IFERROR(__xludf.DUMMYFUNCTION("IMPORTRANGE(""https://docs.google.com/spreadsheets/d/1-uDff_7J0KD5mKrp0Vvzr7lt3OU09vwQwhkpOPPYv2Y/edit?usp=sharing"",""งบพรบ!DB24"")"),30479)</f>
        <v>30479</v>
      </c>
      <c r="M24" s="179">
        <f t="shared" ca="1" si="81"/>
        <v>21.6932384341637</v>
      </c>
      <c r="N24" s="179">
        <f t="shared" ca="1" si="82"/>
        <v>34.83314285714286</v>
      </c>
      <c r="O24" s="180">
        <f ca="1">IFERROR(__xludf.DUMMYFUNCTION("IMPORTRANGE(""https://docs.google.com/spreadsheets/d/1-uDff_7J0KD5mKrp0Vvzr7lt3OU09vwQwhkpOPPYv2Y/edit?usp=sharing"",""งบพรบ!DC24"")"),0)</f>
        <v>0</v>
      </c>
      <c r="P24" s="180">
        <f t="shared" ca="1" si="83"/>
        <v>0</v>
      </c>
      <c r="Q24" s="179">
        <f t="shared" ca="1" si="84"/>
        <v>0</v>
      </c>
      <c r="R24" s="92">
        <f ca="1">IFERROR(__xludf.DUMMYFUNCTION("IMPORTRANGE(""https://docs.google.com/spreadsheets/d/1lOVebEIsI9qjGXl6EX66luk7wiuP2tBaryw-wKvv4e0/edit?usp=sharing"",""แพร่!L196"")"),6000)</f>
        <v>6000</v>
      </c>
      <c r="S24" s="92">
        <f ca="1">IFERROR(__xludf.DUMMYFUNCTION("IMPORTRANGE(""https://docs.google.com/spreadsheets/d/1lOVebEIsI9qjGXl6EX66luk7wiuP2tBaryw-wKvv4e0/edit?usp=sharing"",""แพร่!N196"")"),0)</f>
        <v>0</v>
      </c>
      <c r="T24" s="93">
        <f t="shared" ca="1" si="86"/>
        <v>0</v>
      </c>
      <c r="U24" s="92">
        <f ca="1">IFERROR(__xludf.DUMMYFUNCTION("IMPORTRANGE(""https://docs.google.com/spreadsheets/d/1lOVebEIsI9qjGXl6EX66luk7wiuP2tBaryw-wKvv4e0/edit?usp=sharing"",""แพร่!I198"")"),4)</f>
        <v>4</v>
      </c>
      <c r="V24" s="92">
        <f ca="1">IFERROR(__xludf.DUMMYFUNCTION("IMPORTRANGE(""https://docs.google.com/spreadsheets/d/1lOVebEIsI9qjGXl6EX66luk7wiuP2tBaryw-wKvv4e0/edit?usp=sharing"",""แพร่!J198"")"),1)</f>
        <v>1</v>
      </c>
      <c r="W24" s="93">
        <f t="shared" ca="1" si="88"/>
        <v>25</v>
      </c>
      <c r="X24" s="92">
        <f ca="1">IFERROR(__xludf.DUMMYFUNCTION("IMPORTRANGE(""https://docs.google.com/spreadsheets/d/1lOVebEIsI9qjGXl6EX66luk7wiuP2tBaryw-wKvv4e0/edit?usp=sharing"",""แพร่!J199"")"),30)</f>
        <v>30</v>
      </c>
      <c r="Y24" s="92">
        <f ca="1">IFERROR(__xludf.DUMMYFUNCTION("IMPORTRANGE(""https://docs.google.com/spreadsheets/d/1lOVebEIsI9qjGXl6EX66luk7wiuP2tBaryw-wKvv4e0/edit?usp=sharing"",""แพร่!J200"")"),30)</f>
        <v>30</v>
      </c>
      <c r="Z24" s="92">
        <f ca="1">IFERROR(__xludf.DUMMYFUNCTION("IMPORTRANGE(""https://docs.google.com/spreadsheets/d/1lOVebEIsI9qjGXl6EX66luk7wiuP2tBaryw-wKvv4e0/edit?usp=sharing"",""แพร่!J201"")"),0)</f>
        <v>0</v>
      </c>
      <c r="AA24" s="92">
        <f ca="1">IFERROR(__xludf.DUMMYFUNCTION("IMPORTRANGE(""https://docs.google.com/spreadsheets/d/1lOVebEIsI9qjGXl6EX66luk7wiuP2tBaryw-wKvv4e0/edit?usp=sharing"",""แพร่!L204"")"),2000)</f>
        <v>2000</v>
      </c>
      <c r="AB24" s="92">
        <f ca="1">IFERROR(__xludf.DUMMYFUNCTION("IMPORTRANGE(""https://docs.google.com/spreadsheets/d/1lOVebEIsI9qjGXl6EX66luk7wiuP2tBaryw-wKvv4e0/edit?usp=sharing"",""แพร่!N204"")"),700)</f>
        <v>700</v>
      </c>
      <c r="AC24" s="93">
        <f t="shared" ca="1" si="90"/>
        <v>35</v>
      </c>
      <c r="AD24" s="92">
        <f ca="1">IFERROR(__xludf.DUMMYFUNCTION("IMPORTRANGE(""https://docs.google.com/spreadsheets/d/1lOVebEIsI9qjGXl6EX66luk7wiuP2tBaryw-wKvv4e0/edit?usp=sharing"",""แพร่!L206"")"),16000)</f>
        <v>16000</v>
      </c>
      <c r="AE24" s="92">
        <f ca="1">IFERROR(__xludf.DUMMYFUNCTION("IMPORTRANGE(""https://docs.google.com/spreadsheets/d/1lOVebEIsI9qjGXl6EX66luk7wiuP2tBaryw-wKvv4e0/edit?usp=sharing"",""แพร่!N206"")"),0)</f>
        <v>0</v>
      </c>
      <c r="AF24" s="93">
        <f t="shared" ca="1" si="92"/>
        <v>0</v>
      </c>
      <c r="AG24" s="92">
        <f ca="1">IFERROR(__xludf.DUMMYFUNCTION("IMPORTRANGE(""https://docs.google.com/spreadsheets/d/1lOVebEIsI9qjGXl6EX66luk7wiuP2tBaryw-wKvv4e0/edit?usp=sharing"",""แพร่!L207"")"),13000)</f>
        <v>13000</v>
      </c>
      <c r="AH24" s="92">
        <f ca="1">IFERROR(__xludf.DUMMYFUNCTION("IMPORTRANGE(""https://docs.google.com/spreadsheets/d/1lOVebEIsI9qjGXl6EX66luk7wiuP2tBaryw-wKvv4e0/edit?usp=sharing"",""แพร่!N207"")"),0)</f>
        <v>0</v>
      </c>
      <c r="AI24" s="93">
        <f t="shared" ca="1" si="94"/>
        <v>0</v>
      </c>
      <c r="AJ24" s="92">
        <f ca="1">IFERROR(__xludf.DUMMYFUNCTION("IMPORTRANGE(""https://docs.google.com/spreadsheets/d/1lOVebEIsI9qjGXl6EX66luk7wiuP2tBaryw-wKvv4e0/edit?usp=sharing"",""แพร่!I209"")"),2)</f>
        <v>2</v>
      </c>
      <c r="AK24" s="92">
        <f ca="1">IFERROR(__xludf.DUMMYFUNCTION("IMPORTRANGE(""https://docs.google.com/spreadsheets/d/1lOVebEIsI9qjGXl6EX66luk7wiuP2tBaryw-wKvv4e0/edit?usp=sharing"",""แพร่!J209"")"),0)</f>
        <v>0</v>
      </c>
      <c r="AL24" s="93">
        <f t="shared" ca="1" si="96"/>
        <v>0</v>
      </c>
      <c r="AM24" s="92">
        <f ca="1">IFERROR(__xludf.DUMMYFUNCTION("IMPORTRANGE(""https://docs.google.com/spreadsheets/d/1lOVebEIsI9qjGXl6EX66luk7wiuP2tBaryw-wKvv4e0/edit?usp=sharing"",""แพร่!J211"")"),0)</f>
        <v>0</v>
      </c>
      <c r="AN24" s="92">
        <f ca="1">IFERROR(__xludf.DUMMYFUNCTION("IMPORTRANGE(""https://docs.google.com/spreadsheets/d/1lOVebEIsI9qjGXl6EX66luk7wiuP2tBaryw-wKvv4e0/edit?usp=sharing"",""แพร่!J212"")"),0)</f>
        <v>0</v>
      </c>
      <c r="AO24" s="92">
        <f ca="1">IFERROR(__xludf.DUMMYFUNCTION("IMPORTRANGE(""https://docs.google.com/spreadsheets/d/1lOVebEIsI9qjGXl6EX66luk7wiuP2tBaryw-wKvv4e0/edit?usp=sharing"",""แพร่!L215"")"),0)</f>
        <v>0</v>
      </c>
      <c r="AP24" s="92">
        <f ca="1">IFERROR(__xludf.DUMMYFUNCTION("IMPORTRANGE(""https://docs.google.com/spreadsheets/d/1lOVebEIsI9qjGXl6EX66luk7wiuP2tBaryw-wKvv4e0/edit?usp=sharing"",""แพร่!N215"")"),0)</f>
        <v>0</v>
      </c>
      <c r="AQ24" s="93">
        <f t="shared" ca="1" si="98"/>
        <v>0</v>
      </c>
      <c r="AR24" s="92">
        <f ca="1">IFERROR(__xludf.DUMMYFUNCTION("IMPORTRANGE(""https://docs.google.com/spreadsheets/d/1lOVebEIsI9qjGXl6EX66luk7wiuP2tBaryw-wKvv4e0/edit?usp=sharing"",""แพร่!L216"")"),0)</f>
        <v>0</v>
      </c>
      <c r="AS24" s="92">
        <f ca="1">IFERROR(__xludf.DUMMYFUNCTION("IMPORTRANGE(""https://docs.google.com/spreadsheets/d/1lOVebEIsI9qjGXl6EX66luk7wiuP2tBaryw-wKvv4e0/edit?usp=sharing"",""แพร่!N216"")"),0)</f>
        <v>0</v>
      </c>
      <c r="AT24" s="93">
        <f t="shared" ca="1" si="100"/>
        <v>0</v>
      </c>
      <c r="AU24" s="92">
        <f ca="1">IFERROR(__xludf.DUMMYFUNCTION("IMPORTRANGE(""https://docs.google.com/spreadsheets/d/1lOVebEIsI9qjGXl6EX66luk7wiuP2tBaryw-wKvv4e0/edit?usp=sharing"",""แพร่!L217"")"),0)</f>
        <v>0</v>
      </c>
      <c r="AV24" s="92">
        <f ca="1">IFERROR(__xludf.DUMMYFUNCTION("IMPORTRANGE(""https://docs.google.com/spreadsheets/d/1lOVebEIsI9qjGXl6EX66luk7wiuP2tBaryw-wKvv4e0/edit?usp=sharing"",""แพร่!N217"")"),0)</f>
        <v>0</v>
      </c>
      <c r="AW24" s="93">
        <f t="shared" ca="1" si="102"/>
        <v>0</v>
      </c>
      <c r="AX24" s="92">
        <f ca="1">IFERROR(__xludf.DUMMYFUNCTION("IMPORTRANGE(""https://docs.google.com/spreadsheets/d/1lOVebEIsI9qjGXl6EX66luk7wiuP2tBaryw-wKvv4e0/edit?usp=sharing"",""แพร่!I219"")"),0)</f>
        <v>0</v>
      </c>
      <c r="AY24" s="92">
        <f ca="1">IFERROR(__xludf.DUMMYFUNCTION("IMPORTRANGE(""https://docs.google.com/spreadsheets/d/1lOVebEIsI9qjGXl6EX66luk7wiuP2tBaryw-wKvv4e0/edit?usp=sharing"",""แพร่!J219"")"),0)</f>
        <v>0</v>
      </c>
      <c r="AZ24" s="93">
        <f t="shared" ca="1" si="104"/>
        <v>0</v>
      </c>
      <c r="BA24" s="92">
        <f ca="1">IFERROR(__xludf.DUMMYFUNCTION("IMPORTRANGE(""https://docs.google.com/spreadsheets/d/1lOVebEIsI9qjGXl6EX66luk7wiuP2tBaryw-wKvv4e0/edit?usp=sharing"",""แพร่!I220"")"),0)</f>
        <v>0</v>
      </c>
      <c r="BB24" s="92">
        <f ca="1">IFERROR(__xludf.DUMMYFUNCTION("IMPORTRANGE(""https://docs.google.com/spreadsheets/d/1lOVebEIsI9qjGXl6EX66luk7wiuP2tBaryw-wKvv4e0/edit?usp=sharing"",""แพร่!J220"")"),0)</f>
        <v>0</v>
      </c>
      <c r="BC24" s="93">
        <f t="shared" ca="1" si="106"/>
        <v>0</v>
      </c>
      <c r="BD24" s="92">
        <f ca="1">IFERROR(__xludf.DUMMYFUNCTION("IMPORTRANGE(""https://docs.google.com/spreadsheets/d/1lOVebEIsI9qjGXl6EX66luk7wiuP2tBaryw-wKvv4e0/edit?usp=sharing"",""แพร่!L223"")"),11000)</f>
        <v>11000</v>
      </c>
      <c r="BE24" s="92">
        <f ca="1">IFERROR(__xludf.DUMMYFUNCTION("IMPORTRANGE(""https://docs.google.com/spreadsheets/d/1lOVebEIsI9qjGXl6EX66luk7wiuP2tBaryw-wKvv4e0/edit?usp=sharing"",""แพร่!N223"")"),0)</f>
        <v>0</v>
      </c>
      <c r="BF24" s="93">
        <f t="shared" ca="1" si="108"/>
        <v>0</v>
      </c>
      <c r="BG24" s="92">
        <f ca="1">IFERROR(__xludf.DUMMYFUNCTION("IMPORTRANGE(""https://docs.google.com/spreadsheets/d/1lOVebEIsI9qjGXl6EX66luk7wiuP2tBaryw-wKvv4e0/edit?usp=sharing"",""แพร่!L224"")"),1500)</f>
        <v>1500</v>
      </c>
      <c r="BH24" s="92">
        <f ca="1">IFERROR(__xludf.DUMMYFUNCTION("IMPORTRANGE(""https://docs.google.com/spreadsheets/d/1lOVebEIsI9qjGXl6EX66luk7wiuP2tBaryw-wKvv4e0/edit?usp=sharing"",""แพร่!N224"")"),0)</f>
        <v>0</v>
      </c>
      <c r="BI24" s="93">
        <f t="shared" ca="1" si="110"/>
        <v>0</v>
      </c>
      <c r="BJ24" s="92">
        <f ca="1">IFERROR(__xludf.DUMMYFUNCTION("IMPORTRANGE(""https://docs.google.com/spreadsheets/d/1lOVebEIsI9qjGXl6EX66luk7wiuP2tBaryw-wKvv4e0/edit?usp=sharing"",""แพร่!I228"")"),100000)</f>
        <v>100000</v>
      </c>
      <c r="BK24" s="92">
        <f ca="1">IFERROR(__xludf.DUMMYFUNCTION("IMPORTRANGE(""https://docs.google.com/spreadsheets/d/1lOVebEIsI9qjGXl6EX66luk7wiuP2tBaryw-wKvv4e0/edit?usp=sharing"",""แพร่!J228"")"),0)</f>
        <v>0</v>
      </c>
      <c r="BL24" s="93">
        <f t="shared" ca="1" si="112"/>
        <v>0</v>
      </c>
      <c r="BM24" s="92">
        <f ca="1">IFERROR(__xludf.DUMMYFUNCTION("IMPORTRANGE(""https://docs.google.com/spreadsheets/d/1lOVebEIsI9qjGXl6EX66luk7wiuP2tBaryw-wKvv4e0/edit?usp=sharing"",""แพร่!I229"")"),100000)</f>
        <v>100000</v>
      </c>
      <c r="BN24" s="92">
        <f ca="1">IFERROR(__xludf.DUMMYFUNCTION("IMPORTRANGE(""https://docs.google.com/spreadsheets/d/1lOVebEIsI9qjGXl6EX66luk7wiuP2tBaryw-wKvv4e0/edit?usp=sharing"",""แพร่!J229"")"),0)</f>
        <v>0</v>
      </c>
      <c r="BO24" s="93">
        <f t="shared" ca="1" si="114"/>
        <v>0</v>
      </c>
      <c r="BP24" s="92">
        <f ca="1">IFERROR(__xludf.DUMMYFUNCTION("IMPORTRANGE(""https://docs.google.com/spreadsheets/d/1lOVebEIsI9qjGXl6EX66luk7wiuP2tBaryw-wKvv4e0/edit?usp=sharing"",""แพร่!I230"")"),0)</f>
        <v>0</v>
      </c>
      <c r="BQ24" s="92">
        <f ca="1">IFERROR(__xludf.DUMMYFUNCTION("IMPORTRANGE(""https://docs.google.com/spreadsheets/d/1lOVebEIsI9qjGXl6EX66luk7wiuP2tBaryw-wKvv4e0/edit?usp=sharing"",""แพร่!J230"")"),0)</f>
        <v>0</v>
      </c>
      <c r="BR24" s="93">
        <f t="shared" ca="1" si="116"/>
        <v>0</v>
      </c>
      <c r="BS24" s="92">
        <f ca="1">IFERROR(__xludf.DUMMYFUNCTION("IMPORTRANGE(""https://docs.google.com/spreadsheets/d/1lOVebEIsI9qjGXl6EX66luk7wiuP2tBaryw-wKvv4e0/edit?usp=sharing"",""แพร่!L233"")"),0)</f>
        <v>0</v>
      </c>
      <c r="BT24" s="92">
        <f ca="1">IFERROR(__xludf.DUMMYFUNCTION("IMPORTRANGE(""https://docs.google.com/spreadsheets/d/1lOVebEIsI9qjGXl6EX66luk7wiuP2tBaryw-wKvv4e0/edit?usp=sharing"",""แพร่!N233"")"),0)</f>
        <v>0</v>
      </c>
      <c r="BU24" s="93">
        <f t="shared" ca="1" si="118"/>
        <v>0</v>
      </c>
      <c r="BV24" s="92">
        <f ca="1">IFERROR(__xludf.DUMMYFUNCTION("IMPORTRANGE(""https://docs.google.com/spreadsheets/d/1lOVebEIsI9qjGXl6EX66luk7wiuP2tBaryw-wKvv4e0/edit?usp=sharing"",""แพร่!L234"")"),0)</f>
        <v>0</v>
      </c>
      <c r="BW24" s="92">
        <f ca="1">IFERROR(__xludf.DUMMYFUNCTION("IMPORTRANGE(""https://docs.google.com/spreadsheets/d/1lOVebEIsI9qjGXl6EX66luk7wiuP2tBaryw-wKvv4e0/edit?usp=sharing"",""แพร่!N234"")"),0)</f>
        <v>0</v>
      </c>
      <c r="BX24" s="93">
        <f t="shared" ca="1" si="120"/>
        <v>0</v>
      </c>
      <c r="BY24" s="92">
        <f ca="1">IFERROR(__xludf.DUMMYFUNCTION("IMPORTRANGE(""https://docs.google.com/spreadsheets/d/1lOVebEIsI9qjGXl6EX66luk7wiuP2tBaryw-wKvv4e0/edit?usp=sharing"",""แพร่!L235"")"),0)</f>
        <v>0</v>
      </c>
      <c r="BZ24" s="92">
        <f ca="1">IFERROR(__xludf.DUMMYFUNCTION("IMPORTRANGE(""https://docs.google.com/spreadsheets/d/1lOVebEIsI9qjGXl6EX66luk7wiuP2tBaryw-wKvv4e0/edit?usp=sharing"",""แพร่!N235"")"),0)</f>
        <v>0</v>
      </c>
      <c r="CA24" s="93">
        <f t="shared" ca="1" si="122"/>
        <v>0</v>
      </c>
      <c r="CB24" s="92">
        <f ca="1">IFERROR(__xludf.DUMMYFUNCTION("IMPORTRANGE(""https://docs.google.com/spreadsheets/d/1lOVebEIsI9qjGXl6EX66luk7wiuP2tBaryw-wKvv4e0/edit?usp=sharing"",""แพร่!L236"")"),0)</f>
        <v>0</v>
      </c>
      <c r="CC24" s="92">
        <f ca="1">IFERROR(__xludf.DUMMYFUNCTION("IMPORTRANGE(""https://docs.google.com/spreadsheets/d/1lOVebEIsI9qjGXl6EX66luk7wiuP2tBaryw-wKvv4e0/edit?usp=sharing"",""แพร่!N236"")"),0)</f>
        <v>0</v>
      </c>
      <c r="CD24" s="93">
        <f t="shared" ca="1" si="124"/>
        <v>0</v>
      </c>
      <c r="CE24" s="92">
        <f ca="1">IFERROR(__xludf.DUMMYFUNCTION("IMPORTRANGE(""https://docs.google.com/spreadsheets/d/1lOVebEIsI9qjGXl6EX66luk7wiuP2tBaryw-wKvv4e0/edit?usp=sharing"",""แพร่!I238"")"),0)</f>
        <v>0</v>
      </c>
      <c r="CF24" s="92">
        <f ca="1">IFERROR(__xludf.DUMMYFUNCTION("IMPORTRANGE(""https://docs.google.com/spreadsheets/d/1lOVebEIsI9qjGXl6EX66luk7wiuP2tBaryw-wKvv4e0/edit?usp=sharing"",""แพร่!J238"")"),0)</f>
        <v>0</v>
      </c>
      <c r="CG24" s="93">
        <f t="shared" ca="1" si="126"/>
        <v>0</v>
      </c>
      <c r="CH24" s="92">
        <f ca="1">IFERROR(__xludf.DUMMYFUNCTION("IMPORTRANGE(""https://docs.google.com/spreadsheets/d/1lOVebEIsI9qjGXl6EX66luk7wiuP2tBaryw-wKvv4e0/edit?usp=sharing"",""แพร่!J240"")"),0)</f>
        <v>0</v>
      </c>
      <c r="CI24" s="92">
        <f ca="1">IFERROR(__xludf.DUMMYFUNCTION("IMPORTRANGE(""https://docs.google.com/spreadsheets/d/1lOVebEIsI9qjGXl6EX66luk7wiuP2tBaryw-wKvv4e0/edit?usp=sharing"",""แพร่!J241"")"),0)</f>
        <v>0</v>
      </c>
    </row>
    <row r="25" spans="1:87" ht="24" customHeight="1" x14ac:dyDescent="0.3">
      <c r="A25" s="84">
        <v>12</v>
      </c>
      <c r="B25" s="85" t="s">
        <v>47</v>
      </c>
      <c r="C25" s="174">
        <f t="shared" ca="1" si="77"/>
        <v>122500</v>
      </c>
      <c r="D25" s="175">
        <f t="shared" ca="1" si="128"/>
        <v>122500</v>
      </c>
      <c r="E25" s="176">
        <f ca="1">IFERROR(__xludf.DUMMYFUNCTION("IMPORTRANGE(""https://docs.google.com/spreadsheets/d/1-uDff_7J0KD5mKrp0Vvzr7lt3OU09vwQwhkpOPPYv2Y/edit?usp=sharing"",""งบพรบ!CV25"")"),91000)</f>
        <v>91000</v>
      </c>
      <c r="F25" s="176">
        <f ca="1">IFERROR(__xludf.DUMMYFUNCTION("IMPORTRANGE(""https://docs.google.com/spreadsheets/d/1-uDff_7J0KD5mKrp0Vvzr7lt3OU09vwQwhkpOPPYv2Y/edit?usp=sharing"",""งบพรบ!CW25"")"),31500)</f>
        <v>31500</v>
      </c>
      <c r="G25" s="176">
        <f ca="1">IFERROR(__xludf.DUMMYFUNCTION("IMPORTRANGE(""https://docs.google.com/spreadsheets/d/1-uDff_7J0KD5mKrp0Vvzr7lt3OU09vwQwhkpOPPYv2Y/edit?usp=sharing"",""งบพรบ!CX25"")"),0)</f>
        <v>0</v>
      </c>
      <c r="H25" s="176">
        <f ca="1">IFERROR(__xludf.DUMMYFUNCTION("IMPORTRANGE(""https://docs.google.com/spreadsheets/d/1-uDff_7J0KD5mKrp0Vvzr7lt3OU09vwQwhkpOPPYv2Y/edit?usp=sharing"",""งบพรบ!CZ25"")"),78500)</f>
        <v>78500</v>
      </c>
      <c r="I25" s="176">
        <f ca="1">IFERROR(__xludf.DUMMYFUNCTION("IMPORTRANGE(""https://docs.google.com/spreadsheets/d/1-uDff_7J0KD5mKrp0Vvzr7lt3OU09vwQwhkpOPPYv2Y/edit?usp=sharing"",""งบพรบ!DA25"")"),0)</f>
        <v>0</v>
      </c>
      <c r="J25" s="176">
        <f t="shared" ca="1" si="79"/>
        <v>18760</v>
      </c>
      <c r="K25" s="181">
        <f t="shared" ca="1" si="80"/>
        <v>15.314285714285715</v>
      </c>
      <c r="L25" s="176">
        <f ca="1">IFERROR(__xludf.DUMMYFUNCTION("IMPORTRANGE(""https://docs.google.com/spreadsheets/d/1-uDff_7J0KD5mKrp0Vvzr7lt3OU09vwQwhkpOPPYv2Y/edit?usp=sharing"",""งบพรบ!DB25"")"),18760)</f>
        <v>18760</v>
      </c>
      <c r="M25" s="179">
        <f t="shared" ca="1" si="81"/>
        <v>15.314285714285715</v>
      </c>
      <c r="N25" s="179">
        <f t="shared" ca="1" si="82"/>
        <v>23.898089171974522</v>
      </c>
      <c r="O25" s="180">
        <f ca="1">IFERROR(__xludf.DUMMYFUNCTION("IMPORTRANGE(""https://docs.google.com/spreadsheets/d/1-uDff_7J0KD5mKrp0Vvzr7lt3OU09vwQwhkpOPPYv2Y/edit?usp=sharing"",""งบพรบ!DC25"")"),0)</f>
        <v>0</v>
      </c>
      <c r="P25" s="180">
        <f t="shared" ca="1" si="83"/>
        <v>0</v>
      </c>
      <c r="Q25" s="179">
        <f t="shared" ca="1" si="84"/>
        <v>0</v>
      </c>
      <c r="R25" s="92">
        <f ca="1">IFERROR(__xludf.DUMMYFUNCTION("IMPORTRANGE(""https://docs.google.com/spreadsheets/d/1dQrvX0vEcN7Gu0fnZ0B5S90AeR19zth4XlExFBeExMY/edit?usp=sharing"",""แม่ฮ่องสอน!L196"")"),6000)</f>
        <v>6000</v>
      </c>
      <c r="S25" s="92">
        <f ca="1">IFERROR(__xludf.DUMMYFUNCTION("IMPORTRANGE(""https://docs.google.com/spreadsheets/d/1dQrvX0vEcN7Gu0fnZ0B5S90AeR19zth4XlExFBeExMY/edit?usp=sharing"",""แม่ฮ่องสอน!N196"")"),0)</f>
        <v>0</v>
      </c>
      <c r="T25" s="93">
        <f t="shared" ca="1" si="86"/>
        <v>0</v>
      </c>
      <c r="U25" s="92">
        <f ca="1">IFERROR(__xludf.DUMMYFUNCTION("IMPORTRANGE(""https://docs.google.com/spreadsheets/d/1dQrvX0vEcN7Gu0fnZ0B5S90AeR19zth4XlExFBeExMY/edit?usp=sharing"",""แม่ฮ่องสอน!I198"")"),4)</f>
        <v>4</v>
      </c>
      <c r="V25" s="92">
        <f ca="1">IFERROR(__xludf.DUMMYFUNCTION("IMPORTRANGE(""https://docs.google.com/spreadsheets/d/1dQrvX0vEcN7Gu0fnZ0B5S90AeR19zth4XlExFBeExMY/edit?usp=sharing"",""แม่ฮ่องสอน!J198"")"),0)</f>
        <v>0</v>
      </c>
      <c r="W25" s="93">
        <f t="shared" ca="1" si="88"/>
        <v>0</v>
      </c>
      <c r="X25" s="92">
        <f ca="1">IFERROR(__xludf.DUMMYFUNCTION("IMPORTRANGE(""https://docs.google.com/spreadsheets/d/1dQrvX0vEcN7Gu0fnZ0B5S90AeR19zth4XlExFBeExMY/edit?usp=sharing"",""แม่ฮ่องสอน!J199"")"),0)</f>
        <v>0</v>
      </c>
      <c r="Y25" s="92">
        <f ca="1">IFERROR(__xludf.DUMMYFUNCTION("IMPORTRANGE(""https://docs.google.com/spreadsheets/d/1dQrvX0vEcN7Gu0fnZ0B5S90AeR19zth4XlExFBeExMY/edit?usp=sharing"",""แม่ฮ่องสอน!J200"")"),0)</f>
        <v>0</v>
      </c>
      <c r="Z25" s="92">
        <f ca="1">IFERROR(__xludf.DUMMYFUNCTION("IMPORTRANGE(""https://docs.google.com/spreadsheets/d/1dQrvX0vEcN7Gu0fnZ0B5S90AeR19zth4XlExFBeExMY/edit?usp=sharing"",""แม่ฮ่องสอน!J201"")"),0)</f>
        <v>0</v>
      </c>
      <c r="AA25" s="92">
        <f ca="1">IFERROR(__xludf.DUMMYFUNCTION("IMPORTRANGE(""https://docs.google.com/spreadsheets/d/1dQrvX0vEcN7Gu0fnZ0B5S90AeR19zth4XlExFBeExMY/edit?usp=sharing"",""แม่ฮ่องสอน!L204"")"),1000)</f>
        <v>1000</v>
      </c>
      <c r="AB25" s="92">
        <f ca="1">IFERROR(__xludf.DUMMYFUNCTION("IMPORTRANGE(""https://docs.google.com/spreadsheets/d/1dQrvX0vEcN7Gu0fnZ0B5S90AeR19zth4XlExFBeExMY/edit?usp=sharing"",""แม่ฮ่องสอน!N204"")"),740)</f>
        <v>740</v>
      </c>
      <c r="AC25" s="93">
        <f t="shared" ca="1" si="90"/>
        <v>74</v>
      </c>
      <c r="AD25" s="92">
        <f ca="1">IFERROR(__xludf.DUMMYFUNCTION("IMPORTRANGE(""https://docs.google.com/spreadsheets/d/1dQrvX0vEcN7Gu0fnZ0B5S90AeR19zth4XlExFBeExMY/edit?usp=sharing"",""แม่ฮ่องสอน!L206"")"),8000)</f>
        <v>8000</v>
      </c>
      <c r="AE25" s="92">
        <f ca="1">IFERROR(__xludf.DUMMYFUNCTION("IMPORTRANGE(""https://docs.google.com/spreadsheets/d/1dQrvX0vEcN7Gu0fnZ0B5S90AeR19zth4XlExFBeExMY/edit?usp=sharing"",""แม่ฮ่องสอน!N206"")"),6260)</f>
        <v>6260</v>
      </c>
      <c r="AF25" s="93">
        <f t="shared" ca="1" si="92"/>
        <v>78.25</v>
      </c>
      <c r="AG25" s="92">
        <f ca="1">IFERROR(__xludf.DUMMYFUNCTION("IMPORTRANGE(""https://docs.google.com/spreadsheets/d/1dQrvX0vEcN7Gu0fnZ0B5S90AeR19zth4XlExFBeExMY/edit?usp=sharing"",""แม่ฮ่องสอน!L207"")"),4000)</f>
        <v>4000</v>
      </c>
      <c r="AH25" s="92">
        <f ca="1">IFERROR(__xludf.DUMMYFUNCTION("IMPORTRANGE(""https://docs.google.com/spreadsheets/d/1dQrvX0vEcN7Gu0fnZ0B5S90AeR19zth4XlExFBeExMY/edit?usp=sharing"",""แม่ฮ่องสอน!N207"")"),0)</f>
        <v>0</v>
      </c>
      <c r="AI25" s="93">
        <f t="shared" ca="1" si="94"/>
        <v>0</v>
      </c>
      <c r="AJ25" s="92">
        <f ca="1">IFERROR(__xludf.DUMMYFUNCTION("IMPORTRANGE(""https://docs.google.com/spreadsheets/d/1dQrvX0vEcN7Gu0fnZ0B5S90AeR19zth4XlExFBeExMY/edit?usp=sharing"",""แม่ฮ่องสอน!I209"")"),1)</f>
        <v>1</v>
      </c>
      <c r="AK25" s="92">
        <f ca="1">IFERROR(__xludf.DUMMYFUNCTION("IMPORTRANGE(""https://docs.google.com/spreadsheets/d/1dQrvX0vEcN7Gu0fnZ0B5S90AeR19zth4XlExFBeExMY/edit?usp=sharing"",""แม่ฮ่องสอน!J209"")"),0)</f>
        <v>0</v>
      </c>
      <c r="AL25" s="93">
        <f t="shared" ca="1" si="96"/>
        <v>0</v>
      </c>
      <c r="AM25" s="92">
        <f ca="1">IFERROR(__xludf.DUMMYFUNCTION("IMPORTRANGE(""https://docs.google.com/spreadsheets/d/1dQrvX0vEcN7Gu0fnZ0B5S90AeR19zth4XlExFBeExMY/edit?usp=sharing"",""แม่ฮ่องสอน!J211"")"),0)</f>
        <v>0</v>
      </c>
      <c r="AN25" s="92">
        <f ca="1">IFERROR(__xludf.DUMMYFUNCTION("IMPORTRANGE(""https://docs.google.com/spreadsheets/d/1dQrvX0vEcN7Gu0fnZ0B5S90AeR19zth4XlExFBeExMY/edit?usp=sharing"",""แม่ฮ่องสอน!J212"")"),0)</f>
        <v>0</v>
      </c>
      <c r="AO25" s="92">
        <f ca="1">IFERROR(__xludf.DUMMYFUNCTION("IMPORTRANGE(""https://docs.google.com/spreadsheets/d/1dQrvX0vEcN7Gu0fnZ0B5S90AeR19zth4XlExFBeExMY/edit?usp=sharing"",""แม่ฮ่องสอน!L215"")"),0)</f>
        <v>0</v>
      </c>
      <c r="AP25" s="92">
        <f ca="1">IFERROR(__xludf.DUMMYFUNCTION("IMPORTRANGE(""https://docs.google.com/spreadsheets/d/1dQrvX0vEcN7Gu0fnZ0B5S90AeR19zth4XlExFBeExMY/edit?usp=sharing"",""แม่ฮ่องสอน!N215"")"),0)</f>
        <v>0</v>
      </c>
      <c r="AQ25" s="93">
        <f t="shared" ca="1" si="98"/>
        <v>0</v>
      </c>
      <c r="AR25" s="92">
        <f ca="1">IFERROR(__xludf.DUMMYFUNCTION("IMPORTRANGE(""https://docs.google.com/spreadsheets/d/1dQrvX0vEcN7Gu0fnZ0B5S90AeR19zth4XlExFBeExMY/edit?usp=sharing"",""แม่ฮ่องสอน!L216"")"),0)</f>
        <v>0</v>
      </c>
      <c r="AS25" s="92">
        <f ca="1">IFERROR(__xludf.DUMMYFUNCTION("IMPORTRANGE(""https://docs.google.com/spreadsheets/d/1dQrvX0vEcN7Gu0fnZ0B5S90AeR19zth4XlExFBeExMY/edit?usp=sharing"",""แม่ฮ่องสอน!N216"")"),0)</f>
        <v>0</v>
      </c>
      <c r="AT25" s="93">
        <f t="shared" ca="1" si="100"/>
        <v>0</v>
      </c>
      <c r="AU25" s="92">
        <f ca="1">IFERROR(__xludf.DUMMYFUNCTION("IMPORTRANGE(""https://docs.google.com/spreadsheets/d/1dQrvX0vEcN7Gu0fnZ0B5S90AeR19zth4XlExFBeExMY/edit?usp=sharing"",""แม่ฮ่องสอน!L217"")"),0)</f>
        <v>0</v>
      </c>
      <c r="AV25" s="92">
        <f ca="1">IFERROR(__xludf.DUMMYFUNCTION("IMPORTRANGE(""https://docs.google.com/spreadsheets/d/1dQrvX0vEcN7Gu0fnZ0B5S90AeR19zth4XlExFBeExMY/edit?usp=sharing"",""แม่ฮ่องสอน!N217"")"),0)</f>
        <v>0</v>
      </c>
      <c r="AW25" s="93">
        <f t="shared" ca="1" si="102"/>
        <v>0</v>
      </c>
      <c r="AX25" s="92">
        <f ca="1">IFERROR(__xludf.DUMMYFUNCTION("IMPORTRANGE(""https://docs.google.com/spreadsheets/d/1dQrvX0vEcN7Gu0fnZ0B5S90AeR19zth4XlExFBeExMY/edit?usp=sharing"",""แม่ฮ่องสอน!I219"")"),0)</f>
        <v>0</v>
      </c>
      <c r="AY25" s="92">
        <f ca="1">IFERROR(__xludf.DUMMYFUNCTION("IMPORTRANGE(""https://docs.google.com/spreadsheets/d/1dQrvX0vEcN7Gu0fnZ0B5S90AeR19zth4XlExFBeExMY/edit?usp=sharing"",""แม่ฮ่องสอน!J219"")"),0)</f>
        <v>0</v>
      </c>
      <c r="AZ25" s="93">
        <f t="shared" ca="1" si="104"/>
        <v>0</v>
      </c>
      <c r="BA25" s="92">
        <f ca="1">IFERROR(__xludf.DUMMYFUNCTION("IMPORTRANGE(""https://docs.google.com/spreadsheets/d/1dQrvX0vEcN7Gu0fnZ0B5S90AeR19zth4XlExFBeExMY/edit?usp=sharing"",""แม่ฮ่องสอน!I220"")"),0)</f>
        <v>0</v>
      </c>
      <c r="BB25" s="92">
        <f ca="1">IFERROR(__xludf.DUMMYFUNCTION("IMPORTRANGE(""https://docs.google.com/spreadsheets/d/1dQrvX0vEcN7Gu0fnZ0B5S90AeR19zth4XlExFBeExMY/edit?usp=sharing"",""แม่ฮ่องสอน!J220"")"),0)</f>
        <v>0</v>
      </c>
      <c r="BC25" s="93">
        <f t="shared" ca="1" si="106"/>
        <v>0</v>
      </c>
      <c r="BD25" s="92">
        <f ca="1">IFERROR(__xludf.DUMMYFUNCTION("IMPORTRANGE(""https://docs.google.com/spreadsheets/d/1dQrvX0vEcN7Gu0fnZ0B5S90AeR19zth4XlExFBeExMY/edit?usp=sharing"",""แม่ฮ่องสอน!L223"")"),11000)</f>
        <v>11000</v>
      </c>
      <c r="BE25" s="92">
        <f ca="1">IFERROR(__xludf.DUMMYFUNCTION("IMPORTRANGE(""https://docs.google.com/spreadsheets/d/1dQrvX0vEcN7Gu0fnZ0B5S90AeR19zth4XlExFBeExMY/edit?usp=sharing"",""แม่ฮ่องสอน!N223"")"),0)</f>
        <v>0</v>
      </c>
      <c r="BF25" s="93">
        <f t="shared" ca="1" si="108"/>
        <v>0</v>
      </c>
      <c r="BG25" s="92">
        <f ca="1">IFERROR(__xludf.DUMMYFUNCTION("IMPORTRANGE(""https://docs.google.com/spreadsheets/d/1dQrvX0vEcN7Gu0fnZ0B5S90AeR19zth4XlExFBeExMY/edit?usp=sharing"",""แม่ฮ่องสอน!L224"")"),1500)</f>
        <v>1500</v>
      </c>
      <c r="BH25" s="92">
        <f ca="1">IFERROR(__xludf.DUMMYFUNCTION("IMPORTRANGE(""https://docs.google.com/spreadsheets/d/1dQrvX0vEcN7Gu0fnZ0B5S90AeR19zth4XlExFBeExMY/edit?usp=sharing"",""แม่ฮ่องสอน!N224"")"),0)</f>
        <v>0</v>
      </c>
      <c r="BI25" s="93">
        <f t="shared" ca="1" si="110"/>
        <v>0</v>
      </c>
      <c r="BJ25" s="92">
        <f ca="1">IFERROR(__xludf.DUMMYFUNCTION("IMPORTRANGE(""https://docs.google.com/spreadsheets/d/1dQrvX0vEcN7Gu0fnZ0B5S90AeR19zth4XlExFBeExMY/edit?usp=sharing"",""แม่ฮ่องสอน!I228"")"),100000)</f>
        <v>100000</v>
      </c>
      <c r="BK25" s="92">
        <f ca="1">IFERROR(__xludf.DUMMYFUNCTION("IMPORTRANGE(""https://docs.google.com/spreadsheets/d/1dQrvX0vEcN7Gu0fnZ0B5S90AeR19zth4XlExFBeExMY/edit?usp=sharing"",""แม่ฮ่องสอน!J228"")"),0)</f>
        <v>0</v>
      </c>
      <c r="BL25" s="93">
        <f t="shared" ca="1" si="112"/>
        <v>0</v>
      </c>
      <c r="BM25" s="92">
        <f ca="1">IFERROR(__xludf.DUMMYFUNCTION("IMPORTRANGE(""https://docs.google.com/spreadsheets/d/1dQrvX0vEcN7Gu0fnZ0B5S90AeR19zth4XlExFBeExMY/edit?usp=sharing"",""แม่ฮ่องสอน!I229"")"),100000)</f>
        <v>100000</v>
      </c>
      <c r="BN25" s="92">
        <f ca="1">IFERROR(__xludf.DUMMYFUNCTION("IMPORTRANGE(""https://docs.google.com/spreadsheets/d/1dQrvX0vEcN7Gu0fnZ0B5S90AeR19zth4XlExFBeExMY/edit?usp=sharing"",""แม่ฮ่องสอน!J229"")"),0)</f>
        <v>0</v>
      </c>
      <c r="BO25" s="93">
        <f t="shared" ca="1" si="114"/>
        <v>0</v>
      </c>
      <c r="BP25" s="92">
        <f ca="1">IFERROR(__xludf.DUMMYFUNCTION("IMPORTRANGE(""https://docs.google.com/spreadsheets/d/1dQrvX0vEcN7Gu0fnZ0B5S90AeR19zth4XlExFBeExMY/edit?usp=sharing"",""แม่ฮ่องสอน!I230"")"),0)</f>
        <v>0</v>
      </c>
      <c r="BQ25" s="92">
        <f ca="1">IFERROR(__xludf.DUMMYFUNCTION("IMPORTRANGE(""https://docs.google.com/spreadsheets/d/1dQrvX0vEcN7Gu0fnZ0B5S90AeR19zth4XlExFBeExMY/edit?usp=sharing"",""แม่ฮ่องสอน!J230"")"),0)</f>
        <v>0</v>
      </c>
      <c r="BR25" s="93">
        <f t="shared" ca="1" si="116"/>
        <v>0</v>
      </c>
      <c r="BS25" s="92">
        <f ca="1">IFERROR(__xludf.DUMMYFUNCTION("IMPORTRANGE(""https://docs.google.com/spreadsheets/d/1dQrvX0vEcN7Gu0fnZ0B5S90AeR19zth4XlExFBeExMY/edit?usp=sharing"",""แม่ฮ่องสอน!L233"")"),0)</f>
        <v>0</v>
      </c>
      <c r="BT25" s="92">
        <f ca="1">IFERROR(__xludf.DUMMYFUNCTION("IMPORTRANGE(""https://docs.google.com/spreadsheets/d/1dQrvX0vEcN7Gu0fnZ0B5S90AeR19zth4XlExFBeExMY/edit?usp=sharing"",""แม่ฮ่องสอน!N233"")"),0)</f>
        <v>0</v>
      </c>
      <c r="BU25" s="93">
        <f t="shared" ca="1" si="118"/>
        <v>0</v>
      </c>
      <c r="BV25" s="92">
        <f ca="1">IFERROR(__xludf.DUMMYFUNCTION("IMPORTRANGE(""https://docs.google.com/spreadsheets/d/1dQrvX0vEcN7Gu0fnZ0B5S90AeR19zth4XlExFBeExMY/edit?usp=sharing"",""แม่ฮ่องสอน!L234"")"),0)</f>
        <v>0</v>
      </c>
      <c r="BW25" s="92">
        <f ca="1">IFERROR(__xludf.DUMMYFUNCTION("IMPORTRANGE(""https://docs.google.com/spreadsheets/d/1dQrvX0vEcN7Gu0fnZ0B5S90AeR19zth4XlExFBeExMY/edit?usp=sharing"",""แม่ฮ่องสอน!N234"")"),0)</f>
        <v>0</v>
      </c>
      <c r="BX25" s="93">
        <f t="shared" ca="1" si="120"/>
        <v>0</v>
      </c>
      <c r="BY25" s="92">
        <f ca="1">IFERROR(__xludf.DUMMYFUNCTION("IMPORTRANGE(""https://docs.google.com/spreadsheets/d/1dQrvX0vEcN7Gu0fnZ0B5S90AeR19zth4XlExFBeExMY/edit?usp=sharing"",""แม่ฮ่องสอน!L235"")"),0)</f>
        <v>0</v>
      </c>
      <c r="BZ25" s="92">
        <f ca="1">IFERROR(__xludf.DUMMYFUNCTION("IMPORTRANGE(""https://docs.google.com/spreadsheets/d/1dQrvX0vEcN7Gu0fnZ0B5S90AeR19zth4XlExFBeExMY/edit?usp=sharing"",""แม่ฮ่องสอน!N235"")"),0)</f>
        <v>0</v>
      </c>
      <c r="CA25" s="93">
        <f t="shared" ca="1" si="122"/>
        <v>0</v>
      </c>
      <c r="CB25" s="92">
        <f ca="1">IFERROR(__xludf.DUMMYFUNCTION("IMPORTRANGE(""https://docs.google.com/spreadsheets/d/1dQrvX0vEcN7Gu0fnZ0B5S90AeR19zth4XlExFBeExMY/edit?usp=sharing"",""แม่ฮ่องสอน!L236"")"),0)</f>
        <v>0</v>
      </c>
      <c r="CC25" s="92">
        <f ca="1">IFERROR(__xludf.DUMMYFUNCTION("IMPORTRANGE(""https://docs.google.com/spreadsheets/d/1dQrvX0vEcN7Gu0fnZ0B5S90AeR19zth4XlExFBeExMY/edit?usp=sharing"",""แม่ฮ่องสอน!N236"")"),0)</f>
        <v>0</v>
      </c>
      <c r="CD25" s="93">
        <f t="shared" ca="1" si="124"/>
        <v>0</v>
      </c>
      <c r="CE25" s="92">
        <f ca="1">IFERROR(__xludf.DUMMYFUNCTION("IMPORTRANGE(""https://docs.google.com/spreadsheets/d/1dQrvX0vEcN7Gu0fnZ0B5S90AeR19zth4XlExFBeExMY/edit?usp=sharing"",""แม่ฮ่องสอน!I238"")"),0)</f>
        <v>0</v>
      </c>
      <c r="CF25" s="92">
        <f ca="1">IFERROR(__xludf.DUMMYFUNCTION("IMPORTRANGE(""https://docs.google.com/spreadsheets/d/1dQrvX0vEcN7Gu0fnZ0B5S90AeR19zth4XlExFBeExMY/edit?usp=sharing"",""แม่ฮ่องสอน!J238"")"),0)</f>
        <v>0</v>
      </c>
      <c r="CG25" s="93">
        <f t="shared" ca="1" si="126"/>
        <v>0</v>
      </c>
      <c r="CH25" s="92">
        <f ca="1">IFERROR(__xludf.DUMMYFUNCTION("IMPORTRANGE(""https://docs.google.com/spreadsheets/d/1dQrvX0vEcN7Gu0fnZ0B5S90AeR19zth4XlExFBeExMY/edit?usp=sharing"",""แม่ฮ่องสอน!J240"")"),0)</f>
        <v>0</v>
      </c>
      <c r="CI25" s="92">
        <f ca="1">IFERROR(__xludf.DUMMYFUNCTION("IMPORTRANGE(""https://docs.google.com/spreadsheets/d/1dQrvX0vEcN7Gu0fnZ0B5S90AeR19zth4XlExFBeExMY/edit?usp=sharing"",""แม่ฮ่องสอน!J241"")"),0)</f>
        <v>0</v>
      </c>
    </row>
    <row r="26" spans="1:87" ht="24" customHeight="1" x14ac:dyDescent="0.3">
      <c r="A26" s="84">
        <v>13</v>
      </c>
      <c r="B26" s="85" t="s">
        <v>48</v>
      </c>
      <c r="C26" s="174">
        <f t="shared" ca="1" si="77"/>
        <v>121500</v>
      </c>
      <c r="D26" s="175">
        <f t="shared" ca="1" si="128"/>
        <v>121500</v>
      </c>
      <c r="E26" s="176">
        <f ca="1">IFERROR(__xludf.DUMMYFUNCTION("IMPORTRANGE(""https://docs.google.com/spreadsheets/d/1-uDff_7J0KD5mKrp0Vvzr7lt3OU09vwQwhkpOPPYv2Y/edit?usp=sharing"",""งบพรบ!CV26"")"),91000)</f>
        <v>91000</v>
      </c>
      <c r="F26" s="176">
        <f ca="1">IFERROR(__xludf.DUMMYFUNCTION("IMPORTRANGE(""https://docs.google.com/spreadsheets/d/1-uDff_7J0KD5mKrp0Vvzr7lt3OU09vwQwhkpOPPYv2Y/edit?usp=sharing"",""งบพรบ!CW26"")"),30500)</f>
        <v>30500</v>
      </c>
      <c r="G26" s="176">
        <f ca="1">IFERROR(__xludf.DUMMYFUNCTION("IMPORTRANGE(""https://docs.google.com/spreadsheets/d/1-uDff_7J0KD5mKrp0Vvzr7lt3OU09vwQwhkpOPPYv2Y/edit?usp=sharing"",""งบพรบ!CX26"")"),0)</f>
        <v>0</v>
      </c>
      <c r="H26" s="176">
        <f ca="1">IFERROR(__xludf.DUMMYFUNCTION("IMPORTRANGE(""https://docs.google.com/spreadsheets/d/1-uDff_7J0KD5mKrp0Vvzr7lt3OU09vwQwhkpOPPYv2Y/edit?usp=sharing"",""งบพรบ!CZ26"")"),78500)</f>
        <v>78500</v>
      </c>
      <c r="I26" s="176">
        <f ca="1">IFERROR(__xludf.DUMMYFUNCTION("IMPORTRANGE(""https://docs.google.com/spreadsheets/d/1-uDff_7J0KD5mKrp0Vvzr7lt3OU09vwQwhkpOPPYv2Y/edit?usp=sharing"",""งบพรบ!DA26"")"),0)</f>
        <v>0</v>
      </c>
      <c r="J26" s="176">
        <f t="shared" ca="1" si="79"/>
        <v>25566.67</v>
      </c>
      <c r="K26" s="181">
        <f t="shared" ca="1" si="80"/>
        <v>21.042526748971195</v>
      </c>
      <c r="L26" s="176">
        <f ca="1">IFERROR(__xludf.DUMMYFUNCTION("IMPORTRANGE(""https://docs.google.com/spreadsheets/d/1-uDff_7J0KD5mKrp0Vvzr7lt3OU09vwQwhkpOPPYv2Y/edit?usp=sharing"",""งบพรบ!DB26"")"),25566.67)</f>
        <v>25566.67</v>
      </c>
      <c r="M26" s="179">
        <f t="shared" ca="1" si="81"/>
        <v>21.042526748971195</v>
      </c>
      <c r="N26" s="179">
        <f t="shared" ca="1" si="82"/>
        <v>32.569006369426752</v>
      </c>
      <c r="O26" s="180">
        <f ca="1">IFERROR(__xludf.DUMMYFUNCTION("IMPORTRANGE(""https://docs.google.com/spreadsheets/d/1-uDff_7J0KD5mKrp0Vvzr7lt3OU09vwQwhkpOPPYv2Y/edit?usp=sharing"",""งบพรบ!DC26"")"),0)</f>
        <v>0</v>
      </c>
      <c r="P26" s="180">
        <f t="shared" ca="1" si="83"/>
        <v>0</v>
      </c>
      <c r="Q26" s="179">
        <f t="shared" ca="1" si="84"/>
        <v>0</v>
      </c>
      <c r="R26" s="92">
        <f ca="1">IFERROR(__xludf.DUMMYFUNCTION("IMPORTRANGE(""https://docs.google.com/spreadsheets/d/1DY4XTNNwjluuxqdfdn6qvOSlMRrZqUtmYcZR0ttFiG4/edit?usp=sharing"",""ลำปาง!L196"")"),6000)</f>
        <v>6000</v>
      </c>
      <c r="S26" s="92">
        <f ca="1">IFERROR(__xludf.DUMMYFUNCTION("IMPORTRANGE(""https://docs.google.com/spreadsheets/d/1DY4XTNNwjluuxqdfdn6qvOSlMRrZqUtmYcZR0ttFiG4/edit?usp=sharing"",""ลำปาง!N196"")"),0)</f>
        <v>0</v>
      </c>
      <c r="T26" s="93">
        <f t="shared" ca="1" si="86"/>
        <v>0</v>
      </c>
      <c r="U26" s="92">
        <f ca="1">IFERROR(__xludf.DUMMYFUNCTION("IMPORTRANGE(""https://docs.google.com/spreadsheets/d/1DY4XTNNwjluuxqdfdn6qvOSlMRrZqUtmYcZR0ttFiG4/edit?usp=sharing"",""ลำปาง!I198"")"),4)</f>
        <v>4</v>
      </c>
      <c r="V26" s="92">
        <f ca="1">IFERROR(__xludf.DUMMYFUNCTION("IMPORTRANGE(""https://docs.google.com/spreadsheets/d/1DY4XTNNwjluuxqdfdn6qvOSlMRrZqUtmYcZR0ttFiG4/edit?usp=sharing"",""ลำปาง!J198"")"),1)</f>
        <v>1</v>
      </c>
      <c r="W26" s="93">
        <f t="shared" ca="1" si="88"/>
        <v>25</v>
      </c>
      <c r="X26" s="92">
        <f ca="1">IFERROR(__xludf.DUMMYFUNCTION("IMPORTRANGE(""https://docs.google.com/spreadsheets/d/1DY4XTNNwjluuxqdfdn6qvOSlMRrZqUtmYcZR0ttFiG4/edit?usp=sharing"",""ลำปาง!J199"")"),29)</f>
        <v>29</v>
      </c>
      <c r="Y26" s="92">
        <f ca="1">IFERROR(__xludf.DUMMYFUNCTION("IMPORTRANGE(""https://docs.google.com/spreadsheets/d/1DY4XTNNwjluuxqdfdn6qvOSlMRrZqUtmYcZR0ttFiG4/edit?usp=sharing"",""ลำปาง!J200"")"),29)</f>
        <v>29</v>
      </c>
      <c r="Z26" s="92">
        <f ca="1">IFERROR(__xludf.DUMMYFUNCTION("IMPORTRANGE(""https://docs.google.com/spreadsheets/d/1DY4XTNNwjluuxqdfdn6qvOSlMRrZqUtmYcZR0ttFiG4/edit?usp=sharing"",""ลำปาง!J201"")"),0)</f>
        <v>0</v>
      </c>
      <c r="AA26" s="92">
        <f ca="1">IFERROR(__xludf.DUMMYFUNCTION("IMPORTRANGE(""https://docs.google.com/spreadsheets/d/1DY4XTNNwjluuxqdfdn6qvOSlMRrZqUtmYcZR0ttFiG4/edit?usp=sharing"",""ลำปาง!L204"")"),1000)</f>
        <v>1000</v>
      </c>
      <c r="AB26" s="92">
        <f ca="1">IFERROR(__xludf.DUMMYFUNCTION("IMPORTRANGE(""https://docs.google.com/spreadsheets/d/1DY4XTNNwjluuxqdfdn6qvOSlMRrZqUtmYcZR0ttFiG4/edit?usp=sharing"",""ลำปาง!N204"")"),0)</f>
        <v>0</v>
      </c>
      <c r="AC26" s="93">
        <f t="shared" ca="1" si="90"/>
        <v>0</v>
      </c>
      <c r="AD26" s="92">
        <f ca="1">IFERROR(__xludf.DUMMYFUNCTION("IMPORTRANGE(""https://docs.google.com/spreadsheets/d/1DY4XTNNwjluuxqdfdn6qvOSlMRrZqUtmYcZR0ttFiG4/edit?usp=sharing"",""ลำปาง!L206"")"),8000)</f>
        <v>8000</v>
      </c>
      <c r="AE26" s="92">
        <f ca="1">IFERROR(__xludf.DUMMYFUNCTION("IMPORTRANGE(""https://docs.google.com/spreadsheets/d/1DY4XTNNwjluuxqdfdn6qvOSlMRrZqUtmYcZR0ttFiG4/edit?usp=sharing"",""ลำปาง!N206"")"),0)</f>
        <v>0</v>
      </c>
      <c r="AF26" s="93">
        <f t="shared" ca="1" si="92"/>
        <v>0</v>
      </c>
      <c r="AG26" s="92">
        <f ca="1">IFERROR(__xludf.DUMMYFUNCTION("IMPORTRANGE(""https://docs.google.com/spreadsheets/d/1DY4XTNNwjluuxqdfdn6qvOSlMRrZqUtmYcZR0ttFiG4/edit?usp=sharing"",""ลำปาง!L207"")"),7000)</f>
        <v>7000</v>
      </c>
      <c r="AH26" s="92">
        <f ca="1">IFERROR(__xludf.DUMMYFUNCTION("IMPORTRANGE(""https://docs.google.com/spreadsheets/d/1DY4XTNNwjluuxqdfdn6qvOSlMRrZqUtmYcZR0ttFiG4/edit?usp=sharing"",""ลำปาง!N207"")"),0)</f>
        <v>0</v>
      </c>
      <c r="AI26" s="93">
        <f t="shared" ca="1" si="94"/>
        <v>0</v>
      </c>
      <c r="AJ26" s="92">
        <f ca="1">IFERROR(__xludf.DUMMYFUNCTION("IMPORTRANGE(""https://docs.google.com/spreadsheets/d/1DY4XTNNwjluuxqdfdn6qvOSlMRrZqUtmYcZR0ttFiG4/edit?usp=sharing"",""ลำปาง!I209"")"),1)</f>
        <v>1</v>
      </c>
      <c r="AK26" s="92">
        <f ca="1">IFERROR(__xludf.DUMMYFUNCTION("IMPORTRANGE(""https://docs.google.com/spreadsheets/d/1DY4XTNNwjluuxqdfdn6qvOSlMRrZqUtmYcZR0ttFiG4/edit?usp=sharing"",""ลำปาง!J209"")"),0)</f>
        <v>0</v>
      </c>
      <c r="AL26" s="93">
        <f t="shared" ca="1" si="96"/>
        <v>0</v>
      </c>
      <c r="AM26" s="92">
        <f ca="1">IFERROR(__xludf.DUMMYFUNCTION("IMPORTRANGE(""https://docs.google.com/spreadsheets/d/1DY4XTNNwjluuxqdfdn6qvOSlMRrZqUtmYcZR0ttFiG4/edit?usp=sharing"",""ลำปาง!J211"")"),0)</f>
        <v>0</v>
      </c>
      <c r="AN26" s="92">
        <f ca="1">IFERROR(__xludf.DUMMYFUNCTION("IMPORTRANGE(""https://docs.google.com/spreadsheets/d/1DY4XTNNwjluuxqdfdn6qvOSlMRrZqUtmYcZR0ttFiG4/edit?usp=sharing"",""ลำปาง!J212"")"),0)</f>
        <v>0</v>
      </c>
      <c r="AO26" s="92">
        <f ca="1">IFERROR(__xludf.DUMMYFUNCTION("IMPORTRANGE(""https://docs.google.com/spreadsheets/d/1DY4XTNNwjluuxqdfdn6qvOSlMRrZqUtmYcZR0ttFiG4/edit?usp=sharing"",""ลำปาง!L215"")"),0)</f>
        <v>0</v>
      </c>
      <c r="AP26" s="92">
        <f ca="1">IFERROR(__xludf.DUMMYFUNCTION("IMPORTRANGE(""https://docs.google.com/spreadsheets/d/1DY4XTNNwjluuxqdfdn6qvOSlMRrZqUtmYcZR0ttFiG4/edit?usp=sharing"",""ลำปาง!N215"")"),0)</f>
        <v>0</v>
      </c>
      <c r="AQ26" s="93">
        <f t="shared" ca="1" si="98"/>
        <v>0</v>
      </c>
      <c r="AR26" s="92">
        <f ca="1">IFERROR(__xludf.DUMMYFUNCTION("IMPORTRANGE(""https://docs.google.com/spreadsheets/d/1DY4XTNNwjluuxqdfdn6qvOSlMRrZqUtmYcZR0ttFiG4/edit?usp=sharing"",""ลำปาง!L216"")"),0)</f>
        <v>0</v>
      </c>
      <c r="AS26" s="92">
        <f ca="1">IFERROR(__xludf.DUMMYFUNCTION("IMPORTRANGE(""https://docs.google.com/spreadsheets/d/1DY4XTNNwjluuxqdfdn6qvOSlMRrZqUtmYcZR0ttFiG4/edit?usp=sharing"",""ลำปาง!N216"")"),0)</f>
        <v>0</v>
      </c>
      <c r="AT26" s="93">
        <f t="shared" ca="1" si="100"/>
        <v>0</v>
      </c>
      <c r="AU26" s="92">
        <f ca="1">IFERROR(__xludf.DUMMYFUNCTION("IMPORTRANGE(""https://docs.google.com/spreadsheets/d/1DY4XTNNwjluuxqdfdn6qvOSlMRrZqUtmYcZR0ttFiG4/edit?usp=sharing"",""ลำปาง!L217"")"),0)</f>
        <v>0</v>
      </c>
      <c r="AV26" s="92">
        <f ca="1">IFERROR(__xludf.DUMMYFUNCTION("IMPORTRANGE(""https://docs.google.com/spreadsheets/d/1DY4XTNNwjluuxqdfdn6qvOSlMRrZqUtmYcZR0ttFiG4/edit?usp=sharing"",""ลำปาง!N217"")"),0)</f>
        <v>0</v>
      </c>
      <c r="AW26" s="93">
        <f t="shared" ca="1" si="102"/>
        <v>0</v>
      </c>
      <c r="AX26" s="92">
        <f ca="1">IFERROR(__xludf.DUMMYFUNCTION("IMPORTRANGE(""https://docs.google.com/spreadsheets/d/1DY4XTNNwjluuxqdfdn6qvOSlMRrZqUtmYcZR0ttFiG4/edit?usp=sharing"",""ลำปาง!I219"")"),0)</f>
        <v>0</v>
      </c>
      <c r="AY26" s="92">
        <f ca="1">IFERROR(__xludf.DUMMYFUNCTION("IMPORTRANGE(""https://docs.google.com/spreadsheets/d/1DY4XTNNwjluuxqdfdn6qvOSlMRrZqUtmYcZR0ttFiG4/edit?usp=sharing"",""ลำปาง!J219"")"),0)</f>
        <v>0</v>
      </c>
      <c r="AZ26" s="93">
        <f t="shared" ca="1" si="104"/>
        <v>0</v>
      </c>
      <c r="BA26" s="92">
        <f ca="1">IFERROR(__xludf.DUMMYFUNCTION("IMPORTRANGE(""https://docs.google.com/spreadsheets/d/1DY4XTNNwjluuxqdfdn6qvOSlMRrZqUtmYcZR0ttFiG4/edit?usp=sharing"",""ลำปาง!I220"")"),0)</f>
        <v>0</v>
      </c>
      <c r="BB26" s="92">
        <f ca="1">IFERROR(__xludf.DUMMYFUNCTION("IMPORTRANGE(""https://docs.google.com/spreadsheets/d/1DY4XTNNwjluuxqdfdn6qvOSlMRrZqUtmYcZR0ttFiG4/edit?usp=sharing"",""ลำปาง!J220"")"),0)</f>
        <v>0</v>
      </c>
      <c r="BC26" s="93">
        <f t="shared" ca="1" si="106"/>
        <v>0</v>
      </c>
      <c r="BD26" s="92">
        <f ca="1">IFERROR(__xludf.DUMMYFUNCTION("IMPORTRANGE(""https://docs.google.com/spreadsheets/d/1DY4XTNNwjluuxqdfdn6qvOSlMRrZqUtmYcZR0ttFiG4/edit?usp=sharing"",""ลำปาง!L223"")"),7000)</f>
        <v>7000</v>
      </c>
      <c r="BE26" s="92">
        <f ca="1">IFERROR(__xludf.DUMMYFUNCTION("IMPORTRANGE(""https://docs.google.com/spreadsheets/d/1DY4XTNNwjluuxqdfdn6qvOSlMRrZqUtmYcZR0ttFiG4/edit?usp=sharing"",""ลำปาง!N223"")"),0)</f>
        <v>0</v>
      </c>
      <c r="BF26" s="93">
        <f t="shared" ca="1" si="108"/>
        <v>0</v>
      </c>
      <c r="BG26" s="92">
        <f ca="1">IFERROR(__xludf.DUMMYFUNCTION("IMPORTRANGE(""https://docs.google.com/spreadsheets/d/1DY4XTNNwjluuxqdfdn6qvOSlMRrZqUtmYcZR0ttFiG4/edit?usp=sharing"",""ลำปาง!L224"")"),1500)</f>
        <v>1500</v>
      </c>
      <c r="BH26" s="92">
        <f ca="1">IFERROR(__xludf.DUMMYFUNCTION("IMPORTRANGE(""https://docs.google.com/spreadsheets/d/1DY4XTNNwjluuxqdfdn6qvOSlMRrZqUtmYcZR0ttFiG4/edit?usp=sharing"",""ลำปาง!N224"")"),0)</f>
        <v>0</v>
      </c>
      <c r="BI26" s="93">
        <f t="shared" ca="1" si="110"/>
        <v>0</v>
      </c>
      <c r="BJ26" s="92">
        <f ca="1">IFERROR(__xludf.DUMMYFUNCTION("IMPORTRANGE(""https://docs.google.com/spreadsheets/d/1DY4XTNNwjluuxqdfdn6qvOSlMRrZqUtmYcZR0ttFiG4/edit?usp=sharing"",""ลำปาง!I228"")"),50000)</f>
        <v>50000</v>
      </c>
      <c r="BK26" s="92">
        <f ca="1">IFERROR(__xludf.DUMMYFUNCTION("IMPORTRANGE(""https://docs.google.com/spreadsheets/d/1DY4XTNNwjluuxqdfdn6qvOSlMRrZqUtmYcZR0ttFiG4/edit?usp=sharing"",""ลำปาง!J228"")"),0)</f>
        <v>0</v>
      </c>
      <c r="BL26" s="93">
        <f t="shared" ca="1" si="112"/>
        <v>0</v>
      </c>
      <c r="BM26" s="92">
        <f ca="1">IFERROR(__xludf.DUMMYFUNCTION("IMPORTRANGE(""https://docs.google.com/spreadsheets/d/1DY4XTNNwjluuxqdfdn6qvOSlMRrZqUtmYcZR0ttFiG4/edit?usp=sharing"",""ลำปาง!I229"")"),50000)</f>
        <v>50000</v>
      </c>
      <c r="BN26" s="92">
        <f ca="1">IFERROR(__xludf.DUMMYFUNCTION("IMPORTRANGE(""https://docs.google.com/spreadsheets/d/1DY4XTNNwjluuxqdfdn6qvOSlMRrZqUtmYcZR0ttFiG4/edit?usp=sharing"",""ลำปาง!J229"")"),0)</f>
        <v>0</v>
      </c>
      <c r="BO26" s="93">
        <f t="shared" ca="1" si="114"/>
        <v>0</v>
      </c>
      <c r="BP26" s="92">
        <f ca="1">IFERROR(__xludf.DUMMYFUNCTION("IMPORTRANGE(""https://docs.google.com/spreadsheets/d/1DY4XTNNwjluuxqdfdn6qvOSlMRrZqUtmYcZR0ttFiG4/edit?usp=sharing"",""ลำปาง!I230"")"),0)</f>
        <v>0</v>
      </c>
      <c r="BQ26" s="92">
        <f ca="1">IFERROR(__xludf.DUMMYFUNCTION("IMPORTRANGE(""https://docs.google.com/spreadsheets/d/1DY4XTNNwjluuxqdfdn6qvOSlMRrZqUtmYcZR0ttFiG4/edit?usp=sharing"",""ลำปาง!J230"")"),0)</f>
        <v>0</v>
      </c>
      <c r="BR26" s="93">
        <f t="shared" ca="1" si="116"/>
        <v>0</v>
      </c>
      <c r="BS26" s="92">
        <f ca="1">IFERROR(__xludf.DUMMYFUNCTION("IMPORTRANGE(""https://docs.google.com/spreadsheets/d/1DY4XTNNwjluuxqdfdn6qvOSlMRrZqUtmYcZR0ttFiG4/edit?usp=sharing"",""ลำปาง!L233"")"),0)</f>
        <v>0</v>
      </c>
      <c r="BT26" s="92">
        <f ca="1">IFERROR(__xludf.DUMMYFUNCTION("IMPORTRANGE(""https://docs.google.com/spreadsheets/d/1DY4XTNNwjluuxqdfdn6qvOSlMRrZqUtmYcZR0ttFiG4/edit?usp=sharing"",""ลำปาง!N233"")"),0)</f>
        <v>0</v>
      </c>
      <c r="BU26" s="93">
        <f t="shared" ca="1" si="118"/>
        <v>0</v>
      </c>
      <c r="BV26" s="92">
        <f ca="1">IFERROR(__xludf.DUMMYFUNCTION("IMPORTRANGE(""https://docs.google.com/spreadsheets/d/1DY4XTNNwjluuxqdfdn6qvOSlMRrZqUtmYcZR0ttFiG4/edit?usp=sharing"",""ลำปาง!L234"")"),0)</f>
        <v>0</v>
      </c>
      <c r="BW26" s="92">
        <f ca="1">IFERROR(__xludf.DUMMYFUNCTION("IMPORTRANGE(""https://docs.google.com/spreadsheets/d/1DY4XTNNwjluuxqdfdn6qvOSlMRrZqUtmYcZR0ttFiG4/edit?usp=sharing"",""ลำปาง!N234"")"),0)</f>
        <v>0</v>
      </c>
      <c r="BX26" s="93">
        <f t="shared" ca="1" si="120"/>
        <v>0</v>
      </c>
      <c r="BY26" s="92">
        <f ca="1">IFERROR(__xludf.DUMMYFUNCTION("IMPORTRANGE(""https://docs.google.com/spreadsheets/d/1DY4XTNNwjluuxqdfdn6qvOSlMRrZqUtmYcZR0ttFiG4/edit?usp=sharing"",""ลำปาง!L235"")"),0)</f>
        <v>0</v>
      </c>
      <c r="BZ26" s="92">
        <f ca="1">IFERROR(__xludf.DUMMYFUNCTION("IMPORTRANGE(""https://docs.google.com/spreadsheets/d/1DY4XTNNwjluuxqdfdn6qvOSlMRrZqUtmYcZR0ttFiG4/edit?usp=sharing"",""ลำปาง!N235"")"),0)</f>
        <v>0</v>
      </c>
      <c r="CA26" s="93">
        <f t="shared" ca="1" si="122"/>
        <v>0</v>
      </c>
      <c r="CB26" s="92">
        <f ca="1">IFERROR(__xludf.DUMMYFUNCTION("IMPORTRANGE(""https://docs.google.com/spreadsheets/d/1DY4XTNNwjluuxqdfdn6qvOSlMRrZqUtmYcZR0ttFiG4/edit?usp=sharing"",""ลำปาง!L236"")"),0)</f>
        <v>0</v>
      </c>
      <c r="CC26" s="92">
        <f ca="1">IFERROR(__xludf.DUMMYFUNCTION("IMPORTRANGE(""https://docs.google.com/spreadsheets/d/1DY4XTNNwjluuxqdfdn6qvOSlMRrZqUtmYcZR0ttFiG4/edit?usp=sharing"",""ลำปาง!N236"")"),0)</f>
        <v>0</v>
      </c>
      <c r="CD26" s="93">
        <f t="shared" ca="1" si="124"/>
        <v>0</v>
      </c>
      <c r="CE26" s="92">
        <f ca="1">IFERROR(__xludf.DUMMYFUNCTION("IMPORTRANGE(""https://docs.google.com/spreadsheets/d/1DY4XTNNwjluuxqdfdn6qvOSlMRrZqUtmYcZR0ttFiG4/edit?usp=sharing"",""ลำปาง!I238"")"),0)</f>
        <v>0</v>
      </c>
      <c r="CF26" s="92">
        <f ca="1">IFERROR(__xludf.DUMMYFUNCTION("IMPORTRANGE(""https://docs.google.com/spreadsheets/d/1DY4XTNNwjluuxqdfdn6qvOSlMRrZqUtmYcZR0ttFiG4/edit?usp=sharing"",""ลำปาง!J238"")"),0)</f>
        <v>0</v>
      </c>
      <c r="CG26" s="93">
        <f t="shared" ca="1" si="126"/>
        <v>0</v>
      </c>
      <c r="CH26" s="92">
        <f ca="1">IFERROR(__xludf.DUMMYFUNCTION("IMPORTRANGE(""https://docs.google.com/spreadsheets/d/1DY4XTNNwjluuxqdfdn6qvOSlMRrZqUtmYcZR0ttFiG4/edit?usp=sharing"",""ลำปาง!J240"")"),0)</f>
        <v>0</v>
      </c>
      <c r="CI26" s="92">
        <f ca="1">IFERROR(__xludf.DUMMYFUNCTION("IMPORTRANGE(""https://docs.google.com/spreadsheets/d/1DY4XTNNwjluuxqdfdn6qvOSlMRrZqUtmYcZR0ttFiG4/edit?usp=sharing"",""ลำปาง!J241"")"),0)</f>
        <v>0</v>
      </c>
    </row>
    <row r="27" spans="1:87" ht="24" customHeight="1" x14ac:dyDescent="0.3">
      <c r="A27" s="84">
        <v>14</v>
      </c>
      <c r="B27" s="85" t="s">
        <v>49</v>
      </c>
      <c r="C27" s="174">
        <f t="shared" ca="1" si="77"/>
        <v>452600</v>
      </c>
      <c r="D27" s="175">
        <f t="shared" ca="1" si="128"/>
        <v>452600</v>
      </c>
      <c r="E27" s="176">
        <f ca="1">IFERROR(__xludf.DUMMYFUNCTION("IMPORTRANGE(""https://docs.google.com/spreadsheets/d/1-uDff_7J0KD5mKrp0Vvzr7lt3OU09vwQwhkpOPPYv2Y/edit?usp=sharing"",""งบพรบ!CV27"")"),0)</f>
        <v>0</v>
      </c>
      <c r="F27" s="176">
        <f ca="1">IFERROR(__xludf.DUMMYFUNCTION("IMPORTRANGE(""https://docs.google.com/spreadsheets/d/1-uDff_7J0KD5mKrp0Vvzr7lt3OU09vwQwhkpOPPYv2Y/edit?usp=sharing"",""งบพรบ!CW27"")"),452600)</f>
        <v>452600</v>
      </c>
      <c r="G27" s="176">
        <f ca="1">IFERROR(__xludf.DUMMYFUNCTION("IMPORTRANGE(""https://docs.google.com/spreadsheets/d/1-uDff_7J0KD5mKrp0Vvzr7lt3OU09vwQwhkpOPPYv2Y/edit?usp=sharing"",""งบพรบ!CX27"")"),0)</f>
        <v>0</v>
      </c>
      <c r="H27" s="176">
        <f ca="1">IFERROR(__xludf.DUMMYFUNCTION("IMPORTRANGE(""https://docs.google.com/spreadsheets/d/1-uDff_7J0KD5mKrp0Vvzr7lt3OU09vwQwhkpOPPYv2Y/edit?usp=sharing"",""งบพรบ!CZ27"")"),356200)</f>
        <v>356200</v>
      </c>
      <c r="I27" s="176">
        <f ca="1">IFERROR(__xludf.DUMMYFUNCTION("IMPORTRANGE(""https://docs.google.com/spreadsheets/d/1-uDff_7J0KD5mKrp0Vvzr7lt3OU09vwQwhkpOPPYv2Y/edit?usp=sharing"",""งบพรบ!DA27"")"),0)</f>
        <v>0</v>
      </c>
      <c r="J27" s="176">
        <f t="shared" ca="1" si="79"/>
        <v>96640</v>
      </c>
      <c r="K27" s="181">
        <f t="shared" ca="1" si="80"/>
        <v>21.352187361908971</v>
      </c>
      <c r="L27" s="176">
        <f ca="1">IFERROR(__xludf.DUMMYFUNCTION("IMPORTRANGE(""https://docs.google.com/spreadsheets/d/1-uDff_7J0KD5mKrp0Vvzr7lt3OU09vwQwhkpOPPYv2Y/edit?usp=sharing"",""งบพรบ!DB27"")"),96640)</f>
        <v>96640</v>
      </c>
      <c r="M27" s="179">
        <f t="shared" ca="1" si="81"/>
        <v>21.352187361908971</v>
      </c>
      <c r="N27" s="179">
        <f t="shared" ca="1" si="82"/>
        <v>27.130825379000562</v>
      </c>
      <c r="O27" s="180">
        <f ca="1">IFERROR(__xludf.DUMMYFUNCTION("IMPORTRANGE(""https://docs.google.com/spreadsheets/d/1-uDff_7J0KD5mKrp0Vvzr7lt3OU09vwQwhkpOPPYv2Y/edit?usp=sharing"",""งบพรบ!DC27"")"),0)</f>
        <v>0</v>
      </c>
      <c r="P27" s="180">
        <f t="shared" ca="1" si="83"/>
        <v>0</v>
      </c>
      <c r="Q27" s="179">
        <f t="shared" ca="1" si="84"/>
        <v>0</v>
      </c>
      <c r="R27" s="92">
        <f ca="1">IFERROR(__xludf.DUMMYFUNCTION("IMPORTRANGE(""https://docs.google.com/spreadsheets/d/1ICwG78r0OFT8biBlxnBF8r7she7gNSzOvJ958PWT09c/edit?usp=sharing"",""ลำพูน!L196"")"),6000)</f>
        <v>6000</v>
      </c>
      <c r="S27" s="92">
        <f ca="1">IFERROR(__xludf.DUMMYFUNCTION("IMPORTRANGE(""https://docs.google.com/spreadsheets/d/1ICwG78r0OFT8biBlxnBF8r7she7gNSzOvJ958PWT09c/edit?usp=sharing"",""ลำพูน!N196"")"),0)</f>
        <v>0</v>
      </c>
      <c r="T27" s="93">
        <f t="shared" ca="1" si="86"/>
        <v>0</v>
      </c>
      <c r="U27" s="92">
        <f ca="1">IFERROR(__xludf.DUMMYFUNCTION("IMPORTRANGE(""https://docs.google.com/spreadsheets/d/1ICwG78r0OFT8biBlxnBF8r7she7gNSzOvJ958PWT09c/edit?usp=sharing"",""ลำพูน!I198"")"),4)</f>
        <v>4</v>
      </c>
      <c r="V27" s="92">
        <f ca="1">IFERROR(__xludf.DUMMYFUNCTION("IMPORTRANGE(""https://docs.google.com/spreadsheets/d/1ICwG78r0OFT8biBlxnBF8r7she7gNSzOvJ958PWT09c/edit?usp=sharing"",""ลำพูน!J198"")"),0)</f>
        <v>0</v>
      </c>
      <c r="W27" s="93">
        <f t="shared" ca="1" si="88"/>
        <v>0</v>
      </c>
      <c r="X27" s="92">
        <f ca="1">IFERROR(__xludf.DUMMYFUNCTION("IMPORTRANGE(""https://docs.google.com/spreadsheets/d/1ICwG78r0OFT8biBlxnBF8r7she7gNSzOvJ958PWT09c/edit?usp=sharing"",""ลำพูน!J199"")"),0)</f>
        <v>0</v>
      </c>
      <c r="Y27" s="92">
        <f ca="1">IFERROR(__xludf.DUMMYFUNCTION("IMPORTRANGE(""https://docs.google.com/spreadsheets/d/1ICwG78r0OFT8biBlxnBF8r7she7gNSzOvJ958PWT09c/edit?usp=sharing"",""ลำพูน!J200"")"),0)</f>
        <v>0</v>
      </c>
      <c r="Z27" s="92">
        <f ca="1">IFERROR(__xludf.DUMMYFUNCTION("IMPORTRANGE(""https://docs.google.com/spreadsheets/d/1ICwG78r0OFT8biBlxnBF8r7she7gNSzOvJ958PWT09c/edit?usp=sharing"",""ลำพูน!J201"")"),0)</f>
        <v>0</v>
      </c>
      <c r="AA27" s="92">
        <f ca="1">IFERROR(__xludf.DUMMYFUNCTION("IMPORTRANGE(""https://docs.google.com/spreadsheets/d/1ICwG78r0OFT8biBlxnBF8r7she7gNSzOvJ958PWT09c/edit?usp=sharing"",""ลำพูน!L204"")"),2000)</f>
        <v>2000</v>
      </c>
      <c r="AB27" s="92">
        <f ca="1">IFERROR(__xludf.DUMMYFUNCTION("IMPORTRANGE(""https://docs.google.com/spreadsheets/d/1ICwG78r0OFT8biBlxnBF8r7she7gNSzOvJ958PWT09c/edit?usp=sharing"",""ลำพูน!N204"")"),0)</f>
        <v>0</v>
      </c>
      <c r="AC27" s="93">
        <f t="shared" ca="1" si="90"/>
        <v>0</v>
      </c>
      <c r="AD27" s="92">
        <f ca="1">IFERROR(__xludf.DUMMYFUNCTION("IMPORTRANGE(""https://docs.google.com/spreadsheets/d/1ICwG78r0OFT8biBlxnBF8r7she7gNSzOvJ958PWT09c/edit?usp=sharing"",""ลำพูน!L206"")"),16000)</f>
        <v>16000</v>
      </c>
      <c r="AE27" s="92">
        <f ca="1">IFERROR(__xludf.DUMMYFUNCTION("IMPORTRANGE(""https://docs.google.com/spreadsheets/d/1ICwG78r0OFT8biBlxnBF8r7she7gNSzOvJ958PWT09c/edit?usp=sharing"",""ลำพูน!N206"")"),0)</f>
        <v>0</v>
      </c>
      <c r="AF27" s="93">
        <f t="shared" ca="1" si="92"/>
        <v>0</v>
      </c>
      <c r="AG27" s="92">
        <f ca="1">IFERROR(__xludf.DUMMYFUNCTION("IMPORTRANGE(""https://docs.google.com/spreadsheets/d/1ICwG78r0OFT8biBlxnBF8r7she7gNSzOvJ958PWT09c/edit?usp=sharing"",""ลำพูน!L207"")"),13000)</f>
        <v>13000</v>
      </c>
      <c r="AH27" s="92">
        <f ca="1">IFERROR(__xludf.DUMMYFUNCTION("IMPORTRANGE(""https://docs.google.com/spreadsheets/d/1ICwG78r0OFT8biBlxnBF8r7she7gNSzOvJ958PWT09c/edit?usp=sharing"",""ลำพูน!N207"")"),0)</f>
        <v>0</v>
      </c>
      <c r="AI27" s="93">
        <f t="shared" ca="1" si="94"/>
        <v>0</v>
      </c>
      <c r="AJ27" s="92">
        <f ca="1">IFERROR(__xludf.DUMMYFUNCTION("IMPORTRANGE(""https://docs.google.com/spreadsheets/d/1ICwG78r0OFT8biBlxnBF8r7she7gNSzOvJ958PWT09c/edit?usp=sharing"",""ลำพูน!I209"")"),2)</f>
        <v>2</v>
      </c>
      <c r="AK27" s="92">
        <f ca="1">IFERROR(__xludf.DUMMYFUNCTION("IMPORTRANGE(""https://docs.google.com/spreadsheets/d/1ICwG78r0OFT8biBlxnBF8r7she7gNSzOvJ958PWT09c/edit?usp=sharing"",""ลำพูน!J209"")"),0)</f>
        <v>0</v>
      </c>
      <c r="AL27" s="93">
        <f t="shared" ca="1" si="96"/>
        <v>0</v>
      </c>
      <c r="AM27" s="92">
        <f ca="1">IFERROR(__xludf.DUMMYFUNCTION("IMPORTRANGE(""https://docs.google.com/spreadsheets/d/1ICwG78r0OFT8biBlxnBF8r7she7gNSzOvJ958PWT09c/edit?usp=sharing"",""ลำพูน!J211"")"),0)</f>
        <v>0</v>
      </c>
      <c r="AN27" s="92">
        <f ca="1">IFERROR(__xludf.DUMMYFUNCTION("IMPORTRANGE(""https://docs.google.com/spreadsheets/d/1ICwG78r0OFT8biBlxnBF8r7she7gNSzOvJ958PWT09c/edit?usp=sharing"",""ลำพูน!J212"")"),0)</f>
        <v>0</v>
      </c>
      <c r="AO27" s="92">
        <f ca="1">IFERROR(__xludf.DUMMYFUNCTION("IMPORTRANGE(""https://docs.google.com/spreadsheets/d/1ICwG78r0OFT8biBlxnBF8r7she7gNSzOvJ958PWT09c/edit?usp=sharing"",""ลำพูน!L215"")"),0)</f>
        <v>0</v>
      </c>
      <c r="AP27" s="92">
        <f ca="1">IFERROR(__xludf.DUMMYFUNCTION("IMPORTRANGE(""https://docs.google.com/spreadsheets/d/1ICwG78r0OFT8biBlxnBF8r7she7gNSzOvJ958PWT09c/edit?usp=sharing"",""ลำพูน!N215"")"),0)</f>
        <v>0</v>
      </c>
      <c r="AQ27" s="93">
        <f t="shared" ca="1" si="98"/>
        <v>0</v>
      </c>
      <c r="AR27" s="92">
        <f ca="1">IFERROR(__xludf.DUMMYFUNCTION("IMPORTRANGE(""https://docs.google.com/spreadsheets/d/1ICwG78r0OFT8biBlxnBF8r7she7gNSzOvJ958PWT09c/edit?usp=sharing"",""ลำพูน!L216"")"),0)</f>
        <v>0</v>
      </c>
      <c r="AS27" s="92">
        <f ca="1">IFERROR(__xludf.DUMMYFUNCTION("IMPORTRANGE(""https://docs.google.com/spreadsheets/d/1ICwG78r0OFT8biBlxnBF8r7she7gNSzOvJ958PWT09c/edit?usp=sharing"",""ลำพูน!N216"")"),0)</f>
        <v>0</v>
      </c>
      <c r="AT27" s="93">
        <f t="shared" ca="1" si="100"/>
        <v>0</v>
      </c>
      <c r="AU27" s="92">
        <f ca="1">IFERROR(__xludf.DUMMYFUNCTION("IMPORTRANGE(""https://docs.google.com/spreadsheets/d/1ICwG78r0OFT8biBlxnBF8r7she7gNSzOvJ958PWT09c/edit?usp=sharing"",""ลำพูน!L217"")"),0)</f>
        <v>0</v>
      </c>
      <c r="AV27" s="92">
        <f ca="1">IFERROR(__xludf.DUMMYFUNCTION("IMPORTRANGE(""https://docs.google.com/spreadsheets/d/1ICwG78r0OFT8biBlxnBF8r7she7gNSzOvJ958PWT09c/edit?usp=sharing"",""ลำพูน!N217"")"),0)</f>
        <v>0</v>
      </c>
      <c r="AW27" s="93">
        <f t="shared" ca="1" si="102"/>
        <v>0</v>
      </c>
      <c r="AX27" s="92">
        <f ca="1">IFERROR(__xludf.DUMMYFUNCTION("IMPORTRANGE(""https://docs.google.com/spreadsheets/d/1ICwG78r0OFT8biBlxnBF8r7she7gNSzOvJ958PWT09c/edit?usp=sharing"",""ลำพูน!I219"")"),0)</f>
        <v>0</v>
      </c>
      <c r="AY27" s="92">
        <f ca="1">IFERROR(__xludf.DUMMYFUNCTION("IMPORTRANGE(""https://docs.google.com/spreadsheets/d/1ICwG78r0OFT8biBlxnBF8r7she7gNSzOvJ958PWT09c/edit?usp=sharing"",""ลำพูน!J219"")"),0)</f>
        <v>0</v>
      </c>
      <c r="AZ27" s="93">
        <f t="shared" ca="1" si="104"/>
        <v>0</v>
      </c>
      <c r="BA27" s="92">
        <f ca="1">IFERROR(__xludf.DUMMYFUNCTION("IMPORTRANGE(""https://docs.google.com/spreadsheets/d/1ICwG78r0OFT8biBlxnBF8r7she7gNSzOvJ958PWT09c/edit?usp=sharing"",""ลำพูน!I220"")"),0)</f>
        <v>0</v>
      </c>
      <c r="BB27" s="92">
        <f ca="1">IFERROR(__xludf.DUMMYFUNCTION("IMPORTRANGE(""https://docs.google.com/spreadsheets/d/1ICwG78r0OFT8biBlxnBF8r7she7gNSzOvJ958PWT09c/edit?usp=sharing"",""ลำพูน!J220"")"),0)</f>
        <v>0</v>
      </c>
      <c r="BC27" s="93">
        <f t="shared" ca="1" si="106"/>
        <v>0</v>
      </c>
      <c r="BD27" s="92">
        <f ca="1">IFERROR(__xludf.DUMMYFUNCTION("IMPORTRANGE(""https://docs.google.com/spreadsheets/d/1ICwG78r0OFT8biBlxnBF8r7she7gNSzOvJ958PWT09c/edit?usp=sharing"",""ลำพูน!L223"")"),11000)</f>
        <v>11000</v>
      </c>
      <c r="BE27" s="92">
        <f ca="1">IFERROR(__xludf.DUMMYFUNCTION("IMPORTRANGE(""https://docs.google.com/spreadsheets/d/1ICwG78r0OFT8biBlxnBF8r7she7gNSzOvJ958PWT09c/edit?usp=sharing"",""ลำพูน!N223"")"),0)</f>
        <v>0</v>
      </c>
      <c r="BF27" s="93">
        <f t="shared" ca="1" si="108"/>
        <v>0</v>
      </c>
      <c r="BG27" s="92">
        <f ca="1">IFERROR(__xludf.DUMMYFUNCTION("IMPORTRANGE(""https://docs.google.com/spreadsheets/d/1ICwG78r0OFT8biBlxnBF8r7she7gNSzOvJ958PWT09c/edit?usp=sharing"",""ลำพูน!L224"")"),1500)</f>
        <v>1500</v>
      </c>
      <c r="BH27" s="92">
        <f ca="1">IFERROR(__xludf.DUMMYFUNCTION("IMPORTRANGE(""https://docs.google.com/spreadsheets/d/1ICwG78r0OFT8biBlxnBF8r7she7gNSzOvJ958PWT09c/edit?usp=sharing"",""ลำพูน!N224"")"),0)</f>
        <v>0</v>
      </c>
      <c r="BI27" s="93">
        <f t="shared" ca="1" si="110"/>
        <v>0</v>
      </c>
      <c r="BJ27" s="92">
        <f ca="1">IFERROR(__xludf.DUMMYFUNCTION("IMPORTRANGE(""https://docs.google.com/spreadsheets/d/1ICwG78r0OFT8biBlxnBF8r7she7gNSzOvJ958PWT09c/edit?usp=sharing"",""ลำพูน!I228"")"),100000)</f>
        <v>100000</v>
      </c>
      <c r="BK27" s="92">
        <f ca="1">IFERROR(__xludf.DUMMYFUNCTION("IMPORTRANGE(""https://docs.google.com/spreadsheets/d/1ICwG78r0OFT8biBlxnBF8r7she7gNSzOvJ958PWT09c/edit?usp=sharing"",""ลำพูน!J228"")"),0)</f>
        <v>0</v>
      </c>
      <c r="BL27" s="93">
        <f t="shared" ca="1" si="112"/>
        <v>0</v>
      </c>
      <c r="BM27" s="92">
        <f ca="1">IFERROR(__xludf.DUMMYFUNCTION("IMPORTRANGE(""https://docs.google.com/spreadsheets/d/1ICwG78r0OFT8biBlxnBF8r7she7gNSzOvJ958PWT09c/edit?usp=sharing"",""ลำพูน!I229"")"),100000)</f>
        <v>100000</v>
      </c>
      <c r="BN27" s="92">
        <f ca="1">IFERROR(__xludf.DUMMYFUNCTION("IMPORTRANGE(""https://docs.google.com/spreadsheets/d/1ICwG78r0OFT8biBlxnBF8r7she7gNSzOvJ958PWT09c/edit?usp=sharing"",""ลำพูน!J229"")"),0)</f>
        <v>0</v>
      </c>
      <c r="BO27" s="93">
        <f t="shared" ca="1" si="114"/>
        <v>0</v>
      </c>
      <c r="BP27" s="92">
        <f ca="1">IFERROR(__xludf.DUMMYFUNCTION("IMPORTRANGE(""https://docs.google.com/spreadsheets/d/1ICwG78r0OFT8biBlxnBF8r7she7gNSzOvJ958PWT09c/edit?usp=sharing"",""ลำพูน!I230"")"),0)</f>
        <v>0</v>
      </c>
      <c r="BQ27" s="92">
        <f ca="1">IFERROR(__xludf.DUMMYFUNCTION("IMPORTRANGE(""https://docs.google.com/spreadsheets/d/1ICwG78r0OFT8biBlxnBF8r7she7gNSzOvJ958PWT09c/edit?usp=sharing"",""ลำพูน!J230"")"),0)</f>
        <v>0</v>
      </c>
      <c r="BR27" s="93">
        <f t="shared" ca="1" si="116"/>
        <v>0</v>
      </c>
      <c r="BS27" s="92">
        <f ca="1">IFERROR(__xludf.DUMMYFUNCTION("IMPORTRANGE(""https://docs.google.com/spreadsheets/d/1ICwG78r0OFT8biBlxnBF8r7she7gNSzOvJ958PWT09c/edit?usp=sharing"",""ลำพูน!L233"")"),257900)</f>
        <v>257900</v>
      </c>
      <c r="BT27" s="92">
        <f ca="1">IFERROR(__xludf.DUMMYFUNCTION("IMPORTRANGE(""https://docs.google.com/spreadsheets/d/1ICwG78r0OFT8biBlxnBF8r7she7gNSzOvJ958PWT09c/edit?usp=sharing"",""ลำพูน!N233"")"),69200)</f>
        <v>69200</v>
      </c>
      <c r="BU27" s="93">
        <f t="shared" ca="1" si="118"/>
        <v>26.832105467235362</v>
      </c>
      <c r="BV27" s="92">
        <f ca="1">IFERROR(__xludf.DUMMYFUNCTION("IMPORTRANGE(""https://docs.google.com/spreadsheets/d/1ICwG78r0OFT8biBlxnBF8r7she7gNSzOvJ958PWT09c/edit?usp=sharing"",""ลำพูน!L234"")"),5000)</f>
        <v>5000</v>
      </c>
      <c r="BW27" s="92">
        <f ca="1">IFERROR(__xludf.DUMMYFUNCTION("IMPORTRANGE(""https://docs.google.com/spreadsheets/d/1ICwG78r0OFT8biBlxnBF8r7she7gNSzOvJ958PWT09c/edit?usp=sharing"",""ลำพูน!N234"")"),2800)</f>
        <v>2800</v>
      </c>
      <c r="BX27" s="93">
        <f t="shared" ca="1" si="120"/>
        <v>56</v>
      </c>
      <c r="BY27" s="92">
        <f ca="1">IFERROR(__xludf.DUMMYFUNCTION("IMPORTRANGE(""https://docs.google.com/spreadsheets/d/1ICwG78r0OFT8biBlxnBF8r7she7gNSzOvJ958PWT09c/edit?usp=sharing"",""ลำพูน!L235"")"),87200)</f>
        <v>87200</v>
      </c>
      <c r="BZ27" s="92">
        <f ca="1">IFERROR(__xludf.DUMMYFUNCTION("IMPORTRANGE(""https://docs.google.com/spreadsheets/d/1ICwG78r0OFT8biBlxnBF8r7she7gNSzOvJ958PWT09c/edit?usp=sharing"",""ลำพูน!N235"")"),24640)</f>
        <v>24640</v>
      </c>
      <c r="CA27" s="93">
        <f t="shared" ca="1" si="122"/>
        <v>28.256880733944953</v>
      </c>
      <c r="CB27" s="92">
        <f ca="1">IFERROR(__xludf.DUMMYFUNCTION("IMPORTRANGE(""https://docs.google.com/spreadsheets/d/1ICwG78r0OFT8biBlxnBF8r7she7gNSzOvJ958PWT09c/edit?usp=sharing"",""ลำพูน!L236"")"),53000)</f>
        <v>53000</v>
      </c>
      <c r="CC27" s="92">
        <f ca="1">IFERROR(__xludf.DUMMYFUNCTION("IMPORTRANGE(""https://docs.google.com/spreadsheets/d/1ICwG78r0OFT8biBlxnBF8r7she7gNSzOvJ958PWT09c/edit?usp=sharing"",""ลำพูน!N236"")"),0)</f>
        <v>0</v>
      </c>
      <c r="CD27" s="93">
        <f t="shared" ca="1" si="124"/>
        <v>0</v>
      </c>
      <c r="CE27" s="92">
        <f ca="1">IFERROR(__xludf.DUMMYFUNCTION("IMPORTRANGE(""https://docs.google.com/spreadsheets/d/1ICwG78r0OFT8biBlxnBF8r7she7gNSzOvJ958PWT09c/edit?usp=sharing"",""ลำพูน!I238"")"),40)</f>
        <v>40</v>
      </c>
      <c r="CF27" s="92">
        <f ca="1">IFERROR(__xludf.DUMMYFUNCTION("IMPORTRANGE(""https://docs.google.com/spreadsheets/d/1ICwG78r0OFT8biBlxnBF8r7she7gNSzOvJ958PWT09c/edit?usp=sharing"",""ลำพูน!J238"")"),10)</f>
        <v>10</v>
      </c>
      <c r="CG27" s="93">
        <f t="shared" ca="1" si="126"/>
        <v>25</v>
      </c>
      <c r="CH27" s="92">
        <f ca="1">IFERROR(__xludf.DUMMYFUNCTION("IMPORTRANGE(""https://docs.google.com/spreadsheets/d/1ICwG78r0OFT8biBlxnBF8r7she7gNSzOvJ958PWT09c/edit?usp=sharing"",""ลำพูน!J240"")"),0)</f>
        <v>0</v>
      </c>
      <c r="CI27" s="92">
        <f ca="1">IFERROR(__xludf.DUMMYFUNCTION("IMPORTRANGE(""https://docs.google.com/spreadsheets/d/1ICwG78r0OFT8biBlxnBF8r7she7gNSzOvJ958PWT09c/edit?usp=sharing"",""ลำพูน!J241"")"),0)</f>
        <v>0</v>
      </c>
    </row>
    <row r="28" spans="1:87" ht="24" customHeight="1" x14ac:dyDescent="0.3">
      <c r="A28" s="84">
        <v>15</v>
      </c>
      <c r="B28" s="85" t="s">
        <v>50</v>
      </c>
      <c r="C28" s="174">
        <f t="shared" ca="1" si="77"/>
        <v>66500</v>
      </c>
      <c r="D28" s="175">
        <f t="shared" ca="1" si="128"/>
        <v>66500</v>
      </c>
      <c r="E28" s="176">
        <f ca="1">IFERROR(__xludf.DUMMYFUNCTION("IMPORTRANGE(""https://docs.google.com/spreadsheets/d/1-uDff_7J0KD5mKrp0Vvzr7lt3OU09vwQwhkpOPPYv2Y/edit?usp=sharing"",""งบพรบ!CV28"")"),0)</f>
        <v>0</v>
      </c>
      <c r="F28" s="176">
        <f ca="1">IFERROR(__xludf.DUMMYFUNCTION("IMPORTRANGE(""https://docs.google.com/spreadsheets/d/1-uDff_7J0KD5mKrp0Vvzr7lt3OU09vwQwhkpOPPYv2Y/edit?usp=sharing"",""งบพรบ!CW28"")"),66500)</f>
        <v>66500</v>
      </c>
      <c r="G28" s="176">
        <f ca="1">IFERROR(__xludf.DUMMYFUNCTION("IMPORTRANGE(""https://docs.google.com/spreadsheets/d/1-uDff_7J0KD5mKrp0Vvzr7lt3OU09vwQwhkpOPPYv2Y/edit?usp=sharing"",""งบพรบ!CX28"")"),0)</f>
        <v>0</v>
      </c>
      <c r="H28" s="176">
        <f ca="1">IFERROR(__xludf.DUMMYFUNCTION("IMPORTRANGE(""https://docs.google.com/spreadsheets/d/1-uDff_7J0KD5mKrp0Vvzr7lt3OU09vwQwhkpOPPYv2Y/edit?usp=sharing"",""งบพรบ!CZ28"")"),40500)</f>
        <v>40500</v>
      </c>
      <c r="I28" s="176">
        <f ca="1">IFERROR(__xludf.DUMMYFUNCTION("IMPORTRANGE(""https://docs.google.com/spreadsheets/d/1-uDff_7J0KD5mKrp0Vvzr7lt3OU09vwQwhkpOPPYv2Y/edit?usp=sharing"",""งบพรบ!DA28"")"),0)</f>
        <v>0</v>
      </c>
      <c r="J28" s="176">
        <f t="shared" ca="1" si="79"/>
        <v>0</v>
      </c>
      <c r="K28" s="181">
        <f t="shared" ca="1" si="80"/>
        <v>0</v>
      </c>
      <c r="L28" s="176">
        <f ca="1">IFERROR(__xludf.DUMMYFUNCTION("IMPORTRANGE(""https://docs.google.com/spreadsheets/d/1-uDff_7J0KD5mKrp0Vvzr7lt3OU09vwQwhkpOPPYv2Y/edit?usp=sharing"",""งบพรบ!DB28"")"),0)</f>
        <v>0</v>
      </c>
      <c r="M28" s="179">
        <f t="shared" ca="1" si="81"/>
        <v>0</v>
      </c>
      <c r="N28" s="179">
        <f t="shared" ca="1" si="82"/>
        <v>0</v>
      </c>
      <c r="O28" s="180">
        <f ca="1">IFERROR(__xludf.DUMMYFUNCTION("IMPORTRANGE(""https://docs.google.com/spreadsheets/d/1-uDff_7J0KD5mKrp0Vvzr7lt3OU09vwQwhkpOPPYv2Y/edit?usp=sharing"",""งบพรบ!DC28"")"),0)</f>
        <v>0</v>
      </c>
      <c r="P28" s="180">
        <f t="shared" ca="1" si="83"/>
        <v>0</v>
      </c>
      <c r="Q28" s="179">
        <f t="shared" ca="1" si="84"/>
        <v>0</v>
      </c>
      <c r="R28" s="92">
        <f ca="1">IFERROR(__xludf.DUMMYFUNCTION("IMPORTRANGE(""https://docs.google.com/spreadsheets/d/1B0f2xJpZUC6Z0xXnqKlZtEPzsf6L84eP1r1Q15seqRM/edit?usp=sharing"",""สุโขทัย!L196"")"),6000)</f>
        <v>6000</v>
      </c>
      <c r="S28" s="92">
        <f ca="1">IFERROR(__xludf.DUMMYFUNCTION("IMPORTRANGE(""https://docs.google.com/spreadsheets/d/1B0f2xJpZUC6Z0xXnqKlZtEPzsf6L84eP1r1Q15seqRM/edit?usp=sharing"",""สุโขทัย!N196"")"),0)</f>
        <v>0</v>
      </c>
      <c r="T28" s="93">
        <f t="shared" ca="1" si="86"/>
        <v>0</v>
      </c>
      <c r="U28" s="92">
        <f ca="1">IFERROR(__xludf.DUMMYFUNCTION("IMPORTRANGE(""https://docs.google.com/spreadsheets/d/1B0f2xJpZUC6Z0xXnqKlZtEPzsf6L84eP1r1Q15seqRM/edit?usp=sharing"",""สุโขทัย!I198"")"),4)</f>
        <v>4</v>
      </c>
      <c r="V28" s="92">
        <f ca="1">IFERROR(__xludf.DUMMYFUNCTION("IMPORTRANGE(""https://docs.google.com/spreadsheets/d/1B0f2xJpZUC6Z0xXnqKlZtEPzsf6L84eP1r1Q15seqRM/edit?usp=sharing"",""สุโขทัย!J198"")"),0)</f>
        <v>0</v>
      </c>
      <c r="W28" s="93">
        <f t="shared" ca="1" si="88"/>
        <v>0</v>
      </c>
      <c r="X28" s="92">
        <f ca="1">IFERROR(__xludf.DUMMYFUNCTION("IMPORTRANGE(""https://docs.google.com/spreadsheets/d/1B0f2xJpZUC6Z0xXnqKlZtEPzsf6L84eP1r1Q15seqRM/edit?usp=sharing"",""สุโขทัย!J199"")"),0)</f>
        <v>0</v>
      </c>
      <c r="Y28" s="92">
        <f ca="1">IFERROR(__xludf.DUMMYFUNCTION("IMPORTRANGE(""https://docs.google.com/spreadsheets/d/1B0f2xJpZUC6Z0xXnqKlZtEPzsf6L84eP1r1Q15seqRM/edit?usp=sharing"",""สุโขทัย!J200"")"),0)</f>
        <v>0</v>
      </c>
      <c r="Z28" s="92">
        <f ca="1">IFERROR(__xludf.DUMMYFUNCTION("IMPORTRANGE(""https://docs.google.com/spreadsheets/d/1B0f2xJpZUC6Z0xXnqKlZtEPzsf6L84eP1r1Q15seqRM/edit?usp=sharing"",""สุโขทัย!J201"")"),0)</f>
        <v>0</v>
      </c>
      <c r="AA28" s="92">
        <f ca="1">IFERROR(__xludf.DUMMYFUNCTION("IMPORTRANGE(""https://docs.google.com/spreadsheets/d/1B0f2xJpZUC6Z0xXnqKlZtEPzsf6L84eP1r1Q15seqRM/edit?usp=sharing"",""สุโขทัย!L204"")"),4000)</f>
        <v>4000</v>
      </c>
      <c r="AB28" s="92">
        <f ca="1">IFERROR(__xludf.DUMMYFUNCTION("IMPORTRANGE(""https://docs.google.com/spreadsheets/d/1B0f2xJpZUC6Z0xXnqKlZtEPzsf6L84eP1r1Q15seqRM/edit?usp=sharing"",""สุโขทัย!N204"")"),0)</f>
        <v>0</v>
      </c>
      <c r="AC28" s="93">
        <f t="shared" ca="1" si="90"/>
        <v>0</v>
      </c>
      <c r="AD28" s="92">
        <f ca="1">IFERROR(__xludf.DUMMYFUNCTION("IMPORTRANGE(""https://docs.google.com/spreadsheets/d/1B0f2xJpZUC6Z0xXnqKlZtEPzsf6L84eP1r1Q15seqRM/edit?usp=sharing"",""สุโขทัย!L206"")"),32000)</f>
        <v>32000</v>
      </c>
      <c r="AE28" s="92">
        <f ca="1">IFERROR(__xludf.DUMMYFUNCTION("IMPORTRANGE(""https://docs.google.com/spreadsheets/d/1B0f2xJpZUC6Z0xXnqKlZtEPzsf6L84eP1r1Q15seqRM/edit?usp=sharing"",""สุโขทัย!N206"")"),0)</f>
        <v>0</v>
      </c>
      <c r="AF28" s="93">
        <f t="shared" ca="1" si="92"/>
        <v>0</v>
      </c>
      <c r="AG28" s="92">
        <f ca="1">IFERROR(__xludf.DUMMYFUNCTION("IMPORTRANGE(""https://docs.google.com/spreadsheets/d/1B0f2xJpZUC6Z0xXnqKlZtEPzsf6L84eP1r1Q15seqRM/edit?usp=sharing"",""สุโขทัย!L207"")"),16000)</f>
        <v>16000</v>
      </c>
      <c r="AH28" s="92">
        <f ca="1">IFERROR(__xludf.DUMMYFUNCTION("IMPORTRANGE(""https://docs.google.com/spreadsheets/d/1B0f2xJpZUC6Z0xXnqKlZtEPzsf6L84eP1r1Q15seqRM/edit?usp=sharing"",""สุโขทัย!N207"")"),0)</f>
        <v>0</v>
      </c>
      <c r="AI28" s="93">
        <f t="shared" ca="1" si="94"/>
        <v>0</v>
      </c>
      <c r="AJ28" s="92">
        <f ca="1">IFERROR(__xludf.DUMMYFUNCTION("IMPORTRANGE(""https://docs.google.com/spreadsheets/d/1B0f2xJpZUC6Z0xXnqKlZtEPzsf6L84eP1r1Q15seqRM/edit?usp=sharing"",""สุโขทัย!I209"")"),4)</f>
        <v>4</v>
      </c>
      <c r="AK28" s="92">
        <f ca="1">IFERROR(__xludf.DUMMYFUNCTION("IMPORTRANGE(""https://docs.google.com/spreadsheets/d/1B0f2xJpZUC6Z0xXnqKlZtEPzsf6L84eP1r1Q15seqRM/edit?usp=sharing"",""สุโขทัย!J209"")"),0)</f>
        <v>0</v>
      </c>
      <c r="AL28" s="93">
        <f t="shared" ca="1" si="96"/>
        <v>0</v>
      </c>
      <c r="AM28" s="92">
        <f ca="1">IFERROR(__xludf.DUMMYFUNCTION("IMPORTRANGE(""https://docs.google.com/spreadsheets/d/1B0f2xJpZUC6Z0xXnqKlZtEPzsf6L84eP1r1Q15seqRM/edit?usp=sharing"",""สุโขทัย!J211"")"),0)</f>
        <v>0</v>
      </c>
      <c r="AN28" s="92">
        <f ca="1">IFERROR(__xludf.DUMMYFUNCTION("IMPORTRANGE(""https://docs.google.com/spreadsheets/d/1B0f2xJpZUC6Z0xXnqKlZtEPzsf6L84eP1r1Q15seqRM/edit?usp=sharing"",""สุโขทัย!J212"")"),0)</f>
        <v>0</v>
      </c>
      <c r="AO28" s="92">
        <f ca="1">IFERROR(__xludf.DUMMYFUNCTION("IMPORTRANGE(""https://docs.google.com/spreadsheets/d/1B0f2xJpZUC6Z0xXnqKlZtEPzsf6L84eP1r1Q15seqRM/edit?usp=sharing"",""สุโขทัย!L215"")"),0)</f>
        <v>0</v>
      </c>
      <c r="AP28" s="92">
        <f ca="1">IFERROR(__xludf.DUMMYFUNCTION("IMPORTRANGE(""https://docs.google.com/spreadsheets/d/1B0f2xJpZUC6Z0xXnqKlZtEPzsf6L84eP1r1Q15seqRM/edit?usp=sharing"",""สุโขทัย!N215"")"),0)</f>
        <v>0</v>
      </c>
      <c r="AQ28" s="93">
        <f t="shared" ca="1" si="98"/>
        <v>0</v>
      </c>
      <c r="AR28" s="92">
        <f ca="1">IFERROR(__xludf.DUMMYFUNCTION("IMPORTRANGE(""https://docs.google.com/spreadsheets/d/1B0f2xJpZUC6Z0xXnqKlZtEPzsf6L84eP1r1Q15seqRM/edit?usp=sharing"",""สุโขทัย!L216"")"),0)</f>
        <v>0</v>
      </c>
      <c r="AS28" s="92">
        <f ca="1">IFERROR(__xludf.DUMMYFUNCTION("IMPORTRANGE(""https://docs.google.com/spreadsheets/d/1B0f2xJpZUC6Z0xXnqKlZtEPzsf6L84eP1r1Q15seqRM/edit?usp=sharing"",""สุโขทัย!N216"")"),0)</f>
        <v>0</v>
      </c>
      <c r="AT28" s="93">
        <f t="shared" ca="1" si="100"/>
        <v>0</v>
      </c>
      <c r="AU28" s="92">
        <f ca="1">IFERROR(__xludf.DUMMYFUNCTION("IMPORTRANGE(""https://docs.google.com/spreadsheets/d/1B0f2xJpZUC6Z0xXnqKlZtEPzsf6L84eP1r1Q15seqRM/edit?usp=sharing"",""สุโขทัย!L217"")"),0)</f>
        <v>0</v>
      </c>
      <c r="AV28" s="92">
        <f ca="1">IFERROR(__xludf.DUMMYFUNCTION("IMPORTRANGE(""https://docs.google.com/spreadsheets/d/1B0f2xJpZUC6Z0xXnqKlZtEPzsf6L84eP1r1Q15seqRM/edit?usp=sharing"",""สุโขทัย!N217"")"),0)</f>
        <v>0</v>
      </c>
      <c r="AW28" s="93">
        <f t="shared" ca="1" si="102"/>
        <v>0</v>
      </c>
      <c r="AX28" s="92">
        <f ca="1">IFERROR(__xludf.DUMMYFUNCTION("IMPORTRANGE(""https://docs.google.com/spreadsheets/d/1B0f2xJpZUC6Z0xXnqKlZtEPzsf6L84eP1r1Q15seqRM/edit?usp=sharing"",""สุโขทัย!I219"")"),0)</f>
        <v>0</v>
      </c>
      <c r="AY28" s="92">
        <f ca="1">IFERROR(__xludf.DUMMYFUNCTION("IMPORTRANGE(""https://docs.google.com/spreadsheets/d/1B0f2xJpZUC6Z0xXnqKlZtEPzsf6L84eP1r1Q15seqRM/edit?usp=sharing"",""สุโขทัย!J219"")"),0)</f>
        <v>0</v>
      </c>
      <c r="AZ28" s="93">
        <f t="shared" ca="1" si="104"/>
        <v>0</v>
      </c>
      <c r="BA28" s="92">
        <f ca="1">IFERROR(__xludf.DUMMYFUNCTION("IMPORTRANGE(""https://docs.google.com/spreadsheets/d/1B0f2xJpZUC6Z0xXnqKlZtEPzsf6L84eP1r1Q15seqRM/edit?usp=sharing"",""สุโขทัย!I220"")"),0)</f>
        <v>0</v>
      </c>
      <c r="BB28" s="92">
        <f ca="1">IFERROR(__xludf.DUMMYFUNCTION("IMPORTRANGE(""https://docs.google.com/spreadsheets/d/1B0f2xJpZUC6Z0xXnqKlZtEPzsf6L84eP1r1Q15seqRM/edit?usp=sharing"",""สุโขทัย!J220"")"),0)</f>
        <v>0</v>
      </c>
      <c r="BC28" s="93">
        <f t="shared" ca="1" si="106"/>
        <v>0</v>
      </c>
      <c r="BD28" s="92">
        <f ca="1">IFERROR(__xludf.DUMMYFUNCTION("IMPORTRANGE(""https://docs.google.com/spreadsheets/d/1B0f2xJpZUC6Z0xXnqKlZtEPzsf6L84eP1r1Q15seqRM/edit?usp=sharing"",""สุโขทัย!L223"")"),7000)</f>
        <v>7000</v>
      </c>
      <c r="BE28" s="92">
        <f ca="1">IFERROR(__xludf.DUMMYFUNCTION("IMPORTRANGE(""https://docs.google.com/spreadsheets/d/1B0f2xJpZUC6Z0xXnqKlZtEPzsf6L84eP1r1Q15seqRM/edit?usp=sharing"",""สุโขทัย!N223"")"),0)</f>
        <v>0</v>
      </c>
      <c r="BF28" s="93">
        <f t="shared" ca="1" si="108"/>
        <v>0</v>
      </c>
      <c r="BG28" s="92">
        <f ca="1">IFERROR(__xludf.DUMMYFUNCTION("IMPORTRANGE(""https://docs.google.com/spreadsheets/d/1B0f2xJpZUC6Z0xXnqKlZtEPzsf6L84eP1r1Q15seqRM/edit?usp=sharing"",""สุโขทัย!L224"")"),1500)</f>
        <v>1500</v>
      </c>
      <c r="BH28" s="92">
        <f ca="1">IFERROR(__xludf.DUMMYFUNCTION("IMPORTRANGE(""https://docs.google.com/spreadsheets/d/1B0f2xJpZUC6Z0xXnqKlZtEPzsf6L84eP1r1Q15seqRM/edit?usp=sharing"",""สุโขทัย!N224"")"),0)</f>
        <v>0</v>
      </c>
      <c r="BI28" s="93">
        <f t="shared" ca="1" si="110"/>
        <v>0</v>
      </c>
      <c r="BJ28" s="92">
        <f ca="1">IFERROR(__xludf.DUMMYFUNCTION("IMPORTRANGE(""https://docs.google.com/spreadsheets/d/1B0f2xJpZUC6Z0xXnqKlZtEPzsf6L84eP1r1Q15seqRM/edit?usp=sharing"",""สุโขทัย!I228"")"),50000)</f>
        <v>50000</v>
      </c>
      <c r="BK28" s="92">
        <f ca="1">IFERROR(__xludf.DUMMYFUNCTION("IMPORTRANGE(""https://docs.google.com/spreadsheets/d/1B0f2xJpZUC6Z0xXnqKlZtEPzsf6L84eP1r1Q15seqRM/edit?usp=sharing"",""สุโขทัย!J228"")"),0)</f>
        <v>0</v>
      </c>
      <c r="BL28" s="93">
        <f t="shared" ca="1" si="112"/>
        <v>0</v>
      </c>
      <c r="BM28" s="92">
        <f ca="1">IFERROR(__xludf.DUMMYFUNCTION("IMPORTRANGE(""https://docs.google.com/spreadsheets/d/1B0f2xJpZUC6Z0xXnqKlZtEPzsf6L84eP1r1Q15seqRM/edit?usp=sharing"",""สุโขทัย!I229"")"),50000)</f>
        <v>50000</v>
      </c>
      <c r="BN28" s="92">
        <f ca="1">IFERROR(__xludf.DUMMYFUNCTION("IMPORTRANGE(""https://docs.google.com/spreadsheets/d/1B0f2xJpZUC6Z0xXnqKlZtEPzsf6L84eP1r1Q15seqRM/edit?usp=sharing"",""สุโขทัย!J229"")"),0)</f>
        <v>0</v>
      </c>
      <c r="BO28" s="93">
        <f t="shared" ca="1" si="114"/>
        <v>0</v>
      </c>
      <c r="BP28" s="92">
        <f ca="1">IFERROR(__xludf.DUMMYFUNCTION("IMPORTRANGE(""https://docs.google.com/spreadsheets/d/1B0f2xJpZUC6Z0xXnqKlZtEPzsf6L84eP1r1Q15seqRM/edit?usp=sharing"",""สุโขทัย!I230"")"),0)</f>
        <v>0</v>
      </c>
      <c r="BQ28" s="92">
        <f ca="1">IFERROR(__xludf.DUMMYFUNCTION("IMPORTRANGE(""https://docs.google.com/spreadsheets/d/1B0f2xJpZUC6Z0xXnqKlZtEPzsf6L84eP1r1Q15seqRM/edit?usp=sharing"",""สุโขทัย!J230"")"),0)</f>
        <v>0</v>
      </c>
      <c r="BR28" s="93">
        <f t="shared" ca="1" si="116"/>
        <v>0</v>
      </c>
      <c r="BS28" s="92">
        <f ca="1">IFERROR(__xludf.DUMMYFUNCTION("IMPORTRANGE(""https://docs.google.com/spreadsheets/d/1B0f2xJpZUC6Z0xXnqKlZtEPzsf6L84eP1r1Q15seqRM/edit?usp=sharing"",""สุโขทัย!L233"")"),0)</f>
        <v>0</v>
      </c>
      <c r="BT28" s="92">
        <f ca="1">IFERROR(__xludf.DUMMYFUNCTION("IMPORTRANGE(""https://docs.google.com/spreadsheets/d/1B0f2xJpZUC6Z0xXnqKlZtEPzsf6L84eP1r1Q15seqRM/edit?usp=sharing"",""สุโขทัย!N233"")"),0)</f>
        <v>0</v>
      </c>
      <c r="BU28" s="93">
        <f t="shared" ca="1" si="118"/>
        <v>0</v>
      </c>
      <c r="BV28" s="92">
        <f ca="1">IFERROR(__xludf.DUMMYFUNCTION("IMPORTRANGE(""https://docs.google.com/spreadsheets/d/1B0f2xJpZUC6Z0xXnqKlZtEPzsf6L84eP1r1Q15seqRM/edit?usp=sharing"",""สุโขทัย!L234"")"),0)</f>
        <v>0</v>
      </c>
      <c r="BW28" s="92">
        <f ca="1">IFERROR(__xludf.DUMMYFUNCTION("IMPORTRANGE(""https://docs.google.com/spreadsheets/d/1B0f2xJpZUC6Z0xXnqKlZtEPzsf6L84eP1r1Q15seqRM/edit?usp=sharing"",""สุโขทัย!N234"")"),0)</f>
        <v>0</v>
      </c>
      <c r="BX28" s="93">
        <f t="shared" ca="1" si="120"/>
        <v>0</v>
      </c>
      <c r="BY28" s="92">
        <f ca="1">IFERROR(__xludf.DUMMYFUNCTION("IMPORTRANGE(""https://docs.google.com/spreadsheets/d/1B0f2xJpZUC6Z0xXnqKlZtEPzsf6L84eP1r1Q15seqRM/edit?usp=sharing"",""สุโขทัย!L235"")"),0)</f>
        <v>0</v>
      </c>
      <c r="BZ28" s="92">
        <f ca="1">IFERROR(__xludf.DUMMYFUNCTION("IMPORTRANGE(""https://docs.google.com/spreadsheets/d/1B0f2xJpZUC6Z0xXnqKlZtEPzsf6L84eP1r1Q15seqRM/edit?usp=sharing"",""สุโขทัย!N235"")"),0)</f>
        <v>0</v>
      </c>
      <c r="CA28" s="93">
        <f t="shared" ca="1" si="122"/>
        <v>0</v>
      </c>
      <c r="CB28" s="92">
        <f ca="1">IFERROR(__xludf.DUMMYFUNCTION("IMPORTRANGE(""https://docs.google.com/spreadsheets/d/1B0f2xJpZUC6Z0xXnqKlZtEPzsf6L84eP1r1Q15seqRM/edit?usp=sharing"",""สุโขทัย!L236"")"),0)</f>
        <v>0</v>
      </c>
      <c r="CC28" s="92">
        <f ca="1">IFERROR(__xludf.DUMMYFUNCTION("IMPORTRANGE(""https://docs.google.com/spreadsheets/d/1B0f2xJpZUC6Z0xXnqKlZtEPzsf6L84eP1r1Q15seqRM/edit?usp=sharing"",""สุโขทัย!N236"")"),0)</f>
        <v>0</v>
      </c>
      <c r="CD28" s="93">
        <f t="shared" ca="1" si="124"/>
        <v>0</v>
      </c>
      <c r="CE28" s="92">
        <f ca="1">IFERROR(__xludf.DUMMYFUNCTION("IMPORTRANGE(""https://docs.google.com/spreadsheets/d/1B0f2xJpZUC6Z0xXnqKlZtEPzsf6L84eP1r1Q15seqRM/edit?usp=sharing"",""สุโขทัย!I238"")"),0)</f>
        <v>0</v>
      </c>
      <c r="CF28" s="92">
        <f ca="1">IFERROR(__xludf.DUMMYFUNCTION("IMPORTRANGE(""https://docs.google.com/spreadsheets/d/1B0f2xJpZUC6Z0xXnqKlZtEPzsf6L84eP1r1Q15seqRM/edit?usp=sharing"",""สุโขทัย!J238"")"),0)</f>
        <v>0</v>
      </c>
      <c r="CG28" s="93">
        <f t="shared" ca="1" si="126"/>
        <v>0</v>
      </c>
      <c r="CH28" s="92">
        <f ca="1">IFERROR(__xludf.DUMMYFUNCTION("IMPORTRANGE(""https://docs.google.com/spreadsheets/d/1B0f2xJpZUC6Z0xXnqKlZtEPzsf6L84eP1r1Q15seqRM/edit?usp=sharing"",""สุโขทัย!J240"")"),0)</f>
        <v>0</v>
      </c>
      <c r="CI28" s="92">
        <f ca="1">IFERROR(__xludf.DUMMYFUNCTION("IMPORTRANGE(""https://docs.google.com/spreadsheets/d/1B0f2xJpZUC6Z0xXnqKlZtEPzsf6L84eP1r1Q15seqRM/edit?usp=sharing"",""สุโขทัย!J241"")"),0)</f>
        <v>0</v>
      </c>
    </row>
    <row r="29" spans="1:87" ht="24" customHeight="1" x14ac:dyDescent="0.3">
      <c r="A29" s="84">
        <v>16</v>
      </c>
      <c r="B29" s="85" t="s">
        <v>51</v>
      </c>
      <c r="C29" s="174">
        <f t="shared" ca="1" si="77"/>
        <v>161500</v>
      </c>
      <c r="D29" s="175">
        <f t="shared" ca="1" si="128"/>
        <v>161500</v>
      </c>
      <c r="E29" s="176">
        <f ca="1">IFERROR(__xludf.DUMMYFUNCTION("IMPORTRANGE(""https://docs.google.com/spreadsheets/d/1-uDff_7J0KD5mKrp0Vvzr7lt3OU09vwQwhkpOPPYv2Y/edit?usp=sharing"",""งบพรบ!CV29"")"),91000)</f>
        <v>91000</v>
      </c>
      <c r="F29" s="176">
        <f ca="1">IFERROR(__xludf.DUMMYFUNCTION("IMPORTRANGE(""https://docs.google.com/spreadsheets/d/1-uDff_7J0KD5mKrp0Vvzr7lt3OU09vwQwhkpOPPYv2Y/edit?usp=sharing"",""งบพรบ!CW29"")"),70500)</f>
        <v>70500</v>
      </c>
      <c r="G29" s="176">
        <f ca="1">IFERROR(__xludf.DUMMYFUNCTION("IMPORTRANGE(""https://docs.google.com/spreadsheets/d/1-uDff_7J0KD5mKrp0Vvzr7lt3OU09vwQwhkpOPPYv2Y/edit?usp=sharing"",""งบพรบ!CX29"")"),0)</f>
        <v>0</v>
      </c>
      <c r="H29" s="176">
        <f ca="1">IFERROR(__xludf.DUMMYFUNCTION("IMPORTRANGE(""https://docs.google.com/spreadsheets/d/1-uDff_7J0KD5mKrp0Vvzr7lt3OU09vwQwhkpOPPYv2Y/edit?usp=sharing"",""งบพรบ!CZ29"")"),105500)</f>
        <v>105500</v>
      </c>
      <c r="I29" s="176">
        <f ca="1">IFERROR(__xludf.DUMMYFUNCTION("IMPORTRANGE(""https://docs.google.com/spreadsheets/d/1-uDff_7J0KD5mKrp0Vvzr7lt3OU09vwQwhkpOPPYv2Y/edit?usp=sharing"",""งบพรบ!DA29"")"),0)</f>
        <v>0</v>
      </c>
      <c r="J29" s="176">
        <f t="shared" ca="1" si="79"/>
        <v>25566</v>
      </c>
      <c r="K29" s="181">
        <f t="shared" ca="1" si="80"/>
        <v>15.830340557275543</v>
      </c>
      <c r="L29" s="176">
        <f ca="1">IFERROR(__xludf.DUMMYFUNCTION("IMPORTRANGE(""https://docs.google.com/spreadsheets/d/1-uDff_7J0KD5mKrp0Vvzr7lt3OU09vwQwhkpOPPYv2Y/edit?usp=sharing"",""งบพรบ!DB29"")"),25566)</f>
        <v>25566</v>
      </c>
      <c r="M29" s="179">
        <f t="shared" ca="1" si="81"/>
        <v>15.830340557275543</v>
      </c>
      <c r="N29" s="179">
        <f t="shared" ca="1" si="82"/>
        <v>24.233175355450236</v>
      </c>
      <c r="O29" s="180">
        <f ca="1">IFERROR(__xludf.DUMMYFUNCTION("IMPORTRANGE(""https://docs.google.com/spreadsheets/d/1-uDff_7J0KD5mKrp0Vvzr7lt3OU09vwQwhkpOPPYv2Y/edit?usp=sharing"",""งบพรบ!DC29"")"),0)</f>
        <v>0</v>
      </c>
      <c r="P29" s="180">
        <f t="shared" ca="1" si="83"/>
        <v>0</v>
      </c>
      <c r="Q29" s="179">
        <f t="shared" ca="1" si="84"/>
        <v>0</v>
      </c>
      <c r="R29" s="92">
        <f ca="1">IFERROR(__xludf.DUMMYFUNCTION("IMPORTRANGE(""https://docs.google.com/spreadsheets/d/1v0b9pFQCsKUVExMei7AgY2yQkdeNQvtOssygGsXbiKo/edit?usp=sharing"",""อุตรดิตถ์!L196"")"),6000)</f>
        <v>6000</v>
      </c>
      <c r="S29" s="92">
        <f ca="1">IFERROR(__xludf.DUMMYFUNCTION("IMPORTRANGE(""https://docs.google.com/spreadsheets/d/1v0b9pFQCsKUVExMei7AgY2yQkdeNQvtOssygGsXbiKo/edit?usp=sharing"",""อุตรดิตถ์!N196"")"),0)</f>
        <v>0</v>
      </c>
      <c r="T29" s="93">
        <f t="shared" ca="1" si="86"/>
        <v>0</v>
      </c>
      <c r="U29" s="92">
        <f ca="1">IFERROR(__xludf.DUMMYFUNCTION("IMPORTRANGE(""https://docs.google.com/spreadsheets/d/1v0b9pFQCsKUVExMei7AgY2yQkdeNQvtOssygGsXbiKo/edit?usp=sharing"",""อุตรดิตถ์!I198"")"),4)</f>
        <v>4</v>
      </c>
      <c r="V29" s="92">
        <f ca="1">IFERROR(__xludf.DUMMYFUNCTION("IMPORTRANGE(""https://docs.google.com/spreadsheets/d/1v0b9pFQCsKUVExMei7AgY2yQkdeNQvtOssygGsXbiKo/edit?usp=sharing"",""อุตรดิตถ์!J198"")"),0)</f>
        <v>0</v>
      </c>
      <c r="W29" s="93">
        <f t="shared" ca="1" si="88"/>
        <v>0</v>
      </c>
      <c r="X29" s="92">
        <f ca="1">IFERROR(__xludf.DUMMYFUNCTION("IMPORTRANGE(""https://docs.google.com/spreadsheets/d/1v0b9pFQCsKUVExMei7AgY2yQkdeNQvtOssygGsXbiKo/edit?usp=sharing"",""อุตรดิตถ์!J199"")"),0)</f>
        <v>0</v>
      </c>
      <c r="Y29" s="92">
        <f ca="1">IFERROR(__xludf.DUMMYFUNCTION("IMPORTRANGE(""https://docs.google.com/spreadsheets/d/1v0b9pFQCsKUVExMei7AgY2yQkdeNQvtOssygGsXbiKo/edit?usp=sharing"",""อุตรดิตถ์!J200"")"),0)</f>
        <v>0</v>
      </c>
      <c r="Z29" s="92">
        <f ca="1">IFERROR(__xludf.DUMMYFUNCTION("IMPORTRANGE(""https://docs.google.com/spreadsheets/d/1v0b9pFQCsKUVExMei7AgY2yQkdeNQvtOssygGsXbiKo/edit?usp=sharing"",""อุตรดิตถ์!J201"")"),0)</f>
        <v>0</v>
      </c>
      <c r="AA29" s="92">
        <f ca="1">IFERROR(__xludf.DUMMYFUNCTION("IMPORTRANGE(""https://docs.google.com/spreadsheets/d/1v0b9pFQCsKUVExMei7AgY2yQkdeNQvtOssygGsXbiKo/edit?usp=sharing"",""อุตรดิตถ์!L204"")"),3000)</f>
        <v>3000</v>
      </c>
      <c r="AB29" s="92">
        <f ca="1">IFERROR(__xludf.DUMMYFUNCTION("IMPORTRANGE(""https://docs.google.com/spreadsheets/d/1v0b9pFQCsKUVExMei7AgY2yQkdeNQvtOssygGsXbiKo/edit?usp=sharing"",""อุตรดิตถ์!N204"")"),0)</f>
        <v>0</v>
      </c>
      <c r="AC29" s="93">
        <f t="shared" ca="1" si="90"/>
        <v>0</v>
      </c>
      <c r="AD29" s="92">
        <f ca="1">IFERROR(__xludf.DUMMYFUNCTION("IMPORTRANGE(""https://docs.google.com/spreadsheets/d/1v0b9pFQCsKUVExMei7AgY2yQkdeNQvtOssygGsXbiKo/edit?usp=sharing"",""อุตรดิตถ์!L206"")"),24000)</f>
        <v>24000</v>
      </c>
      <c r="AE29" s="92">
        <f ca="1">IFERROR(__xludf.DUMMYFUNCTION("IMPORTRANGE(""https://docs.google.com/spreadsheets/d/1v0b9pFQCsKUVExMei7AgY2yQkdeNQvtOssygGsXbiKo/edit?usp=sharing"",""อุตรดิตถ์!N206"")"),0)</f>
        <v>0</v>
      </c>
      <c r="AF29" s="93">
        <f t="shared" ca="1" si="92"/>
        <v>0</v>
      </c>
      <c r="AG29" s="92">
        <f ca="1">IFERROR(__xludf.DUMMYFUNCTION("IMPORTRANGE(""https://docs.google.com/spreadsheets/d/1v0b9pFQCsKUVExMei7AgY2yQkdeNQvtOssygGsXbiKo/edit?usp=sharing"",""อุตรดิตถ์!L207"")"),17000)</f>
        <v>17000</v>
      </c>
      <c r="AH29" s="92">
        <f ca="1">IFERROR(__xludf.DUMMYFUNCTION("IMPORTRANGE(""https://docs.google.com/spreadsheets/d/1v0b9pFQCsKUVExMei7AgY2yQkdeNQvtOssygGsXbiKo/edit?usp=sharing"",""อุตรดิตถ์!N207"")"),0)</f>
        <v>0</v>
      </c>
      <c r="AI29" s="93">
        <f t="shared" ca="1" si="94"/>
        <v>0</v>
      </c>
      <c r="AJ29" s="92">
        <f ca="1">IFERROR(__xludf.DUMMYFUNCTION("IMPORTRANGE(""https://docs.google.com/spreadsheets/d/1v0b9pFQCsKUVExMei7AgY2yQkdeNQvtOssygGsXbiKo/edit?usp=sharing"",""อุตรดิตถ์!I209"")"),3)</f>
        <v>3</v>
      </c>
      <c r="AK29" s="92">
        <f ca="1">IFERROR(__xludf.DUMMYFUNCTION("IMPORTRANGE(""https://docs.google.com/spreadsheets/d/1v0b9pFQCsKUVExMei7AgY2yQkdeNQvtOssygGsXbiKo/edit?usp=sharing"",""อุตรดิตถ์!J209"")"),0)</f>
        <v>0</v>
      </c>
      <c r="AL29" s="93">
        <f t="shared" ca="1" si="96"/>
        <v>0</v>
      </c>
      <c r="AM29" s="92">
        <f ca="1">IFERROR(__xludf.DUMMYFUNCTION("IMPORTRANGE(""https://docs.google.com/spreadsheets/d/1v0b9pFQCsKUVExMei7AgY2yQkdeNQvtOssygGsXbiKo/edit?usp=sharing"",""อุตรดิตถ์!J211"")"),0)</f>
        <v>0</v>
      </c>
      <c r="AN29" s="92">
        <f ca="1">IFERROR(__xludf.DUMMYFUNCTION("IMPORTRANGE(""https://docs.google.com/spreadsheets/d/1v0b9pFQCsKUVExMei7AgY2yQkdeNQvtOssygGsXbiKo/edit?usp=sharing"",""อุตรดิตถ์!J212"")"),0)</f>
        <v>0</v>
      </c>
      <c r="AO29" s="92">
        <f ca="1">IFERROR(__xludf.DUMMYFUNCTION("IMPORTRANGE(""https://docs.google.com/spreadsheets/d/1v0b9pFQCsKUVExMei7AgY2yQkdeNQvtOssygGsXbiKo/edit?usp=sharing"",""อุตรดิตถ์!L215"")"),1000)</f>
        <v>1000</v>
      </c>
      <c r="AP29" s="92">
        <f ca="1">IFERROR(__xludf.DUMMYFUNCTION("IMPORTRANGE(""https://docs.google.com/spreadsheets/d/1v0b9pFQCsKUVExMei7AgY2yQkdeNQvtOssygGsXbiKo/edit?usp=sharing"",""อุตรดิตถ์!N215"")"),0)</f>
        <v>0</v>
      </c>
      <c r="AQ29" s="93">
        <f t="shared" ca="1" si="98"/>
        <v>0</v>
      </c>
      <c r="AR29" s="92">
        <f ca="1">IFERROR(__xludf.DUMMYFUNCTION("IMPORTRANGE(""https://docs.google.com/spreadsheets/d/1v0b9pFQCsKUVExMei7AgY2yQkdeNQvtOssygGsXbiKo/edit?usp=sharing"",""อุตรดิตถ์!L216"")"),5000)</f>
        <v>5000</v>
      </c>
      <c r="AS29" s="92">
        <f ca="1">IFERROR(__xludf.DUMMYFUNCTION("IMPORTRANGE(""https://docs.google.com/spreadsheets/d/1v0b9pFQCsKUVExMei7AgY2yQkdeNQvtOssygGsXbiKo/edit?usp=sharing"",""อุตรดิตถ์!N216"")"),0)</f>
        <v>0</v>
      </c>
      <c r="AT29" s="93">
        <f t="shared" ca="1" si="100"/>
        <v>0</v>
      </c>
      <c r="AU29" s="92">
        <f ca="1">IFERROR(__xludf.DUMMYFUNCTION("IMPORTRANGE(""https://docs.google.com/spreadsheets/d/1v0b9pFQCsKUVExMei7AgY2yQkdeNQvtOssygGsXbiKo/edit?usp=sharing"",""อุตรดิตถ์!L217"")"),8000)</f>
        <v>8000</v>
      </c>
      <c r="AV29" s="92">
        <f ca="1">IFERROR(__xludf.DUMMYFUNCTION("IMPORTRANGE(""https://docs.google.com/spreadsheets/d/1v0b9pFQCsKUVExMei7AgY2yQkdeNQvtOssygGsXbiKo/edit?usp=sharing"",""อุตรดิตถ์!N217"")"),0)</f>
        <v>0</v>
      </c>
      <c r="AW29" s="93">
        <f t="shared" ca="1" si="102"/>
        <v>0</v>
      </c>
      <c r="AX29" s="92">
        <f ca="1">IFERROR(__xludf.DUMMYFUNCTION("IMPORTRANGE(""https://docs.google.com/spreadsheets/d/1v0b9pFQCsKUVExMei7AgY2yQkdeNQvtOssygGsXbiKo/edit?usp=sharing"",""อุตรดิตถ์!I219"")"),1)</f>
        <v>1</v>
      </c>
      <c r="AY29" s="92">
        <f ca="1">IFERROR(__xludf.DUMMYFUNCTION("IMPORTRANGE(""https://docs.google.com/spreadsheets/d/1v0b9pFQCsKUVExMei7AgY2yQkdeNQvtOssygGsXbiKo/edit?usp=sharing"",""อุตรดิตถ์!J219"")"),0)</f>
        <v>0</v>
      </c>
      <c r="AZ29" s="93">
        <f t="shared" ca="1" si="104"/>
        <v>0</v>
      </c>
      <c r="BA29" s="92">
        <f ca="1">IFERROR(__xludf.DUMMYFUNCTION("IMPORTRANGE(""https://docs.google.com/spreadsheets/d/1v0b9pFQCsKUVExMei7AgY2yQkdeNQvtOssygGsXbiKo/edit?usp=sharing"",""อุตรดิตถ์!I220"")"),1)</f>
        <v>1</v>
      </c>
      <c r="BB29" s="92">
        <f ca="1">IFERROR(__xludf.DUMMYFUNCTION("IMPORTRANGE(""https://docs.google.com/spreadsheets/d/1v0b9pFQCsKUVExMei7AgY2yQkdeNQvtOssygGsXbiKo/edit?usp=sharing"",""อุตรดิตถ์!J220"")"),0)</f>
        <v>0</v>
      </c>
      <c r="BC29" s="93">
        <f t="shared" ca="1" si="106"/>
        <v>0</v>
      </c>
      <c r="BD29" s="92">
        <f ca="1">IFERROR(__xludf.DUMMYFUNCTION("IMPORTRANGE(""https://docs.google.com/spreadsheets/d/1v0b9pFQCsKUVExMei7AgY2yQkdeNQvtOssygGsXbiKo/edit?usp=sharing"",""อุตรดิตถ์!L223"")"),5000)</f>
        <v>5000</v>
      </c>
      <c r="BE29" s="92">
        <f ca="1">IFERROR(__xludf.DUMMYFUNCTION("IMPORTRANGE(""https://docs.google.com/spreadsheets/d/1v0b9pFQCsKUVExMei7AgY2yQkdeNQvtOssygGsXbiKo/edit?usp=sharing"",""อุตรดิตถ์!N223"")"),0)</f>
        <v>0</v>
      </c>
      <c r="BF29" s="93">
        <f t="shared" ca="1" si="108"/>
        <v>0</v>
      </c>
      <c r="BG29" s="92">
        <f ca="1">IFERROR(__xludf.DUMMYFUNCTION("IMPORTRANGE(""https://docs.google.com/spreadsheets/d/1v0b9pFQCsKUVExMei7AgY2yQkdeNQvtOssygGsXbiKo/edit?usp=sharing"",""อุตรดิตถ์!L224"")"),1500)</f>
        <v>1500</v>
      </c>
      <c r="BH29" s="92">
        <f ca="1">IFERROR(__xludf.DUMMYFUNCTION("IMPORTRANGE(""https://docs.google.com/spreadsheets/d/1v0b9pFQCsKUVExMei7AgY2yQkdeNQvtOssygGsXbiKo/edit?usp=sharing"",""อุตรดิตถ์!N224"")"),0)</f>
        <v>0</v>
      </c>
      <c r="BI29" s="93">
        <f t="shared" ca="1" si="110"/>
        <v>0</v>
      </c>
      <c r="BJ29" s="92">
        <f ca="1">IFERROR(__xludf.DUMMYFUNCTION("IMPORTRANGE(""https://docs.google.com/spreadsheets/d/1v0b9pFQCsKUVExMei7AgY2yQkdeNQvtOssygGsXbiKo/edit?usp=sharing"",""อุตรดิตถ์!I228"")"),30000)</f>
        <v>30000</v>
      </c>
      <c r="BK29" s="92">
        <f ca="1">IFERROR(__xludf.DUMMYFUNCTION("IMPORTRANGE(""https://docs.google.com/spreadsheets/d/1v0b9pFQCsKUVExMei7AgY2yQkdeNQvtOssygGsXbiKo/edit?usp=sharing"",""อุตรดิตถ์!J228"")"),0)</f>
        <v>0</v>
      </c>
      <c r="BL29" s="93">
        <f t="shared" ca="1" si="112"/>
        <v>0</v>
      </c>
      <c r="BM29" s="92">
        <f ca="1">IFERROR(__xludf.DUMMYFUNCTION("IMPORTRANGE(""https://docs.google.com/spreadsheets/d/1v0b9pFQCsKUVExMei7AgY2yQkdeNQvtOssygGsXbiKo/edit?usp=sharing"",""อุตรดิตถ์!I229"")"),30000)</f>
        <v>30000</v>
      </c>
      <c r="BN29" s="92">
        <f ca="1">IFERROR(__xludf.DUMMYFUNCTION("IMPORTRANGE(""https://docs.google.com/spreadsheets/d/1v0b9pFQCsKUVExMei7AgY2yQkdeNQvtOssygGsXbiKo/edit?usp=sharing"",""อุตรดิตถ์!J229"")"),0)</f>
        <v>0</v>
      </c>
      <c r="BO29" s="93">
        <f t="shared" ca="1" si="114"/>
        <v>0</v>
      </c>
      <c r="BP29" s="92">
        <f ca="1">IFERROR(__xludf.DUMMYFUNCTION("IMPORTRANGE(""https://docs.google.com/spreadsheets/d/1v0b9pFQCsKUVExMei7AgY2yQkdeNQvtOssygGsXbiKo/edit?usp=sharing"",""อุตรดิตถ์!I230"")"),0)</f>
        <v>0</v>
      </c>
      <c r="BQ29" s="92">
        <f ca="1">IFERROR(__xludf.DUMMYFUNCTION("IMPORTRANGE(""https://docs.google.com/spreadsheets/d/1v0b9pFQCsKUVExMei7AgY2yQkdeNQvtOssygGsXbiKo/edit?usp=sharing"",""อุตรดิตถ์!J230"")"),0)</f>
        <v>0</v>
      </c>
      <c r="BR29" s="93">
        <f t="shared" ca="1" si="116"/>
        <v>0</v>
      </c>
      <c r="BS29" s="92">
        <f ca="1">IFERROR(__xludf.DUMMYFUNCTION("IMPORTRANGE(""https://docs.google.com/spreadsheets/d/1v0b9pFQCsKUVExMei7AgY2yQkdeNQvtOssygGsXbiKo/edit?usp=sharing"",""อุตรดิตถ์!L233"")"),0)</f>
        <v>0</v>
      </c>
      <c r="BT29" s="92">
        <f ca="1">IFERROR(__xludf.DUMMYFUNCTION("IMPORTRANGE(""https://docs.google.com/spreadsheets/d/1v0b9pFQCsKUVExMei7AgY2yQkdeNQvtOssygGsXbiKo/edit?usp=sharing"",""อุตรดิตถ์!N233"")"),0)</f>
        <v>0</v>
      </c>
      <c r="BU29" s="93">
        <f t="shared" ca="1" si="118"/>
        <v>0</v>
      </c>
      <c r="BV29" s="92">
        <f ca="1">IFERROR(__xludf.DUMMYFUNCTION("IMPORTRANGE(""https://docs.google.com/spreadsheets/d/1v0b9pFQCsKUVExMei7AgY2yQkdeNQvtOssygGsXbiKo/edit?usp=sharing"",""อุตรดิตถ์!L234"")"),0)</f>
        <v>0</v>
      </c>
      <c r="BW29" s="92">
        <f ca="1">IFERROR(__xludf.DUMMYFUNCTION("IMPORTRANGE(""https://docs.google.com/spreadsheets/d/1v0b9pFQCsKUVExMei7AgY2yQkdeNQvtOssygGsXbiKo/edit?usp=sharing"",""อุตรดิตถ์!N234"")"),0)</f>
        <v>0</v>
      </c>
      <c r="BX29" s="93">
        <f t="shared" ca="1" si="120"/>
        <v>0</v>
      </c>
      <c r="BY29" s="92">
        <f ca="1">IFERROR(__xludf.DUMMYFUNCTION("IMPORTRANGE(""https://docs.google.com/spreadsheets/d/1v0b9pFQCsKUVExMei7AgY2yQkdeNQvtOssygGsXbiKo/edit?usp=sharing"",""อุตรดิตถ์!L235"")"),0)</f>
        <v>0</v>
      </c>
      <c r="BZ29" s="92">
        <f ca="1">IFERROR(__xludf.DUMMYFUNCTION("IMPORTRANGE(""https://docs.google.com/spreadsheets/d/1v0b9pFQCsKUVExMei7AgY2yQkdeNQvtOssygGsXbiKo/edit?usp=sharing"",""อุตรดิตถ์!N235"")"),0)</f>
        <v>0</v>
      </c>
      <c r="CA29" s="93">
        <f t="shared" ca="1" si="122"/>
        <v>0</v>
      </c>
      <c r="CB29" s="92">
        <f ca="1">IFERROR(__xludf.DUMMYFUNCTION("IMPORTRANGE(""https://docs.google.com/spreadsheets/d/1v0b9pFQCsKUVExMei7AgY2yQkdeNQvtOssygGsXbiKo/edit?usp=sharing"",""อุตรดิตถ์!L236"")"),0)</f>
        <v>0</v>
      </c>
      <c r="CC29" s="92">
        <f ca="1">IFERROR(__xludf.DUMMYFUNCTION("IMPORTRANGE(""https://docs.google.com/spreadsheets/d/1v0b9pFQCsKUVExMei7AgY2yQkdeNQvtOssygGsXbiKo/edit?usp=sharing"",""อุตรดิตถ์!N236"")"),0)</f>
        <v>0</v>
      </c>
      <c r="CD29" s="93">
        <f t="shared" ca="1" si="124"/>
        <v>0</v>
      </c>
      <c r="CE29" s="92">
        <f ca="1">IFERROR(__xludf.DUMMYFUNCTION("IMPORTRANGE(""https://docs.google.com/spreadsheets/d/1v0b9pFQCsKUVExMei7AgY2yQkdeNQvtOssygGsXbiKo/edit?usp=sharing"",""อุตรดิตถ์!I238"")"),0)</f>
        <v>0</v>
      </c>
      <c r="CF29" s="92">
        <f ca="1">IFERROR(__xludf.DUMMYFUNCTION("IMPORTRANGE(""https://docs.google.com/spreadsheets/d/1v0b9pFQCsKUVExMei7AgY2yQkdeNQvtOssygGsXbiKo/edit?usp=sharing"",""อุตรดิตถ์!J238"")"),0)</f>
        <v>0</v>
      </c>
      <c r="CG29" s="93">
        <f t="shared" ca="1" si="126"/>
        <v>0</v>
      </c>
      <c r="CH29" s="92">
        <f ca="1">IFERROR(__xludf.DUMMYFUNCTION("IMPORTRANGE(""https://docs.google.com/spreadsheets/d/1v0b9pFQCsKUVExMei7AgY2yQkdeNQvtOssygGsXbiKo/edit?usp=sharing"",""อุตรดิตถ์!J240"")"),0)</f>
        <v>0</v>
      </c>
      <c r="CI29" s="92">
        <f ca="1">IFERROR(__xludf.DUMMYFUNCTION("IMPORTRANGE(""https://docs.google.com/spreadsheets/d/1v0b9pFQCsKUVExMei7AgY2yQkdeNQvtOssygGsXbiKo/edit?usp=sharing"",""อุตรดิตถ์!J241"")"),0)</f>
        <v>0</v>
      </c>
    </row>
    <row r="30" spans="1:87" ht="24" customHeight="1" x14ac:dyDescent="0.3">
      <c r="A30" s="95">
        <v>17</v>
      </c>
      <c r="B30" s="96" t="s">
        <v>52</v>
      </c>
      <c r="C30" s="184">
        <f t="shared" ca="1" si="77"/>
        <v>40500</v>
      </c>
      <c r="D30" s="185">
        <f t="shared" ca="1" si="128"/>
        <v>40500</v>
      </c>
      <c r="E30" s="186">
        <f ca="1">IFERROR(__xludf.DUMMYFUNCTION("IMPORTRANGE(""https://docs.google.com/spreadsheets/d/1-uDff_7J0KD5mKrp0Vvzr7lt3OU09vwQwhkpOPPYv2Y/edit?usp=sharing"",""งบพรบ!CV30"")"),0)</f>
        <v>0</v>
      </c>
      <c r="F30" s="186">
        <f ca="1">IFERROR(__xludf.DUMMYFUNCTION("IMPORTRANGE(""https://docs.google.com/spreadsheets/d/1-uDff_7J0KD5mKrp0Vvzr7lt3OU09vwQwhkpOPPYv2Y/edit?usp=sharing"",""งบพรบ!CW30"")"),40500)</f>
        <v>40500</v>
      </c>
      <c r="G30" s="186">
        <f ca="1">IFERROR(__xludf.DUMMYFUNCTION("IMPORTRANGE(""https://docs.google.com/spreadsheets/d/1-uDff_7J0KD5mKrp0Vvzr7lt3OU09vwQwhkpOPPYv2Y/edit?usp=sharing"",""งบพรบ!CX30"")"),0)</f>
        <v>0</v>
      </c>
      <c r="H30" s="186">
        <f ca="1">IFERROR(__xludf.DUMMYFUNCTION("IMPORTRANGE(""https://docs.google.com/spreadsheets/d/1-uDff_7J0KD5mKrp0Vvzr7lt3OU09vwQwhkpOPPYv2Y/edit?usp=sharing"",""งบพรบ!CZ30"")"),22500)</f>
        <v>22500</v>
      </c>
      <c r="I30" s="186">
        <f ca="1">IFERROR(__xludf.DUMMYFUNCTION("IMPORTRANGE(""https://docs.google.com/spreadsheets/d/1-uDff_7J0KD5mKrp0Vvzr7lt3OU09vwQwhkpOPPYv2Y/edit?usp=sharing"",""งบพรบ!DA30"")"),0)</f>
        <v>0</v>
      </c>
      <c r="J30" s="186">
        <f t="shared" ca="1" si="79"/>
        <v>1000</v>
      </c>
      <c r="K30" s="187">
        <f t="shared" ca="1" si="80"/>
        <v>2.4691358024691357</v>
      </c>
      <c r="L30" s="186">
        <f ca="1">IFERROR(__xludf.DUMMYFUNCTION("IMPORTRANGE(""https://docs.google.com/spreadsheets/d/1-uDff_7J0KD5mKrp0Vvzr7lt3OU09vwQwhkpOPPYv2Y/edit?usp=sharing"",""งบพรบ!DB30"")"),1000)</f>
        <v>1000</v>
      </c>
      <c r="M30" s="188">
        <f t="shared" ca="1" si="81"/>
        <v>2.4691358024691357</v>
      </c>
      <c r="N30" s="188">
        <f t="shared" ca="1" si="82"/>
        <v>4.4444444444444446</v>
      </c>
      <c r="O30" s="189">
        <f ca="1">IFERROR(__xludf.DUMMYFUNCTION("IMPORTRANGE(""https://docs.google.com/spreadsheets/d/1-uDff_7J0KD5mKrp0Vvzr7lt3OU09vwQwhkpOPPYv2Y/edit?usp=sharing"",""งบพรบ!DC30"")"),0)</f>
        <v>0</v>
      </c>
      <c r="P30" s="189">
        <f t="shared" ca="1" si="83"/>
        <v>0</v>
      </c>
      <c r="Q30" s="188">
        <f t="shared" ca="1" si="84"/>
        <v>0</v>
      </c>
      <c r="R30" s="103">
        <f ca="1">IFERROR(__xludf.DUMMYFUNCTION("IMPORTRANGE(""https://docs.google.com/spreadsheets/d/1UsNK1e-WWiCo2PvGqdNfdme4m17_Ezd3J69EeeiQPD0/edit?usp=sharing"",""อุทัยธานี!L196"")"),6000)</f>
        <v>6000</v>
      </c>
      <c r="S30" s="103">
        <f ca="1">IFERROR(__xludf.DUMMYFUNCTION("IMPORTRANGE(""https://docs.google.com/spreadsheets/d/1UsNK1e-WWiCo2PvGqdNfdme4m17_Ezd3J69EeeiQPD0/edit?usp=sharing"",""อุทัยธานี!N196"")"),0)</f>
        <v>0</v>
      </c>
      <c r="T30" s="104">
        <f t="shared" ca="1" si="86"/>
        <v>0</v>
      </c>
      <c r="U30" s="103">
        <f ca="1">IFERROR(__xludf.DUMMYFUNCTION("IMPORTRANGE(""https://docs.google.com/spreadsheets/d/1UsNK1e-WWiCo2PvGqdNfdme4m17_Ezd3J69EeeiQPD0/edit?usp=sharing"",""อุทัยธานี!I198"")"),4)</f>
        <v>4</v>
      </c>
      <c r="V30" s="103">
        <f ca="1">IFERROR(__xludf.DUMMYFUNCTION("IMPORTRANGE(""https://docs.google.com/spreadsheets/d/1UsNK1e-WWiCo2PvGqdNfdme4m17_Ezd3J69EeeiQPD0/edit?usp=sharing"",""อุทัยธานี!J198"")"),0)</f>
        <v>0</v>
      </c>
      <c r="W30" s="104">
        <f t="shared" ca="1" si="88"/>
        <v>0</v>
      </c>
      <c r="X30" s="103">
        <f ca="1">IFERROR(__xludf.DUMMYFUNCTION("IMPORTRANGE(""https://docs.google.com/spreadsheets/d/1UsNK1e-WWiCo2PvGqdNfdme4m17_Ezd3J69EeeiQPD0/edit?usp=sharing"",""อุทัยธานี!J199"")"),0)</f>
        <v>0</v>
      </c>
      <c r="Y30" s="103">
        <f ca="1">IFERROR(__xludf.DUMMYFUNCTION("IMPORTRANGE(""https://docs.google.com/spreadsheets/d/1UsNK1e-WWiCo2PvGqdNfdme4m17_Ezd3J69EeeiQPD0/edit?usp=sharing"",""อุทัยธานี!J200"")"),0)</f>
        <v>0</v>
      </c>
      <c r="Z30" s="103">
        <f ca="1">IFERROR(__xludf.DUMMYFUNCTION("IMPORTRANGE(""https://docs.google.com/spreadsheets/d/1UsNK1e-WWiCo2PvGqdNfdme4m17_Ezd3J69EeeiQPD0/edit?usp=sharing"",""อุทัยธานี!J201"")"),0)</f>
        <v>0</v>
      </c>
      <c r="AA30" s="103">
        <f ca="1">IFERROR(__xludf.DUMMYFUNCTION("IMPORTRANGE(""https://docs.google.com/spreadsheets/d/1UsNK1e-WWiCo2PvGqdNfdme4m17_Ezd3J69EeeiQPD0/edit?usp=sharing"",""อุทัยธานี!L204"")"),2000)</f>
        <v>2000</v>
      </c>
      <c r="AB30" s="103">
        <f ca="1">IFERROR(__xludf.DUMMYFUNCTION("IMPORTRANGE(""https://docs.google.com/spreadsheets/d/1UsNK1e-WWiCo2PvGqdNfdme4m17_Ezd3J69EeeiQPD0/edit?usp=sharing"",""อุทัยธานี!N204"")"),0)</f>
        <v>0</v>
      </c>
      <c r="AC30" s="104">
        <f t="shared" ca="1" si="90"/>
        <v>0</v>
      </c>
      <c r="AD30" s="103">
        <f ca="1">IFERROR(__xludf.DUMMYFUNCTION("IMPORTRANGE(""https://docs.google.com/spreadsheets/d/1UsNK1e-WWiCo2PvGqdNfdme4m17_Ezd3J69EeeiQPD0/edit?usp=sharing"",""อุทัยธานี!L206"")"),16000)</f>
        <v>16000</v>
      </c>
      <c r="AE30" s="103">
        <f ca="1">IFERROR(__xludf.DUMMYFUNCTION("IMPORTRANGE(""https://docs.google.com/spreadsheets/d/1UsNK1e-WWiCo2PvGqdNfdme4m17_Ezd3J69EeeiQPD0/edit?usp=sharing"",""อุทัยธานี!N206"")"),0)</f>
        <v>0</v>
      </c>
      <c r="AF30" s="104">
        <f t="shared" ca="1" si="92"/>
        <v>0</v>
      </c>
      <c r="AG30" s="103">
        <f ca="1">IFERROR(__xludf.DUMMYFUNCTION("IMPORTRANGE(""https://docs.google.com/spreadsheets/d/1UsNK1e-WWiCo2PvGqdNfdme4m17_Ezd3J69EeeiQPD0/edit?usp=sharing"",""อุทัยธานี!L207"")"),8000)</f>
        <v>8000</v>
      </c>
      <c r="AH30" s="103">
        <f ca="1">IFERROR(__xludf.DUMMYFUNCTION("IMPORTRANGE(""https://docs.google.com/spreadsheets/d/1UsNK1e-WWiCo2PvGqdNfdme4m17_Ezd3J69EeeiQPD0/edit?usp=sharing"",""อุทัยธานี!N207"")"),0)</f>
        <v>0</v>
      </c>
      <c r="AI30" s="104">
        <f t="shared" ca="1" si="94"/>
        <v>0</v>
      </c>
      <c r="AJ30" s="103">
        <f ca="1">IFERROR(__xludf.DUMMYFUNCTION("IMPORTRANGE(""https://docs.google.com/spreadsheets/d/1UsNK1e-WWiCo2PvGqdNfdme4m17_Ezd3J69EeeiQPD0/edit?usp=sharing"",""อุทัยธานี!I209"")"),2)</f>
        <v>2</v>
      </c>
      <c r="AK30" s="103">
        <f ca="1">IFERROR(__xludf.DUMMYFUNCTION("IMPORTRANGE(""https://docs.google.com/spreadsheets/d/1UsNK1e-WWiCo2PvGqdNfdme4m17_Ezd3J69EeeiQPD0/edit?usp=sharing"",""อุทัยธานี!J209"")"),0)</f>
        <v>0</v>
      </c>
      <c r="AL30" s="104">
        <f t="shared" ca="1" si="96"/>
        <v>0</v>
      </c>
      <c r="AM30" s="103">
        <f ca="1">IFERROR(__xludf.DUMMYFUNCTION("IMPORTRANGE(""https://docs.google.com/spreadsheets/d/1UsNK1e-WWiCo2PvGqdNfdme4m17_Ezd3J69EeeiQPD0/edit?usp=sharing"",""อุทัยธานี!J211"")"),0)</f>
        <v>0</v>
      </c>
      <c r="AN30" s="103">
        <f ca="1">IFERROR(__xludf.DUMMYFUNCTION("IMPORTRANGE(""https://docs.google.com/spreadsheets/d/1UsNK1e-WWiCo2PvGqdNfdme4m17_Ezd3J69EeeiQPD0/edit?usp=sharing"",""อุทัยธานี!J212"")"),0)</f>
        <v>0</v>
      </c>
      <c r="AO30" s="103">
        <f ca="1">IFERROR(__xludf.DUMMYFUNCTION("IMPORTRANGE(""https://docs.google.com/spreadsheets/d/1UsNK1e-WWiCo2PvGqdNfdme4m17_Ezd3J69EeeiQPD0/edit?usp=sharing"",""อุทัยธานี!L215"")"),0)</f>
        <v>0</v>
      </c>
      <c r="AP30" s="103">
        <f ca="1">IFERROR(__xludf.DUMMYFUNCTION("IMPORTRANGE(""https://docs.google.com/spreadsheets/d/1UsNK1e-WWiCo2PvGqdNfdme4m17_Ezd3J69EeeiQPD0/edit?usp=sharing"",""อุทัยธานี!N215"")"),0)</f>
        <v>0</v>
      </c>
      <c r="AQ30" s="104">
        <f t="shared" ca="1" si="98"/>
        <v>0</v>
      </c>
      <c r="AR30" s="103">
        <f ca="1">IFERROR(__xludf.DUMMYFUNCTION("IMPORTRANGE(""https://docs.google.com/spreadsheets/d/1UsNK1e-WWiCo2PvGqdNfdme4m17_Ezd3J69EeeiQPD0/edit?usp=sharing"",""อุทัยธานี!L216"")"),0)</f>
        <v>0</v>
      </c>
      <c r="AS30" s="103">
        <f ca="1">IFERROR(__xludf.DUMMYFUNCTION("IMPORTRANGE(""https://docs.google.com/spreadsheets/d/1UsNK1e-WWiCo2PvGqdNfdme4m17_Ezd3J69EeeiQPD0/edit?usp=sharing"",""อุทัยธานี!N216"")"),0)</f>
        <v>0</v>
      </c>
      <c r="AT30" s="104">
        <f t="shared" ca="1" si="100"/>
        <v>0</v>
      </c>
      <c r="AU30" s="103">
        <f ca="1">IFERROR(__xludf.DUMMYFUNCTION("IMPORTRANGE(""https://docs.google.com/spreadsheets/d/1UsNK1e-WWiCo2PvGqdNfdme4m17_Ezd3J69EeeiQPD0/edit?usp=sharing"",""อุทัยธานี!L217"")"),0)</f>
        <v>0</v>
      </c>
      <c r="AV30" s="103">
        <f ca="1">IFERROR(__xludf.DUMMYFUNCTION("IMPORTRANGE(""https://docs.google.com/spreadsheets/d/1UsNK1e-WWiCo2PvGqdNfdme4m17_Ezd3J69EeeiQPD0/edit?usp=sharing"",""อุทัยธานี!N217"")"),0)</f>
        <v>0</v>
      </c>
      <c r="AW30" s="104">
        <f t="shared" ca="1" si="102"/>
        <v>0</v>
      </c>
      <c r="AX30" s="103">
        <f ca="1">IFERROR(__xludf.DUMMYFUNCTION("IMPORTRANGE(""https://docs.google.com/spreadsheets/d/1UsNK1e-WWiCo2PvGqdNfdme4m17_Ezd3J69EeeiQPD0/edit?usp=sharing"",""อุทัยธานี!I219"")"),0)</f>
        <v>0</v>
      </c>
      <c r="AY30" s="103">
        <f ca="1">IFERROR(__xludf.DUMMYFUNCTION("IMPORTRANGE(""https://docs.google.com/spreadsheets/d/1UsNK1e-WWiCo2PvGqdNfdme4m17_Ezd3J69EeeiQPD0/edit?usp=sharing"",""อุทัยธานี!J219"")"),0)</f>
        <v>0</v>
      </c>
      <c r="AZ30" s="104">
        <f t="shared" ca="1" si="104"/>
        <v>0</v>
      </c>
      <c r="BA30" s="103">
        <f ca="1">IFERROR(__xludf.DUMMYFUNCTION("IMPORTRANGE(""https://docs.google.com/spreadsheets/d/1UsNK1e-WWiCo2PvGqdNfdme4m17_Ezd3J69EeeiQPD0/edit?usp=sharing"",""อุทัยธานี!I220"")"),0)</f>
        <v>0</v>
      </c>
      <c r="BB30" s="103">
        <f ca="1">IFERROR(__xludf.DUMMYFUNCTION("IMPORTRANGE(""https://docs.google.com/spreadsheets/d/1UsNK1e-WWiCo2PvGqdNfdme4m17_Ezd3J69EeeiQPD0/edit?usp=sharing"",""อุทัยธานี!J220"")"),0)</f>
        <v>0</v>
      </c>
      <c r="BC30" s="104">
        <f t="shared" ca="1" si="106"/>
        <v>0</v>
      </c>
      <c r="BD30" s="103">
        <f ca="1">IFERROR(__xludf.DUMMYFUNCTION("IMPORTRANGE(""https://docs.google.com/spreadsheets/d/1UsNK1e-WWiCo2PvGqdNfdme4m17_Ezd3J69EeeiQPD0/edit?usp=sharing"",""อุทัยธานี!L223"")"),7000)</f>
        <v>7000</v>
      </c>
      <c r="BE30" s="103">
        <f ca="1">IFERROR(__xludf.DUMMYFUNCTION("IMPORTRANGE(""https://docs.google.com/spreadsheets/d/1UsNK1e-WWiCo2PvGqdNfdme4m17_Ezd3J69EeeiQPD0/edit?usp=sharing"",""อุทัยธานี!N223"")"),0)</f>
        <v>0</v>
      </c>
      <c r="BF30" s="104">
        <f t="shared" ca="1" si="108"/>
        <v>0</v>
      </c>
      <c r="BG30" s="103">
        <f ca="1">IFERROR(__xludf.DUMMYFUNCTION("IMPORTRANGE(""https://docs.google.com/spreadsheets/d/1UsNK1e-WWiCo2PvGqdNfdme4m17_Ezd3J69EeeiQPD0/edit?usp=sharing"",""อุทัยธานี!L224"")"),1500)</f>
        <v>1500</v>
      </c>
      <c r="BH30" s="103">
        <f ca="1">IFERROR(__xludf.DUMMYFUNCTION("IMPORTRANGE(""https://docs.google.com/spreadsheets/d/1UsNK1e-WWiCo2PvGqdNfdme4m17_Ezd3J69EeeiQPD0/edit?usp=sharing"",""อุทัยธานี!N224"")"),0)</f>
        <v>0</v>
      </c>
      <c r="BI30" s="104">
        <f t="shared" ca="1" si="110"/>
        <v>0</v>
      </c>
      <c r="BJ30" s="103">
        <f ca="1">IFERROR(__xludf.DUMMYFUNCTION("IMPORTRANGE(""https://docs.google.com/spreadsheets/d/1UsNK1e-WWiCo2PvGqdNfdme4m17_Ezd3J69EeeiQPD0/edit?usp=sharing"",""อุทัยธานี!I228"")"),50000)</f>
        <v>50000</v>
      </c>
      <c r="BK30" s="103">
        <f ca="1">IFERROR(__xludf.DUMMYFUNCTION("IMPORTRANGE(""https://docs.google.com/spreadsheets/d/1UsNK1e-WWiCo2PvGqdNfdme4m17_Ezd3J69EeeiQPD0/edit?usp=sharing"",""อุทัยธานี!J228"")"),0)</f>
        <v>0</v>
      </c>
      <c r="BL30" s="104">
        <f t="shared" ca="1" si="112"/>
        <v>0</v>
      </c>
      <c r="BM30" s="103">
        <f ca="1">IFERROR(__xludf.DUMMYFUNCTION("IMPORTRANGE(""https://docs.google.com/spreadsheets/d/1UsNK1e-WWiCo2PvGqdNfdme4m17_Ezd3J69EeeiQPD0/edit?usp=sharing"",""อุทัยธานี!I229"")"),50000)</f>
        <v>50000</v>
      </c>
      <c r="BN30" s="103">
        <f ca="1">IFERROR(__xludf.DUMMYFUNCTION("IMPORTRANGE(""https://docs.google.com/spreadsheets/d/1UsNK1e-WWiCo2PvGqdNfdme4m17_Ezd3J69EeeiQPD0/edit?usp=sharing"",""อุทัยธานี!J229"")"),0)</f>
        <v>0</v>
      </c>
      <c r="BO30" s="104">
        <f t="shared" ca="1" si="114"/>
        <v>0</v>
      </c>
      <c r="BP30" s="103">
        <f ca="1">IFERROR(__xludf.DUMMYFUNCTION("IMPORTRANGE(""https://docs.google.com/spreadsheets/d/1UsNK1e-WWiCo2PvGqdNfdme4m17_Ezd3J69EeeiQPD0/edit?usp=sharing"",""อุทัยธานี!I230"")"),0)</f>
        <v>0</v>
      </c>
      <c r="BQ30" s="103">
        <f ca="1">IFERROR(__xludf.DUMMYFUNCTION("IMPORTRANGE(""https://docs.google.com/spreadsheets/d/1UsNK1e-WWiCo2PvGqdNfdme4m17_Ezd3J69EeeiQPD0/edit?usp=sharing"",""อุทัยธานี!J230"")"),0)</f>
        <v>0</v>
      </c>
      <c r="BR30" s="104">
        <f t="shared" ca="1" si="116"/>
        <v>0</v>
      </c>
      <c r="BS30" s="103">
        <f ca="1">IFERROR(__xludf.DUMMYFUNCTION("IMPORTRANGE(""https://docs.google.com/spreadsheets/d/1UsNK1e-WWiCo2PvGqdNfdme4m17_Ezd3J69EeeiQPD0/edit?usp=sharing"",""อุทัยธานี!L233"")"),0)</f>
        <v>0</v>
      </c>
      <c r="BT30" s="103">
        <f ca="1">IFERROR(__xludf.DUMMYFUNCTION("IMPORTRANGE(""https://docs.google.com/spreadsheets/d/1UsNK1e-WWiCo2PvGqdNfdme4m17_Ezd3J69EeeiQPD0/edit?usp=sharing"",""อุทัยธานี!N233"")"),0)</f>
        <v>0</v>
      </c>
      <c r="BU30" s="104">
        <f t="shared" ca="1" si="118"/>
        <v>0</v>
      </c>
      <c r="BV30" s="103">
        <f ca="1">IFERROR(__xludf.DUMMYFUNCTION("IMPORTRANGE(""https://docs.google.com/spreadsheets/d/1UsNK1e-WWiCo2PvGqdNfdme4m17_Ezd3J69EeeiQPD0/edit?usp=sharing"",""อุทัยธานี!L234"")"),0)</f>
        <v>0</v>
      </c>
      <c r="BW30" s="103">
        <f ca="1">IFERROR(__xludf.DUMMYFUNCTION("IMPORTRANGE(""https://docs.google.com/spreadsheets/d/1UsNK1e-WWiCo2PvGqdNfdme4m17_Ezd3J69EeeiQPD0/edit?usp=sharing"",""อุทัยธานี!N234"")"),0)</f>
        <v>0</v>
      </c>
      <c r="BX30" s="104">
        <f t="shared" ca="1" si="120"/>
        <v>0</v>
      </c>
      <c r="BY30" s="103">
        <f ca="1">IFERROR(__xludf.DUMMYFUNCTION("IMPORTRANGE(""https://docs.google.com/spreadsheets/d/1UsNK1e-WWiCo2PvGqdNfdme4m17_Ezd3J69EeeiQPD0/edit?usp=sharing"",""อุทัยธานี!L235"")"),0)</f>
        <v>0</v>
      </c>
      <c r="BZ30" s="103">
        <f ca="1">IFERROR(__xludf.DUMMYFUNCTION("IMPORTRANGE(""https://docs.google.com/spreadsheets/d/1UsNK1e-WWiCo2PvGqdNfdme4m17_Ezd3J69EeeiQPD0/edit?usp=sharing"",""อุทัยธานี!N235"")"),0)</f>
        <v>0</v>
      </c>
      <c r="CA30" s="104">
        <f t="shared" ca="1" si="122"/>
        <v>0</v>
      </c>
      <c r="CB30" s="103">
        <f ca="1">IFERROR(__xludf.DUMMYFUNCTION("IMPORTRANGE(""https://docs.google.com/spreadsheets/d/1UsNK1e-WWiCo2PvGqdNfdme4m17_Ezd3J69EeeiQPD0/edit?usp=sharing"",""อุทัยธานี!L236"")"),0)</f>
        <v>0</v>
      </c>
      <c r="CC30" s="103">
        <f ca="1">IFERROR(__xludf.DUMMYFUNCTION("IMPORTRANGE(""https://docs.google.com/spreadsheets/d/1UsNK1e-WWiCo2PvGqdNfdme4m17_Ezd3J69EeeiQPD0/edit?usp=sharing"",""อุทัยธานี!N236"")"),0)</f>
        <v>0</v>
      </c>
      <c r="CD30" s="104">
        <f t="shared" ca="1" si="124"/>
        <v>0</v>
      </c>
      <c r="CE30" s="103">
        <f ca="1">IFERROR(__xludf.DUMMYFUNCTION("IMPORTRANGE(""https://docs.google.com/spreadsheets/d/1UsNK1e-WWiCo2PvGqdNfdme4m17_Ezd3J69EeeiQPD0/edit?usp=sharing"",""อุทัยธานี!I238"")"),0)</f>
        <v>0</v>
      </c>
      <c r="CF30" s="103">
        <f ca="1">IFERROR(__xludf.DUMMYFUNCTION("IMPORTRANGE(""https://docs.google.com/spreadsheets/d/1UsNK1e-WWiCo2PvGqdNfdme4m17_Ezd3J69EeeiQPD0/edit?usp=sharing"",""อุทัยธานี!J238"")"),0)</f>
        <v>0</v>
      </c>
      <c r="CG30" s="104">
        <f t="shared" ca="1" si="126"/>
        <v>0</v>
      </c>
      <c r="CH30" s="103">
        <f ca="1">IFERROR(__xludf.DUMMYFUNCTION("IMPORTRANGE(""https://docs.google.com/spreadsheets/d/1UsNK1e-WWiCo2PvGqdNfdme4m17_Ezd3J69EeeiQPD0/edit?usp=sharing"",""อุทัยธานี!J240"")"),0)</f>
        <v>0</v>
      </c>
      <c r="CI30" s="103">
        <f ca="1">IFERROR(__xludf.DUMMYFUNCTION("IMPORTRANGE(""https://docs.google.com/spreadsheets/d/1UsNK1e-WWiCo2PvGqdNfdme4m17_Ezd3J69EeeiQPD0/edit?usp=sharing"",""อุทัยธานี!J241"")"),0)</f>
        <v>0</v>
      </c>
    </row>
    <row r="31" spans="1:87" ht="21" customHeight="1" x14ac:dyDescent="0.3">
      <c r="A31" s="395" t="s">
        <v>53</v>
      </c>
      <c r="B31" s="396"/>
      <c r="C31" s="154">
        <f t="shared" ca="1" si="77"/>
        <v>3091200</v>
      </c>
      <c r="D31" s="154">
        <f t="shared" ref="D31:I31" ca="1" si="129">SUM(D32:D51)</f>
        <v>3091200</v>
      </c>
      <c r="E31" s="154">
        <f t="shared" ca="1" si="129"/>
        <v>1543800</v>
      </c>
      <c r="F31" s="154">
        <f t="shared" ca="1" si="129"/>
        <v>1547400</v>
      </c>
      <c r="G31" s="154">
        <f t="shared" ca="1" si="129"/>
        <v>0</v>
      </c>
      <c r="H31" s="154">
        <f t="shared" ca="1" si="129"/>
        <v>2116400</v>
      </c>
      <c r="I31" s="154">
        <f t="shared" ca="1" si="129"/>
        <v>0</v>
      </c>
      <c r="J31" s="154">
        <f t="shared" ca="1" si="79"/>
        <v>485849.96</v>
      </c>
      <c r="K31" s="155">
        <f t="shared" ca="1" si="80"/>
        <v>15.717195910973086</v>
      </c>
      <c r="L31" s="154">
        <f ca="1">SUM(L32:L51)</f>
        <v>485849.96</v>
      </c>
      <c r="M31" s="156">
        <f t="shared" ca="1" si="81"/>
        <v>15.717195910973086</v>
      </c>
      <c r="N31" s="156">
        <f t="shared" ca="1" si="82"/>
        <v>22.956433566433567</v>
      </c>
      <c r="O31" s="157">
        <f ca="1">SUM(O32:O51)</f>
        <v>0</v>
      </c>
      <c r="P31" s="157">
        <f t="shared" ca="1" si="83"/>
        <v>0</v>
      </c>
      <c r="Q31" s="156">
        <f t="shared" ca="1" si="84"/>
        <v>0</v>
      </c>
      <c r="R31" s="68">
        <f t="shared" ref="R31:S31" ca="1" si="130">SUM(R32:R51)</f>
        <v>120000</v>
      </c>
      <c r="S31" s="68">
        <f t="shared" ca="1" si="130"/>
        <v>0</v>
      </c>
      <c r="T31" s="107">
        <f t="shared" ca="1" si="86"/>
        <v>0</v>
      </c>
      <c r="U31" s="68">
        <f t="shared" ref="U31:V31" ca="1" si="131">SUM(U32:U51)</f>
        <v>80</v>
      </c>
      <c r="V31" s="68">
        <f t="shared" ca="1" si="131"/>
        <v>4</v>
      </c>
      <c r="W31" s="107">
        <f t="shared" ca="1" si="88"/>
        <v>5</v>
      </c>
      <c r="X31" s="68">
        <f t="shared" ref="X31:AB31" ca="1" si="132">SUM(X32:X51)</f>
        <v>62</v>
      </c>
      <c r="Y31" s="68">
        <f t="shared" ca="1" si="132"/>
        <v>62</v>
      </c>
      <c r="Z31" s="68">
        <f t="shared" ca="1" si="132"/>
        <v>0</v>
      </c>
      <c r="AA31" s="68">
        <f t="shared" ca="1" si="132"/>
        <v>44000</v>
      </c>
      <c r="AB31" s="68">
        <f t="shared" ca="1" si="132"/>
        <v>0</v>
      </c>
      <c r="AC31" s="107">
        <f t="shared" ca="1" si="90"/>
        <v>0</v>
      </c>
      <c r="AD31" s="68">
        <f t="shared" ref="AD31:AE31" ca="1" si="133">SUM(AD32:AD51)</f>
        <v>352000</v>
      </c>
      <c r="AE31" s="68">
        <f t="shared" ca="1" si="133"/>
        <v>0</v>
      </c>
      <c r="AF31" s="107">
        <f t="shared" ca="1" si="92"/>
        <v>0</v>
      </c>
      <c r="AG31" s="68">
        <f t="shared" ref="AG31:AH31" ca="1" si="134">SUM(AG32:AG51)</f>
        <v>214000</v>
      </c>
      <c r="AH31" s="68">
        <f t="shared" ca="1" si="134"/>
        <v>0</v>
      </c>
      <c r="AI31" s="107">
        <f t="shared" ca="1" si="94"/>
        <v>0</v>
      </c>
      <c r="AJ31" s="68">
        <f t="shared" ref="AJ31:AK31" ca="1" si="135">SUM(AJ32:AJ51)</f>
        <v>44</v>
      </c>
      <c r="AK31" s="68">
        <f t="shared" ca="1" si="135"/>
        <v>0</v>
      </c>
      <c r="AL31" s="107">
        <f t="shared" ca="1" si="96"/>
        <v>0</v>
      </c>
      <c r="AM31" s="68">
        <f t="shared" ref="AM31:AP31" ca="1" si="136">SUM(AM32:AM51)</f>
        <v>0</v>
      </c>
      <c r="AN31" s="68">
        <f t="shared" ca="1" si="136"/>
        <v>0</v>
      </c>
      <c r="AO31" s="68">
        <f t="shared" ca="1" si="136"/>
        <v>22000</v>
      </c>
      <c r="AP31" s="68">
        <f t="shared" ca="1" si="136"/>
        <v>0</v>
      </c>
      <c r="AQ31" s="107">
        <f t="shared" ca="1" si="98"/>
        <v>0</v>
      </c>
      <c r="AR31" s="68">
        <f t="shared" ref="AR31:AS31" ca="1" si="137">SUM(AR32:AR51)</f>
        <v>110000</v>
      </c>
      <c r="AS31" s="68">
        <f t="shared" ca="1" si="137"/>
        <v>0</v>
      </c>
      <c r="AT31" s="107">
        <f t="shared" ca="1" si="100"/>
        <v>0</v>
      </c>
      <c r="AU31" s="68">
        <f t="shared" ref="AU31:AV31" ca="1" si="138">SUM(AU32:AU51)</f>
        <v>176000</v>
      </c>
      <c r="AV31" s="68">
        <f t="shared" ca="1" si="138"/>
        <v>0</v>
      </c>
      <c r="AW31" s="107">
        <f t="shared" ca="1" si="102"/>
        <v>0</v>
      </c>
      <c r="AX31" s="68">
        <f t="shared" ref="AX31:AY31" ca="1" si="139">SUM(AX32:AX51)</f>
        <v>22</v>
      </c>
      <c r="AY31" s="68">
        <f t="shared" ca="1" si="139"/>
        <v>0</v>
      </c>
      <c r="AZ31" s="107">
        <f t="shared" ca="1" si="104"/>
        <v>0</v>
      </c>
      <c r="BA31" s="68">
        <f t="shared" ref="BA31:BB31" ca="1" si="140">SUM(BA32:BA51)</f>
        <v>22</v>
      </c>
      <c r="BB31" s="68">
        <f t="shared" ca="1" si="140"/>
        <v>0</v>
      </c>
      <c r="BC31" s="107">
        <f t="shared" ca="1" si="106"/>
        <v>0</v>
      </c>
      <c r="BD31" s="68">
        <f t="shared" ref="BD31:BE31" ca="1" si="141">SUM(BD32:BD51)</f>
        <v>124000</v>
      </c>
      <c r="BE31" s="68">
        <f t="shared" ca="1" si="141"/>
        <v>0</v>
      </c>
      <c r="BF31" s="107">
        <f t="shared" ca="1" si="108"/>
        <v>0</v>
      </c>
      <c r="BG31" s="68">
        <f t="shared" ref="BG31:BH31" ca="1" si="142">SUM(BG32:BG51)</f>
        <v>30000</v>
      </c>
      <c r="BH31" s="68">
        <f t="shared" ca="1" si="142"/>
        <v>0</v>
      </c>
      <c r="BI31" s="107">
        <f t="shared" ca="1" si="110"/>
        <v>0</v>
      </c>
      <c r="BJ31" s="68">
        <f t="shared" ref="BJ31:BK31" ca="1" si="143">SUM(BJ32:BJ51)</f>
        <v>887800</v>
      </c>
      <c r="BK31" s="68">
        <f t="shared" ca="1" si="143"/>
        <v>0</v>
      </c>
      <c r="BL31" s="107">
        <f t="shared" ca="1" si="112"/>
        <v>0</v>
      </c>
      <c r="BM31" s="68">
        <f t="shared" ref="BM31:BN31" ca="1" si="144">SUM(BM32:BM51)</f>
        <v>887800</v>
      </c>
      <c r="BN31" s="68">
        <f t="shared" ca="1" si="144"/>
        <v>0</v>
      </c>
      <c r="BO31" s="107">
        <f t="shared" ca="1" si="114"/>
        <v>0</v>
      </c>
      <c r="BP31" s="68">
        <f t="shared" ref="BP31:BQ31" ca="1" si="145">SUM(BP32:BP51)</f>
        <v>0</v>
      </c>
      <c r="BQ31" s="68">
        <f t="shared" ca="1" si="145"/>
        <v>0</v>
      </c>
      <c r="BR31" s="107">
        <f t="shared" ca="1" si="116"/>
        <v>0</v>
      </c>
      <c r="BS31" s="68">
        <f t="shared" ref="BS31:BT31" ca="1" si="146">SUM(BS32:BS51)</f>
        <v>111000</v>
      </c>
      <c r="BT31" s="68">
        <f t="shared" ca="1" si="146"/>
        <v>0</v>
      </c>
      <c r="BU31" s="107">
        <f t="shared" ca="1" si="118"/>
        <v>0</v>
      </c>
      <c r="BV31" s="68">
        <f t="shared" ref="BV31:BW31" ca="1" si="147">SUM(BV32:BV51)</f>
        <v>6000</v>
      </c>
      <c r="BW31" s="68">
        <f t="shared" ca="1" si="147"/>
        <v>0</v>
      </c>
      <c r="BX31" s="107">
        <f t="shared" ca="1" si="120"/>
        <v>0</v>
      </c>
      <c r="BY31" s="68">
        <f t="shared" ref="BY31:BZ31" ca="1" si="148">SUM(BY32:BY51)</f>
        <v>172400</v>
      </c>
      <c r="BZ31" s="68">
        <f t="shared" ca="1" si="148"/>
        <v>0</v>
      </c>
      <c r="CA31" s="107">
        <f t="shared" ca="1" si="122"/>
        <v>0</v>
      </c>
      <c r="CB31" s="68">
        <f t="shared" ref="CB31:CC31" ca="1" si="149">SUM(CB32:CB51)</f>
        <v>66000</v>
      </c>
      <c r="CC31" s="68">
        <f t="shared" ca="1" si="149"/>
        <v>0</v>
      </c>
      <c r="CD31" s="107">
        <f t="shared" ca="1" si="124"/>
        <v>0</v>
      </c>
      <c r="CE31" s="68">
        <f t="shared" ref="CE31:CF31" ca="1" si="150">SUM(CE32:CE51)</f>
        <v>80</v>
      </c>
      <c r="CF31" s="68">
        <f t="shared" ca="1" si="150"/>
        <v>0</v>
      </c>
      <c r="CG31" s="107">
        <f t="shared" ca="1" si="126"/>
        <v>0</v>
      </c>
      <c r="CH31" s="68">
        <f t="shared" ref="CH31:CI31" ca="1" si="151">SUM(CH32:CH51)</f>
        <v>0</v>
      </c>
      <c r="CI31" s="68">
        <f t="shared" ca="1" si="151"/>
        <v>0</v>
      </c>
    </row>
    <row r="32" spans="1:87" ht="21" customHeight="1" x14ac:dyDescent="0.3">
      <c r="A32" s="74">
        <v>1</v>
      </c>
      <c r="B32" s="75" t="s">
        <v>54</v>
      </c>
      <c r="C32" s="174">
        <f t="shared" ca="1" si="77"/>
        <v>228500</v>
      </c>
      <c r="D32" s="175">
        <f t="shared" ref="D32:D51" ca="1" si="152">+E32+F32</f>
        <v>228500</v>
      </c>
      <c r="E32" s="176">
        <f ca="1">IFERROR(__xludf.DUMMYFUNCTION("IMPORTRANGE(""https://docs.google.com/spreadsheets/d/1-uDff_7J0KD5mKrp0Vvzr7lt3OU09vwQwhkpOPPYv2Y/edit?usp=sharing"",""งบพรบ!CV32"")"),182000)</f>
        <v>182000</v>
      </c>
      <c r="F32" s="176">
        <f ca="1">IFERROR(__xludf.DUMMYFUNCTION("IMPORTRANGE(""https://docs.google.com/spreadsheets/d/1-uDff_7J0KD5mKrp0Vvzr7lt3OU09vwQwhkpOPPYv2Y/edit?usp=sharing"",""งบพรบ!CW32"")"),46500)</f>
        <v>46500</v>
      </c>
      <c r="G32" s="177">
        <f ca="1">IFERROR(__xludf.DUMMYFUNCTION("IMPORTRANGE(""https://docs.google.com/spreadsheets/d/1-uDff_7J0KD5mKrp0Vvzr7lt3OU09vwQwhkpOPPYv2Y/edit?usp=sharing"",""งบพรบ!CX32"")"),0)</f>
        <v>0</v>
      </c>
      <c r="H32" s="177">
        <f ca="1">IFERROR(__xludf.DUMMYFUNCTION("IMPORTRANGE(""https://docs.google.com/spreadsheets/d/1-uDff_7J0KD5mKrp0Vvzr7lt3OU09vwQwhkpOPPYv2Y/edit?usp=sharing"",""งบพรบ!CZ32"")"),152500)</f>
        <v>152500</v>
      </c>
      <c r="I32" s="177">
        <f ca="1">IFERROR(__xludf.DUMMYFUNCTION("IMPORTRANGE(""https://docs.google.com/spreadsheets/d/1-uDff_7J0KD5mKrp0Vvzr7lt3OU09vwQwhkpOPPYv2Y/edit?usp=sharing"",""งบพรบ!DA32"")"),0)</f>
        <v>0</v>
      </c>
      <c r="J32" s="177">
        <f t="shared" ca="1" si="79"/>
        <v>26000</v>
      </c>
      <c r="K32" s="178">
        <f t="shared" ca="1" si="80"/>
        <v>11.37855579868709</v>
      </c>
      <c r="L32" s="177">
        <f ca="1">IFERROR(__xludf.DUMMYFUNCTION("IMPORTRANGE(""https://docs.google.com/spreadsheets/d/1-uDff_7J0KD5mKrp0Vvzr7lt3OU09vwQwhkpOPPYv2Y/edit?usp=sharing"",""งบพรบ!DB32"")"),26000)</f>
        <v>26000</v>
      </c>
      <c r="M32" s="179">
        <f t="shared" ca="1" si="81"/>
        <v>11.37855579868709</v>
      </c>
      <c r="N32" s="179">
        <f t="shared" ca="1" si="82"/>
        <v>17.049180327868854</v>
      </c>
      <c r="O32" s="180">
        <f ca="1">IFERROR(__xludf.DUMMYFUNCTION("IMPORTRANGE(""https://docs.google.com/spreadsheets/d/1-uDff_7J0KD5mKrp0Vvzr7lt3OU09vwQwhkpOPPYv2Y/edit?usp=sharing"",""งบพรบ!DC32"")"),0)</f>
        <v>0</v>
      </c>
      <c r="P32" s="180">
        <f t="shared" ca="1" si="83"/>
        <v>0</v>
      </c>
      <c r="Q32" s="179">
        <f t="shared" ca="1" si="84"/>
        <v>0</v>
      </c>
      <c r="R32" s="79">
        <f ca="1">IFERROR(__xludf.DUMMYFUNCTION("IMPORTRANGE(""https://docs.google.com/spreadsheets/d/1yhBcrRPreicbMKl9Bu_Snb2-OcQAF62RKfhTLhJ2eAA/edit?usp=sharing"",""กาฬสินธุ์!L196"")"),6000)</f>
        <v>6000</v>
      </c>
      <c r="S32" s="79">
        <f ca="1">IFERROR(__xludf.DUMMYFUNCTION("IMPORTRANGE(""https://docs.google.com/spreadsheets/d/1yhBcrRPreicbMKl9Bu_Snb2-OcQAF62RKfhTLhJ2eAA/edit?usp=sharing"",""กาฬสินธุ์!N196"")"),0)</f>
        <v>0</v>
      </c>
      <c r="T32" s="83">
        <f t="shared" ca="1" si="86"/>
        <v>0</v>
      </c>
      <c r="U32" s="79">
        <f ca="1">IFERROR(__xludf.DUMMYFUNCTION("IMPORTRANGE(""https://docs.google.com/spreadsheets/d/1yhBcrRPreicbMKl9Bu_Snb2-OcQAF62RKfhTLhJ2eAA/edit?usp=sharing"",""กาฬสินธุ์!I198"")"),4)</f>
        <v>4</v>
      </c>
      <c r="V32" s="79">
        <f ca="1">IFERROR(__xludf.DUMMYFUNCTION("IMPORTRANGE(""https://docs.google.com/spreadsheets/d/1yhBcrRPreicbMKl9Bu_Snb2-OcQAF62RKfhTLhJ2eAA/edit?usp=sharing"",""กาฬสินธุ์!J198"")"),0)</f>
        <v>0</v>
      </c>
      <c r="W32" s="83">
        <f t="shared" ca="1" si="88"/>
        <v>0</v>
      </c>
      <c r="X32" s="79">
        <f ca="1">IFERROR(__xludf.DUMMYFUNCTION("IMPORTRANGE(""https://docs.google.com/spreadsheets/d/1yhBcrRPreicbMKl9Bu_Snb2-OcQAF62RKfhTLhJ2eAA/edit?usp=sharing"",""กาฬสินธุ์!J199"")"),0)</f>
        <v>0</v>
      </c>
      <c r="Y32" s="79">
        <f ca="1">IFERROR(__xludf.DUMMYFUNCTION("IMPORTRANGE(""https://docs.google.com/spreadsheets/d/1yhBcrRPreicbMKl9Bu_Snb2-OcQAF62RKfhTLhJ2eAA/edit?usp=sharing"",""กาฬสินธุ์!J200"")"),0)</f>
        <v>0</v>
      </c>
      <c r="Z32" s="79">
        <f ca="1">IFERROR(__xludf.DUMMYFUNCTION("IMPORTRANGE(""https://docs.google.com/spreadsheets/d/1yhBcrRPreicbMKl9Bu_Snb2-OcQAF62RKfhTLhJ2eAA/edit?usp=sharing"",""กาฬสินธุ์!J201"")"),0)</f>
        <v>0</v>
      </c>
      <c r="AA32" s="79">
        <f ca="1">IFERROR(__xludf.DUMMYFUNCTION("IMPORTRANGE(""https://docs.google.com/spreadsheets/d/1yhBcrRPreicbMKl9Bu_Snb2-OcQAF62RKfhTLhJ2eAA/edit?usp=sharing"",""กาฬสินธุ์!L204"")"),2000)</f>
        <v>2000</v>
      </c>
      <c r="AB32" s="79">
        <f ca="1">IFERROR(__xludf.DUMMYFUNCTION("IMPORTRANGE(""https://docs.google.com/spreadsheets/d/1yhBcrRPreicbMKl9Bu_Snb2-OcQAF62RKfhTLhJ2eAA/edit?usp=sharing"",""กาฬสินธุ์!N204"")"),0)</f>
        <v>0</v>
      </c>
      <c r="AC32" s="83">
        <f t="shared" ca="1" si="90"/>
        <v>0</v>
      </c>
      <c r="AD32" s="79">
        <f ca="1">IFERROR(__xludf.DUMMYFUNCTION("IMPORTRANGE(""https://docs.google.com/spreadsheets/d/1yhBcrRPreicbMKl9Bu_Snb2-OcQAF62RKfhTLhJ2eAA/edit?usp=sharing"",""กาฬสินธุ์!L206"")"),16000)</f>
        <v>16000</v>
      </c>
      <c r="AE32" s="79">
        <f ca="1">IFERROR(__xludf.DUMMYFUNCTION("IMPORTRANGE(""https://docs.google.com/spreadsheets/d/1yhBcrRPreicbMKl9Bu_Snb2-OcQAF62RKfhTLhJ2eAA/edit?usp=sharing"",""กาฬสินธุ์!N206"")"),0)</f>
        <v>0</v>
      </c>
      <c r="AF32" s="83">
        <f t="shared" ca="1" si="92"/>
        <v>0</v>
      </c>
      <c r="AG32" s="79">
        <f ca="1">IFERROR(__xludf.DUMMYFUNCTION("IMPORTRANGE(""https://docs.google.com/spreadsheets/d/1yhBcrRPreicbMKl9Bu_Snb2-OcQAF62RKfhTLhJ2eAA/edit?usp=sharing"",""กาฬสินธุ์!L207"")"),8000)</f>
        <v>8000</v>
      </c>
      <c r="AH32" s="79">
        <f ca="1">IFERROR(__xludf.DUMMYFUNCTION("IMPORTRANGE(""https://docs.google.com/spreadsheets/d/1yhBcrRPreicbMKl9Bu_Snb2-OcQAF62RKfhTLhJ2eAA/edit?usp=sharing"",""กาฬสินธุ์!N207"")"),0)</f>
        <v>0</v>
      </c>
      <c r="AI32" s="83">
        <f t="shared" ca="1" si="94"/>
        <v>0</v>
      </c>
      <c r="AJ32" s="79">
        <f ca="1">IFERROR(__xludf.DUMMYFUNCTION("IMPORTRANGE(""https://docs.google.com/spreadsheets/d/1yhBcrRPreicbMKl9Bu_Snb2-OcQAF62RKfhTLhJ2eAA/edit?usp=sharing"",""กาฬสินธุ์!I209"")"),2)</f>
        <v>2</v>
      </c>
      <c r="AK32" s="79">
        <f ca="1">IFERROR(__xludf.DUMMYFUNCTION("IMPORTRANGE(""https://docs.google.com/spreadsheets/d/1yhBcrRPreicbMKl9Bu_Snb2-OcQAF62RKfhTLhJ2eAA/edit?usp=sharing"",""กาฬสินธุ์!J209"")"),0)</f>
        <v>0</v>
      </c>
      <c r="AL32" s="83">
        <f t="shared" ca="1" si="96"/>
        <v>0</v>
      </c>
      <c r="AM32" s="79">
        <f ca="1">IFERROR(__xludf.DUMMYFUNCTION("IMPORTRANGE(""https://docs.google.com/spreadsheets/d/1yhBcrRPreicbMKl9Bu_Snb2-OcQAF62RKfhTLhJ2eAA/edit?usp=sharing"",""กาฬสินธุ์!J211"")"),0)</f>
        <v>0</v>
      </c>
      <c r="AN32" s="79">
        <f ca="1">IFERROR(__xludf.DUMMYFUNCTION("IMPORTRANGE(""https://docs.google.com/spreadsheets/d/1yhBcrRPreicbMKl9Bu_Snb2-OcQAF62RKfhTLhJ2eAA/edit?usp=sharing"",""กาฬสินธุ์!J212"")"),0)</f>
        <v>0</v>
      </c>
      <c r="AO32" s="79">
        <f ca="1">IFERROR(__xludf.DUMMYFUNCTION("IMPORTRANGE(""https://docs.google.com/spreadsheets/d/1yhBcrRPreicbMKl9Bu_Snb2-OcQAF62RKfhTLhJ2eAA/edit?usp=sharing"",""กาฬสินธุ์!L215"")"),0)</f>
        <v>0</v>
      </c>
      <c r="AP32" s="79">
        <f ca="1">IFERROR(__xludf.DUMMYFUNCTION("IMPORTRANGE(""https://docs.google.com/spreadsheets/d/1yhBcrRPreicbMKl9Bu_Snb2-OcQAF62RKfhTLhJ2eAA/edit?usp=sharing"",""กาฬสินธุ์!N215"")"),0)</f>
        <v>0</v>
      </c>
      <c r="AQ32" s="83">
        <f t="shared" ca="1" si="98"/>
        <v>0</v>
      </c>
      <c r="AR32" s="79">
        <f ca="1">IFERROR(__xludf.DUMMYFUNCTION("IMPORTRANGE(""https://docs.google.com/spreadsheets/d/1yhBcrRPreicbMKl9Bu_Snb2-OcQAF62RKfhTLhJ2eAA/edit?usp=sharing"",""กาฬสินธุ์!L216"")"),0)</f>
        <v>0</v>
      </c>
      <c r="AS32" s="79">
        <f ca="1">IFERROR(__xludf.DUMMYFUNCTION("IMPORTRANGE(""https://docs.google.com/spreadsheets/d/1yhBcrRPreicbMKl9Bu_Snb2-OcQAF62RKfhTLhJ2eAA/edit?usp=sharing"",""กาฬสินธุ์!N216"")"),0)</f>
        <v>0</v>
      </c>
      <c r="AT32" s="83">
        <f t="shared" ca="1" si="100"/>
        <v>0</v>
      </c>
      <c r="AU32" s="79">
        <f ca="1">IFERROR(__xludf.DUMMYFUNCTION("IMPORTRANGE(""https://docs.google.com/spreadsheets/d/1yhBcrRPreicbMKl9Bu_Snb2-OcQAF62RKfhTLhJ2eAA/edit?usp=sharing"",""กาฬสินธุ์!L217"")"),0)</f>
        <v>0</v>
      </c>
      <c r="AV32" s="79">
        <f ca="1">IFERROR(__xludf.DUMMYFUNCTION("IMPORTRANGE(""https://docs.google.com/spreadsheets/d/1yhBcrRPreicbMKl9Bu_Snb2-OcQAF62RKfhTLhJ2eAA/edit?usp=sharing"",""กาฬสินธุ์!N217"")"),0)</f>
        <v>0</v>
      </c>
      <c r="AW32" s="83">
        <f t="shared" ca="1" si="102"/>
        <v>0</v>
      </c>
      <c r="AX32" s="79">
        <f ca="1">IFERROR(__xludf.DUMMYFUNCTION("IMPORTRANGE(""https://docs.google.com/spreadsheets/d/1yhBcrRPreicbMKl9Bu_Snb2-OcQAF62RKfhTLhJ2eAA/edit?usp=sharing"",""กาฬสินธุ์!I219"")"),0)</f>
        <v>0</v>
      </c>
      <c r="AY32" s="79">
        <f ca="1">IFERROR(__xludf.DUMMYFUNCTION("IMPORTRANGE(""https://docs.google.com/spreadsheets/d/1yhBcrRPreicbMKl9Bu_Snb2-OcQAF62RKfhTLhJ2eAA/edit?usp=sharing"",""กาฬสินธุ์!J219"")"),0)</f>
        <v>0</v>
      </c>
      <c r="AZ32" s="83">
        <f t="shared" ca="1" si="104"/>
        <v>0</v>
      </c>
      <c r="BA32" s="79">
        <f ca="1">IFERROR(__xludf.DUMMYFUNCTION("IMPORTRANGE(""https://docs.google.com/spreadsheets/d/1yhBcrRPreicbMKl9Bu_Snb2-OcQAF62RKfhTLhJ2eAA/edit?usp=sharing"",""กาฬสินธุ์!I220"")"),0)</f>
        <v>0</v>
      </c>
      <c r="BB32" s="79">
        <f ca="1">IFERROR(__xludf.DUMMYFUNCTION("IMPORTRANGE(""https://docs.google.com/spreadsheets/d/1yhBcrRPreicbMKl9Bu_Snb2-OcQAF62RKfhTLhJ2eAA/edit?usp=sharing"",""กาฬสินธุ์!J220"")"),0)</f>
        <v>0</v>
      </c>
      <c r="BC32" s="83">
        <f t="shared" ca="1" si="106"/>
        <v>0</v>
      </c>
      <c r="BD32" s="79">
        <f ca="1">IFERROR(__xludf.DUMMYFUNCTION("IMPORTRANGE(""https://docs.google.com/spreadsheets/d/1yhBcrRPreicbMKl9Bu_Snb2-OcQAF62RKfhTLhJ2eAA/edit?usp=sharing"",""กาฬสินธุ์!L223"")"),13000)</f>
        <v>13000</v>
      </c>
      <c r="BE32" s="79">
        <f ca="1">IFERROR(__xludf.DUMMYFUNCTION("IMPORTRANGE(""https://docs.google.com/spreadsheets/d/1yhBcrRPreicbMKl9Bu_Snb2-OcQAF62RKfhTLhJ2eAA/edit?usp=sharing"",""กาฬสินธุ์!N223"")"),0)</f>
        <v>0</v>
      </c>
      <c r="BF32" s="83">
        <f t="shared" ca="1" si="108"/>
        <v>0</v>
      </c>
      <c r="BG32" s="79">
        <f ca="1">IFERROR(__xludf.DUMMYFUNCTION("IMPORTRANGE(""https://docs.google.com/spreadsheets/d/1yhBcrRPreicbMKl9Bu_Snb2-OcQAF62RKfhTLhJ2eAA/edit?usp=sharing"",""กาฬสินธุ์!L224"")"),1500)</f>
        <v>1500</v>
      </c>
      <c r="BH32" s="79">
        <f ca="1">IFERROR(__xludf.DUMMYFUNCTION("IMPORTRANGE(""https://docs.google.com/spreadsheets/d/1yhBcrRPreicbMKl9Bu_Snb2-OcQAF62RKfhTLhJ2eAA/edit?usp=sharing"",""กาฬสินธุ์!N224"")"),0)</f>
        <v>0</v>
      </c>
      <c r="BI32" s="83">
        <f t="shared" ca="1" si="110"/>
        <v>0</v>
      </c>
      <c r="BJ32" s="79">
        <f ca="1">IFERROR(__xludf.DUMMYFUNCTION("IMPORTRANGE(""https://docs.google.com/spreadsheets/d/1yhBcrRPreicbMKl9Bu_Snb2-OcQAF62RKfhTLhJ2eAA/edit?usp=sharing"",""กาฬสินธุ์!I228"")"),123000)</f>
        <v>123000</v>
      </c>
      <c r="BK32" s="79">
        <f ca="1">IFERROR(__xludf.DUMMYFUNCTION("IMPORTRANGE(""https://docs.google.com/spreadsheets/d/1yhBcrRPreicbMKl9Bu_Snb2-OcQAF62RKfhTLhJ2eAA/edit?usp=sharing"",""กาฬสินธุ์!J228"")"),0)</f>
        <v>0</v>
      </c>
      <c r="BL32" s="83">
        <f t="shared" ca="1" si="112"/>
        <v>0</v>
      </c>
      <c r="BM32" s="79">
        <f ca="1">IFERROR(__xludf.DUMMYFUNCTION("IMPORTRANGE(""https://docs.google.com/spreadsheets/d/1yhBcrRPreicbMKl9Bu_Snb2-OcQAF62RKfhTLhJ2eAA/edit?usp=sharing"",""กาฬสินธุ์!I229"")"),123000)</f>
        <v>123000</v>
      </c>
      <c r="BN32" s="79">
        <f ca="1">IFERROR(__xludf.DUMMYFUNCTION("IMPORTRANGE(""https://docs.google.com/spreadsheets/d/1yhBcrRPreicbMKl9Bu_Snb2-OcQAF62RKfhTLhJ2eAA/edit?usp=sharing"",""กาฬสินธุ์!J229"")"),0)</f>
        <v>0</v>
      </c>
      <c r="BO32" s="83">
        <f t="shared" ca="1" si="114"/>
        <v>0</v>
      </c>
      <c r="BP32" s="79">
        <f ca="1">IFERROR(__xludf.DUMMYFUNCTION("IMPORTRANGE(""https://docs.google.com/spreadsheets/d/1yhBcrRPreicbMKl9Bu_Snb2-OcQAF62RKfhTLhJ2eAA/edit?usp=sharing"",""กาฬสินธุ์!I230"")"),0)</f>
        <v>0</v>
      </c>
      <c r="BQ32" s="79">
        <f ca="1">IFERROR(__xludf.DUMMYFUNCTION("IMPORTRANGE(""https://docs.google.com/spreadsheets/d/1yhBcrRPreicbMKl9Bu_Snb2-OcQAF62RKfhTLhJ2eAA/edit?usp=sharing"",""กาฬสินธุ์!J230"")"),0)</f>
        <v>0</v>
      </c>
      <c r="BR32" s="83">
        <f t="shared" ca="1" si="116"/>
        <v>0</v>
      </c>
      <c r="BS32" s="79">
        <f ca="1">IFERROR(__xludf.DUMMYFUNCTION("IMPORTRANGE(""https://docs.google.com/spreadsheets/d/1yhBcrRPreicbMKl9Bu_Snb2-OcQAF62RKfhTLhJ2eAA/edit?usp=sharing"",""กาฬสินธุ์!L233"")"),0)</f>
        <v>0</v>
      </c>
      <c r="BT32" s="79">
        <f ca="1">IFERROR(__xludf.DUMMYFUNCTION("IMPORTRANGE(""https://docs.google.com/spreadsheets/d/1yhBcrRPreicbMKl9Bu_Snb2-OcQAF62RKfhTLhJ2eAA/edit?usp=sharing"",""กาฬสินธุ์!N233"")"),0)</f>
        <v>0</v>
      </c>
      <c r="BU32" s="83">
        <f t="shared" ca="1" si="118"/>
        <v>0</v>
      </c>
      <c r="BV32" s="79">
        <f ca="1">IFERROR(__xludf.DUMMYFUNCTION("IMPORTRANGE(""https://docs.google.com/spreadsheets/d/1yhBcrRPreicbMKl9Bu_Snb2-OcQAF62RKfhTLhJ2eAA/edit?usp=sharing"",""กาฬสินธุ์!L234"")"),0)</f>
        <v>0</v>
      </c>
      <c r="BW32" s="79">
        <f ca="1">IFERROR(__xludf.DUMMYFUNCTION("IMPORTRANGE(""https://docs.google.com/spreadsheets/d/1yhBcrRPreicbMKl9Bu_Snb2-OcQAF62RKfhTLhJ2eAA/edit?usp=sharing"",""กาฬสินธุ์!N234"")"),0)</f>
        <v>0</v>
      </c>
      <c r="BX32" s="83">
        <f t="shared" ca="1" si="120"/>
        <v>0</v>
      </c>
      <c r="BY32" s="79">
        <f ca="1">IFERROR(__xludf.DUMMYFUNCTION("IMPORTRANGE(""https://docs.google.com/spreadsheets/d/1yhBcrRPreicbMKl9Bu_Snb2-OcQAF62RKfhTLhJ2eAA/edit?usp=sharing"",""กาฬสินธุ์!L235"")"),0)</f>
        <v>0</v>
      </c>
      <c r="BZ32" s="79">
        <f ca="1">IFERROR(__xludf.DUMMYFUNCTION("IMPORTRANGE(""https://docs.google.com/spreadsheets/d/1yhBcrRPreicbMKl9Bu_Snb2-OcQAF62RKfhTLhJ2eAA/edit?usp=sharing"",""กาฬสินธุ์!N235"")"),0)</f>
        <v>0</v>
      </c>
      <c r="CA32" s="83">
        <f t="shared" ca="1" si="122"/>
        <v>0</v>
      </c>
      <c r="CB32" s="79">
        <f ca="1">IFERROR(__xludf.DUMMYFUNCTION("IMPORTRANGE(""https://docs.google.com/spreadsheets/d/1yhBcrRPreicbMKl9Bu_Snb2-OcQAF62RKfhTLhJ2eAA/edit?usp=sharing"",""กาฬสินธุ์!L236"")"),0)</f>
        <v>0</v>
      </c>
      <c r="CC32" s="79">
        <f ca="1">IFERROR(__xludf.DUMMYFUNCTION("IMPORTRANGE(""https://docs.google.com/spreadsheets/d/1yhBcrRPreicbMKl9Bu_Snb2-OcQAF62RKfhTLhJ2eAA/edit?usp=sharing"",""กาฬสินธุ์!N236"")"),0)</f>
        <v>0</v>
      </c>
      <c r="CD32" s="83">
        <f t="shared" ca="1" si="124"/>
        <v>0</v>
      </c>
      <c r="CE32" s="79">
        <f ca="1">IFERROR(__xludf.DUMMYFUNCTION("IMPORTRANGE(""https://docs.google.com/spreadsheets/d/1yhBcrRPreicbMKl9Bu_Snb2-OcQAF62RKfhTLhJ2eAA/edit?usp=sharing"",""กาฬสินธุ์!I238"")"),0)</f>
        <v>0</v>
      </c>
      <c r="CF32" s="79">
        <f ca="1">IFERROR(__xludf.DUMMYFUNCTION("IMPORTRANGE(""https://docs.google.com/spreadsheets/d/1yhBcrRPreicbMKl9Bu_Snb2-OcQAF62RKfhTLhJ2eAA/edit?usp=sharing"",""กาฬสินธุ์!J238"")"),0)</f>
        <v>0</v>
      </c>
      <c r="CG32" s="83">
        <f t="shared" ca="1" si="126"/>
        <v>0</v>
      </c>
      <c r="CH32" s="79">
        <f ca="1">IFERROR(__xludf.DUMMYFUNCTION("IMPORTRANGE(""https://docs.google.com/spreadsheets/d/1yhBcrRPreicbMKl9Bu_Snb2-OcQAF62RKfhTLhJ2eAA/edit?usp=sharing"",""กาฬสินธุ์!J240"")"),0)</f>
        <v>0</v>
      </c>
      <c r="CI32" s="79">
        <f ca="1">IFERROR(__xludf.DUMMYFUNCTION("IMPORTRANGE(""https://docs.google.com/spreadsheets/d/1yhBcrRPreicbMKl9Bu_Snb2-OcQAF62RKfhTLhJ2eAA/edit?usp=sharing"",""กาฬสินธุ์!J241"")"),0)</f>
        <v>0</v>
      </c>
    </row>
    <row r="33" spans="1:87" ht="21" customHeight="1" x14ac:dyDescent="0.3">
      <c r="A33" s="84">
        <v>2</v>
      </c>
      <c r="B33" s="85" t="s">
        <v>55</v>
      </c>
      <c r="C33" s="174">
        <f t="shared" ca="1" si="77"/>
        <v>40500</v>
      </c>
      <c r="D33" s="175">
        <f t="shared" ca="1" si="152"/>
        <v>40500</v>
      </c>
      <c r="E33" s="176">
        <f ca="1">IFERROR(__xludf.DUMMYFUNCTION("IMPORTRANGE(""https://docs.google.com/spreadsheets/d/1-uDff_7J0KD5mKrp0Vvzr7lt3OU09vwQwhkpOPPYv2Y/edit?usp=sharing"",""งบพรบ!CV33"")"),0)</f>
        <v>0</v>
      </c>
      <c r="F33" s="176">
        <f ca="1">IFERROR(__xludf.DUMMYFUNCTION("IMPORTRANGE(""https://docs.google.com/spreadsheets/d/1-uDff_7J0KD5mKrp0Vvzr7lt3OU09vwQwhkpOPPYv2Y/edit?usp=sharing"",""งบพรบ!CW33"")"),40500)</f>
        <v>40500</v>
      </c>
      <c r="G33" s="176">
        <f ca="1">IFERROR(__xludf.DUMMYFUNCTION("IMPORTRANGE(""https://docs.google.com/spreadsheets/d/1-uDff_7J0KD5mKrp0Vvzr7lt3OU09vwQwhkpOPPYv2Y/edit?usp=sharing"",""งบพรบ!CX33"")"),0)</f>
        <v>0</v>
      </c>
      <c r="H33" s="176">
        <f ca="1">IFERROR(__xludf.DUMMYFUNCTION("IMPORTRANGE(""https://docs.google.com/spreadsheets/d/1-uDff_7J0KD5mKrp0Vvzr7lt3OU09vwQwhkpOPPYv2Y/edit?usp=sharing"",""งบพรบ!CZ33"")"),22500)</f>
        <v>22500</v>
      </c>
      <c r="I33" s="176">
        <f ca="1">IFERROR(__xludf.DUMMYFUNCTION("IMPORTRANGE(""https://docs.google.com/spreadsheets/d/1-uDff_7J0KD5mKrp0Vvzr7lt3OU09vwQwhkpOPPYv2Y/edit?usp=sharing"",""งบพรบ!DA33"")"),0)</f>
        <v>0</v>
      </c>
      <c r="J33" s="176">
        <f t="shared" ca="1" si="79"/>
        <v>1680</v>
      </c>
      <c r="K33" s="181">
        <f t="shared" ca="1" si="80"/>
        <v>4.1481481481481479</v>
      </c>
      <c r="L33" s="176">
        <f ca="1">IFERROR(__xludf.DUMMYFUNCTION("IMPORTRANGE(""https://docs.google.com/spreadsheets/d/1-uDff_7J0KD5mKrp0Vvzr7lt3OU09vwQwhkpOPPYv2Y/edit?usp=sharing"",""งบพรบ!DB33"")"),1680)</f>
        <v>1680</v>
      </c>
      <c r="M33" s="179">
        <f t="shared" ca="1" si="81"/>
        <v>4.1481481481481479</v>
      </c>
      <c r="N33" s="179">
        <f t="shared" ca="1" si="82"/>
        <v>7.4666666666666668</v>
      </c>
      <c r="O33" s="180">
        <f ca="1">IFERROR(__xludf.DUMMYFUNCTION("IMPORTRANGE(""https://docs.google.com/spreadsheets/d/1-uDff_7J0KD5mKrp0Vvzr7lt3OU09vwQwhkpOPPYv2Y/edit?usp=sharing"",""งบพรบ!DC33"")"),0)</f>
        <v>0</v>
      </c>
      <c r="P33" s="180">
        <f t="shared" ca="1" si="83"/>
        <v>0</v>
      </c>
      <c r="Q33" s="179">
        <f t="shared" ca="1" si="84"/>
        <v>0</v>
      </c>
      <c r="R33" s="92">
        <f ca="1">IFERROR(__xludf.DUMMYFUNCTION("IMPORTRANGE(""https://docs.google.com/spreadsheets/d/1aHkj4IaQMThhwWwevcOymEh837vdxeC_PycurhTbGFA/edit?usp=sharing"",""ขอนแก่น!L196"")"),6000)</f>
        <v>6000</v>
      </c>
      <c r="S33" s="92">
        <f ca="1">IFERROR(__xludf.DUMMYFUNCTION("IMPORTRANGE(""https://docs.google.com/spreadsheets/d/1aHkj4IaQMThhwWwevcOymEh837vdxeC_PycurhTbGFA/edit?usp=sharing"",""ขอนแก่น!N196"")"),0)</f>
        <v>0</v>
      </c>
      <c r="T33" s="93">
        <f t="shared" ca="1" si="86"/>
        <v>0</v>
      </c>
      <c r="U33" s="92">
        <f ca="1">IFERROR(__xludf.DUMMYFUNCTION("IMPORTRANGE(""https://docs.google.com/spreadsheets/d/1aHkj4IaQMThhwWwevcOymEh837vdxeC_PycurhTbGFA/edit?usp=sharing"",""ขอนแก่น!I198"")"),4)</f>
        <v>4</v>
      </c>
      <c r="V33" s="92">
        <f ca="1">IFERROR(__xludf.DUMMYFUNCTION("IMPORTRANGE(""https://docs.google.com/spreadsheets/d/1aHkj4IaQMThhwWwevcOymEh837vdxeC_PycurhTbGFA/edit?usp=sharing"",""ขอนแก่น!J198"")"),2)</f>
        <v>2</v>
      </c>
      <c r="W33" s="93">
        <f t="shared" ca="1" si="88"/>
        <v>50</v>
      </c>
      <c r="X33" s="92">
        <f ca="1">IFERROR(__xludf.DUMMYFUNCTION("IMPORTRANGE(""https://docs.google.com/spreadsheets/d/1aHkj4IaQMThhwWwevcOymEh837vdxeC_PycurhTbGFA/edit?usp=sharing"",""ขอนแก่น!J199"")"),0)</f>
        <v>0</v>
      </c>
      <c r="Y33" s="92">
        <f ca="1">IFERROR(__xludf.DUMMYFUNCTION("IMPORTRANGE(""https://docs.google.com/spreadsheets/d/1aHkj4IaQMThhwWwevcOymEh837vdxeC_PycurhTbGFA/edit?usp=sharing"",""ขอนแก่น!J200"")"),0)</f>
        <v>0</v>
      </c>
      <c r="Z33" s="92">
        <f ca="1">IFERROR(__xludf.DUMMYFUNCTION("IMPORTRANGE(""https://docs.google.com/spreadsheets/d/1aHkj4IaQMThhwWwevcOymEh837vdxeC_PycurhTbGFA/edit?usp=sharing"",""ขอนแก่น!J201"")"),0)</f>
        <v>0</v>
      </c>
      <c r="AA33" s="92">
        <f ca="1">IFERROR(__xludf.DUMMYFUNCTION("IMPORTRANGE(""https://docs.google.com/spreadsheets/d/1aHkj4IaQMThhwWwevcOymEh837vdxeC_PycurhTbGFA/edit?usp=sharing"",""ขอนแก่น!L204"")"),2000)</f>
        <v>2000</v>
      </c>
      <c r="AB33" s="92">
        <f ca="1">IFERROR(__xludf.DUMMYFUNCTION("IMPORTRANGE(""https://docs.google.com/spreadsheets/d/1aHkj4IaQMThhwWwevcOymEh837vdxeC_PycurhTbGFA/edit?usp=sharing"",""ขอนแก่น!N204"")"),0)</f>
        <v>0</v>
      </c>
      <c r="AC33" s="93">
        <f t="shared" ca="1" si="90"/>
        <v>0</v>
      </c>
      <c r="AD33" s="92">
        <f ca="1">IFERROR(__xludf.DUMMYFUNCTION("IMPORTRANGE(""https://docs.google.com/spreadsheets/d/1aHkj4IaQMThhwWwevcOymEh837vdxeC_PycurhTbGFA/edit?usp=sharing"",""ขอนแก่น!L206"")"),16000)</f>
        <v>16000</v>
      </c>
      <c r="AE33" s="92">
        <f ca="1">IFERROR(__xludf.DUMMYFUNCTION("IMPORTRANGE(""https://docs.google.com/spreadsheets/d/1aHkj4IaQMThhwWwevcOymEh837vdxeC_PycurhTbGFA/edit?usp=sharing"",""ขอนแก่น!N206"")"),0)</f>
        <v>0</v>
      </c>
      <c r="AF33" s="93">
        <f t="shared" ca="1" si="92"/>
        <v>0</v>
      </c>
      <c r="AG33" s="92">
        <f ca="1">IFERROR(__xludf.DUMMYFUNCTION("IMPORTRANGE(""https://docs.google.com/spreadsheets/d/1aHkj4IaQMThhwWwevcOymEh837vdxeC_PycurhTbGFA/edit?usp=sharing"",""ขอนแก่น!L207"")"),8000)</f>
        <v>8000</v>
      </c>
      <c r="AH33" s="92">
        <f ca="1">IFERROR(__xludf.DUMMYFUNCTION("IMPORTRANGE(""https://docs.google.com/spreadsheets/d/1aHkj4IaQMThhwWwevcOymEh837vdxeC_PycurhTbGFA/edit?usp=sharing"",""ขอนแก่น!N207"")"),0)</f>
        <v>0</v>
      </c>
      <c r="AI33" s="93">
        <f t="shared" ca="1" si="94"/>
        <v>0</v>
      </c>
      <c r="AJ33" s="92">
        <f ca="1">IFERROR(__xludf.DUMMYFUNCTION("IMPORTRANGE(""https://docs.google.com/spreadsheets/d/1aHkj4IaQMThhwWwevcOymEh837vdxeC_PycurhTbGFA/edit?usp=sharing"",""ขอนแก่น!I209"")"),2)</f>
        <v>2</v>
      </c>
      <c r="AK33" s="92">
        <f ca="1">IFERROR(__xludf.DUMMYFUNCTION("IMPORTRANGE(""https://docs.google.com/spreadsheets/d/1aHkj4IaQMThhwWwevcOymEh837vdxeC_PycurhTbGFA/edit?usp=sharing"",""ขอนแก่น!J209"")"),0)</f>
        <v>0</v>
      </c>
      <c r="AL33" s="93">
        <f t="shared" ca="1" si="96"/>
        <v>0</v>
      </c>
      <c r="AM33" s="92">
        <f ca="1">IFERROR(__xludf.DUMMYFUNCTION("IMPORTRANGE(""https://docs.google.com/spreadsheets/d/1aHkj4IaQMThhwWwevcOymEh837vdxeC_PycurhTbGFA/edit?usp=sharing"",""ขอนแก่น!J211"")"),0)</f>
        <v>0</v>
      </c>
      <c r="AN33" s="92">
        <f ca="1">IFERROR(__xludf.DUMMYFUNCTION("IMPORTRANGE(""https://docs.google.com/spreadsheets/d/1aHkj4IaQMThhwWwevcOymEh837vdxeC_PycurhTbGFA/edit?usp=sharing"",""ขอนแก่น!J212"")"),0)</f>
        <v>0</v>
      </c>
      <c r="AO33" s="92">
        <f ca="1">IFERROR(__xludf.DUMMYFUNCTION("IMPORTRANGE(""https://docs.google.com/spreadsheets/d/1aHkj4IaQMThhwWwevcOymEh837vdxeC_PycurhTbGFA/edit?usp=sharing"",""ขอนแก่น!L215"")"),0)</f>
        <v>0</v>
      </c>
      <c r="AP33" s="92">
        <f ca="1">IFERROR(__xludf.DUMMYFUNCTION("IMPORTRANGE(""https://docs.google.com/spreadsheets/d/1aHkj4IaQMThhwWwevcOymEh837vdxeC_PycurhTbGFA/edit?usp=sharing"",""ขอนแก่น!N215"")"),0)</f>
        <v>0</v>
      </c>
      <c r="AQ33" s="93">
        <f t="shared" ca="1" si="98"/>
        <v>0</v>
      </c>
      <c r="AR33" s="92">
        <f ca="1">IFERROR(__xludf.DUMMYFUNCTION("IMPORTRANGE(""https://docs.google.com/spreadsheets/d/1aHkj4IaQMThhwWwevcOymEh837vdxeC_PycurhTbGFA/edit?usp=sharing"",""ขอนแก่น!L216"")"),0)</f>
        <v>0</v>
      </c>
      <c r="AS33" s="92">
        <f ca="1">IFERROR(__xludf.DUMMYFUNCTION("IMPORTRANGE(""https://docs.google.com/spreadsheets/d/1aHkj4IaQMThhwWwevcOymEh837vdxeC_PycurhTbGFA/edit?usp=sharing"",""ขอนแก่น!N216"")"),0)</f>
        <v>0</v>
      </c>
      <c r="AT33" s="93">
        <f t="shared" ca="1" si="100"/>
        <v>0</v>
      </c>
      <c r="AU33" s="92">
        <f ca="1">IFERROR(__xludf.DUMMYFUNCTION("IMPORTRANGE(""https://docs.google.com/spreadsheets/d/1aHkj4IaQMThhwWwevcOymEh837vdxeC_PycurhTbGFA/edit?usp=sharing"",""ขอนแก่น!L217"")"),0)</f>
        <v>0</v>
      </c>
      <c r="AV33" s="92">
        <f ca="1">IFERROR(__xludf.DUMMYFUNCTION("IMPORTRANGE(""https://docs.google.com/spreadsheets/d/1aHkj4IaQMThhwWwevcOymEh837vdxeC_PycurhTbGFA/edit?usp=sharing"",""ขอนแก่น!N217"")"),0)</f>
        <v>0</v>
      </c>
      <c r="AW33" s="93">
        <f t="shared" ca="1" si="102"/>
        <v>0</v>
      </c>
      <c r="AX33" s="92">
        <f ca="1">IFERROR(__xludf.DUMMYFUNCTION("IMPORTRANGE(""https://docs.google.com/spreadsheets/d/1aHkj4IaQMThhwWwevcOymEh837vdxeC_PycurhTbGFA/edit?usp=sharing"",""ขอนแก่น!I219"")"),0)</f>
        <v>0</v>
      </c>
      <c r="AY33" s="92">
        <f ca="1">IFERROR(__xludf.DUMMYFUNCTION("IMPORTRANGE(""https://docs.google.com/spreadsheets/d/1aHkj4IaQMThhwWwevcOymEh837vdxeC_PycurhTbGFA/edit?usp=sharing"",""ขอนแก่น!J219"")"),0)</f>
        <v>0</v>
      </c>
      <c r="AZ33" s="93">
        <f t="shared" ca="1" si="104"/>
        <v>0</v>
      </c>
      <c r="BA33" s="92">
        <f ca="1">IFERROR(__xludf.DUMMYFUNCTION("IMPORTRANGE(""https://docs.google.com/spreadsheets/d/1aHkj4IaQMThhwWwevcOymEh837vdxeC_PycurhTbGFA/edit?usp=sharing"",""ขอนแก่น!I220"")"),0)</f>
        <v>0</v>
      </c>
      <c r="BB33" s="92">
        <f ca="1">IFERROR(__xludf.DUMMYFUNCTION("IMPORTRANGE(""https://docs.google.com/spreadsheets/d/1aHkj4IaQMThhwWwevcOymEh837vdxeC_PycurhTbGFA/edit?usp=sharing"",""ขอนแก่น!J220"")"),0)</f>
        <v>0</v>
      </c>
      <c r="BC33" s="93">
        <f t="shared" ca="1" si="106"/>
        <v>0</v>
      </c>
      <c r="BD33" s="92">
        <f ca="1">IFERROR(__xludf.DUMMYFUNCTION("IMPORTRANGE(""https://docs.google.com/spreadsheets/d/1aHkj4IaQMThhwWwevcOymEh837vdxeC_PycurhTbGFA/edit?usp=sharing"",""ขอนแก่น!L223"")"),7000)</f>
        <v>7000</v>
      </c>
      <c r="BE33" s="92">
        <f ca="1">IFERROR(__xludf.DUMMYFUNCTION("IMPORTRANGE(""https://docs.google.com/spreadsheets/d/1aHkj4IaQMThhwWwevcOymEh837vdxeC_PycurhTbGFA/edit?usp=sharing"",""ขอนแก่น!N223"")"),0)</f>
        <v>0</v>
      </c>
      <c r="BF33" s="93">
        <f t="shared" ca="1" si="108"/>
        <v>0</v>
      </c>
      <c r="BG33" s="92">
        <f ca="1">IFERROR(__xludf.DUMMYFUNCTION("IMPORTRANGE(""https://docs.google.com/spreadsheets/d/1aHkj4IaQMThhwWwevcOymEh837vdxeC_PycurhTbGFA/edit?usp=sharing"",""ขอนแก่น!L224"")"),1500)</f>
        <v>1500</v>
      </c>
      <c r="BH33" s="92">
        <f ca="1">IFERROR(__xludf.DUMMYFUNCTION("IMPORTRANGE(""https://docs.google.com/spreadsheets/d/1aHkj4IaQMThhwWwevcOymEh837vdxeC_PycurhTbGFA/edit?usp=sharing"",""ขอนแก่น!N224"")"),0)</f>
        <v>0</v>
      </c>
      <c r="BI33" s="93">
        <f t="shared" ca="1" si="110"/>
        <v>0</v>
      </c>
      <c r="BJ33" s="92">
        <f ca="1">IFERROR(__xludf.DUMMYFUNCTION("IMPORTRANGE(""https://docs.google.com/spreadsheets/d/1aHkj4IaQMThhwWwevcOymEh837vdxeC_PycurhTbGFA/edit?usp=sharing"",""ขอนแก่น!I228"")"),50000)</f>
        <v>50000</v>
      </c>
      <c r="BK33" s="92">
        <f ca="1">IFERROR(__xludf.DUMMYFUNCTION("IMPORTRANGE(""https://docs.google.com/spreadsheets/d/1aHkj4IaQMThhwWwevcOymEh837vdxeC_PycurhTbGFA/edit?usp=sharing"",""ขอนแก่น!J228"")"),0)</f>
        <v>0</v>
      </c>
      <c r="BL33" s="93">
        <f t="shared" ca="1" si="112"/>
        <v>0</v>
      </c>
      <c r="BM33" s="92">
        <f ca="1">IFERROR(__xludf.DUMMYFUNCTION("IMPORTRANGE(""https://docs.google.com/spreadsheets/d/1aHkj4IaQMThhwWwevcOymEh837vdxeC_PycurhTbGFA/edit?usp=sharing"",""ขอนแก่น!I229"")"),50000)</f>
        <v>50000</v>
      </c>
      <c r="BN33" s="92">
        <f ca="1">IFERROR(__xludf.DUMMYFUNCTION("IMPORTRANGE(""https://docs.google.com/spreadsheets/d/1aHkj4IaQMThhwWwevcOymEh837vdxeC_PycurhTbGFA/edit?usp=sharing"",""ขอนแก่น!J229"")"),0)</f>
        <v>0</v>
      </c>
      <c r="BO33" s="93">
        <f t="shared" ca="1" si="114"/>
        <v>0</v>
      </c>
      <c r="BP33" s="92">
        <f ca="1">IFERROR(__xludf.DUMMYFUNCTION("IMPORTRANGE(""https://docs.google.com/spreadsheets/d/1aHkj4IaQMThhwWwevcOymEh837vdxeC_PycurhTbGFA/edit?usp=sharing"",""ขอนแก่น!I230"")"),0)</f>
        <v>0</v>
      </c>
      <c r="BQ33" s="92">
        <f ca="1">IFERROR(__xludf.DUMMYFUNCTION("IMPORTRANGE(""https://docs.google.com/spreadsheets/d/1aHkj4IaQMThhwWwevcOymEh837vdxeC_PycurhTbGFA/edit?usp=sharing"",""ขอนแก่น!J230"")"),0)</f>
        <v>0</v>
      </c>
      <c r="BR33" s="93">
        <f t="shared" ca="1" si="116"/>
        <v>0</v>
      </c>
      <c r="BS33" s="92">
        <f ca="1">IFERROR(__xludf.DUMMYFUNCTION("IMPORTRANGE(""https://docs.google.com/spreadsheets/d/1aHkj4IaQMThhwWwevcOymEh837vdxeC_PycurhTbGFA/edit?usp=sharing"",""ขอนแก่น!L233"")"),0)</f>
        <v>0</v>
      </c>
      <c r="BT33" s="92">
        <f ca="1">IFERROR(__xludf.DUMMYFUNCTION("IMPORTRANGE(""https://docs.google.com/spreadsheets/d/1aHkj4IaQMThhwWwevcOymEh837vdxeC_PycurhTbGFA/edit?usp=sharing"",""ขอนแก่น!N233"")"),0)</f>
        <v>0</v>
      </c>
      <c r="BU33" s="93">
        <f t="shared" ca="1" si="118"/>
        <v>0</v>
      </c>
      <c r="BV33" s="92">
        <f ca="1">IFERROR(__xludf.DUMMYFUNCTION("IMPORTRANGE(""https://docs.google.com/spreadsheets/d/1aHkj4IaQMThhwWwevcOymEh837vdxeC_PycurhTbGFA/edit?usp=sharing"",""ขอนแก่น!L234"")"),0)</f>
        <v>0</v>
      </c>
      <c r="BW33" s="92">
        <f ca="1">IFERROR(__xludf.DUMMYFUNCTION("IMPORTRANGE(""https://docs.google.com/spreadsheets/d/1aHkj4IaQMThhwWwevcOymEh837vdxeC_PycurhTbGFA/edit?usp=sharing"",""ขอนแก่น!N234"")"),0)</f>
        <v>0</v>
      </c>
      <c r="BX33" s="93">
        <f t="shared" ca="1" si="120"/>
        <v>0</v>
      </c>
      <c r="BY33" s="92">
        <f ca="1">IFERROR(__xludf.DUMMYFUNCTION("IMPORTRANGE(""https://docs.google.com/spreadsheets/d/1aHkj4IaQMThhwWwevcOymEh837vdxeC_PycurhTbGFA/edit?usp=sharing"",""ขอนแก่น!L235"")"),0)</f>
        <v>0</v>
      </c>
      <c r="BZ33" s="92">
        <f ca="1">IFERROR(__xludf.DUMMYFUNCTION("IMPORTRANGE(""https://docs.google.com/spreadsheets/d/1aHkj4IaQMThhwWwevcOymEh837vdxeC_PycurhTbGFA/edit?usp=sharing"",""ขอนแก่น!N235"")"),0)</f>
        <v>0</v>
      </c>
      <c r="CA33" s="93">
        <f t="shared" ca="1" si="122"/>
        <v>0</v>
      </c>
      <c r="CB33" s="92">
        <f ca="1">IFERROR(__xludf.DUMMYFUNCTION("IMPORTRANGE(""https://docs.google.com/spreadsheets/d/1aHkj4IaQMThhwWwevcOymEh837vdxeC_PycurhTbGFA/edit?usp=sharing"",""ขอนแก่น!L236"")"),0)</f>
        <v>0</v>
      </c>
      <c r="CC33" s="92">
        <f ca="1">IFERROR(__xludf.DUMMYFUNCTION("IMPORTRANGE(""https://docs.google.com/spreadsheets/d/1aHkj4IaQMThhwWwevcOymEh837vdxeC_PycurhTbGFA/edit?usp=sharing"",""ขอนแก่น!N236"")"),0)</f>
        <v>0</v>
      </c>
      <c r="CD33" s="93">
        <f t="shared" ca="1" si="124"/>
        <v>0</v>
      </c>
      <c r="CE33" s="92">
        <f ca="1">IFERROR(__xludf.DUMMYFUNCTION("IMPORTRANGE(""https://docs.google.com/spreadsheets/d/1aHkj4IaQMThhwWwevcOymEh837vdxeC_PycurhTbGFA/edit?usp=sharing"",""ขอนแก่น!I238"")"),0)</f>
        <v>0</v>
      </c>
      <c r="CF33" s="92">
        <f ca="1">IFERROR(__xludf.DUMMYFUNCTION("IMPORTRANGE(""https://docs.google.com/spreadsheets/d/1aHkj4IaQMThhwWwevcOymEh837vdxeC_PycurhTbGFA/edit?usp=sharing"",""ขอนแก่น!J238"")"),0)</f>
        <v>0</v>
      </c>
      <c r="CG33" s="93">
        <f t="shared" ca="1" si="126"/>
        <v>0</v>
      </c>
      <c r="CH33" s="92">
        <f ca="1">IFERROR(__xludf.DUMMYFUNCTION("IMPORTRANGE(""https://docs.google.com/spreadsheets/d/1aHkj4IaQMThhwWwevcOymEh837vdxeC_PycurhTbGFA/edit?usp=sharing"",""ขอนแก่น!J240"")"),0)</f>
        <v>0</v>
      </c>
      <c r="CI33" s="92">
        <f ca="1">IFERROR(__xludf.DUMMYFUNCTION("IMPORTRANGE(""https://docs.google.com/spreadsheets/d/1aHkj4IaQMThhwWwevcOymEh837vdxeC_PycurhTbGFA/edit?usp=sharing"",""ขอนแก่น!J241"")"),0)</f>
        <v>0</v>
      </c>
    </row>
    <row r="34" spans="1:87" ht="21" customHeight="1" x14ac:dyDescent="0.3">
      <c r="A34" s="84">
        <v>3</v>
      </c>
      <c r="B34" s="85" t="s">
        <v>56</v>
      </c>
      <c r="C34" s="174">
        <f t="shared" ca="1" si="77"/>
        <v>222500</v>
      </c>
      <c r="D34" s="175">
        <f t="shared" ca="1" si="152"/>
        <v>222500</v>
      </c>
      <c r="E34" s="176">
        <f ca="1">IFERROR(__xludf.DUMMYFUNCTION("IMPORTRANGE(""https://docs.google.com/spreadsheets/d/1-uDff_7J0KD5mKrp0Vvzr7lt3OU09vwQwhkpOPPYv2Y/edit?usp=sharing"",""งบพรบ!CV34"")"),182000)</f>
        <v>182000</v>
      </c>
      <c r="F34" s="176">
        <f ca="1">IFERROR(__xludf.DUMMYFUNCTION("IMPORTRANGE(""https://docs.google.com/spreadsheets/d/1-uDff_7J0KD5mKrp0Vvzr7lt3OU09vwQwhkpOPPYv2Y/edit?usp=sharing"",""งบพรบ!CW34"")"),40500)</f>
        <v>40500</v>
      </c>
      <c r="G34" s="176">
        <f ca="1">IFERROR(__xludf.DUMMYFUNCTION("IMPORTRANGE(""https://docs.google.com/spreadsheets/d/1-uDff_7J0KD5mKrp0Vvzr7lt3OU09vwQwhkpOPPYv2Y/edit?usp=sharing"",""งบพรบ!CX34"")"),0)</f>
        <v>0</v>
      </c>
      <c r="H34" s="176">
        <f ca="1">IFERROR(__xludf.DUMMYFUNCTION("IMPORTRANGE(""https://docs.google.com/spreadsheets/d/1-uDff_7J0KD5mKrp0Vvzr7lt3OU09vwQwhkpOPPYv2Y/edit?usp=sharing"",""งบพรบ!CZ34"")"),152500)</f>
        <v>152500</v>
      </c>
      <c r="I34" s="176">
        <f ca="1">IFERROR(__xludf.DUMMYFUNCTION("IMPORTRANGE(""https://docs.google.com/spreadsheets/d/1-uDff_7J0KD5mKrp0Vvzr7lt3OU09vwQwhkpOPPYv2Y/edit?usp=sharing"",""งบพรบ!DA34"")"),0)</f>
        <v>0</v>
      </c>
      <c r="J34" s="176">
        <f t="shared" ca="1" si="79"/>
        <v>25780</v>
      </c>
      <c r="K34" s="181">
        <f t="shared" ca="1" si="80"/>
        <v>11.586516853932585</v>
      </c>
      <c r="L34" s="176">
        <f ca="1">IFERROR(__xludf.DUMMYFUNCTION("IMPORTRANGE(""https://docs.google.com/spreadsheets/d/1-uDff_7J0KD5mKrp0Vvzr7lt3OU09vwQwhkpOPPYv2Y/edit?usp=sharing"",""งบพรบ!DB34"")"),25780)</f>
        <v>25780</v>
      </c>
      <c r="M34" s="179">
        <f t="shared" ca="1" si="81"/>
        <v>11.586516853932585</v>
      </c>
      <c r="N34" s="179">
        <f t="shared" ca="1" si="82"/>
        <v>16.904918032786885</v>
      </c>
      <c r="O34" s="180">
        <f ca="1">IFERROR(__xludf.DUMMYFUNCTION("IMPORTRANGE(""https://docs.google.com/spreadsheets/d/1-uDff_7J0KD5mKrp0Vvzr7lt3OU09vwQwhkpOPPYv2Y/edit?usp=sharing"",""งบพรบ!DC34"")"),0)</f>
        <v>0</v>
      </c>
      <c r="P34" s="180">
        <f t="shared" ca="1" si="83"/>
        <v>0</v>
      </c>
      <c r="Q34" s="179">
        <f t="shared" ca="1" si="84"/>
        <v>0</v>
      </c>
      <c r="R34" s="92">
        <f ca="1">IFERROR(__xludf.DUMMYFUNCTION("IMPORTRANGE(""https://docs.google.com/spreadsheets/d/1FvTu2DsIWUjP6WCWra38Bkj_oOl_sOMf14r5Fg5srxU/edit?usp=sharing"",""ชัยภูมิ!L196"")"),6000)</f>
        <v>6000</v>
      </c>
      <c r="S34" s="92">
        <f ca="1">IFERROR(__xludf.DUMMYFUNCTION("IMPORTRANGE(""https://docs.google.com/spreadsheets/d/1FvTu2DsIWUjP6WCWra38Bkj_oOl_sOMf14r5Fg5srxU/edit?usp=sharing"",""ชัยภูมิ!N196"")"),0)</f>
        <v>0</v>
      </c>
      <c r="T34" s="93">
        <f t="shared" ca="1" si="86"/>
        <v>0</v>
      </c>
      <c r="U34" s="92">
        <f ca="1">IFERROR(__xludf.DUMMYFUNCTION("IMPORTRANGE(""https://docs.google.com/spreadsheets/d/1FvTu2DsIWUjP6WCWra38Bkj_oOl_sOMf14r5Fg5srxU/edit?usp=sharing"",""ชัยภูมิ!I198"")"),4)</f>
        <v>4</v>
      </c>
      <c r="V34" s="92">
        <f ca="1">IFERROR(__xludf.DUMMYFUNCTION("IMPORTRANGE(""https://docs.google.com/spreadsheets/d/1FvTu2DsIWUjP6WCWra38Bkj_oOl_sOMf14r5Fg5srxU/edit?usp=sharing"",""ชัยภูมิ!J198"")"),0)</f>
        <v>0</v>
      </c>
      <c r="W34" s="93">
        <f t="shared" ca="1" si="88"/>
        <v>0</v>
      </c>
      <c r="X34" s="92">
        <f ca="1">IFERROR(__xludf.DUMMYFUNCTION("IMPORTRANGE(""https://docs.google.com/spreadsheets/d/1FvTu2DsIWUjP6WCWra38Bkj_oOl_sOMf14r5Fg5srxU/edit?usp=sharing"",""ชัยภูมิ!J199"")"),0)</f>
        <v>0</v>
      </c>
      <c r="Y34" s="92">
        <f ca="1">IFERROR(__xludf.DUMMYFUNCTION("IMPORTRANGE(""https://docs.google.com/spreadsheets/d/1FvTu2DsIWUjP6WCWra38Bkj_oOl_sOMf14r5Fg5srxU/edit?usp=sharing"",""ชัยภูมิ!J200"")"),0)</f>
        <v>0</v>
      </c>
      <c r="Z34" s="92">
        <f ca="1">IFERROR(__xludf.DUMMYFUNCTION("IMPORTRANGE(""https://docs.google.com/spreadsheets/d/1FvTu2DsIWUjP6WCWra38Bkj_oOl_sOMf14r5Fg5srxU/edit?usp=sharing"",""ชัยภูมิ!J201"")"),0)</f>
        <v>0</v>
      </c>
      <c r="AA34" s="92">
        <f ca="1">IFERROR(__xludf.DUMMYFUNCTION("IMPORTRANGE(""https://docs.google.com/spreadsheets/d/1FvTu2DsIWUjP6WCWra38Bkj_oOl_sOMf14r5Fg5srxU/edit?usp=sharing"",""ชัยภูมิ!L204"")"),2000)</f>
        <v>2000</v>
      </c>
      <c r="AB34" s="92">
        <f ca="1">IFERROR(__xludf.DUMMYFUNCTION("IMPORTRANGE(""https://docs.google.com/spreadsheets/d/1FvTu2DsIWUjP6WCWra38Bkj_oOl_sOMf14r5Fg5srxU/edit?usp=sharing"",""ชัยภูมิ!N204"")"),0)</f>
        <v>0</v>
      </c>
      <c r="AC34" s="93">
        <f t="shared" ca="1" si="90"/>
        <v>0</v>
      </c>
      <c r="AD34" s="92">
        <f ca="1">IFERROR(__xludf.DUMMYFUNCTION("IMPORTRANGE(""https://docs.google.com/spreadsheets/d/1FvTu2DsIWUjP6WCWra38Bkj_oOl_sOMf14r5Fg5srxU/edit?usp=sharing"",""ชัยภูมิ!L206"")"),16000)</f>
        <v>16000</v>
      </c>
      <c r="AE34" s="92">
        <f ca="1">IFERROR(__xludf.DUMMYFUNCTION("IMPORTRANGE(""https://docs.google.com/spreadsheets/d/1FvTu2DsIWUjP6WCWra38Bkj_oOl_sOMf14r5Fg5srxU/edit?usp=sharing"",""ชัยภูมิ!N206"")"),0)</f>
        <v>0</v>
      </c>
      <c r="AF34" s="93">
        <f t="shared" ca="1" si="92"/>
        <v>0</v>
      </c>
      <c r="AG34" s="92">
        <f ca="1">IFERROR(__xludf.DUMMYFUNCTION("IMPORTRANGE(""https://docs.google.com/spreadsheets/d/1FvTu2DsIWUjP6WCWra38Bkj_oOl_sOMf14r5Fg5srxU/edit?usp=sharing"",""ชัยภูมิ!L207"")"),8000)</f>
        <v>8000</v>
      </c>
      <c r="AH34" s="92">
        <f ca="1">IFERROR(__xludf.DUMMYFUNCTION("IMPORTRANGE(""https://docs.google.com/spreadsheets/d/1FvTu2DsIWUjP6WCWra38Bkj_oOl_sOMf14r5Fg5srxU/edit?usp=sharing"",""ชัยภูมิ!N207"")"),0)</f>
        <v>0</v>
      </c>
      <c r="AI34" s="93">
        <f t="shared" ca="1" si="94"/>
        <v>0</v>
      </c>
      <c r="AJ34" s="92">
        <f ca="1">IFERROR(__xludf.DUMMYFUNCTION("IMPORTRANGE(""https://docs.google.com/spreadsheets/d/1FvTu2DsIWUjP6WCWra38Bkj_oOl_sOMf14r5Fg5srxU/edit?usp=sharing"",""ชัยภูมิ!I209"")"),2)</f>
        <v>2</v>
      </c>
      <c r="AK34" s="92">
        <f ca="1">IFERROR(__xludf.DUMMYFUNCTION("IMPORTRANGE(""https://docs.google.com/spreadsheets/d/1FvTu2DsIWUjP6WCWra38Bkj_oOl_sOMf14r5Fg5srxU/edit?usp=sharing"",""ชัยภูมิ!J209"")"),0)</f>
        <v>0</v>
      </c>
      <c r="AL34" s="93">
        <f t="shared" ca="1" si="96"/>
        <v>0</v>
      </c>
      <c r="AM34" s="92">
        <f ca="1">IFERROR(__xludf.DUMMYFUNCTION("IMPORTRANGE(""https://docs.google.com/spreadsheets/d/1FvTu2DsIWUjP6WCWra38Bkj_oOl_sOMf14r5Fg5srxU/edit?usp=sharing"",""ชัยภูมิ!J211"")"),0)</f>
        <v>0</v>
      </c>
      <c r="AN34" s="92">
        <f ca="1">IFERROR(__xludf.DUMMYFUNCTION("IMPORTRANGE(""https://docs.google.com/spreadsheets/d/1FvTu2DsIWUjP6WCWra38Bkj_oOl_sOMf14r5Fg5srxU/edit?usp=sharing"",""ชัยภูมิ!J212"")"),0)</f>
        <v>0</v>
      </c>
      <c r="AO34" s="92">
        <f ca="1">IFERROR(__xludf.DUMMYFUNCTION("IMPORTRANGE(""https://docs.google.com/spreadsheets/d/1FvTu2DsIWUjP6WCWra38Bkj_oOl_sOMf14r5Fg5srxU/edit?usp=sharing"",""ชัยภูมิ!L215"")"),0)</f>
        <v>0</v>
      </c>
      <c r="AP34" s="92">
        <f ca="1">IFERROR(__xludf.DUMMYFUNCTION("IMPORTRANGE(""https://docs.google.com/spreadsheets/d/1FvTu2DsIWUjP6WCWra38Bkj_oOl_sOMf14r5Fg5srxU/edit?usp=sharing"",""ชัยภูมิ!N215"")"),0)</f>
        <v>0</v>
      </c>
      <c r="AQ34" s="93">
        <f t="shared" ca="1" si="98"/>
        <v>0</v>
      </c>
      <c r="AR34" s="92">
        <f ca="1">IFERROR(__xludf.DUMMYFUNCTION("IMPORTRANGE(""https://docs.google.com/spreadsheets/d/1FvTu2DsIWUjP6WCWra38Bkj_oOl_sOMf14r5Fg5srxU/edit?usp=sharing"",""ชัยภูมิ!L216"")"),0)</f>
        <v>0</v>
      </c>
      <c r="AS34" s="92">
        <f ca="1">IFERROR(__xludf.DUMMYFUNCTION("IMPORTRANGE(""https://docs.google.com/spreadsheets/d/1FvTu2DsIWUjP6WCWra38Bkj_oOl_sOMf14r5Fg5srxU/edit?usp=sharing"",""ชัยภูมิ!N216"")"),0)</f>
        <v>0</v>
      </c>
      <c r="AT34" s="93">
        <f t="shared" ca="1" si="100"/>
        <v>0</v>
      </c>
      <c r="AU34" s="92">
        <f ca="1">IFERROR(__xludf.DUMMYFUNCTION("IMPORTRANGE(""https://docs.google.com/spreadsheets/d/1FvTu2DsIWUjP6WCWra38Bkj_oOl_sOMf14r5Fg5srxU/edit?usp=sharing"",""ชัยภูมิ!L217"")"),0)</f>
        <v>0</v>
      </c>
      <c r="AV34" s="92">
        <f ca="1">IFERROR(__xludf.DUMMYFUNCTION("IMPORTRANGE(""https://docs.google.com/spreadsheets/d/1FvTu2DsIWUjP6WCWra38Bkj_oOl_sOMf14r5Fg5srxU/edit?usp=sharing"",""ชัยภูมิ!N217"")"),0)</f>
        <v>0</v>
      </c>
      <c r="AW34" s="93">
        <f t="shared" ca="1" si="102"/>
        <v>0</v>
      </c>
      <c r="AX34" s="92">
        <f ca="1">IFERROR(__xludf.DUMMYFUNCTION("IMPORTRANGE(""https://docs.google.com/spreadsheets/d/1FvTu2DsIWUjP6WCWra38Bkj_oOl_sOMf14r5Fg5srxU/edit?usp=sharing"",""ชัยภูมิ!I219"")"),0)</f>
        <v>0</v>
      </c>
      <c r="AY34" s="92">
        <f ca="1">IFERROR(__xludf.DUMMYFUNCTION("IMPORTRANGE(""https://docs.google.com/spreadsheets/d/1FvTu2DsIWUjP6WCWra38Bkj_oOl_sOMf14r5Fg5srxU/edit?usp=sharing"",""ชัยภูมิ!J219"")"),0)</f>
        <v>0</v>
      </c>
      <c r="AZ34" s="93">
        <f t="shared" ca="1" si="104"/>
        <v>0</v>
      </c>
      <c r="BA34" s="92">
        <f ca="1">IFERROR(__xludf.DUMMYFUNCTION("IMPORTRANGE(""https://docs.google.com/spreadsheets/d/1FvTu2DsIWUjP6WCWra38Bkj_oOl_sOMf14r5Fg5srxU/edit?usp=sharing"",""ชัยภูมิ!I220"")"),0)</f>
        <v>0</v>
      </c>
      <c r="BB34" s="92">
        <f ca="1">IFERROR(__xludf.DUMMYFUNCTION("IMPORTRANGE(""https://docs.google.com/spreadsheets/d/1FvTu2DsIWUjP6WCWra38Bkj_oOl_sOMf14r5Fg5srxU/edit?usp=sharing"",""ชัยภูมิ!J220"")"),0)</f>
        <v>0</v>
      </c>
      <c r="BC34" s="93">
        <f t="shared" ca="1" si="106"/>
        <v>0</v>
      </c>
      <c r="BD34" s="92">
        <f ca="1">IFERROR(__xludf.DUMMYFUNCTION("IMPORTRANGE(""https://docs.google.com/spreadsheets/d/1FvTu2DsIWUjP6WCWra38Bkj_oOl_sOMf14r5Fg5srxU/edit?usp=sharing"",""ชัยภูมิ!L223"")"),7000)</f>
        <v>7000</v>
      </c>
      <c r="BE34" s="92">
        <f ca="1">IFERROR(__xludf.DUMMYFUNCTION("IMPORTRANGE(""https://docs.google.com/spreadsheets/d/1FvTu2DsIWUjP6WCWra38Bkj_oOl_sOMf14r5Fg5srxU/edit?usp=sharing"",""ชัยภูมิ!N223"")"),0)</f>
        <v>0</v>
      </c>
      <c r="BF34" s="93">
        <f t="shared" ca="1" si="108"/>
        <v>0</v>
      </c>
      <c r="BG34" s="92">
        <f ca="1">IFERROR(__xludf.DUMMYFUNCTION("IMPORTRANGE(""https://docs.google.com/spreadsheets/d/1FvTu2DsIWUjP6WCWra38Bkj_oOl_sOMf14r5Fg5srxU/edit?usp=sharing"",""ชัยภูมิ!L224"")"),1500)</f>
        <v>1500</v>
      </c>
      <c r="BH34" s="92">
        <f ca="1">IFERROR(__xludf.DUMMYFUNCTION("IMPORTRANGE(""https://docs.google.com/spreadsheets/d/1FvTu2DsIWUjP6WCWra38Bkj_oOl_sOMf14r5Fg5srxU/edit?usp=sharing"",""ชัยภูมิ!N224"")"),0)</f>
        <v>0</v>
      </c>
      <c r="BI34" s="93">
        <f t="shared" ca="1" si="110"/>
        <v>0</v>
      </c>
      <c r="BJ34" s="92">
        <f ca="1">IFERROR(__xludf.DUMMYFUNCTION("IMPORTRANGE(""https://docs.google.com/spreadsheets/d/1FvTu2DsIWUjP6WCWra38Bkj_oOl_sOMf14r5Fg5srxU/edit?usp=sharing"",""ชัยภูมิ!I228"")"),50000)</f>
        <v>50000</v>
      </c>
      <c r="BK34" s="92">
        <f ca="1">IFERROR(__xludf.DUMMYFUNCTION("IMPORTRANGE(""https://docs.google.com/spreadsheets/d/1FvTu2DsIWUjP6WCWra38Bkj_oOl_sOMf14r5Fg5srxU/edit?usp=sharing"",""ชัยภูมิ!J228"")"),0)</f>
        <v>0</v>
      </c>
      <c r="BL34" s="93">
        <f t="shared" ca="1" si="112"/>
        <v>0</v>
      </c>
      <c r="BM34" s="92">
        <f ca="1">IFERROR(__xludf.DUMMYFUNCTION("IMPORTRANGE(""https://docs.google.com/spreadsheets/d/1FvTu2DsIWUjP6WCWra38Bkj_oOl_sOMf14r5Fg5srxU/edit?usp=sharing"",""ชัยภูมิ!I229"")"),50000)</f>
        <v>50000</v>
      </c>
      <c r="BN34" s="92">
        <f ca="1">IFERROR(__xludf.DUMMYFUNCTION("IMPORTRANGE(""https://docs.google.com/spreadsheets/d/1FvTu2DsIWUjP6WCWra38Bkj_oOl_sOMf14r5Fg5srxU/edit?usp=sharing"",""ชัยภูมิ!J229"")"),0)</f>
        <v>0</v>
      </c>
      <c r="BO34" s="93">
        <f t="shared" ca="1" si="114"/>
        <v>0</v>
      </c>
      <c r="BP34" s="92">
        <f ca="1">IFERROR(__xludf.DUMMYFUNCTION("IMPORTRANGE(""https://docs.google.com/spreadsheets/d/1FvTu2DsIWUjP6WCWra38Bkj_oOl_sOMf14r5Fg5srxU/edit?usp=sharing"",""ชัยภูมิ!I230"")"),0)</f>
        <v>0</v>
      </c>
      <c r="BQ34" s="92">
        <f ca="1">IFERROR(__xludf.DUMMYFUNCTION("IMPORTRANGE(""https://docs.google.com/spreadsheets/d/1FvTu2DsIWUjP6WCWra38Bkj_oOl_sOMf14r5Fg5srxU/edit?usp=sharing"",""ชัยภูมิ!J230"")"),0)</f>
        <v>0</v>
      </c>
      <c r="BR34" s="93">
        <f t="shared" ca="1" si="116"/>
        <v>0</v>
      </c>
      <c r="BS34" s="92">
        <f ca="1">IFERROR(__xludf.DUMMYFUNCTION("IMPORTRANGE(""https://docs.google.com/spreadsheets/d/1FvTu2DsIWUjP6WCWra38Bkj_oOl_sOMf14r5Fg5srxU/edit?usp=sharing"",""ชัยภูมิ!L233"")"),0)</f>
        <v>0</v>
      </c>
      <c r="BT34" s="92">
        <f ca="1">IFERROR(__xludf.DUMMYFUNCTION("IMPORTRANGE(""https://docs.google.com/spreadsheets/d/1FvTu2DsIWUjP6WCWra38Bkj_oOl_sOMf14r5Fg5srxU/edit?usp=sharing"",""ชัยภูมิ!N233"")"),0)</f>
        <v>0</v>
      </c>
      <c r="BU34" s="93">
        <f t="shared" ca="1" si="118"/>
        <v>0</v>
      </c>
      <c r="BV34" s="92">
        <f ca="1">IFERROR(__xludf.DUMMYFUNCTION("IMPORTRANGE(""https://docs.google.com/spreadsheets/d/1FvTu2DsIWUjP6WCWra38Bkj_oOl_sOMf14r5Fg5srxU/edit?usp=sharing"",""ชัยภูมิ!L234"")"),0)</f>
        <v>0</v>
      </c>
      <c r="BW34" s="92">
        <f ca="1">IFERROR(__xludf.DUMMYFUNCTION("IMPORTRANGE(""https://docs.google.com/spreadsheets/d/1FvTu2DsIWUjP6WCWra38Bkj_oOl_sOMf14r5Fg5srxU/edit?usp=sharing"",""ชัยภูมิ!N234"")"),0)</f>
        <v>0</v>
      </c>
      <c r="BX34" s="93">
        <f t="shared" ca="1" si="120"/>
        <v>0</v>
      </c>
      <c r="BY34" s="92">
        <f ca="1">IFERROR(__xludf.DUMMYFUNCTION("IMPORTRANGE(""https://docs.google.com/spreadsheets/d/1FvTu2DsIWUjP6WCWra38Bkj_oOl_sOMf14r5Fg5srxU/edit?usp=sharing"",""ชัยภูมิ!L235"")"),0)</f>
        <v>0</v>
      </c>
      <c r="BZ34" s="92">
        <f ca="1">IFERROR(__xludf.DUMMYFUNCTION("IMPORTRANGE(""https://docs.google.com/spreadsheets/d/1FvTu2DsIWUjP6WCWra38Bkj_oOl_sOMf14r5Fg5srxU/edit?usp=sharing"",""ชัยภูมิ!N235"")"),0)</f>
        <v>0</v>
      </c>
      <c r="CA34" s="93">
        <f t="shared" ca="1" si="122"/>
        <v>0</v>
      </c>
      <c r="CB34" s="92">
        <f ca="1">IFERROR(__xludf.DUMMYFUNCTION("IMPORTRANGE(""https://docs.google.com/spreadsheets/d/1FvTu2DsIWUjP6WCWra38Bkj_oOl_sOMf14r5Fg5srxU/edit?usp=sharing"",""ชัยภูมิ!L236"")"),0)</f>
        <v>0</v>
      </c>
      <c r="CC34" s="92">
        <f ca="1">IFERROR(__xludf.DUMMYFUNCTION("IMPORTRANGE(""https://docs.google.com/spreadsheets/d/1FvTu2DsIWUjP6WCWra38Bkj_oOl_sOMf14r5Fg5srxU/edit?usp=sharing"",""ชัยภูมิ!N236"")"),0)</f>
        <v>0</v>
      </c>
      <c r="CD34" s="93">
        <f t="shared" ca="1" si="124"/>
        <v>0</v>
      </c>
      <c r="CE34" s="92">
        <f ca="1">IFERROR(__xludf.DUMMYFUNCTION("IMPORTRANGE(""https://docs.google.com/spreadsheets/d/1FvTu2DsIWUjP6WCWra38Bkj_oOl_sOMf14r5Fg5srxU/edit?usp=sharing"",""ชัยภูมิ!I238"")"),0)</f>
        <v>0</v>
      </c>
      <c r="CF34" s="92">
        <f ca="1">IFERROR(__xludf.DUMMYFUNCTION("IMPORTRANGE(""https://docs.google.com/spreadsheets/d/1FvTu2DsIWUjP6WCWra38Bkj_oOl_sOMf14r5Fg5srxU/edit?usp=sharing"",""ชัยภูมิ!J238"")"),0)</f>
        <v>0</v>
      </c>
      <c r="CG34" s="93">
        <f t="shared" ca="1" si="126"/>
        <v>0</v>
      </c>
      <c r="CH34" s="92">
        <f ca="1">IFERROR(__xludf.DUMMYFUNCTION("IMPORTRANGE(""https://docs.google.com/spreadsheets/d/1FvTu2DsIWUjP6WCWra38Bkj_oOl_sOMf14r5Fg5srxU/edit?usp=sharing"",""ชัยภูมิ!J240"")"),0)</f>
        <v>0</v>
      </c>
      <c r="CI34" s="92">
        <f ca="1">IFERROR(__xludf.DUMMYFUNCTION("IMPORTRANGE(""https://docs.google.com/spreadsheets/d/1FvTu2DsIWUjP6WCWra38Bkj_oOl_sOMf14r5Fg5srxU/edit?usp=sharing"",""ชัยภูมิ!J241"")"),0)</f>
        <v>0</v>
      </c>
    </row>
    <row r="35" spans="1:87" ht="21" customHeight="1" x14ac:dyDescent="0.3">
      <c r="A35" s="84">
        <v>4</v>
      </c>
      <c r="B35" s="85" t="s">
        <v>57</v>
      </c>
      <c r="C35" s="174">
        <f t="shared" ca="1" si="77"/>
        <v>63500</v>
      </c>
      <c r="D35" s="175">
        <f t="shared" ca="1" si="152"/>
        <v>63500</v>
      </c>
      <c r="E35" s="176">
        <f ca="1">IFERROR(__xludf.DUMMYFUNCTION("IMPORTRANGE(""https://docs.google.com/spreadsheets/d/1-uDff_7J0KD5mKrp0Vvzr7lt3OU09vwQwhkpOPPYv2Y/edit?usp=sharing"",""งบพรบ!CV35"")"),0)</f>
        <v>0</v>
      </c>
      <c r="F35" s="176">
        <f ca="1">IFERROR(__xludf.DUMMYFUNCTION("IMPORTRANGE(""https://docs.google.com/spreadsheets/d/1-uDff_7J0KD5mKrp0Vvzr7lt3OU09vwQwhkpOPPYv2Y/edit?usp=sharing"",""งบพรบ!CW35"")"),63500)</f>
        <v>63500</v>
      </c>
      <c r="G35" s="176">
        <f ca="1">IFERROR(__xludf.DUMMYFUNCTION("IMPORTRANGE(""https://docs.google.com/spreadsheets/d/1-uDff_7J0KD5mKrp0Vvzr7lt3OU09vwQwhkpOPPYv2Y/edit?usp=sharing"",""งบพรบ!CX35"")"),0)</f>
        <v>0</v>
      </c>
      <c r="H35" s="176">
        <f ca="1">IFERROR(__xludf.DUMMYFUNCTION("IMPORTRANGE(""https://docs.google.com/spreadsheets/d/1-uDff_7J0KD5mKrp0Vvzr7lt3OU09vwQwhkpOPPYv2Y/edit?usp=sharing"",""งบพรบ!CZ35"")"),40500)</f>
        <v>40500</v>
      </c>
      <c r="I35" s="176">
        <f ca="1">IFERROR(__xludf.DUMMYFUNCTION("IMPORTRANGE(""https://docs.google.com/spreadsheets/d/1-uDff_7J0KD5mKrp0Vvzr7lt3OU09vwQwhkpOPPYv2Y/edit?usp=sharing"",""งบพรบ!DA35"")"),0)</f>
        <v>0</v>
      </c>
      <c r="J35" s="176">
        <f t="shared" ca="1" si="79"/>
        <v>0</v>
      </c>
      <c r="K35" s="181">
        <f t="shared" ca="1" si="80"/>
        <v>0</v>
      </c>
      <c r="L35" s="176">
        <f ca="1">IFERROR(__xludf.DUMMYFUNCTION("IMPORTRANGE(""https://docs.google.com/spreadsheets/d/1-uDff_7J0KD5mKrp0Vvzr7lt3OU09vwQwhkpOPPYv2Y/edit?usp=sharing"",""งบพรบ!DB35"")"),0)</f>
        <v>0</v>
      </c>
      <c r="M35" s="179">
        <f t="shared" ca="1" si="81"/>
        <v>0</v>
      </c>
      <c r="N35" s="179">
        <f t="shared" ca="1" si="82"/>
        <v>0</v>
      </c>
      <c r="O35" s="180">
        <f ca="1">IFERROR(__xludf.DUMMYFUNCTION("IMPORTRANGE(""https://docs.google.com/spreadsheets/d/1-uDff_7J0KD5mKrp0Vvzr7lt3OU09vwQwhkpOPPYv2Y/edit?usp=sharing"",""งบพรบ!DC35"")"),0)</f>
        <v>0</v>
      </c>
      <c r="P35" s="180">
        <f t="shared" ca="1" si="83"/>
        <v>0</v>
      </c>
      <c r="Q35" s="179">
        <f t="shared" ca="1" si="84"/>
        <v>0</v>
      </c>
      <c r="R35" s="92">
        <f ca="1">IFERROR(__xludf.DUMMYFUNCTION("IMPORTRANGE(""https://docs.google.com/spreadsheets/d/1XVB7oCJ3pr-vBUdflwPQ8Z2LlzhnCvZaaYjAfP-647E/edit?usp=sharing"",""นครพนม!L196"")"),6000)</f>
        <v>6000</v>
      </c>
      <c r="S35" s="92">
        <f ca="1">IFERROR(__xludf.DUMMYFUNCTION("IMPORTRANGE(""https://docs.google.com/spreadsheets/d/1XVB7oCJ3pr-vBUdflwPQ8Z2LlzhnCvZaaYjAfP-647E/edit?usp=sharing"",""นครพนม!N196"")"),0)</f>
        <v>0</v>
      </c>
      <c r="T35" s="93">
        <f t="shared" ca="1" si="86"/>
        <v>0</v>
      </c>
      <c r="U35" s="92">
        <f ca="1">IFERROR(__xludf.DUMMYFUNCTION("IMPORTRANGE(""https://docs.google.com/spreadsheets/d/1XVB7oCJ3pr-vBUdflwPQ8Z2LlzhnCvZaaYjAfP-647E/edit?usp=sharing"",""นครพนม!I198"")"),4)</f>
        <v>4</v>
      </c>
      <c r="V35" s="92">
        <f ca="1">IFERROR(__xludf.DUMMYFUNCTION("IMPORTRANGE(""https://docs.google.com/spreadsheets/d/1XVB7oCJ3pr-vBUdflwPQ8Z2LlzhnCvZaaYjAfP-647E/edit?usp=sharing"",""นครพนม!J198"")"),0)</f>
        <v>0</v>
      </c>
      <c r="W35" s="93">
        <f t="shared" ca="1" si="88"/>
        <v>0</v>
      </c>
      <c r="X35" s="92">
        <f ca="1">IFERROR(__xludf.DUMMYFUNCTION("IMPORTRANGE(""https://docs.google.com/spreadsheets/d/1XVB7oCJ3pr-vBUdflwPQ8Z2LlzhnCvZaaYjAfP-647E/edit?usp=sharing"",""นครพนม!J199"")"),0)</f>
        <v>0</v>
      </c>
      <c r="Y35" s="92">
        <f ca="1">IFERROR(__xludf.DUMMYFUNCTION("IMPORTRANGE(""https://docs.google.com/spreadsheets/d/1XVB7oCJ3pr-vBUdflwPQ8Z2LlzhnCvZaaYjAfP-647E/edit?usp=sharing"",""นครพนม!J200"")"),0)</f>
        <v>0</v>
      </c>
      <c r="Z35" s="92">
        <f ca="1">IFERROR(__xludf.DUMMYFUNCTION("IMPORTRANGE(""https://docs.google.com/spreadsheets/d/1XVB7oCJ3pr-vBUdflwPQ8Z2LlzhnCvZaaYjAfP-647E/edit?usp=sharing"",""นครพนม!J201"")"),0)</f>
        <v>0</v>
      </c>
      <c r="AA35" s="92">
        <f ca="1">IFERROR(__xludf.DUMMYFUNCTION("IMPORTRANGE(""https://docs.google.com/spreadsheets/d/1XVB7oCJ3pr-vBUdflwPQ8Z2LlzhnCvZaaYjAfP-647E/edit?usp=sharing"",""นครพนม!L204"")"),3000)</f>
        <v>3000</v>
      </c>
      <c r="AB35" s="92">
        <f ca="1">IFERROR(__xludf.DUMMYFUNCTION("IMPORTRANGE(""https://docs.google.com/spreadsheets/d/1XVB7oCJ3pr-vBUdflwPQ8Z2LlzhnCvZaaYjAfP-647E/edit?usp=sharing"",""นครพนม!N204"")"),0)</f>
        <v>0</v>
      </c>
      <c r="AC35" s="93">
        <f t="shared" ca="1" si="90"/>
        <v>0</v>
      </c>
      <c r="AD35" s="92">
        <f ca="1">IFERROR(__xludf.DUMMYFUNCTION("IMPORTRANGE(""https://docs.google.com/spreadsheets/d/1XVB7oCJ3pr-vBUdflwPQ8Z2LlzhnCvZaaYjAfP-647E/edit?usp=sharing"",""นครพนม!L206"")"),24000)</f>
        <v>24000</v>
      </c>
      <c r="AE35" s="92">
        <f ca="1">IFERROR(__xludf.DUMMYFUNCTION("IMPORTRANGE(""https://docs.google.com/spreadsheets/d/1XVB7oCJ3pr-vBUdflwPQ8Z2LlzhnCvZaaYjAfP-647E/edit?usp=sharing"",""นครพนม!N206"")"),0)</f>
        <v>0</v>
      </c>
      <c r="AF35" s="93">
        <f t="shared" ca="1" si="92"/>
        <v>0</v>
      </c>
      <c r="AG35" s="92">
        <f ca="1">IFERROR(__xludf.DUMMYFUNCTION("IMPORTRANGE(""https://docs.google.com/spreadsheets/d/1XVB7oCJ3pr-vBUdflwPQ8Z2LlzhnCvZaaYjAfP-647E/edit?usp=sharing"",""นครพนม!L207"")"),12000)</f>
        <v>12000</v>
      </c>
      <c r="AH35" s="92">
        <f ca="1">IFERROR(__xludf.DUMMYFUNCTION("IMPORTRANGE(""https://docs.google.com/spreadsheets/d/1XVB7oCJ3pr-vBUdflwPQ8Z2LlzhnCvZaaYjAfP-647E/edit?usp=sharing"",""นครพนม!N207"")"),0)</f>
        <v>0</v>
      </c>
      <c r="AI35" s="93">
        <f t="shared" ca="1" si="94"/>
        <v>0</v>
      </c>
      <c r="AJ35" s="92">
        <f ca="1">IFERROR(__xludf.DUMMYFUNCTION("IMPORTRANGE(""https://docs.google.com/spreadsheets/d/1XVB7oCJ3pr-vBUdflwPQ8Z2LlzhnCvZaaYjAfP-647E/edit?usp=sharing"",""นครพนม!I209"")"),3)</f>
        <v>3</v>
      </c>
      <c r="AK35" s="92">
        <f ca="1">IFERROR(__xludf.DUMMYFUNCTION("IMPORTRANGE(""https://docs.google.com/spreadsheets/d/1XVB7oCJ3pr-vBUdflwPQ8Z2LlzhnCvZaaYjAfP-647E/edit?usp=sharing"",""นครพนม!J209"")"),0)</f>
        <v>0</v>
      </c>
      <c r="AL35" s="93">
        <f t="shared" ca="1" si="96"/>
        <v>0</v>
      </c>
      <c r="AM35" s="92">
        <f ca="1">IFERROR(__xludf.DUMMYFUNCTION("IMPORTRANGE(""https://docs.google.com/spreadsheets/d/1XVB7oCJ3pr-vBUdflwPQ8Z2LlzhnCvZaaYjAfP-647E/edit?usp=sharing"",""นครพนม!J211"")"),0)</f>
        <v>0</v>
      </c>
      <c r="AN35" s="92">
        <f ca="1">IFERROR(__xludf.DUMMYFUNCTION("IMPORTRANGE(""https://docs.google.com/spreadsheets/d/1XVB7oCJ3pr-vBUdflwPQ8Z2LlzhnCvZaaYjAfP-647E/edit?usp=sharing"",""นครพนม!J212"")"),0)</f>
        <v>0</v>
      </c>
      <c r="AO35" s="92">
        <f ca="1">IFERROR(__xludf.DUMMYFUNCTION("IMPORTRANGE(""https://docs.google.com/spreadsheets/d/1XVB7oCJ3pr-vBUdflwPQ8Z2LlzhnCvZaaYjAfP-647E/edit?usp=sharing"",""นครพนม!L215"")"),1000)</f>
        <v>1000</v>
      </c>
      <c r="AP35" s="92">
        <f ca="1">IFERROR(__xludf.DUMMYFUNCTION("IMPORTRANGE(""https://docs.google.com/spreadsheets/d/1XVB7oCJ3pr-vBUdflwPQ8Z2LlzhnCvZaaYjAfP-647E/edit?usp=sharing"",""นครพนม!N215"")"),0)</f>
        <v>0</v>
      </c>
      <c r="AQ35" s="93">
        <f t="shared" ca="1" si="98"/>
        <v>0</v>
      </c>
      <c r="AR35" s="92">
        <f ca="1">IFERROR(__xludf.DUMMYFUNCTION("IMPORTRANGE(""https://docs.google.com/spreadsheets/d/1XVB7oCJ3pr-vBUdflwPQ8Z2LlzhnCvZaaYjAfP-647E/edit?usp=sharing"",""นครพนม!L216"")"),5000)</f>
        <v>5000</v>
      </c>
      <c r="AS35" s="92">
        <f ca="1">IFERROR(__xludf.DUMMYFUNCTION("IMPORTRANGE(""https://docs.google.com/spreadsheets/d/1XVB7oCJ3pr-vBUdflwPQ8Z2LlzhnCvZaaYjAfP-647E/edit?usp=sharing"",""นครพนม!N216"")"),0)</f>
        <v>0</v>
      </c>
      <c r="AT35" s="93">
        <f t="shared" ca="1" si="100"/>
        <v>0</v>
      </c>
      <c r="AU35" s="92">
        <f ca="1">IFERROR(__xludf.DUMMYFUNCTION("IMPORTRANGE(""https://docs.google.com/spreadsheets/d/1XVB7oCJ3pr-vBUdflwPQ8Z2LlzhnCvZaaYjAfP-647E/edit?usp=sharing"",""นครพนม!L217"")"),8000)</f>
        <v>8000</v>
      </c>
      <c r="AV35" s="92">
        <f ca="1">IFERROR(__xludf.DUMMYFUNCTION("IMPORTRANGE(""https://docs.google.com/spreadsheets/d/1XVB7oCJ3pr-vBUdflwPQ8Z2LlzhnCvZaaYjAfP-647E/edit?usp=sharing"",""นครพนม!N217"")"),0)</f>
        <v>0</v>
      </c>
      <c r="AW35" s="93">
        <f t="shared" ca="1" si="102"/>
        <v>0</v>
      </c>
      <c r="AX35" s="92">
        <f ca="1">IFERROR(__xludf.DUMMYFUNCTION("IMPORTRANGE(""https://docs.google.com/spreadsheets/d/1XVB7oCJ3pr-vBUdflwPQ8Z2LlzhnCvZaaYjAfP-647E/edit?usp=sharing"",""นครพนม!I219"")"),1)</f>
        <v>1</v>
      </c>
      <c r="AY35" s="92">
        <f ca="1">IFERROR(__xludf.DUMMYFUNCTION("IMPORTRANGE(""https://docs.google.com/spreadsheets/d/1XVB7oCJ3pr-vBUdflwPQ8Z2LlzhnCvZaaYjAfP-647E/edit?usp=sharing"",""นครพนม!J219"")"),0)</f>
        <v>0</v>
      </c>
      <c r="AZ35" s="93">
        <f t="shared" ca="1" si="104"/>
        <v>0</v>
      </c>
      <c r="BA35" s="92">
        <f ca="1">IFERROR(__xludf.DUMMYFUNCTION("IMPORTRANGE(""https://docs.google.com/spreadsheets/d/1XVB7oCJ3pr-vBUdflwPQ8Z2LlzhnCvZaaYjAfP-647E/edit?usp=sharing"",""นครพนม!I220"")"),1)</f>
        <v>1</v>
      </c>
      <c r="BB35" s="92">
        <f ca="1">IFERROR(__xludf.DUMMYFUNCTION("IMPORTRANGE(""https://docs.google.com/spreadsheets/d/1XVB7oCJ3pr-vBUdflwPQ8Z2LlzhnCvZaaYjAfP-647E/edit?usp=sharing"",""นครพนม!J220"")"),0)</f>
        <v>0</v>
      </c>
      <c r="BC35" s="93">
        <f t="shared" ca="1" si="106"/>
        <v>0</v>
      </c>
      <c r="BD35" s="92">
        <f ca="1">IFERROR(__xludf.DUMMYFUNCTION("IMPORTRANGE(""https://docs.google.com/spreadsheets/d/1XVB7oCJ3pr-vBUdflwPQ8Z2LlzhnCvZaaYjAfP-647E/edit?usp=sharing"",""นครพนม!L223"")"),3000)</f>
        <v>3000</v>
      </c>
      <c r="BE35" s="92">
        <f ca="1">IFERROR(__xludf.DUMMYFUNCTION("IMPORTRANGE(""https://docs.google.com/spreadsheets/d/1XVB7oCJ3pr-vBUdflwPQ8Z2LlzhnCvZaaYjAfP-647E/edit?usp=sharing"",""นครพนม!N223"")"),0)</f>
        <v>0</v>
      </c>
      <c r="BF35" s="93">
        <f t="shared" ca="1" si="108"/>
        <v>0</v>
      </c>
      <c r="BG35" s="92">
        <f ca="1">IFERROR(__xludf.DUMMYFUNCTION("IMPORTRANGE(""https://docs.google.com/spreadsheets/d/1XVB7oCJ3pr-vBUdflwPQ8Z2LlzhnCvZaaYjAfP-647E/edit?usp=sharing"",""นครพนม!L224"")"),1500)</f>
        <v>1500</v>
      </c>
      <c r="BH35" s="92">
        <f ca="1">IFERROR(__xludf.DUMMYFUNCTION("IMPORTRANGE(""https://docs.google.com/spreadsheets/d/1XVB7oCJ3pr-vBUdflwPQ8Z2LlzhnCvZaaYjAfP-647E/edit?usp=sharing"",""นครพนม!N224"")"),0)</f>
        <v>0</v>
      </c>
      <c r="BI35" s="93">
        <f t="shared" ca="1" si="110"/>
        <v>0</v>
      </c>
      <c r="BJ35" s="92">
        <f ca="1">IFERROR(__xludf.DUMMYFUNCTION("IMPORTRANGE(""https://docs.google.com/spreadsheets/d/1XVB7oCJ3pr-vBUdflwPQ8Z2LlzhnCvZaaYjAfP-647E/edit?usp=sharing"",""นครพนม!I228"")"),10000)</f>
        <v>10000</v>
      </c>
      <c r="BK35" s="92">
        <f ca="1">IFERROR(__xludf.DUMMYFUNCTION("IMPORTRANGE(""https://docs.google.com/spreadsheets/d/1XVB7oCJ3pr-vBUdflwPQ8Z2LlzhnCvZaaYjAfP-647E/edit?usp=sharing"",""นครพนม!J228"")"),0)</f>
        <v>0</v>
      </c>
      <c r="BL35" s="93">
        <f t="shared" ca="1" si="112"/>
        <v>0</v>
      </c>
      <c r="BM35" s="92">
        <f ca="1">IFERROR(__xludf.DUMMYFUNCTION("IMPORTRANGE(""https://docs.google.com/spreadsheets/d/1XVB7oCJ3pr-vBUdflwPQ8Z2LlzhnCvZaaYjAfP-647E/edit?usp=sharing"",""นครพนม!I229"")"),10000)</f>
        <v>10000</v>
      </c>
      <c r="BN35" s="92">
        <f ca="1">IFERROR(__xludf.DUMMYFUNCTION("IMPORTRANGE(""https://docs.google.com/spreadsheets/d/1XVB7oCJ3pr-vBUdflwPQ8Z2LlzhnCvZaaYjAfP-647E/edit?usp=sharing"",""นครพนม!J229"")"),0)</f>
        <v>0</v>
      </c>
      <c r="BO35" s="93">
        <f t="shared" ca="1" si="114"/>
        <v>0</v>
      </c>
      <c r="BP35" s="92">
        <f ca="1">IFERROR(__xludf.DUMMYFUNCTION("IMPORTRANGE(""https://docs.google.com/spreadsheets/d/1XVB7oCJ3pr-vBUdflwPQ8Z2LlzhnCvZaaYjAfP-647E/edit?usp=sharing"",""นครพนม!I230"")"),0)</f>
        <v>0</v>
      </c>
      <c r="BQ35" s="92">
        <f ca="1">IFERROR(__xludf.DUMMYFUNCTION("IMPORTRANGE(""https://docs.google.com/spreadsheets/d/1XVB7oCJ3pr-vBUdflwPQ8Z2LlzhnCvZaaYjAfP-647E/edit?usp=sharing"",""นครพนม!J230"")"),0)</f>
        <v>0</v>
      </c>
      <c r="BR35" s="93">
        <f t="shared" ca="1" si="116"/>
        <v>0</v>
      </c>
      <c r="BS35" s="92">
        <f ca="1">IFERROR(__xludf.DUMMYFUNCTION("IMPORTRANGE(""https://docs.google.com/spreadsheets/d/1XVB7oCJ3pr-vBUdflwPQ8Z2LlzhnCvZaaYjAfP-647E/edit?usp=sharing"",""นครพนม!L233"")"),0)</f>
        <v>0</v>
      </c>
      <c r="BT35" s="92">
        <f ca="1">IFERROR(__xludf.DUMMYFUNCTION("IMPORTRANGE(""https://docs.google.com/spreadsheets/d/1XVB7oCJ3pr-vBUdflwPQ8Z2LlzhnCvZaaYjAfP-647E/edit?usp=sharing"",""นครพนม!N233"")"),0)</f>
        <v>0</v>
      </c>
      <c r="BU35" s="93">
        <f t="shared" ca="1" si="118"/>
        <v>0</v>
      </c>
      <c r="BV35" s="92">
        <f ca="1">IFERROR(__xludf.DUMMYFUNCTION("IMPORTRANGE(""https://docs.google.com/spreadsheets/d/1XVB7oCJ3pr-vBUdflwPQ8Z2LlzhnCvZaaYjAfP-647E/edit?usp=sharing"",""นครพนม!L234"")"),0)</f>
        <v>0</v>
      </c>
      <c r="BW35" s="92">
        <f ca="1">IFERROR(__xludf.DUMMYFUNCTION("IMPORTRANGE(""https://docs.google.com/spreadsheets/d/1XVB7oCJ3pr-vBUdflwPQ8Z2LlzhnCvZaaYjAfP-647E/edit?usp=sharing"",""นครพนม!N234"")"),0)</f>
        <v>0</v>
      </c>
      <c r="BX35" s="93">
        <f t="shared" ca="1" si="120"/>
        <v>0</v>
      </c>
      <c r="BY35" s="92">
        <f ca="1">IFERROR(__xludf.DUMMYFUNCTION("IMPORTRANGE(""https://docs.google.com/spreadsheets/d/1XVB7oCJ3pr-vBUdflwPQ8Z2LlzhnCvZaaYjAfP-647E/edit?usp=sharing"",""นครพนม!L235"")"),0)</f>
        <v>0</v>
      </c>
      <c r="BZ35" s="92">
        <f ca="1">IFERROR(__xludf.DUMMYFUNCTION("IMPORTRANGE(""https://docs.google.com/spreadsheets/d/1XVB7oCJ3pr-vBUdflwPQ8Z2LlzhnCvZaaYjAfP-647E/edit?usp=sharing"",""นครพนม!N235"")"),0)</f>
        <v>0</v>
      </c>
      <c r="CA35" s="93">
        <f t="shared" ca="1" si="122"/>
        <v>0</v>
      </c>
      <c r="CB35" s="92">
        <f ca="1">IFERROR(__xludf.DUMMYFUNCTION("IMPORTRANGE(""https://docs.google.com/spreadsheets/d/1XVB7oCJ3pr-vBUdflwPQ8Z2LlzhnCvZaaYjAfP-647E/edit?usp=sharing"",""นครพนม!L236"")"),0)</f>
        <v>0</v>
      </c>
      <c r="CC35" s="92">
        <f ca="1">IFERROR(__xludf.DUMMYFUNCTION("IMPORTRANGE(""https://docs.google.com/spreadsheets/d/1XVB7oCJ3pr-vBUdflwPQ8Z2LlzhnCvZaaYjAfP-647E/edit?usp=sharing"",""นครพนม!N236"")"),0)</f>
        <v>0</v>
      </c>
      <c r="CD35" s="93">
        <f t="shared" ca="1" si="124"/>
        <v>0</v>
      </c>
      <c r="CE35" s="92">
        <f ca="1">IFERROR(__xludf.DUMMYFUNCTION("IMPORTRANGE(""https://docs.google.com/spreadsheets/d/1XVB7oCJ3pr-vBUdflwPQ8Z2LlzhnCvZaaYjAfP-647E/edit?usp=sharing"",""นครพนม!I238"")"),0)</f>
        <v>0</v>
      </c>
      <c r="CF35" s="92">
        <f ca="1">IFERROR(__xludf.DUMMYFUNCTION("IMPORTRANGE(""https://docs.google.com/spreadsheets/d/1XVB7oCJ3pr-vBUdflwPQ8Z2LlzhnCvZaaYjAfP-647E/edit?usp=sharing"",""นครพนม!J238"")"),0)</f>
        <v>0</v>
      </c>
      <c r="CG35" s="93">
        <f t="shared" ca="1" si="126"/>
        <v>0</v>
      </c>
      <c r="CH35" s="92">
        <f ca="1">IFERROR(__xludf.DUMMYFUNCTION("IMPORTRANGE(""https://docs.google.com/spreadsheets/d/1XVB7oCJ3pr-vBUdflwPQ8Z2LlzhnCvZaaYjAfP-647E/edit?usp=sharing"",""นครพนม!J240"")"),0)</f>
        <v>0</v>
      </c>
      <c r="CI35" s="92">
        <f ca="1">IFERROR(__xludf.DUMMYFUNCTION("IMPORTRANGE(""https://docs.google.com/spreadsheets/d/1XVB7oCJ3pr-vBUdflwPQ8Z2LlzhnCvZaaYjAfP-647E/edit?usp=sharing"",""นครพนม!J241"")"),0)</f>
        <v>0</v>
      </c>
    </row>
    <row r="36" spans="1:87" ht="21" customHeight="1" x14ac:dyDescent="0.3">
      <c r="A36" s="84">
        <v>5</v>
      </c>
      <c r="B36" s="85" t="s">
        <v>58</v>
      </c>
      <c r="C36" s="174">
        <f t="shared" ca="1" si="77"/>
        <v>255500</v>
      </c>
      <c r="D36" s="175">
        <f t="shared" ca="1" si="152"/>
        <v>255500</v>
      </c>
      <c r="E36" s="176">
        <f ca="1">IFERROR(__xludf.DUMMYFUNCTION("IMPORTRANGE(""https://docs.google.com/spreadsheets/d/1-uDff_7J0KD5mKrp0Vvzr7lt3OU09vwQwhkpOPPYv2Y/edit?usp=sharing"",""งบพรบ!CV36"")"),182000)</f>
        <v>182000</v>
      </c>
      <c r="F36" s="176">
        <f ca="1">IFERROR(__xludf.DUMMYFUNCTION("IMPORTRANGE(""https://docs.google.com/spreadsheets/d/1-uDff_7J0KD5mKrp0Vvzr7lt3OU09vwQwhkpOPPYv2Y/edit?usp=sharing"",""งบพรบ!CW36"")"),73500)</f>
        <v>73500</v>
      </c>
      <c r="G36" s="176">
        <f ca="1">IFERROR(__xludf.DUMMYFUNCTION("IMPORTRANGE(""https://docs.google.com/spreadsheets/d/1-uDff_7J0KD5mKrp0Vvzr7lt3OU09vwQwhkpOPPYv2Y/edit?usp=sharing"",""งบพรบ!CX36"")"),0)</f>
        <v>0</v>
      </c>
      <c r="H36" s="176">
        <f ca="1">IFERROR(__xludf.DUMMYFUNCTION("IMPORTRANGE(""https://docs.google.com/spreadsheets/d/1-uDff_7J0KD5mKrp0Vvzr7lt3OU09vwQwhkpOPPYv2Y/edit?usp=sharing"",""งบพรบ!CZ36"")"),170500)</f>
        <v>170500</v>
      </c>
      <c r="I36" s="176">
        <f ca="1">IFERROR(__xludf.DUMMYFUNCTION("IMPORTRANGE(""https://docs.google.com/spreadsheets/d/1-uDff_7J0KD5mKrp0Vvzr7lt3OU09vwQwhkpOPPYv2Y/edit?usp=sharing"",""งบพรบ!DA36"")"),0)</f>
        <v>0</v>
      </c>
      <c r="J36" s="176">
        <f t="shared" ca="1" si="79"/>
        <v>54580</v>
      </c>
      <c r="K36" s="181">
        <f t="shared" ca="1" si="80"/>
        <v>21.362035225048924</v>
      </c>
      <c r="L36" s="176">
        <f ca="1">IFERROR(__xludf.DUMMYFUNCTION("IMPORTRANGE(""https://docs.google.com/spreadsheets/d/1-uDff_7J0KD5mKrp0Vvzr7lt3OU09vwQwhkpOPPYv2Y/edit?usp=sharing"",""งบพรบ!DB36"")"),54580)</f>
        <v>54580</v>
      </c>
      <c r="M36" s="179">
        <f t="shared" ca="1" si="81"/>
        <v>21.362035225048924</v>
      </c>
      <c r="N36" s="179">
        <f t="shared" ca="1" si="82"/>
        <v>32.011730205278596</v>
      </c>
      <c r="O36" s="180">
        <f ca="1">IFERROR(__xludf.DUMMYFUNCTION("IMPORTRANGE(""https://docs.google.com/spreadsheets/d/1-uDff_7J0KD5mKrp0Vvzr7lt3OU09vwQwhkpOPPYv2Y/edit?usp=sharing"",""งบพรบ!DC36"")"),0)</f>
        <v>0</v>
      </c>
      <c r="P36" s="180">
        <f t="shared" ca="1" si="83"/>
        <v>0</v>
      </c>
      <c r="Q36" s="179">
        <f t="shared" ca="1" si="84"/>
        <v>0</v>
      </c>
      <c r="R36" s="92">
        <f ca="1">IFERROR(__xludf.DUMMYFUNCTION("IMPORTRANGE(""https://docs.google.com/spreadsheets/d/1Mnpb-8PYAgn85W6KOTD40hc_Xc55CaLfHoGAbrZ8tls/edit?usp=sharing"",""นครราชสีมา!L196"")"),6000)</f>
        <v>6000</v>
      </c>
      <c r="S36" s="92">
        <f ca="1">IFERROR(__xludf.DUMMYFUNCTION("IMPORTRANGE(""https://docs.google.com/spreadsheets/d/1Mnpb-8PYAgn85W6KOTD40hc_Xc55CaLfHoGAbrZ8tls/edit?usp=sharing"",""นครราชสีมา!N196"")"),0)</f>
        <v>0</v>
      </c>
      <c r="T36" s="93">
        <f t="shared" ca="1" si="86"/>
        <v>0</v>
      </c>
      <c r="U36" s="92">
        <f ca="1">IFERROR(__xludf.DUMMYFUNCTION("IMPORTRANGE(""https://docs.google.com/spreadsheets/d/1Mnpb-8PYAgn85W6KOTD40hc_Xc55CaLfHoGAbrZ8tls/edit?usp=sharing"",""นครราชสีมา!I198"")"),4)</f>
        <v>4</v>
      </c>
      <c r="V36" s="92">
        <f ca="1">IFERROR(__xludf.DUMMYFUNCTION("IMPORTRANGE(""https://docs.google.com/spreadsheets/d/1Mnpb-8PYAgn85W6KOTD40hc_Xc55CaLfHoGAbrZ8tls/edit?usp=sharing"",""นครราชสีมา!J198"")"),0)</f>
        <v>0</v>
      </c>
      <c r="W36" s="93">
        <f t="shared" ca="1" si="88"/>
        <v>0</v>
      </c>
      <c r="X36" s="92">
        <f ca="1">IFERROR(__xludf.DUMMYFUNCTION("IMPORTRANGE(""https://docs.google.com/spreadsheets/d/1Mnpb-8PYAgn85W6KOTD40hc_Xc55CaLfHoGAbrZ8tls/edit?usp=sharing"",""นครราชสีมา!J199"")"),0)</f>
        <v>0</v>
      </c>
      <c r="Y36" s="92">
        <f ca="1">IFERROR(__xludf.DUMMYFUNCTION("IMPORTRANGE(""https://docs.google.com/spreadsheets/d/1Mnpb-8PYAgn85W6KOTD40hc_Xc55CaLfHoGAbrZ8tls/edit?usp=sharing"",""นครราชสีมา!J200"")"),0)</f>
        <v>0</v>
      </c>
      <c r="Z36" s="92">
        <f ca="1">IFERROR(__xludf.DUMMYFUNCTION("IMPORTRANGE(""https://docs.google.com/spreadsheets/d/1Mnpb-8PYAgn85W6KOTD40hc_Xc55CaLfHoGAbrZ8tls/edit?usp=sharing"",""นครราชสีมา!J201"")"),0)</f>
        <v>0</v>
      </c>
      <c r="AA36" s="92">
        <f ca="1">IFERROR(__xludf.DUMMYFUNCTION("IMPORTRANGE(""https://docs.google.com/spreadsheets/d/1Mnpb-8PYAgn85W6KOTD40hc_Xc55CaLfHoGAbrZ8tls/edit?usp=sharing"",""นครราชสีมา!L204"")"),4000)</f>
        <v>4000</v>
      </c>
      <c r="AB36" s="92">
        <f ca="1">IFERROR(__xludf.DUMMYFUNCTION("IMPORTRANGE(""https://docs.google.com/spreadsheets/d/1Mnpb-8PYAgn85W6KOTD40hc_Xc55CaLfHoGAbrZ8tls/edit?usp=sharing"",""นครราชสีมา!N204"")"),0)</f>
        <v>0</v>
      </c>
      <c r="AC36" s="93">
        <f t="shared" ca="1" si="90"/>
        <v>0</v>
      </c>
      <c r="AD36" s="92">
        <f ca="1">IFERROR(__xludf.DUMMYFUNCTION("IMPORTRANGE(""https://docs.google.com/spreadsheets/d/1Mnpb-8PYAgn85W6KOTD40hc_Xc55CaLfHoGAbrZ8tls/edit?usp=sharing"",""นครราชสีมา!L206"")"),32000)</f>
        <v>32000</v>
      </c>
      <c r="AE36" s="92">
        <f ca="1">IFERROR(__xludf.DUMMYFUNCTION("IMPORTRANGE(""https://docs.google.com/spreadsheets/d/1Mnpb-8PYAgn85W6KOTD40hc_Xc55CaLfHoGAbrZ8tls/edit?usp=sharing"",""นครราชสีมา!N206"")"),0)</f>
        <v>0</v>
      </c>
      <c r="AF36" s="93">
        <f t="shared" ca="1" si="92"/>
        <v>0</v>
      </c>
      <c r="AG36" s="92">
        <f ca="1">IFERROR(__xludf.DUMMYFUNCTION("IMPORTRANGE(""https://docs.google.com/spreadsheets/d/1Mnpb-8PYAgn85W6KOTD40hc_Xc55CaLfHoGAbrZ8tls/edit?usp=sharing"",""นครราชสีมา!L207"")"),21000)</f>
        <v>21000</v>
      </c>
      <c r="AH36" s="92">
        <f ca="1">IFERROR(__xludf.DUMMYFUNCTION("IMPORTRANGE(""https://docs.google.com/spreadsheets/d/1Mnpb-8PYAgn85W6KOTD40hc_Xc55CaLfHoGAbrZ8tls/edit?usp=sharing"",""นครราชสีมา!N207"")"),0)</f>
        <v>0</v>
      </c>
      <c r="AI36" s="93">
        <f t="shared" ca="1" si="94"/>
        <v>0</v>
      </c>
      <c r="AJ36" s="92">
        <f ca="1">IFERROR(__xludf.DUMMYFUNCTION("IMPORTRANGE(""https://docs.google.com/spreadsheets/d/1Mnpb-8PYAgn85W6KOTD40hc_Xc55CaLfHoGAbrZ8tls/edit?usp=sharing"",""นครราชสีมา!I209"")"),4)</f>
        <v>4</v>
      </c>
      <c r="AK36" s="92">
        <f ca="1">IFERROR(__xludf.DUMMYFUNCTION("IMPORTRANGE(""https://docs.google.com/spreadsheets/d/1Mnpb-8PYAgn85W6KOTD40hc_Xc55CaLfHoGAbrZ8tls/edit?usp=sharing"",""นครราชสีมา!J209"")"),0)</f>
        <v>0</v>
      </c>
      <c r="AL36" s="93">
        <f t="shared" ca="1" si="96"/>
        <v>0</v>
      </c>
      <c r="AM36" s="92">
        <f ca="1">IFERROR(__xludf.DUMMYFUNCTION("IMPORTRANGE(""https://docs.google.com/spreadsheets/d/1Mnpb-8PYAgn85W6KOTD40hc_Xc55CaLfHoGAbrZ8tls/edit?usp=sharing"",""นครราชสีมา!J211"")"),0)</f>
        <v>0</v>
      </c>
      <c r="AN36" s="92">
        <f ca="1">IFERROR(__xludf.DUMMYFUNCTION("IMPORTRANGE(""https://docs.google.com/spreadsheets/d/1Mnpb-8PYAgn85W6KOTD40hc_Xc55CaLfHoGAbrZ8tls/edit?usp=sharing"",""นครราชสีมา!J212"")"),0)</f>
        <v>0</v>
      </c>
      <c r="AO36" s="92">
        <f ca="1">IFERROR(__xludf.DUMMYFUNCTION("IMPORTRANGE(""https://docs.google.com/spreadsheets/d/1Mnpb-8PYAgn85W6KOTD40hc_Xc55CaLfHoGAbrZ8tls/edit?usp=sharing"",""นครราชสีมา!L215"")"),0)</f>
        <v>0</v>
      </c>
      <c r="AP36" s="92">
        <f ca="1">IFERROR(__xludf.DUMMYFUNCTION("IMPORTRANGE(""https://docs.google.com/spreadsheets/d/1Mnpb-8PYAgn85W6KOTD40hc_Xc55CaLfHoGAbrZ8tls/edit?usp=sharing"",""นครราชสีมา!N215"")"),0)</f>
        <v>0</v>
      </c>
      <c r="AQ36" s="93">
        <f t="shared" ca="1" si="98"/>
        <v>0</v>
      </c>
      <c r="AR36" s="92">
        <f ca="1">IFERROR(__xludf.DUMMYFUNCTION("IMPORTRANGE(""https://docs.google.com/spreadsheets/d/1Mnpb-8PYAgn85W6KOTD40hc_Xc55CaLfHoGAbrZ8tls/edit?usp=sharing"",""นครราชสีมา!L216"")"),0)</f>
        <v>0</v>
      </c>
      <c r="AS36" s="92">
        <f ca="1">IFERROR(__xludf.DUMMYFUNCTION("IMPORTRANGE(""https://docs.google.com/spreadsheets/d/1Mnpb-8PYAgn85W6KOTD40hc_Xc55CaLfHoGAbrZ8tls/edit?usp=sharing"",""นครราชสีมา!N216"")"),0)</f>
        <v>0</v>
      </c>
      <c r="AT36" s="93">
        <f t="shared" ca="1" si="100"/>
        <v>0</v>
      </c>
      <c r="AU36" s="92">
        <f ca="1">IFERROR(__xludf.DUMMYFUNCTION("IMPORTRANGE(""https://docs.google.com/spreadsheets/d/1Mnpb-8PYAgn85W6KOTD40hc_Xc55CaLfHoGAbrZ8tls/edit?usp=sharing"",""นครราชสีมา!L217"")"),0)</f>
        <v>0</v>
      </c>
      <c r="AV36" s="92">
        <f ca="1">IFERROR(__xludf.DUMMYFUNCTION("IMPORTRANGE(""https://docs.google.com/spreadsheets/d/1Mnpb-8PYAgn85W6KOTD40hc_Xc55CaLfHoGAbrZ8tls/edit?usp=sharing"",""นครราชสีมา!N217"")"),0)</f>
        <v>0</v>
      </c>
      <c r="AW36" s="93">
        <f t="shared" ca="1" si="102"/>
        <v>0</v>
      </c>
      <c r="AX36" s="92">
        <f ca="1">IFERROR(__xludf.DUMMYFUNCTION("IMPORTRANGE(""https://docs.google.com/spreadsheets/d/1Mnpb-8PYAgn85W6KOTD40hc_Xc55CaLfHoGAbrZ8tls/edit?usp=sharing"",""นครราชสีมา!I219"")"),0)</f>
        <v>0</v>
      </c>
      <c r="AY36" s="92">
        <f ca="1">IFERROR(__xludf.DUMMYFUNCTION("IMPORTRANGE(""https://docs.google.com/spreadsheets/d/1Mnpb-8PYAgn85W6KOTD40hc_Xc55CaLfHoGAbrZ8tls/edit?usp=sharing"",""นครราชสีมา!J219"")"),0)</f>
        <v>0</v>
      </c>
      <c r="AZ36" s="93">
        <f t="shared" ca="1" si="104"/>
        <v>0</v>
      </c>
      <c r="BA36" s="92">
        <f ca="1">IFERROR(__xludf.DUMMYFUNCTION("IMPORTRANGE(""https://docs.google.com/spreadsheets/d/1Mnpb-8PYAgn85W6KOTD40hc_Xc55CaLfHoGAbrZ8tls/edit?usp=sharing"",""นครราชสีมา!I220"")"),0)</f>
        <v>0</v>
      </c>
      <c r="BB36" s="92">
        <f ca="1">IFERROR(__xludf.DUMMYFUNCTION("IMPORTRANGE(""https://docs.google.com/spreadsheets/d/1Mnpb-8PYAgn85W6KOTD40hc_Xc55CaLfHoGAbrZ8tls/edit?usp=sharing"",""นครราชสีมา!J220"")"),0)</f>
        <v>0</v>
      </c>
      <c r="BC36" s="93">
        <f t="shared" ca="1" si="106"/>
        <v>0</v>
      </c>
      <c r="BD36" s="92">
        <f ca="1">IFERROR(__xludf.DUMMYFUNCTION("IMPORTRANGE(""https://docs.google.com/spreadsheets/d/1Mnpb-8PYAgn85W6KOTD40hc_Xc55CaLfHoGAbrZ8tls/edit?usp=sharing"",""นครราชสีมา!L223"")"),9000)</f>
        <v>9000</v>
      </c>
      <c r="BE36" s="92">
        <f ca="1">IFERROR(__xludf.DUMMYFUNCTION("IMPORTRANGE(""https://docs.google.com/spreadsheets/d/1Mnpb-8PYAgn85W6KOTD40hc_Xc55CaLfHoGAbrZ8tls/edit?usp=sharing"",""นครราชสีมา!N223"")"),0)</f>
        <v>0</v>
      </c>
      <c r="BF36" s="93">
        <f t="shared" ca="1" si="108"/>
        <v>0</v>
      </c>
      <c r="BG36" s="92">
        <f ca="1">IFERROR(__xludf.DUMMYFUNCTION("IMPORTRANGE(""https://docs.google.com/spreadsheets/d/1Mnpb-8PYAgn85W6KOTD40hc_Xc55CaLfHoGAbrZ8tls/edit?usp=sharing"",""นครราชสีมา!L224"")"),1500)</f>
        <v>1500</v>
      </c>
      <c r="BH36" s="92">
        <f ca="1">IFERROR(__xludf.DUMMYFUNCTION("IMPORTRANGE(""https://docs.google.com/spreadsheets/d/1Mnpb-8PYAgn85W6KOTD40hc_Xc55CaLfHoGAbrZ8tls/edit?usp=sharing"",""นครราชสีมา!N224"")"),0)</f>
        <v>0</v>
      </c>
      <c r="BI36" s="93">
        <f t="shared" ca="1" si="110"/>
        <v>0</v>
      </c>
      <c r="BJ36" s="92">
        <f ca="1">IFERROR(__xludf.DUMMYFUNCTION("IMPORTRANGE(""https://docs.google.com/spreadsheets/d/1Mnpb-8PYAgn85W6KOTD40hc_Xc55CaLfHoGAbrZ8tls/edit?usp=sharing"",""นครราชสีมา!I228"")"),70000)</f>
        <v>70000</v>
      </c>
      <c r="BK36" s="92">
        <f ca="1">IFERROR(__xludf.DUMMYFUNCTION("IMPORTRANGE(""https://docs.google.com/spreadsheets/d/1Mnpb-8PYAgn85W6KOTD40hc_Xc55CaLfHoGAbrZ8tls/edit?usp=sharing"",""นครราชสีมา!J228"")"),0)</f>
        <v>0</v>
      </c>
      <c r="BL36" s="93">
        <f t="shared" ca="1" si="112"/>
        <v>0</v>
      </c>
      <c r="BM36" s="92">
        <f ca="1">IFERROR(__xludf.DUMMYFUNCTION("IMPORTRANGE(""https://docs.google.com/spreadsheets/d/1Mnpb-8PYAgn85W6KOTD40hc_Xc55CaLfHoGAbrZ8tls/edit?usp=sharing"",""นครราชสีมา!I229"")"),70000)</f>
        <v>70000</v>
      </c>
      <c r="BN36" s="92">
        <f ca="1">IFERROR(__xludf.DUMMYFUNCTION("IMPORTRANGE(""https://docs.google.com/spreadsheets/d/1Mnpb-8PYAgn85W6KOTD40hc_Xc55CaLfHoGAbrZ8tls/edit?usp=sharing"",""นครราชสีมา!J229"")"),0)</f>
        <v>0</v>
      </c>
      <c r="BO36" s="93">
        <f t="shared" ca="1" si="114"/>
        <v>0</v>
      </c>
      <c r="BP36" s="92">
        <f ca="1">IFERROR(__xludf.DUMMYFUNCTION("IMPORTRANGE(""https://docs.google.com/spreadsheets/d/1Mnpb-8PYAgn85W6KOTD40hc_Xc55CaLfHoGAbrZ8tls/edit?usp=sharing"",""นครราชสีมา!I230"")"),0)</f>
        <v>0</v>
      </c>
      <c r="BQ36" s="92">
        <f ca="1">IFERROR(__xludf.DUMMYFUNCTION("IMPORTRANGE(""https://docs.google.com/spreadsheets/d/1Mnpb-8PYAgn85W6KOTD40hc_Xc55CaLfHoGAbrZ8tls/edit?usp=sharing"",""นครราชสีมา!J230"")"),0)</f>
        <v>0</v>
      </c>
      <c r="BR36" s="93">
        <f t="shared" ca="1" si="116"/>
        <v>0</v>
      </c>
      <c r="BS36" s="92">
        <f ca="1">IFERROR(__xludf.DUMMYFUNCTION("IMPORTRANGE(""https://docs.google.com/spreadsheets/d/1Mnpb-8PYAgn85W6KOTD40hc_Xc55CaLfHoGAbrZ8tls/edit?usp=sharing"",""นครราชสีมา!L233"")"),0)</f>
        <v>0</v>
      </c>
      <c r="BT36" s="92">
        <f ca="1">IFERROR(__xludf.DUMMYFUNCTION("IMPORTRANGE(""https://docs.google.com/spreadsheets/d/1Mnpb-8PYAgn85W6KOTD40hc_Xc55CaLfHoGAbrZ8tls/edit?usp=sharing"",""นครราชสีมา!N233"")"),0)</f>
        <v>0</v>
      </c>
      <c r="BU36" s="93">
        <f t="shared" ca="1" si="118"/>
        <v>0</v>
      </c>
      <c r="BV36" s="92">
        <f ca="1">IFERROR(__xludf.DUMMYFUNCTION("IMPORTRANGE(""https://docs.google.com/spreadsheets/d/1Mnpb-8PYAgn85W6KOTD40hc_Xc55CaLfHoGAbrZ8tls/edit?usp=sharing"",""นครราชสีมา!L234"")"),0)</f>
        <v>0</v>
      </c>
      <c r="BW36" s="92">
        <f ca="1">IFERROR(__xludf.DUMMYFUNCTION("IMPORTRANGE(""https://docs.google.com/spreadsheets/d/1Mnpb-8PYAgn85W6KOTD40hc_Xc55CaLfHoGAbrZ8tls/edit?usp=sharing"",""นครราชสีมา!N234"")"),0)</f>
        <v>0</v>
      </c>
      <c r="BX36" s="93">
        <f t="shared" ca="1" si="120"/>
        <v>0</v>
      </c>
      <c r="BY36" s="92">
        <f ca="1">IFERROR(__xludf.DUMMYFUNCTION("IMPORTRANGE(""https://docs.google.com/spreadsheets/d/1Mnpb-8PYAgn85W6KOTD40hc_Xc55CaLfHoGAbrZ8tls/edit?usp=sharing"",""นครราชสีมา!L235"")"),0)</f>
        <v>0</v>
      </c>
      <c r="BZ36" s="92">
        <f ca="1">IFERROR(__xludf.DUMMYFUNCTION("IMPORTRANGE(""https://docs.google.com/spreadsheets/d/1Mnpb-8PYAgn85W6KOTD40hc_Xc55CaLfHoGAbrZ8tls/edit?usp=sharing"",""นครราชสีมา!N235"")"),0)</f>
        <v>0</v>
      </c>
      <c r="CA36" s="93">
        <f t="shared" ca="1" si="122"/>
        <v>0</v>
      </c>
      <c r="CB36" s="92">
        <f ca="1">IFERROR(__xludf.DUMMYFUNCTION("IMPORTRANGE(""https://docs.google.com/spreadsheets/d/1Mnpb-8PYAgn85W6KOTD40hc_Xc55CaLfHoGAbrZ8tls/edit?usp=sharing"",""นครราชสีมา!L236"")"),0)</f>
        <v>0</v>
      </c>
      <c r="CC36" s="92">
        <f ca="1">IFERROR(__xludf.DUMMYFUNCTION("IMPORTRANGE(""https://docs.google.com/spreadsheets/d/1Mnpb-8PYAgn85W6KOTD40hc_Xc55CaLfHoGAbrZ8tls/edit?usp=sharing"",""นครราชสีมา!N236"")"),0)</f>
        <v>0</v>
      </c>
      <c r="CD36" s="93">
        <f t="shared" ca="1" si="124"/>
        <v>0</v>
      </c>
      <c r="CE36" s="92">
        <f ca="1">IFERROR(__xludf.DUMMYFUNCTION("IMPORTRANGE(""https://docs.google.com/spreadsheets/d/1Mnpb-8PYAgn85W6KOTD40hc_Xc55CaLfHoGAbrZ8tls/edit?usp=sharing"",""นครราชสีมา!I238"")"),0)</f>
        <v>0</v>
      </c>
      <c r="CF36" s="92">
        <f ca="1">IFERROR(__xludf.DUMMYFUNCTION("IMPORTRANGE(""https://docs.google.com/spreadsheets/d/1Mnpb-8PYAgn85W6KOTD40hc_Xc55CaLfHoGAbrZ8tls/edit?usp=sharing"",""นครราชสีมา!J238"")"),0)</f>
        <v>0</v>
      </c>
      <c r="CG36" s="93">
        <f t="shared" ca="1" si="126"/>
        <v>0</v>
      </c>
      <c r="CH36" s="92">
        <f ca="1">IFERROR(__xludf.DUMMYFUNCTION("IMPORTRANGE(""https://docs.google.com/spreadsheets/d/1Mnpb-8PYAgn85W6KOTD40hc_Xc55CaLfHoGAbrZ8tls/edit?usp=sharing"",""นครราชสีมา!J240"")"),0)</f>
        <v>0</v>
      </c>
      <c r="CI36" s="92">
        <f ca="1">IFERROR(__xludf.DUMMYFUNCTION("IMPORTRANGE(""https://docs.google.com/spreadsheets/d/1Mnpb-8PYAgn85W6KOTD40hc_Xc55CaLfHoGAbrZ8tls/edit?usp=sharing"",""นครราชสีมา!J241"")"),0)</f>
        <v>0</v>
      </c>
    </row>
    <row r="37" spans="1:87" ht="21" customHeight="1" x14ac:dyDescent="0.3">
      <c r="A37" s="84">
        <v>6</v>
      </c>
      <c r="B37" s="85" t="s">
        <v>59</v>
      </c>
      <c r="C37" s="174">
        <f t="shared" ca="1" si="77"/>
        <v>163500</v>
      </c>
      <c r="D37" s="175">
        <f t="shared" ca="1" si="152"/>
        <v>163500</v>
      </c>
      <c r="E37" s="176">
        <f ca="1">IFERROR(__xludf.DUMMYFUNCTION("IMPORTRANGE(""https://docs.google.com/spreadsheets/d/1-uDff_7J0KD5mKrp0Vvzr7lt3OU09vwQwhkpOPPYv2Y/edit?usp=sharing"",""งบพรบ!CV37"")"),91000)</f>
        <v>91000</v>
      </c>
      <c r="F37" s="176">
        <f ca="1">IFERROR(__xludf.DUMMYFUNCTION("IMPORTRANGE(""https://docs.google.com/spreadsheets/d/1-uDff_7J0KD5mKrp0Vvzr7lt3OU09vwQwhkpOPPYv2Y/edit?usp=sharing"",""งบพรบ!CW37"")"),72500)</f>
        <v>72500</v>
      </c>
      <c r="G37" s="176">
        <f ca="1">IFERROR(__xludf.DUMMYFUNCTION("IMPORTRANGE(""https://docs.google.com/spreadsheets/d/1-uDff_7J0KD5mKrp0Vvzr7lt3OU09vwQwhkpOPPYv2Y/edit?usp=sharing"",""งบพรบ!CX37"")"),0)</f>
        <v>0</v>
      </c>
      <c r="H37" s="176">
        <f ca="1">IFERROR(__xludf.DUMMYFUNCTION("IMPORTRANGE(""https://docs.google.com/spreadsheets/d/1-uDff_7J0KD5mKrp0Vvzr7lt3OU09vwQwhkpOPPYv2Y/edit?usp=sharing"",""งบพรบ!CZ37"")"),105500)</f>
        <v>105500</v>
      </c>
      <c r="I37" s="176">
        <f ca="1">IFERROR(__xludf.DUMMYFUNCTION("IMPORTRANGE(""https://docs.google.com/spreadsheets/d/1-uDff_7J0KD5mKrp0Vvzr7lt3OU09vwQwhkpOPPYv2Y/edit?usp=sharing"",""งบพรบ!DA37"")"),0)</f>
        <v>0</v>
      </c>
      <c r="J37" s="176">
        <f t="shared" ca="1" si="79"/>
        <v>24000</v>
      </c>
      <c r="K37" s="181">
        <f t="shared" ca="1" si="80"/>
        <v>14.678899082568808</v>
      </c>
      <c r="L37" s="176">
        <f ca="1">IFERROR(__xludf.DUMMYFUNCTION("IMPORTRANGE(""https://docs.google.com/spreadsheets/d/1-uDff_7J0KD5mKrp0Vvzr7lt3OU09vwQwhkpOPPYv2Y/edit?usp=sharing"",""งบพรบ!DB37"")"),24000)</f>
        <v>24000</v>
      </c>
      <c r="M37" s="179">
        <f t="shared" ca="1" si="81"/>
        <v>14.678899082568808</v>
      </c>
      <c r="N37" s="179">
        <f t="shared" ca="1" si="82"/>
        <v>22.748815165876778</v>
      </c>
      <c r="O37" s="180">
        <f ca="1">IFERROR(__xludf.DUMMYFUNCTION("IMPORTRANGE(""https://docs.google.com/spreadsheets/d/1-uDff_7J0KD5mKrp0Vvzr7lt3OU09vwQwhkpOPPYv2Y/edit?usp=sharing"",""งบพรบ!DC37"")"),0)</f>
        <v>0</v>
      </c>
      <c r="P37" s="180">
        <f t="shared" ca="1" si="83"/>
        <v>0</v>
      </c>
      <c r="Q37" s="179">
        <f t="shared" ca="1" si="84"/>
        <v>0</v>
      </c>
      <c r="R37" s="92">
        <f ca="1">IFERROR(__xludf.DUMMYFUNCTION("IMPORTRANGE(""https://docs.google.com/spreadsheets/d/1xoDLGBv9CYbyosIhki0kTq6IpYNj-gpjxfobnaDiut0/edit?usp=sharing"",""บึงกาฬ!L196"")"),6000)</f>
        <v>6000</v>
      </c>
      <c r="S37" s="92">
        <f ca="1">IFERROR(__xludf.DUMMYFUNCTION("IMPORTRANGE(""https://docs.google.com/spreadsheets/d/1xoDLGBv9CYbyosIhki0kTq6IpYNj-gpjxfobnaDiut0/edit?usp=sharing"",""บึงกาฬ!N196"")"),0)</f>
        <v>0</v>
      </c>
      <c r="T37" s="93">
        <f t="shared" ca="1" si="86"/>
        <v>0</v>
      </c>
      <c r="U37" s="92">
        <f ca="1">IFERROR(__xludf.DUMMYFUNCTION("IMPORTRANGE(""https://docs.google.com/spreadsheets/d/1xoDLGBv9CYbyosIhki0kTq6IpYNj-gpjxfobnaDiut0/edit?usp=sharing"",""บึงกาฬ!I198"")"),4)</f>
        <v>4</v>
      </c>
      <c r="V37" s="92">
        <f ca="1">IFERROR(__xludf.DUMMYFUNCTION("IMPORTRANGE(""https://docs.google.com/spreadsheets/d/1xoDLGBv9CYbyosIhki0kTq6IpYNj-gpjxfobnaDiut0/edit?usp=sharing"",""บึงกาฬ!J198"")"),0)</f>
        <v>0</v>
      </c>
      <c r="W37" s="93">
        <f t="shared" ca="1" si="88"/>
        <v>0</v>
      </c>
      <c r="X37" s="92">
        <f ca="1">IFERROR(__xludf.DUMMYFUNCTION("IMPORTRANGE(""https://docs.google.com/spreadsheets/d/1xoDLGBv9CYbyosIhki0kTq6IpYNj-gpjxfobnaDiut0/edit?usp=sharing"",""บึงกาฬ!J199"")"),0)</f>
        <v>0</v>
      </c>
      <c r="Y37" s="92">
        <f ca="1">IFERROR(__xludf.DUMMYFUNCTION("IMPORTRANGE(""https://docs.google.com/spreadsheets/d/1xoDLGBv9CYbyosIhki0kTq6IpYNj-gpjxfobnaDiut0/edit?usp=sharing"",""บึงกาฬ!J200"")"),0)</f>
        <v>0</v>
      </c>
      <c r="Z37" s="92">
        <f ca="1">IFERROR(__xludf.DUMMYFUNCTION("IMPORTRANGE(""https://docs.google.com/spreadsheets/d/1xoDLGBv9CYbyosIhki0kTq6IpYNj-gpjxfobnaDiut0/edit?usp=sharing"",""บึงกาฬ!J201"")"),0)</f>
        <v>0</v>
      </c>
      <c r="AA37" s="92">
        <f ca="1">IFERROR(__xludf.DUMMYFUNCTION("IMPORTRANGE(""https://docs.google.com/spreadsheets/d/1xoDLGBv9CYbyosIhki0kTq6IpYNj-gpjxfobnaDiut0/edit?usp=sharing"",""บึงกาฬ!L204"")"),2000)</f>
        <v>2000</v>
      </c>
      <c r="AB37" s="92">
        <f ca="1">IFERROR(__xludf.DUMMYFUNCTION("IMPORTRANGE(""https://docs.google.com/spreadsheets/d/1xoDLGBv9CYbyosIhki0kTq6IpYNj-gpjxfobnaDiut0/edit?usp=sharing"",""บึงกาฬ!N204"")"),0)</f>
        <v>0</v>
      </c>
      <c r="AC37" s="93">
        <f t="shared" ca="1" si="90"/>
        <v>0</v>
      </c>
      <c r="AD37" s="92">
        <f ca="1">IFERROR(__xludf.DUMMYFUNCTION("IMPORTRANGE(""https://docs.google.com/spreadsheets/d/1xoDLGBv9CYbyosIhki0kTq6IpYNj-gpjxfobnaDiut0/edit?usp=sharing"",""บึงกาฬ!L206"")"),16000)</f>
        <v>16000</v>
      </c>
      <c r="AE37" s="92">
        <f ca="1">IFERROR(__xludf.DUMMYFUNCTION("IMPORTRANGE(""https://docs.google.com/spreadsheets/d/1xoDLGBv9CYbyosIhki0kTq6IpYNj-gpjxfobnaDiut0/edit?usp=sharing"",""บึงกาฬ!N206"")"),0)</f>
        <v>0</v>
      </c>
      <c r="AF37" s="93">
        <f t="shared" ca="1" si="92"/>
        <v>0</v>
      </c>
      <c r="AG37" s="92">
        <f ca="1">IFERROR(__xludf.DUMMYFUNCTION("IMPORTRANGE(""https://docs.google.com/spreadsheets/d/1xoDLGBv9CYbyosIhki0kTq6IpYNj-gpjxfobnaDiut0/edit?usp=sharing"",""บึงกาฬ!L207"")"),16000)</f>
        <v>16000</v>
      </c>
      <c r="AH37" s="92">
        <f ca="1">IFERROR(__xludf.DUMMYFUNCTION("IMPORTRANGE(""https://docs.google.com/spreadsheets/d/1xoDLGBv9CYbyosIhki0kTq6IpYNj-gpjxfobnaDiut0/edit?usp=sharing"",""บึงกาฬ!N207"")"),0)</f>
        <v>0</v>
      </c>
      <c r="AI37" s="93">
        <f t="shared" ca="1" si="94"/>
        <v>0</v>
      </c>
      <c r="AJ37" s="92">
        <f ca="1">IFERROR(__xludf.DUMMYFUNCTION("IMPORTRANGE(""https://docs.google.com/spreadsheets/d/1xoDLGBv9CYbyosIhki0kTq6IpYNj-gpjxfobnaDiut0/edit?usp=sharing"",""บึงกาฬ!I209"")"),2)</f>
        <v>2</v>
      </c>
      <c r="AK37" s="92">
        <f ca="1">IFERROR(__xludf.DUMMYFUNCTION("IMPORTRANGE(""https://docs.google.com/spreadsheets/d/1xoDLGBv9CYbyosIhki0kTq6IpYNj-gpjxfobnaDiut0/edit?usp=sharing"",""บึงกาฬ!J209"")"),0)</f>
        <v>0</v>
      </c>
      <c r="AL37" s="93">
        <f t="shared" ca="1" si="96"/>
        <v>0</v>
      </c>
      <c r="AM37" s="92">
        <f ca="1">IFERROR(__xludf.DUMMYFUNCTION("IMPORTRANGE(""https://docs.google.com/spreadsheets/d/1xoDLGBv9CYbyosIhki0kTq6IpYNj-gpjxfobnaDiut0/edit?usp=sharing"",""บึงกาฬ!J211"")"),0)</f>
        <v>0</v>
      </c>
      <c r="AN37" s="92">
        <f ca="1">IFERROR(__xludf.DUMMYFUNCTION("IMPORTRANGE(""https://docs.google.com/spreadsheets/d/1xoDLGBv9CYbyosIhki0kTq6IpYNj-gpjxfobnaDiut0/edit?usp=sharing"",""บึงกาฬ!J212"")"),0)</f>
        <v>0</v>
      </c>
      <c r="AO37" s="92">
        <f ca="1">IFERROR(__xludf.DUMMYFUNCTION("IMPORTRANGE(""https://docs.google.com/spreadsheets/d/1xoDLGBv9CYbyosIhki0kTq6IpYNj-gpjxfobnaDiut0/edit?usp=sharing"",""บึงกาฬ!L215"")"),2000)</f>
        <v>2000</v>
      </c>
      <c r="AP37" s="92">
        <f ca="1">IFERROR(__xludf.DUMMYFUNCTION("IMPORTRANGE(""https://docs.google.com/spreadsheets/d/1xoDLGBv9CYbyosIhki0kTq6IpYNj-gpjxfobnaDiut0/edit?usp=sharing"",""บึงกาฬ!N215"")"),0)</f>
        <v>0</v>
      </c>
      <c r="AQ37" s="93">
        <f t="shared" ca="1" si="98"/>
        <v>0</v>
      </c>
      <c r="AR37" s="92">
        <f ca="1">IFERROR(__xludf.DUMMYFUNCTION("IMPORTRANGE(""https://docs.google.com/spreadsheets/d/1xoDLGBv9CYbyosIhki0kTq6IpYNj-gpjxfobnaDiut0/edit?usp=sharing"",""บึงกาฬ!L216"")"),10000)</f>
        <v>10000</v>
      </c>
      <c r="AS37" s="92">
        <f ca="1">IFERROR(__xludf.DUMMYFUNCTION("IMPORTRANGE(""https://docs.google.com/spreadsheets/d/1xoDLGBv9CYbyosIhki0kTq6IpYNj-gpjxfobnaDiut0/edit?usp=sharing"",""บึงกาฬ!N216"")"),0)</f>
        <v>0</v>
      </c>
      <c r="AT37" s="93">
        <f t="shared" ca="1" si="100"/>
        <v>0</v>
      </c>
      <c r="AU37" s="92">
        <f ca="1">IFERROR(__xludf.DUMMYFUNCTION("IMPORTRANGE(""https://docs.google.com/spreadsheets/d/1xoDLGBv9CYbyosIhki0kTq6IpYNj-gpjxfobnaDiut0/edit?usp=sharing"",""บึงกาฬ!L217"")"),16000)</f>
        <v>16000</v>
      </c>
      <c r="AV37" s="92">
        <f ca="1">IFERROR(__xludf.DUMMYFUNCTION("IMPORTRANGE(""https://docs.google.com/spreadsheets/d/1xoDLGBv9CYbyosIhki0kTq6IpYNj-gpjxfobnaDiut0/edit?usp=sharing"",""บึงกาฬ!N217"")"),0)</f>
        <v>0</v>
      </c>
      <c r="AW37" s="93">
        <f t="shared" ca="1" si="102"/>
        <v>0</v>
      </c>
      <c r="AX37" s="92">
        <f ca="1">IFERROR(__xludf.DUMMYFUNCTION("IMPORTRANGE(""https://docs.google.com/spreadsheets/d/1xoDLGBv9CYbyosIhki0kTq6IpYNj-gpjxfobnaDiut0/edit?usp=sharing"",""บึงกาฬ!I219"")"),2)</f>
        <v>2</v>
      </c>
      <c r="AY37" s="92">
        <f ca="1">IFERROR(__xludf.DUMMYFUNCTION("IMPORTRANGE(""https://docs.google.com/spreadsheets/d/1xoDLGBv9CYbyosIhki0kTq6IpYNj-gpjxfobnaDiut0/edit?usp=sharing"",""บึงกาฬ!J219"")"),0)</f>
        <v>0</v>
      </c>
      <c r="AZ37" s="93">
        <f t="shared" ca="1" si="104"/>
        <v>0</v>
      </c>
      <c r="BA37" s="92">
        <f ca="1">IFERROR(__xludf.DUMMYFUNCTION("IMPORTRANGE(""https://docs.google.com/spreadsheets/d/1xoDLGBv9CYbyosIhki0kTq6IpYNj-gpjxfobnaDiut0/edit?usp=sharing"",""บึงกาฬ!I220"")"),2)</f>
        <v>2</v>
      </c>
      <c r="BB37" s="92">
        <f ca="1">IFERROR(__xludf.DUMMYFUNCTION("IMPORTRANGE(""https://docs.google.com/spreadsheets/d/1xoDLGBv9CYbyosIhki0kTq6IpYNj-gpjxfobnaDiut0/edit?usp=sharing"",""บึงกาฬ!J220"")"),0)</f>
        <v>0</v>
      </c>
      <c r="BC37" s="93">
        <f t="shared" ca="1" si="106"/>
        <v>0</v>
      </c>
      <c r="BD37" s="92">
        <f ca="1">IFERROR(__xludf.DUMMYFUNCTION("IMPORTRANGE(""https://docs.google.com/spreadsheets/d/1xoDLGBv9CYbyosIhki0kTq6IpYNj-gpjxfobnaDiut0/edit?usp=sharing"",""บึงกาฬ!L223"")"),3000)</f>
        <v>3000</v>
      </c>
      <c r="BE37" s="92">
        <f ca="1">IFERROR(__xludf.DUMMYFUNCTION("IMPORTRANGE(""https://docs.google.com/spreadsheets/d/1xoDLGBv9CYbyosIhki0kTq6IpYNj-gpjxfobnaDiut0/edit?usp=sharing"",""บึงกาฬ!N223"")"),0)</f>
        <v>0</v>
      </c>
      <c r="BF37" s="93">
        <f t="shared" ca="1" si="108"/>
        <v>0</v>
      </c>
      <c r="BG37" s="92">
        <f ca="1">IFERROR(__xludf.DUMMYFUNCTION("IMPORTRANGE(""https://docs.google.com/spreadsheets/d/1xoDLGBv9CYbyosIhki0kTq6IpYNj-gpjxfobnaDiut0/edit?usp=sharing"",""บึงกาฬ!L224"")"),1500)</f>
        <v>1500</v>
      </c>
      <c r="BH37" s="92">
        <f ca="1">IFERROR(__xludf.DUMMYFUNCTION("IMPORTRANGE(""https://docs.google.com/spreadsheets/d/1xoDLGBv9CYbyosIhki0kTq6IpYNj-gpjxfobnaDiut0/edit?usp=sharing"",""บึงกาฬ!N224"")"),0)</f>
        <v>0</v>
      </c>
      <c r="BI37" s="93">
        <f t="shared" ca="1" si="110"/>
        <v>0</v>
      </c>
      <c r="BJ37" s="92">
        <f ca="1">IFERROR(__xludf.DUMMYFUNCTION("IMPORTRANGE(""https://docs.google.com/spreadsheets/d/1xoDLGBv9CYbyosIhki0kTq6IpYNj-gpjxfobnaDiut0/edit?usp=sharing"",""บึงกาฬ!I228"")"),20000)</f>
        <v>20000</v>
      </c>
      <c r="BK37" s="92">
        <f ca="1">IFERROR(__xludf.DUMMYFUNCTION("IMPORTRANGE(""https://docs.google.com/spreadsheets/d/1xoDLGBv9CYbyosIhki0kTq6IpYNj-gpjxfobnaDiut0/edit?usp=sharing"",""บึงกาฬ!J228"")"),0)</f>
        <v>0</v>
      </c>
      <c r="BL37" s="93">
        <f t="shared" ca="1" si="112"/>
        <v>0</v>
      </c>
      <c r="BM37" s="92">
        <f ca="1">IFERROR(__xludf.DUMMYFUNCTION("IMPORTRANGE(""https://docs.google.com/spreadsheets/d/1xoDLGBv9CYbyosIhki0kTq6IpYNj-gpjxfobnaDiut0/edit?usp=sharing"",""บึงกาฬ!I229"")"),20000)</f>
        <v>20000</v>
      </c>
      <c r="BN37" s="92">
        <f ca="1">IFERROR(__xludf.DUMMYFUNCTION("IMPORTRANGE(""https://docs.google.com/spreadsheets/d/1xoDLGBv9CYbyosIhki0kTq6IpYNj-gpjxfobnaDiut0/edit?usp=sharing"",""บึงกาฬ!J229"")"),0)</f>
        <v>0</v>
      </c>
      <c r="BO37" s="93">
        <f t="shared" ca="1" si="114"/>
        <v>0</v>
      </c>
      <c r="BP37" s="92">
        <f ca="1">IFERROR(__xludf.DUMMYFUNCTION("IMPORTRANGE(""https://docs.google.com/spreadsheets/d/1xoDLGBv9CYbyosIhki0kTq6IpYNj-gpjxfobnaDiut0/edit?usp=sharing"",""บึงกาฬ!I230"")"),0)</f>
        <v>0</v>
      </c>
      <c r="BQ37" s="92">
        <f ca="1">IFERROR(__xludf.DUMMYFUNCTION("IMPORTRANGE(""https://docs.google.com/spreadsheets/d/1xoDLGBv9CYbyosIhki0kTq6IpYNj-gpjxfobnaDiut0/edit?usp=sharing"",""บึงกาฬ!J230"")"),0)</f>
        <v>0</v>
      </c>
      <c r="BR37" s="93">
        <f t="shared" ca="1" si="116"/>
        <v>0</v>
      </c>
      <c r="BS37" s="92">
        <f ca="1">IFERROR(__xludf.DUMMYFUNCTION("IMPORTRANGE(""https://docs.google.com/spreadsheets/d/1xoDLGBv9CYbyosIhki0kTq6IpYNj-gpjxfobnaDiut0/edit?usp=sharing"",""บึงกาฬ!L233"")"),0)</f>
        <v>0</v>
      </c>
      <c r="BT37" s="92">
        <f ca="1">IFERROR(__xludf.DUMMYFUNCTION("IMPORTRANGE(""https://docs.google.com/spreadsheets/d/1xoDLGBv9CYbyosIhki0kTq6IpYNj-gpjxfobnaDiut0/edit?usp=sharing"",""บึงกาฬ!N233"")"),0)</f>
        <v>0</v>
      </c>
      <c r="BU37" s="93">
        <f t="shared" ca="1" si="118"/>
        <v>0</v>
      </c>
      <c r="BV37" s="92">
        <f ca="1">IFERROR(__xludf.DUMMYFUNCTION("IMPORTRANGE(""https://docs.google.com/spreadsheets/d/1xoDLGBv9CYbyosIhki0kTq6IpYNj-gpjxfobnaDiut0/edit?usp=sharing"",""บึงกาฬ!L234"")"),0)</f>
        <v>0</v>
      </c>
      <c r="BW37" s="92">
        <f ca="1">IFERROR(__xludf.DUMMYFUNCTION("IMPORTRANGE(""https://docs.google.com/spreadsheets/d/1xoDLGBv9CYbyosIhki0kTq6IpYNj-gpjxfobnaDiut0/edit?usp=sharing"",""บึงกาฬ!N234"")"),0)</f>
        <v>0</v>
      </c>
      <c r="BX37" s="93">
        <f t="shared" ca="1" si="120"/>
        <v>0</v>
      </c>
      <c r="BY37" s="92">
        <f ca="1">IFERROR(__xludf.DUMMYFUNCTION("IMPORTRANGE(""https://docs.google.com/spreadsheets/d/1xoDLGBv9CYbyosIhki0kTq6IpYNj-gpjxfobnaDiut0/edit?usp=sharing"",""บึงกาฬ!L235"")"),0)</f>
        <v>0</v>
      </c>
      <c r="BZ37" s="92">
        <f ca="1">IFERROR(__xludf.DUMMYFUNCTION("IMPORTRANGE(""https://docs.google.com/spreadsheets/d/1xoDLGBv9CYbyosIhki0kTq6IpYNj-gpjxfobnaDiut0/edit?usp=sharing"",""บึงกาฬ!N235"")"),0)</f>
        <v>0</v>
      </c>
      <c r="CA37" s="93">
        <f t="shared" ca="1" si="122"/>
        <v>0</v>
      </c>
      <c r="CB37" s="92">
        <f ca="1">IFERROR(__xludf.DUMMYFUNCTION("IMPORTRANGE(""https://docs.google.com/spreadsheets/d/1xoDLGBv9CYbyosIhki0kTq6IpYNj-gpjxfobnaDiut0/edit?usp=sharing"",""บึงกาฬ!L236"")"),0)</f>
        <v>0</v>
      </c>
      <c r="CC37" s="92">
        <f ca="1">IFERROR(__xludf.DUMMYFUNCTION("IMPORTRANGE(""https://docs.google.com/spreadsheets/d/1xoDLGBv9CYbyosIhki0kTq6IpYNj-gpjxfobnaDiut0/edit?usp=sharing"",""บึงกาฬ!N236"")"),0)</f>
        <v>0</v>
      </c>
      <c r="CD37" s="93">
        <f t="shared" ca="1" si="124"/>
        <v>0</v>
      </c>
      <c r="CE37" s="92">
        <f ca="1">IFERROR(__xludf.DUMMYFUNCTION("IMPORTRANGE(""https://docs.google.com/spreadsheets/d/1xoDLGBv9CYbyosIhki0kTq6IpYNj-gpjxfobnaDiut0/edit?usp=sharing"",""บึงกาฬ!I238"")"),0)</f>
        <v>0</v>
      </c>
      <c r="CF37" s="92">
        <f ca="1">IFERROR(__xludf.DUMMYFUNCTION("IMPORTRANGE(""https://docs.google.com/spreadsheets/d/1xoDLGBv9CYbyosIhki0kTq6IpYNj-gpjxfobnaDiut0/edit?usp=sharing"",""บึงกาฬ!J238"")"),0)</f>
        <v>0</v>
      </c>
      <c r="CG37" s="93">
        <f t="shared" ca="1" si="126"/>
        <v>0</v>
      </c>
      <c r="CH37" s="92">
        <f ca="1">IFERROR(__xludf.DUMMYFUNCTION("IMPORTRANGE(""https://docs.google.com/spreadsheets/d/1xoDLGBv9CYbyosIhki0kTq6IpYNj-gpjxfobnaDiut0/edit?usp=sharing"",""บึงกาฬ!J240"")"),0)</f>
        <v>0</v>
      </c>
      <c r="CI37" s="92">
        <f ca="1">IFERROR(__xludf.DUMMYFUNCTION("IMPORTRANGE(""https://docs.google.com/spreadsheets/d/1xoDLGBv9CYbyosIhki0kTq6IpYNj-gpjxfobnaDiut0/edit?usp=sharing"",""บึงกาฬ!J241"")"),0)</f>
        <v>0</v>
      </c>
    </row>
    <row r="38" spans="1:87" ht="21" customHeight="1" x14ac:dyDescent="0.3">
      <c r="A38" s="84">
        <v>7</v>
      </c>
      <c r="B38" s="85" t="s">
        <v>60</v>
      </c>
      <c r="C38" s="174">
        <f t="shared" ca="1" si="77"/>
        <v>245500</v>
      </c>
      <c r="D38" s="175">
        <f t="shared" ca="1" si="152"/>
        <v>245500</v>
      </c>
      <c r="E38" s="176">
        <f ca="1">IFERROR(__xludf.DUMMYFUNCTION("IMPORTRANGE(""https://docs.google.com/spreadsheets/d/1-uDff_7J0KD5mKrp0Vvzr7lt3OU09vwQwhkpOPPYv2Y/edit?usp=sharing"",""งบพรบ!CV38"")"),182000)</f>
        <v>182000</v>
      </c>
      <c r="F38" s="176">
        <f ca="1">IFERROR(__xludf.DUMMYFUNCTION("IMPORTRANGE(""https://docs.google.com/spreadsheets/d/1-uDff_7J0KD5mKrp0Vvzr7lt3OU09vwQwhkpOPPYv2Y/edit?usp=sharing"",""งบพรบ!CW38"")"),63500)</f>
        <v>63500</v>
      </c>
      <c r="G38" s="176">
        <f ca="1">IFERROR(__xludf.DUMMYFUNCTION("IMPORTRANGE(""https://docs.google.com/spreadsheets/d/1-uDff_7J0KD5mKrp0Vvzr7lt3OU09vwQwhkpOPPYv2Y/edit?usp=sharing"",""งบพรบ!CX38"")"),0)</f>
        <v>0</v>
      </c>
      <c r="H38" s="176">
        <f ca="1">IFERROR(__xludf.DUMMYFUNCTION("IMPORTRANGE(""https://docs.google.com/spreadsheets/d/1-uDff_7J0KD5mKrp0Vvzr7lt3OU09vwQwhkpOPPYv2Y/edit?usp=sharing"",""งบพรบ!CZ38"")"),161500)</f>
        <v>161500</v>
      </c>
      <c r="I38" s="176">
        <f ca="1">IFERROR(__xludf.DUMMYFUNCTION("IMPORTRANGE(""https://docs.google.com/spreadsheets/d/1-uDff_7J0KD5mKrp0Vvzr7lt3OU09vwQwhkpOPPYv2Y/edit?usp=sharing"",""งบพรบ!DA38"")"),0)</f>
        <v>0</v>
      </c>
      <c r="J38" s="176">
        <f t="shared" ca="1" si="79"/>
        <v>66000</v>
      </c>
      <c r="K38" s="181">
        <f t="shared" ca="1" si="80"/>
        <v>26.883910386965375</v>
      </c>
      <c r="L38" s="176">
        <f ca="1">IFERROR(__xludf.DUMMYFUNCTION("IMPORTRANGE(""https://docs.google.com/spreadsheets/d/1-uDff_7J0KD5mKrp0Vvzr7lt3OU09vwQwhkpOPPYv2Y/edit?usp=sharing"",""งบพรบ!DB38"")"),66000)</f>
        <v>66000</v>
      </c>
      <c r="M38" s="179">
        <f t="shared" ca="1" si="81"/>
        <v>26.883910386965375</v>
      </c>
      <c r="N38" s="179">
        <f t="shared" ca="1" si="82"/>
        <v>40.866873065015483</v>
      </c>
      <c r="O38" s="180">
        <f ca="1">IFERROR(__xludf.DUMMYFUNCTION("IMPORTRANGE(""https://docs.google.com/spreadsheets/d/1-uDff_7J0KD5mKrp0Vvzr7lt3OU09vwQwhkpOPPYv2Y/edit?usp=sharing"",""งบพรบ!DC38"")"),0)</f>
        <v>0</v>
      </c>
      <c r="P38" s="180">
        <f t="shared" ca="1" si="83"/>
        <v>0</v>
      </c>
      <c r="Q38" s="179">
        <f t="shared" ca="1" si="84"/>
        <v>0</v>
      </c>
      <c r="R38" s="92">
        <f ca="1">IFERROR(__xludf.DUMMYFUNCTION("IMPORTRANGE(""https://docs.google.com/spreadsheets/d/1MMPq-JyI6DSgQETxuSiXkesP-P7JHuemnE6QJIa-Nlw/edit?usp=sharing"",""บุรีรัมย์!L196"")"),6000)</f>
        <v>6000</v>
      </c>
      <c r="S38" s="92">
        <f ca="1">IFERROR(__xludf.DUMMYFUNCTION("IMPORTRANGE(""https://docs.google.com/spreadsheets/d/1MMPq-JyI6DSgQETxuSiXkesP-P7JHuemnE6QJIa-Nlw/edit?usp=sharing"",""บุรีรัมย์!N196"")"),0)</f>
        <v>0</v>
      </c>
      <c r="T38" s="93">
        <f t="shared" ca="1" si="86"/>
        <v>0</v>
      </c>
      <c r="U38" s="92">
        <f ca="1">IFERROR(__xludf.DUMMYFUNCTION("IMPORTRANGE(""https://docs.google.com/spreadsheets/d/1MMPq-JyI6DSgQETxuSiXkesP-P7JHuemnE6QJIa-Nlw/edit?usp=sharing"",""บุรีรัมย์!I198"")"),4)</f>
        <v>4</v>
      </c>
      <c r="V38" s="92">
        <f ca="1">IFERROR(__xludf.DUMMYFUNCTION("IMPORTRANGE(""https://docs.google.com/spreadsheets/d/1MMPq-JyI6DSgQETxuSiXkesP-P7JHuemnE6QJIa-Nlw/edit?usp=sharing"",""บุรีรัมย์!J198"")"),1)</f>
        <v>1</v>
      </c>
      <c r="W38" s="93">
        <f t="shared" ca="1" si="88"/>
        <v>25</v>
      </c>
      <c r="X38" s="92">
        <f ca="1">IFERROR(__xludf.DUMMYFUNCTION("IMPORTRANGE(""https://docs.google.com/spreadsheets/d/1MMPq-JyI6DSgQETxuSiXkesP-P7JHuemnE6QJIa-Nlw/edit?usp=sharing"",""บุรีรัมย์!J199"")"),42)</f>
        <v>42</v>
      </c>
      <c r="Y38" s="92">
        <f ca="1">IFERROR(__xludf.DUMMYFUNCTION("IMPORTRANGE(""https://docs.google.com/spreadsheets/d/1MMPq-JyI6DSgQETxuSiXkesP-P7JHuemnE6QJIa-Nlw/edit?usp=sharing"",""บุรีรัมย์!J200"")"),42)</f>
        <v>42</v>
      </c>
      <c r="Z38" s="92">
        <f ca="1">IFERROR(__xludf.DUMMYFUNCTION("IMPORTRANGE(""https://docs.google.com/spreadsheets/d/1MMPq-JyI6DSgQETxuSiXkesP-P7JHuemnE6QJIa-Nlw/edit?usp=sharing"",""บุรีรัมย์!J201"")"),0)</f>
        <v>0</v>
      </c>
      <c r="AA38" s="92">
        <f ca="1">IFERROR(__xludf.DUMMYFUNCTION("IMPORTRANGE(""https://docs.google.com/spreadsheets/d/1MMPq-JyI6DSgQETxuSiXkesP-P7JHuemnE6QJIa-Nlw/edit?usp=sharing"",""บุรีรัมย์!L204"")"),2000)</f>
        <v>2000</v>
      </c>
      <c r="AB38" s="92">
        <f ca="1">IFERROR(__xludf.DUMMYFUNCTION("IMPORTRANGE(""https://docs.google.com/spreadsheets/d/1MMPq-JyI6DSgQETxuSiXkesP-P7JHuemnE6QJIa-Nlw/edit?usp=sharing"",""บุรีรัมย์!N204"")"),0)</f>
        <v>0</v>
      </c>
      <c r="AC38" s="93">
        <f t="shared" ca="1" si="90"/>
        <v>0</v>
      </c>
      <c r="AD38" s="92">
        <f ca="1">IFERROR(__xludf.DUMMYFUNCTION("IMPORTRANGE(""https://docs.google.com/spreadsheets/d/1MMPq-JyI6DSgQETxuSiXkesP-P7JHuemnE6QJIa-Nlw/edit?usp=sharing"",""บุรีรัมย์!L206"")"),16000)</f>
        <v>16000</v>
      </c>
      <c r="AE38" s="92">
        <f ca="1">IFERROR(__xludf.DUMMYFUNCTION("IMPORTRANGE(""https://docs.google.com/spreadsheets/d/1MMPq-JyI6DSgQETxuSiXkesP-P7JHuemnE6QJIa-Nlw/edit?usp=sharing"",""บุรีรัมย์!N206"")"),0)</f>
        <v>0</v>
      </c>
      <c r="AF38" s="93">
        <f t="shared" ca="1" si="92"/>
        <v>0</v>
      </c>
      <c r="AG38" s="92">
        <f ca="1">IFERROR(__xludf.DUMMYFUNCTION("IMPORTRANGE(""https://docs.google.com/spreadsheets/d/1MMPq-JyI6DSgQETxuSiXkesP-P7JHuemnE6QJIa-Nlw/edit?usp=sharing"",""บุรีรัมย์!L207"")"),13000)</f>
        <v>13000</v>
      </c>
      <c r="AH38" s="92">
        <f ca="1">IFERROR(__xludf.DUMMYFUNCTION("IMPORTRANGE(""https://docs.google.com/spreadsheets/d/1MMPq-JyI6DSgQETxuSiXkesP-P7JHuemnE6QJIa-Nlw/edit?usp=sharing"",""บุรีรัมย์!N207"")"),0)</f>
        <v>0</v>
      </c>
      <c r="AI38" s="93">
        <f t="shared" ca="1" si="94"/>
        <v>0</v>
      </c>
      <c r="AJ38" s="92">
        <f ca="1">IFERROR(__xludf.DUMMYFUNCTION("IMPORTRANGE(""https://docs.google.com/spreadsheets/d/1MMPq-JyI6DSgQETxuSiXkesP-P7JHuemnE6QJIa-Nlw/edit?usp=sharing"",""บุรีรัมย์!I209"")"),2)</f>
        <v>2</v>
      </c>
      <c r="AK38" s="92">
        <f ca="1">IFERROR(__xludf.DUMMYFUNCTION("IMPORTRANGE(""https://docs.google.com/spreadsheets/d/1MMPq-JyI6DSgQETxuSiXkesP-P7JHuemnE6QJIa-Nlw/edit?usp=sharing"",""บุรีรัมย์!J209"")"),0)</f>
        <v>0</v>
      </c>
      <c r="AL38" s="93">
        <f t="shared" ca="1" si="96"/>
        <v>0</v>
      </c>
      <c r="AM38" s="92">
        <f ca="1">IFERROR(__xludf.DUMMYFUNCTION("IMPORTRANGE(""https://docs.google.com/spreadsheets/d/1MMPq-JyI6DSgQETxuSiXkesP-P7JHuemnE6QJIa-Nlw/edit?usp=sharing"",""บุรีรัมย์!J211"")"),0)</f>
        <v>0</v>
      </c>
      <c r="AN38" s="92">
        <f ca="1">IFERROR(__xludf.DUMMYFUNCTION("IMPORTRANGE(""https://docs.google.com/spreadsheets/d/1MMPq-JyI6DSgQETxuSiXkesP-P7JHuemnE6QJIa-Nlw/edit?usp=sharing"",""บุรีรัมย์!J212"")"),0)</f>
        <v>0</v>
      </c>
      <c r="AO38" s="92">
        <f ca="1">IFERROR(__xludf.DUMMYFUNCTION("IMPORTRANGE(""https://docs.google.com/spreadsheets/d/1MMPq-JyI6DSgQETxuSiXkesP-P7JHuemnE6QJIa-Nlw/edit?usp=sharing"",""บุรีรัมย์!L215"")"),1000)</f>
        <v>1000</v>
      </c>
      <c r="AP38" s="92">
        <f ca="1">IFERROR(__xludf.DUMMYFUNCTION("IMPORTRANGE(""https://docs.google.com/spreadsheets/d/1MMPq-JyI6DSgQETxuSiXkesP-P7JHuemnE6QJIa-Nlw/edit?usp=sharing"",""บุรีรัมย์!N215"")"),0)</f>
        <v>0</v>
      </c>
      <c r="AQ38" s="93">
        <f t="shared" ca="1" si="98"/>
        <v>0</v>
      </c>
      <c r="AR38" s="92">
        <f ca="1">IFERROR(__xludf.DUMMYFUNCTION("IMPORTRANGE(""https://docs.google.com/spreadsheets/d/1MMPq-JyI6DSgQETxuSiXkesP-P7JHuemnE6QJIa-Nlw/edit?usp=sharing"",""บุรีรัมย์!L216"")"),5000)</f>
        <v>5000</v>
      </c>
      <c r="AS38" s="92">
        <f ca="1">IFERROR(__xludf.DUMMYFUNCTION("IMPORTRANGE(""https://docs.google.com/spreadsheets/d/1MMPq-JyI6DSgQETxuSiXkesP-P7JHuemnE6QJIa-Nlw/edit?usp=sharing"",""บุรีรัมย์!N216"")"),0)</f>
        <v>0</v>
      </c>
      <c r="AT38" s="93">
        <f t="shared" ca="1" si="100"/>
        <v>0</v>
      </c>
      <c r="AU38" s="92">
        <f ca="1">IFERROR(__xludf.DUMMYFUNCTION("IMPORTRANGE(""https://docs.google.com/spreadsheets/d/1MMPq-JyI6DSgQETxuSiXkesP-P7JHuemnE6QJIa-Nlw/edit?usp=sharing"",""บุรีรัมย์!L217"")"),8000)</f>
        <v>8000</v>
      </c>
      <c r="AV38" s="92">
        <f ca="1">IFERROR(__xludf.DUMMYFUNCTION("IMPORTRANGE(""https://docs.google.com/spreadsheets/d/1MMPq-JyI6DSgQETxuSiXkesP-P7JHuemnE6QJIa-Nlw/edit?usp=sharing"",""บุรีรัมย์!N217"")"),0)</f>
        <v>0</v>
      </c>
      <c r="AW38" s="93">
        <f t="shared" ca="1" si="102"/>
        <v>0</v>
      </c>
      <c r="AX38" s="92">
        <f ca="1">IFERROR(__xludf.DUMMYFUNCTION("IMPORTRANGE(""https://docs.google.com/spreadsheets/d/1MMPq-JyI6DSgQETxuSiXkesP-P7JHuemnE6QJIa-Nlw/edit?usp=sharing"",""บุรีรัมย์!I219"")"),1)</f>
        <v>1</v>
      </c>
      <c r="AY38" s="92">
        <f ca="1">IFERROR(__xludf.DUMMYFUNCTION("IMPORTRANGE(""https://docs.google.com/spreadsheets/d/1MMPq-JyI6DSgQETxuSiXkesP-P7JHuemnE6QJIa-Nlw/edit?usp=sharing"",""บุรีรัมย์!J219"")"),0)</f>
        <v>0</v>
      </c>
      <c r="AZ38" s="93">
        <f t="shared" ca="1" si="104"/>
        <v>0</v>
      </c>
      <c r="BA38" s="92">
        <f ca="1">IFERROR(__xludf.DUMMYFUNCTION("IMPORTRANGE(""https://docs.google.com/spreadsheets/d/1MMPq-JyI6DSgQETxuSiXkesP-P7JHuemnE6QJIa-Nlw/edit?usp=sharing"",""บุรีรัมย์!I220"")"),1)</f>
        <v>1</v>
      </c>
      <c r="BB38" s="92">
        <f ca="1">IFERROR(__xludf.DUMMYFUNCTION("IMPORTRANGE(""https://docs.google.com/spreadsheets/d/1MMPq-JyI6DSgQETxuSiXkesP-P7JHuemnE6QJIa-Nlw/edit?usp=sharing"",""บุรีรัมย์!J220"")"),0)</f>
        <v>0</v>
      </c>
      <c r="BC38" s="93">
        <f t="shared" ca="1" si="106"/>
        <v>0</v>
      </c>
      <c r="BD38" s="92">
        <f ca="1">IFERROR(__xludf.DUMMYFUNCTION("IMPORTRANGE(""https://docs.google.com/spreadsheets/d/1MMPq-JyI6DSgQETxuSiXkesP-P7JHuemnE6QJIa-Nlw/edit?usp=sharing"",""บุรีรัมย์!L223"")"),11000)</f>
        <v>11000</v>
      </c>
      <c r="BE38" s="92">
        <f ca="1">IFERROR(__xludf.DUMMYFUNCTION("IMPORTRANGE(""https://docs.google.com/spreadsheets/d/1MMPq-JyI6DSgQETxuSiXkesP-P7JHuemnE6QJIa-Nlw/edit?usp=sharing"",""บุรีรัมย์!N223"")"),0)</f>
        <v>0</v>
      </c>
      <c r="BF38" s="93">
        <f t="shared" ca="1" si="108"/>
        <v>0</v>
      </c>
      <c r="BG38" s="92">
        <f ca="1">IFERROR(__xludf.DUMMYFUNCTION("IMPORTRANGE(""https://docs.google.com/spreadsheets/d/1MMPq-JyI6DSgQETxuSiXkesP-P7JHuemnE6QJIa-Nlw/edit?usp=sharing"",""บุรีรัมย์!L224"")"),1500)</f>
        <v>1500</v>
      </c>
      <c r="BH38" s="92">
        <f ca="1">IFERROR(__xludf.DUMMYFUNCTION("IMPORTRANGE(""https://docs.google.com/spreadsheets/d/1MMPq-JyI6DSgQETxuSiXkesP-P7JHuemnE6QJIa-Nlw/edit?usp=sharing"",""บุรีรัมย์!N224"")"),0)</f>
        <v>0</v>
      </c>
      <c r="BI38" s="93">
        <f t="shared" ca="1" si="110"/>
        <v>0</v>
      </c>
      <c r="BJ38" s="92">
        <f ca="1">IFERROR(__xludf.DUMMYFUNCTION("IMPORTRANGE(""https://docs.google.com/spreadsheets/d/1MMPq-JyI6DSgQETxuSiXkesP-P7JHuemnE6QJIa-Nlw/edit?usp=sharing"",""บุรีรัมย์!I228"")"),100000)</f>
        <v>100000</v>
      </c>
      <c r="BK38" s="92">
        <f ca="1">IFERROR(__xludf.DUMMYFUNCTION("IMPORTRANGE(""https://docs.google.com/spreadsheets/d/1MMPq-JyI6DSgQETxuSiXkesP-P7JHuemnE6QJIa-Nlw/edit?usp=sharing"",""บุรีรัมย์!J228"")"),0)</f>
        <v>0</v>
      </c>
      <c r="BL38" s="93">
        <f t="shared" ca="1" si="112"/>
        <v>0</v>
      </c>
      <c r="BM38" s="92">
        <f ca="1">IFERROR(__xludf.DUMMYFUNCTION("IMPORTRANGE(""https://docs.google.com/spreadsheets/d/1MMPq-JyI6DSgQETxuSiXkesP-P7JHuemnE6QJIa-Nlw/edit?usp=sharing"",""บุรีรัมย์!I229"")"),100000)</f>
        <v>100000</v>
      </c>
      <c r="BN38" s="92">
        <f ca="1">IFERROR(__xludf.DUMMYFUNCTION("IMPORTRANGE(""https://docs.google.com/spreadsheets/d/1MMPq-JyI6DSgQETxuSiXkesP-P7JHuemnE6QJIa-Nlw/edit?usp=sharing"",""บุรีรัมย์!J229"")"),0)</f>
        <v>0</v>
      </c>
      <c r="BO38" s="93">
        <f t="shared" ca="1" si="114"/>
        <v>0</v>
      </c>
      <c r="BP38" s="92">
        <f ca="1">IFERROR(__xludf.DUMMYFUNCTION("IMPORTRANGE(""https://docs.google.com/spreadsheets/d/1MMPq-JyI6DSgQETxuSiXkesP-P7JHuemnE6QJIa-Nlw/edit?usp=sharing"",""บุรีรัมย์!I230"")"),0)</f>
        <v>0</v>
      </c>
      <c r="BQ38" s="92">
        <f ca="1">IFERROR(__xludf.DUMMYFUNCTION("IMPORTRANGE(""https://docs.google.com/spreadsheets/d/1MMPq-JyI6DSgQETxuSiXkesP-P7JHuemnE6QJIa-Nlw/edit?usp=sharing"",""บุรีรัมย์!J230"")"),0)</f>
        <v>0</v>
      </c>
      <c r="BR38" s="93">
        <f t="shared" ca="1" si="116"/>
        <v>0</v>
      </c>
      <c r="BS38" s="92">
        <f ca="1">IFERROR(__xludf.DUMMYFUNCTION("IMPORTRANGE(""https://docs.google.com/spreadsheets/d/1MMPq-JyI6DSgQETxuSiXkesP-P7JHuemnE6QJIa-Nlw/edit?usp=sharing"",""บุรีรัมย์!L233"")"),0)</f>
        <v>0</v>
      </c>
      <c r="BT38" s="92">
        <f ca="1">IFERROR(__xludf.DUMMYFUNCTION("IMPORTRANGE(""https://docs.google.com/spreadsheets/d/1MMPq-JyI6DSgQETxuSiXkesP-P7JHuemnE6QJIa-Nlw/edit?usp=sharing"",""บุรีรัมย์!N233"")"),0)</f>
        <v>0</v>
      </c>
      <c r="BU38" s="93">
        <f t="shared" ca="1" si="118"/>
        <v>0</v>
      </c>
      <c r="BV38" s="92">
        <f ca="1">IFERROR(__xludf.DUMMYFUNCTION("IMPORTRANGE(""https://docs.google.com/spreadsheets/d/1MMPq-JyI6DSgQETxuSiXkesP-P7JHuemnE6QJIa-Nlw/edit?usp=sharing"",""บุรีรัมย์!L234"")"),0)</f>
        <v>0</v>
      </c>
      <c r="BW38" s="92">
        <f ca="1">IFERROR(__xludf.DUMMYFUNCTION("IMPORTRANGE(""https://docs.google.com/spreadsheets/d/1MMPq-JyI6DSgQETxuSiXkesP-P7JHuemnE6QJIa-Nlw/edit?usp=sharing"",""บุรีรัมย์!N234"")"),0)</f>
        <v>0</v>
      </c>
      <c r="BX38" s="93">
        <f t="shared" ca="1" si="120"/>
        <v>0</v>
      </c>
      <c r="BY38" s="92">
        <f ca="1">IFERROR(__xludf.DUMMYFUNCTION("IMPORTRANGE(""https://docs.google.com/spreadsheets/d/1MMPq-JyI6DSgQETxuSiXkesP-P7JHuemnE6QJIa-Nlw/edit?usp=sharing"",""บุรีรัมย์!L235"")"),0)</f>
        <v>0</v>
      </c>
      <c r="BZ38" s="92">
        <f ca="1">IFERROR(__xludf.DUMMYFUNCTION("IMPORTRANGE(""https://docs.google.com/spreadsheets/d/1MMPq-JyI6DSgQETxuSiXkesP-P7JHuemnE6QJIa-Nlw/edit?usp=sharing"",""บุรีรัมย์!N235"")"),0)</f>
        <v>0</v>
      </c>
      <c r="CA38" s="93">
        <f t="shared" ca="1" si="122"/>
        <v>0</v>
      </c>
      <c r="CB38" s="92">
        <f ca="1">IFERROR(__xludf.DUMMYFUNCTION("IMPORTRANGE(""https://docs.google.com/spreadsheets/d/1MMPq-JyI6DSgQETxuSiXkesP-P7JHuemnE6QJIa-Nlw/edit?usp=sharing"",""บุรีรัมย์!L236"")"),0)</f>
        <v>0</v>
      </c>
      <c r="CC38" s="92">
        <f ca="1">IFERROR(__xludf.DUMMYFUNCTION("IMPORTRANGE(""https://docs.google.com/spreadsheets/d/1MMPq-JyI6DSgQETxuSiXkesP-P7JHuemnE6QJIa-Nlw/edit?usp=sharing"",""บุรีรัมย์!N236"")"),0)</f>
        <v>0</v>
      </c>
      <c r="CD38" s="93">
        <f t="shared" ca="1" si="124"/>
        <v>0</v>
      </c>
      <c r="CE38" s="92">
        <f ca="1">IFERROR(__xludf.DUMMYFUNCTION("IMPORTRANGE(""https://docs.google.com/spreadsheets/d/1MMPq-JyI6DSgQETxuSiXkesP-P7JHuemnE6QJIa-Nlw/edit?usp=sharing"",""บุรีรัมย์!I238"")"),0)</f>
        <v>0</v>
      </c>
      <c r="CF38" s="92">
        <f ca="1">IFERROR(__xludf.DUMMYFUNCTION("IMPORTRANGE(""https://docs.google.com/spreadsheets/d/1MMPq-JyI6DSgQETxuSiXkesP-P7JHuemnE6QJIa-Nlw/edit?usp=sharing"",""บุรีรัมย์!J238"")"),0)</f>
        <v>0</v>
      </c>
      <c r="CG38" s="93">
        <f t="shared" ca="1" si="126"/>
        <v>0</v>
      </c>
      <c r="CH38" s="92">
        <f ca="1">IFERROR(__xludf.DUMMYFUNCTION("IMPORTRANGE(""https://docs.google.com/spreadsheets/d/1MMPq-JyI6DSgQETxuSiXkesP-P7JHuemnE6QJIa-Nlw/edit?usp=sharing"",""บุรีรัมย์!J240"")"),0)</f>
        <v>0</v>
      </c>
      <c r="CI38" s="92">
        <f ca="1">IFERROR(__xludf.DUMMYFUNCTION("IMPORTRANGE(""https://docs.google.com/spreadsheets/d/1MMPq-JyI6DSgQETxuSiXkesP-P7JHuemnE6QJIa-Nlw/edit?usp=sharing"",""บุรีรัมย์!J241"")"),0)</f>
        <v>0</v>
      </c>
    </row>
    <row r="39" spans="1:87" ht="21" customHeight="1" x14ac:dyDescent="0.3">
      <c r="A39" s="84">
        <v>8</v>
      </c>
      <c r="B39" s="85" t="s">
        <v>61</v>
      </c>
      <c r="C39" s="174">
        <f t="shared" ca="1" si="77"/>
        <v>43500</v>
      </c>
      <c r="D39" s="175">
        <f t="shared" ca="1" si="152"/>
        <v>43500</v>
      </c>
      <c r="E39" s="176">
        <f ca="1">IFERROR(__xludf.DUMMYFUNCTION("IMPORTRANGE(""https://docs.google.com/spreadsheets/d/1-uDff_7J0KD5mKrp0Vvzr7lt3OU09vwQwhkpOPPYv2Y/edit?usp=sharing"",""งบพรบ!CV39"")"),0)</f>
        <v>0</v>
      </c>
      <c r="F39" s="176">
        <f ca="1">IFERROR(__xludf.DUMMYFUNCTION("IMPORTRANGE(""https://docs.google.com/spreadsheets/d/1-uDff_7J0KD5mKrp0Vvzr7lt3OU09vwQwhkpOPPYv2Y/edit?usp=sharing"",""งบพรบ!CW39"")"),43500)</f>
        <v>43500</v>
      </c>
      <c r="G39" s="176">
        <f ca="1">IFERROR(__xludf.DUMMYFUNCTION("IMPORTRANGE(""https://docs.google.com/spreadsheets/d/1-uDff_7J0KD5mKrp0Vvzr7lt3OU09vwQwhkpOPPYv2Y/edit?usp=sharing"",""งบพรบ!CX39"")"),0)</f>
        <v>0</v>
      </c>
      <c r="H39" s="176">
        <f ca="1">IFERROR(__xludf.DUMMYFUNCTION("IMPORTRANGE(""https://docs.google.com/spreadsheets/d/1-uDff_7J0KD5mKrp0Vvzr7lt3OU09vwQwhkpOPPYv2Y/edit?usp=sharing"",""งบพรบ!CZ39"")"),22500)</f>
        <v>22500</v>
      </c>
      <c r="I39" s="176">
        <f ca="1">IFERROR(__xludf.DUMMYFUNCTION("IMPORTRANGE(""https://docs.google.com/spreadsheets/d/1-uDff_7J0KD5mKrp0Vvzr7lt3OU09vwQwhkpOPPYv2Y/edit?usp=sharing"",""งบพรบ!DA39"")"),0)</f>
        <v>0</v>
      </c>
      <c r="J39" s="176">
        <f t="shared" ca="1" si="79"/>
        <v>0</v>
      </c>
      <c r="K39" s="181">
        <f t="shared" ca="1" si="80"/>
        <v>0</v>
      </c>
      <c r="L39" s="176">
        <f ca="1">IFERROR(__xludf.DUMMYFUNCTION("IMPORTRANGE(""https://docs.google.com/spreadsheets/d/1-uDff_7J0KD5mKrp0Vvzr7lt3OU09vwQwhkpOPPYv2Y/edit?usp=sharing"",""งบพรบ!DB39"")"),0)</f>
        <v>0</v>
      </c>
      <c r="M39" s="179">
        <f t="shared" ca="1" si="81"/>
        <v>0</v>
      </c>
      <c r="N39" s="179">
        <f t="shared" ca="1" si="82"/>
        <v>0</v>
      </c>
      <c r="O39" s="180">
        <f ca="1">IFERROR(__xludf.DUMMYFUNCTION("IMPORTRANGE(""https://docs.google.com/spreadsheets/d/1-uDff_7J0KD5mKrp0Vvzr7lt3OU09vwQwhkpOPPYv2Y/edit?usp=sharing"",""งบพรบ!DC39"")"),0)</f>
        <v>0</v>
      </c>
      <c r="P39" s="180">
        <f t="shared" ca="1" si="83"/>
        <v>0</v>
      </c>
      <c r="Q39" s="179">
        <f t="shared" ca="1" si="84"/>
        <v>0</v>
      </c>
      <c r="R39" s="92">
        <f ca="1">IFERROR(__xludf.DUMMYFUNCTION("IMPORTRANGE(""https://docs.google.com/spreadsheets/d/1l6IZ8xUPgMrESzcTYwhA1k_tPjeQjJPTqlm8Gd9eU5g/edit?usp=sharing"",""มหาสารคาม!L196"")"),6000)</f>
        <v>6000</v>
      </c>
      <c r="S39" s="92">
        <f ca="1">IFERROR(__xludf.DUMMYFUNCTION("IMPORTRANGE(""https://docs.google.com/spreadsheets/d/1l6IZ8xUPgMrESzcTYwhA1k_tPjeQjJPTqlm8Gd9eU5g/edit?usp=sharing"",""มหาสารคาม!N196"")"),0)</f>
        <v>0</v>
      </c>
      <c r="T39" s="93">
        <f t="shared" ca="1" si="86"/>
        <v>0</v>
      </c>
      <c r="U39" s="92">
        <f ca="1">IFERROR(__xludf.DUMMYFUNCTION("IMPORTRANGE(""https://docs.google.com/spreadsheets/d/1l6IZ8xUPgMrESzcTYwhA1k_tPjeQjJPTqlm8Gd9eU5g/edit?usp=sharing"",""มหาสารคาม!I198"")"),4)</f>
        <v>4</v>
      </c>
      <c r="V39" s="92">
        <f ca="1">IFERROR(__xludf.DUMMYFUNCTION("IMPORTRANGE(""https://docs.google.com/spreadsheets/d/1l6IZ8xUPgMrESzcTYwhA1k_tPjeQjJPTqlm8Gd9eU5g/edit?usp=sharing"",""มหาสารคาม!J198"")"),0)</f>
        <v>0</v>
      </c>
      <c r="W39" s="93">
        <f t="shared" ca="1" si="88"/>
        <v>0</v>
      </c>
      <c r="X39" s="92">
        <f ca="1">IFERROR(__xludf.DUMMYFUNCTION("IMPORTRANGE(""https://docs.google.com/spreadsheets/d/1l6IZ8xUPgMrESzcTYwhA1k_tPjeQjJPTqlm8Gd9eU5g/edit?usp=sharing"",""มหาสารคาม!J199"")"),0)</f>
        <v>0</v>
      </c>
      <c r="Y39" s="92">
        <f ca="1">IFERROR(__xludf.DUMMYFUNCTION("IMPORTRANGE(""https://docs.google.com/spreadsheets/d/1l6IZ8xUPgMrESzcTYwhA1k_tPjeQjJPTqlm8Gd9eU5g/edit?usp=sharing"",""มหาสารคาม!J200"")"),0)</f>
        <v>0</v>
      </c>
      <c r="Z39" s="92">
        <f ca="1">IFERROR(__xludf.DUMMYFUNCTION("IMPORTRANGE(""https://docs.google.com/spreadsheets/d/1l6IZ8xUPgMrESzcTYwhA1k_tPjeQjJPTqlm8Gd9eU5g/edit?usp=sharing"",""มหาสารคาม!J201"")"),0)</f>
        <v>0</v>
      </c>
      <c r="AA39" s="92">
        <f ca="1">IFERROR(__xludf.DUMMYFUNCTION("IMPORTRANGE(""https://docs.google.com/spreadsheets/d/1l6IZ8xUPgMrESzcTYwhA1k_tPjeQjJPTqlm8Gd9eU5g/edit?usp=sharing"",""มหาสารคาม!L204"")"),2000)</f>
        <v>2000</v>
      </c>
      <c r="AB39" s="92">
        <f ca="1">IFERROR(__xludf.DUMMYFUNCTION("IMPORTRANGE(""https://docs.google.com/spreadsheets/d/1l6IZ8xUPgMrESzcTYwhA1k_tPjeQjJPTqlm8Gd9eU5g/edit?usp=sharing"",""มหาสารคาม!N204"")"),0)</f>
        <v>0</v>
      </c>
      <c r="AC39" s="93">
        <f t="shared" ca="1" si="90"/>
        <v>0</v>
      </c>
      <c r="AD39" s="92">
        <f ca="1">IFERROR(__xludf.DUMMYFUNCTION("IMPORTRANGE(""https://docs.google.com/spreadsheets/d/1l6IZ8xUPgMrESzcTYwhA1k_tPjeQjJPTqlm8Gd9eU5g/edit?usp=sharing"",""มหาสารคาม!L206"")"),16000)</f>
        <v>16000</v>
      </c>
      <c r="AE39" s="92">
        <f ca="1">IFERROR(__xludf.DUMMYFUNCTION("IMPORTRANGE(""https://docs.google.com/spreadsheets/d/1l6IZ8xUPgMrESzcTYwhA1k_tPjeQjJPTqlm8Gd9eU5g/edit?usp=sharing"",""มหาสารคาม!N206"")"),0)</f>
        <v>0</v>
      </c>
      <c r="AF39" s="93">
        <f t="shared" ca="1" si="92"/>
        <v>0</v>
      </c>
      <c r="AG39" s="92">
        <f ca="1">IFERROR(__xludf.DUMMYFUNCTION("IMPORTRANGE(""https://docs.google.com/spreadsheets/d/1l6IZ8xUPgMrESzcTYwhA1k_tPjeQjJPTqlm8Gd9eU5g/edit?usp=sharing"",""มหาสารคาม!L207"")"),11000)</f>
        <v>11000</v>
      </c>
      <c r="AH39" s="92">
        <f ca="1">IFERROR(__xludf.DUMMYFUNCTION("IMPORTRANGE(""https://docs.google.com/spreadsheets/d/1l6IZ8xUPgMrESzcTYwhA1k_tPjeQjJPTqlm8Gd9eU5g/edit?usp=sharing"",""มหาสารคาม!N207"")"),0)</f>
        <v>0</v>
      </c>
      <c r="AI39" s="93">
        <f t="shared" ca="1" si="94"/>
        <v>0</v>
      </c>
      <c r="AJ39" s="92">
        <f ca="1">IFERROR(__xludf.DUMMYFUNCTION("IMPORTRANGE(""https://docs.google.com/spreadsheets/d/1l6IZ8xUPgMrESzcTYwhA1k_tPjeQjJPTqlm8Gd9eU5g/edit?usp=sharing"",""มหาสารคาม!I209"")"),2)</f>
        <v>2</v>
      </c>
      <c r="AK39" s="92">
        <f ca="1">IFERROR(__xludf.DUMMYFUNCTION("IMPORTRANGE(""https://docs.google.com/spreadsheets/d/1l6IZ8xUPgMrESzcTYwhA1k_tPjeQjJPTqlm8Gd9eU5g/edit?usp=sharing"",""มหาสารคาม!J209"")"),0)</f>
        <v>0</v>
      </c>
      <c r="AL39" s="93">
        <f t="shared" ca="1" si="96"/>
        <v>0</v>
      </c>
      <c r="AM39" s="92">
        <f ca="1">IFERROR(__xludf.DUMMYFUNCTION("IMPORTRANGE(""https://docs.google.com/spreadsheets/d/1l6IZ8xUPgMrESzcTYwhA1k_tPjeQjJPTqlm8Gd9eU5g/edit?usp=sharing"",""มหาสารคาม!J211"")"),0)</f>
        <v>0</v>
      </c>
      <c r="AN39" s="92">
        <f ca="1">IFERROR(__xludf.DUMMYFUNCTION("IMPORTRANGE(""https://docs.google.com/spreadsheets/d/1l6IZ8xUPgMrESzcTYwhA1k_tPjeQjJPTqlm8Gd9eU5g/edit?usp=sharing"",""มหาสารคาม!J212"")"),0)</f>
        <v>0</v>
      </c>
      <c r="AO39" s="92">
        <f ca="1">IFERROR(__xludf.DUMMYFUNCTION("IMPORTRANGE(""https://docs.google.com/spreadsheets/d/1l6IZ8xUPgMrESzcTYwhA1k_tPjeQjJPTqlm8Gd9eU5g/edit?usp=sharing"",""มหาสารคาม!L215"")"),0)</f>
        <v>0</v>
      </c>
      <c r="AP39" s="92">
        <f ca="1">IFERROR(__xludf.DUMMYFUNCTION("IMPORTRANGE(""https://docs.google.com/spreadsheets/d/1l6IZ8xUPgMrESzcTYwhA1k_tPjeQjJPTqlm8Gd9eU5g/edit?usp=sharing"",""มหาสารคาม!N215"")"),0)</f>
        <v>0</v>
      </c>
      <c r="AQ39" s="93">
        <f t="shared" ca="1" si="98"/>
        <v>0</v>
      </c>
      <c r="AR39" s="92">
        <f ca="1">IFERROR(__xludf.DUMMYFUNCTION("IMPORTRANGE(""https://docs.google.com/spreadsheets/d/1l6IZ8xUPgMrESzcTYwhA1k_tPjeQjJPTqlm8Gd9eU5g/edit?usp=sharing"",""มหาสารคาม!L216"")"),0)</f>
        <v>0</v>
      </c>
      <c r="AS39" s="92">
        <f ca="1">IFERROR(__xludf.DUMMYFUNCTION("IMPORTRANGE(""https://docs.google.com/spreadsheets/d/1l6IZ8xUPgMrESzcTYwhA1k_tPjeQjJPTqlm8Gd9eU5g/edit?usp=sharing"",""มหาสารคาม!N216"")"),0)</f>
        <v>0</v>
      </c>
      <c r="AT39" s="93">
        <f t="shared" ca="1" si="100"/>
        <v>0</v>
      </c>
      <c r="AU39" s="92">
        <f ca="1">IFERROR(__xludf.DUMMYFUNCTION("IMPORTRANGE(""https://docs.google.com/spreadsheets/d/1l6IZ8xUPgMrESzcTYwhA1k_tPjeQjJPTqlm8Gd9eU5g/edit?usp=sharing"",""มหาสารคาม!L217"")"),0)</f>
        <v>0</v>
      </c>
      <c r="AV39" s="92">
        <f ca="1">IFERROR(__xludf.DUMMYFUNCTION("IMPORTRANGE(""https://docs.google.com/spreadsheets/d/1l6IZ8xUPgMrESzcTYwhA1k_tPjeQjJPTqlm8Gd9eU5g/edit?usp=sharing"",""มหาสารคาม!N217"")"),0)</f>
        <v>0</v>
      </c>
      <c r="AW39" s="93">
        <f t="shared" ca="1" si="102"/>
        <v>0</v>
      </c>
      <c r="AX39" s="92">
        <f ca="1">IFERROR(__xludf.DUMMYFUNCTION("IMPORTRANGE(""https://docs.google.com/spreadsheets/d/1l6IZ8xUPgMrESzcTYwhA1k_tPjeQjJPTqlm8Gd9eU5g/edit?usp=sharing"",""มหาสารคาม!I219"")"),0)</f>
        <v>0</v>
      </c>
      <c r="AY39" s="92">
        <f ca="1">IFERROR(__xludf.DUMMYFUNCTION("IMPORTRANGE(""https://docs.google.com/spreadsheets/d/1l6IZ8xUPgMrESzcTYwhA1k_tPjeQjJPTqlm8Gd9eU5g/edit?usp=sharing"",""มหาสารคาม!J219"")"),0)</f>
        <v>0</v>
      </c>
      <c r="AZ39" s="93">
        <f t="shared" ca="1" si="104"/>
        <v>0</v>
      </c>
      <c r="BA39" s="92">
        <f ca="1">IFERROR(__xludf.DUMMYFUNCTION("IMPORTRANGE(""https://docs.google.com/spreadsheets/d/1l6IZ8xUPgMrESzcTYwhA1k_tPjeQjJPTqlm8Gd9eU5g/edit?usp=sharing"",""มหาสารคาม!I220"")"),0)</f>
        <v>0</v>
      </c>
      <c r="BB39" s="92">
        <f ca="1">IFERROR(__xludf.DUMMYFUNCTION("IMPORTRANGE(""https://docs.google.com/spreadsheets/d/1l6IZ8xUPgMrESzcTYwhA1k_tPjeQjJPTqlm8Gd9eU5g/edit?usp=sharing"",""มหาสารคาม!J220"")"),0)</f>
        <v>0</v>
      </c>
      <c r="BC39" s="93">
        <f t="shared" ca="1" si="106"/>
        <v>0</v>
      </c>
      <c r="BD39" s="92">
        <f ca="1">IFERROR(__xludf.DUMMYFUNCTION("IMPORTRANGE(""https://docs.google.com/spreadsheets/d/1l6IZ8xUPgMrESzcTYwhA1k_tPjeQjJPTqlm8Gd9eU5g/edit?usp=sharing"",""มหาสารคาม!L223"")"),7000)</f>
        <v>7000</v>
      </c>
      <c r="BE39" s="92">
        <f ca="1">IFERROR(__xludf.DUMMYFUNCTION("IMPORTRANGE(""https://docs.google.com/spreadsheets/d/1l6IZ8xUPgMrESzcTYwhA1k_tPjeQjJPTqlm8Gd9eU5g/edit?usp=sharing"",""มหาสารคาม!N223"")"),0)</f>
        <v>0</v>
      </c>
      <c r="BF39" s="93">
        <f t="shared" ca="1" si="108"/>
        <v>0</v>
      </c>
      <c r="BG39" s="92">
        <f ca="1">IFERROR(__xludf.DUMMYFUNCTION("IMPORTRANGE(""https://docs.google.com/spreadsheets/d/1l6IZ8xUPgMrESzcTYwhA1k_tPjeQjJPTqlm8Gd9eU5g/edit?usp=sharing"",""มหาสารคาม!L224"")"),1500)</f>
        <v>1500</v>
      </c>
      <c r="BH39" s="92">
        <f ca="1">IFERROR(__xludf.DUMMYFUNCTION("IMPORTRANGE(""https://docs.google.com/spreadsheets/d/1l6IZ8xUPgMrESzcTYwhA1k_tPjeQjJPTqlm8Gd9eU5g/edit?usp=sharing"",""มหาสารคาม!N224"")"),0)</f>
        <v>0</v>
      </c>
      <c r="BI39" s="93">
        <f t="shared" ca="1" si="110"/>
        <v>0</v>
      </c>
      <c r="BJ39" s="92">
        <f ca="1">IFERROR(__xludf.DUMMYFUNCTION("IMPORTRANGE(""https://docs.google.com/spreadsheets/d/1l6IZ8xUPgMrESzcTYwhA1k_tPjeQjJPTqlm8Gd9eU5g/edit?usp=sharing"",""มหาสารคาม!I228"")"),50000)</f>
        <v>50000</v>
      </c>
      <c r="BK39" s="92">
        <f ca="1">IFERROR(__xludf.DUMMYFUNCTION("IMPORTRANGE(""https://docs.google.com/spreadsheets/d/1l6IZ8xUPgMrESzcTYwhA1k_tPjeQjJPTqlm8Gd9eU5g/edit?usp=sharing"",""มหาสารคาม!J228"")"),0)</f>
        <v>0</v>
      </c>
      <c r="BL39" s="93">
        <f t="shared" ca="1" si="112"/>
        <v>0</v>
      </c>
      <c r="BM39" s="92">
        <f ca="1">IFERROR(__xludf.DUMMYFUNCTION("IMPORTRANGE(""https://docs.google.com/spreadsheets/d/1l6IZ8xUPgMrESzcTYwhA1k_tPjeQjJPTqlm8Gd9eU5g/edit?usp=sharing"",""มหาสารคาม!I229"")"),50000)</f>
        <v>50000</v>
      </c>
      <c r="BN39" s="92">
        <f ca="1">IFERROR(__xludf.DUMMYFUNCTION("IMPORTRANGE(""https://docs.google.com/spreadsheets/d/1l6IZ8xUPgMrESzcTYwhA1k_tPjeQjJPTqlm8Gd9eU5g/edit?usp=sharing"",""มหาสารคาม!J229"")"),0)</f>
        <v>0</v>
      </c>
      <c r="BO39" s="93">
        <f t="shared" ca="1" si="114"/>
        <v>0</v>
      </c>
      <c r="BP39" s="92">
        <f ca="1">IFERROR(__xludf.DUMMYFUNCTION("IMPORTRANGE(""https://docs.google.com/spreadsheets/d/1l6IZ8xUPgMrESzcTYwhA1k_tPjeQjJPTqlm8Gd9eU5g/edit?usp=sharing"",""มหาสารคาม!I230"")"),0)</f>
        <v>0</v>
      </c>
      <c r="BQ39" s="92">
        <f ca="1">IFERROR(__xludf.DUMMYFUNCTION("IMPORTRANGE(""https://docs.google.com/spreadsheets/d/1l6IZ8xUPgMrESzcTYwhA1k_tPjeQjJPTqlm8Gd9eU5g/edit?usp=sharing"",""มหาสารคาม!J230"")"),0)</f>
        <v>0</v>
      </c>
      <c r="BR39" s="93">
        <f t="shared" ca="1" si="116"/>
        <v>0</v>
      </c>
      <c r="BS39" s="92">
        <f ca="1">IFERROR(__xludf.DUMMYFUNCTION("IMPORTRANGE(""https://docs.google.com/spreadsheets/d/1l6IZ8xUPgMrESzcTYwhA1k_tPjeQjJPTqlm8Gd9eU5g/edit?usp=sharing"",""มหาสารคาม!L233"")"),0)</f>
        <v>0</v>
      </c>
      <c r="BT39" s="92">
        <f ca="1">IFERROR(__xludf.DUMMYFUNCTION("IMPORTRANGE(""https://docs.google.com/spreadsheets/d/1l6IZ8xUPgMrESzcTYwhA1k_tPjeQjJPTqlm8Gd9eU5g/edit?usp=sharing"",""มหาสารคาม!N233"")"),0)</f>
        <v>0</v>
      </c>
      <c r="BU39" s="93">
        <f t="shared" ca="1" si="118"/>
        <v>0</v>
      </c>
      <c r="BV39" s="92">
        <f ca="1">IFERROR(__xludf.DUMMYFUNCTION("IMPORTRANGE(""https://docs.google.com/spreadsheets/d/1l6IZ8xUPgMrESzcTYwhA1k_tPjeQjJPTqlm8Gd9eU5g/edit?usp=sharing"",""มหาสารคาม!L234"")"),0)</f>
        <v>0</v>
      </c>
      <c r="BW39" s="92">
        <f ca="1">IFERROR(__xludf.DUMMYFUNCTION("IMPORTRANGE(""https://docs.google.com/spreadsheets/d/1l6IZ8xUPgMrESzcTYwhA1k_tPjeQjJPTqlm8Gd9eU5g/edit?usp=sharing"",""มหาสารคาม!N234"")"),0)</f>
        <v>0</v>
      </c>
      <c r="BX39" s="93">
        <f t="shared" ca="1" si="120"/>
        <v>0</v>
      </c>
      <c r="BY39" s="92">
        <f ca="1">IFERROR(__xludf.DUMMYFUNCTION("IMPORTRANGE(""https://docs.google.com/spreadsheets/d/1l6IZ8xUPgMrESzcTYwhA1k_tPjeQjJPTqlm8Gd9eU5g/edit?usp=sharing"",""มหาสารคาม!L235"")"),0)</f>
        <v>0</v>
      </c>
      <c r="BZ39" s="92">
        <f ca="1">IFERROR(__xludf.DUMMYFUNCTION("IMPORTRANGE(""https://docs.google.com/spreadsheets/d/1l6IZ8xUPgMrESzcTYwhA1k_tPjeQjJPTqlm8Gd9eU5g/edit?usp=sharing"",""มหาสารคาม!N235"")"),0)</f>
        <v>0</v>
      </c>
      <c r="CA39" s="93">
        <f t="shared" ca="1" si="122"/>
        <v>0</v>
      </c>
      <c r="CB39" s="92">
        <f ca="1">IFERROR(__xludf.DUMMYFUNCTION("IMPORTRANGE(""https://docs.google.com/spreadsheets/d/1l6IZ8xUPgMrESzcTYwhA1k_tPjeQjJPTqlm8Gd9eU5g/edit?usp=sharing"",""มหาสารคาม!L236"")"),0)</f>
        <v>0</v>
      </c>
      <c r="CC39" s="92">
        <f ca="1">IFERROR(__xludf.DUMMYFUNCTION("IMPORTRANGE(""https://docs.google.com/spreadsheets/d/1l6IZ8xUPgMrESzcTYwhA1k_tPjeQjJPTqlm8Gd9eU5g/edit?usp=sharing"",""มหาสารคาม!N236"")"),0)</f>
        <v>0</v>
      </c>
      <c r="CD39" s="93">
        <f t="shared" ca="1" si="124"/>
        <v>0</v>
      </c>
      <c r="CE39" s="92">
        <f ca="1">IFERROR(__xludf.DUMMYFUNCTION("IMPORTRANGE(""https://docs.google.com/spreadsheets/d/1l6IZ8xUPgMrESzcTYwhA1k_tPjeQjJPTqlm8Gd9eU5g/edit?usp=sharing"",""มหาสารคาม!I238"")"),0)</f>
        <v>0</v>
      </c>
      <c r="CF39" s="92">
        <f ca="1">IFERROR(__xludf.DUMMYFUNCTION("IMPORTRANGE(""https://docs.google.com/spreadsheets/d/1l6IZ8xUPgMrESzcTYwhA1k_tPjeQjJPTqlm8Gd9eU5g/edit?usp=sharing"",""มหาสารคาม!J238"")"),0)</f>
        <v>0</v>
      </c>
      <c r="CG39" s="93">
        <f t="shared" ca="1" si="126"/>
        <v>0</v>
      </c>
      <c r="CH39" s="92">
        <f ca="1">IFERROR(__xludf.DUMMYFUNCTION("IMPORTRANGE(""https://docs.google.com/spreadsheets/d/1l6IZ8xUPgMrESzcTYwhA1k_tPjeQjJPTqlm8Gd9eU5g/edit?usp=sharing"",""มหาสารคาม!J240"")"),0)</f>
        <v>0</v>
      </c>
      <c r="CI39" s="92">
        <f ca="1">IFERROR(__xludf.DUMMYFUNCTION("IMPORTRANGE(""https://docs.google.com/spreadsheets/d/1l6IZ8xUPgMrESzcTYwhA1k_tPjeQjJPTqlm8Gd9eU5g/edit?usp=sharing"",""มหาสารคาม!J241"")"),0)</f>
        <v>0</v>
      </c>
    </row>
    <row r="40" spans="1:87" ht="21" customHeight="1" x14ac:dyDescent="0.3">
      <c r="A40" s="84">
        <v>9</v>
      </c>
      <c r="B40" s="85" t="s">
        <v>62</v>
      </c>
      <c r="C40" s="174">
        <f t="shared" ca="1" si="77"/>
        <v>156500</v>
      </c>
      <c r="D40" s="175">
        <f t="shared" ca="1" si="152"/>
        <v>156500</v>
      </c>
      <c r="E40" s="176">
        <f ca="1">IFERROR(__xludf.DUMMYFUNCTION("IMPORTRANGE(""https://docs.google.com/spreadsheets/d/1-uDff_7J0KD5mKrp0Vvzr7lt3OU09vwQwhkpOPPYv2Y/edit?usp=sharing"",""งบพรบ!CV40"")"),91000)</f>
        <v>91000</v>
      </c>
      <c r="F40" s="176">
        <f ca="1">IFERROR(__xludf.DUMMYFUNCTION("IMPORTRANGE(""https://docs.google.com/spreadsheets/d/1-uDff_7J0KD5mKrp0Vvzr7lt3OU09vwQwhkpOPPYv2Y/edit?usp=sharing"",""งบพรบ!CW40"")"),65500)</f>
        <v>65500</v>
      </c>
      <c r="G40" s="176">
        <f ca="1">IFERROR(__xludf.DUMMYFUNCTION("IMPORTRANGE(""https://docs.google.com/spreadsheets/d/1-uDff_7J0KD5mKrp0Vvzr7lt3OU09vwQwhkpOPPYv2Y/edit?usp=sharing"",""งบพรบ!CX40"")"),0)</f>
        <v>0</v>
      </c>
      <c r="H40" s="176">
        <f ca="1">IFERROR(__xludf.DUMMYFUNCTION("IMPORTRANGE(""https://docs.google.com/spreadsheets/d/1-uDff_7J0KD5mKrp0Vvzr7lt3OU09vwQwhkpOPPYv2Y/edit?usp=sharing"",""งบพรบ!CZ40"")"),105500)</f>
        <v>105500</v>
      </c>
      <c r="I40" s="176">
        <f ca="1">IFERROR(__xludf.DUMMYFUNCTION("IMPORTRANGE(""https://docs.google.com/spreadsheets/d/1-uDff_7J0KD5mKrp0Vvzr7lt3OU09vwQwhkpOPPYv2Y/edit?usp=sharing"",""งบพรบ!DA40"")"),0)</f>
        <v>0</v>
      </c>
      <c r="J40" s="176">
        <f t="shared" ca="1" si="79"/>
        <v>26000</v>
      </c>
      <c r="K40" s="181">
        <f t="shared" ca="1" si="80"/>
        <v>16.613418530351439</v>
      </c>
      <c r="L40" s="176">
        <f ca="1">IFERROR(__xludf.DUMMYFUNCTION("IMPORTRANGE(""https://docs.google.com/spreadsheets/d/1-uDff_7J0KD5mKrp0Vvzr7lt3OU09vwQwhkpOPPYv2Y/edit?usp=sharing"",""งบพรบ!DB40"")"),26000)</f>
        <v>26000</v>
      </c>
      <c r="M40" s="179">
        <f t="shared" ca="1" si="81"/>
        <v>16.613418530351439</v>
      </c>
      <c r="N40" s="179">
        <f t="shared" ca="1" si="82"/>
        <v>24.644549763033176</v>
      </c>
      <c r="O40" s="180">
        <f ca="1">IFERROR(__xludf.DUMMYFUNCTION("IMPORTRANGE(""https://docs.google.com/spreadsheets/d/1-uDff_7J0KD5mKrp0Vvzr7lt3OU09vwQwhkpOPPYv2Y/edit?usp=sharing"",""งบพรบ!DC40"")"),0)</f>
        <v>0</v>
      </c>
      <c r="P40" s="180">
        <f t="shared" ca="1" si="83"/>
        <v>0</v>
      </c>
      <c r="Q40" s="179">
        <f t="shared" ca="1" si="84"/>
        <v>0</v>
      </c>
      <c r="R40" s="92">
        <f ca="1">IFERROR(__xludf.DUMMYFUNCTION("IMPORTRANGE(""https://docs.google.com/spreadsheets/d/1uB74YLqNjWX6FObjekfB2NtSYigTQyR2rq9u4Ub2Sq4/edit?usp=sharing"",""มุกดาหาร!L196"")"),6000)</f>
        <v>6000</v>
      </c>
      <c r="S40" s="92">
        <f ca="1">IFERROR(__xludf.DUMMYFUNCTION("IMPORTRANGE(""https://docs.google.com/spreadsheets/d/1uB74YLqNjWX6FObjekfB2NtSYigTQyR2rq9u4Ub2Sq4/edit?usp=sharing"",""มุกดาหาร!N196"")"),0)</f>
        <v>0</v>
      </c>
      <c r="T40" s="93">
        <f t="shared" ca="1" si="86"/>
        <v>0</v>
      </c>
      <c r="U40" s="92">
        <f ca="1">IFERROR(__xludf.DUMMYFUNCTION("IMPORTRANGE(""https://docs.google.com/spreadsheets/d/1uB74YLqNjWX6FObjekfB2NtSYigTQyR2rq9u4Ub2Sq4/edit?usp=sharing"",""มุกดาหาร!I198"")"),4)</f>
        <v>4</v>
      </c>
      <c r="V40" s="92">
        <f ca="1">IFERROR(__xludf.DUMMYFUNCTION("IMPORTRANGE(""https://docs.google.com/spreadsheets/d/1uB74YLqNjWX6FObjekfB2NtSYigTQyR2rq9u4Ub2Sq4/edit?usp=sharing"",""มุกดาหาร!J198"")"),0)</f>
        <v>0</v>
      </c>
      <c r="W40" s="93">
        <f t="shared" ca="1" si="88"/>
        <v>0</v>
      </c>
      <c r="X40" s="92">
        <f ca="1">IFERROR(__xludf.DUMMYFUNCTION("IMPORTRANGE(""https://docs.google.com/spreadsheets/d/1uB74YLqNjWX6FObjekfB2NtSYigTQyR2rq9u4Ub2Sq4/edit?usp=sharing"",""มุกดาหาร!J199"")"),0)</f>
        <v>0</v>
      </c>
      <c r="Y40" s="92">
        <f ca="1">IFERROR(__xludf.DUMMYFUNCTION("IMPORTRANGE(""https://docs.google.com/spreadsheets/d/1uB74YLqNjWX6FObjekfB2NtSYigTQyR2rq9u4Ub2Sq4/edit?usp=sharing"",""มุกดาหาร!J200"")"),0)</f>
        <v>0</v>
      </c>
      <c r="Z40" s="92">
        <f ca="1">IFERROR(__xludf.DUMMYFUNCTION("IMPORTRANGE(""https://docs.google.com/spreadsheets/d/1uB74YLqNjWX6FObjekfB2NtSYigTQyR2rq9u4Ub2Sq4/edit?usp=sharing"",""มุกดาหาร!J201"")"),0)</f>
        <v>0</v>
      </c>
      <c r="AA40" s="92">
        <f ca="1">IFERROR(__xludf.DUMMYFUNCTION("IMPORTRANGE(""https://docs.google.com/spreadsheets/d/1uB74YLqNjWX6FObjekfB2NtSYigTQyR2rq9u4Ub2Sq4/edit?usp=sharing"",""มุกดาหาร!L204"")"),3000)</f>
        <v>3000</v>
      </c>
      <c r="AB40" s="92">
        <f ca="1">IFERROR(__xludf.DUMMYFUNCTION("IMPORTRANGE(""https://docs.google.com/spreadsheets/d/1uB74YLqNjWX6FObjekfB2NtSYigTQyR2rq9u4Ub2Sq4/edit?usp=sharing"",""มุกดาหาร!N204"")"),0)</f>
        <v>0</v>
      </c>
      <c r="AC40" s="93">
        <f t="shared" ca="1" si="90"/>
        <v>0</v>
      </c>
      <c r="AD40" s="92">
        <f ca="1">IFERROR(__xludf.DUMMYFUNCTION("IMPORTRANGE(""https://docs.google.com/spreadsheets/d/1uB74YLqNjWX6FObjekfB2NtSYigTQyR2rq9u4Ub2Sq4/edit?usp=sharing"",""มุกดาหาร!L206"")"),24000)</f>
        <v>24000</v>
      </c>
      <c r="AE40" s="92">
        <f ca="1">IFERROR(__xludf.DUMMYFUNCTION("IMPORTRANGE(""https://docs.google.com/spreadsheets/d/1uB74YLqNjWX6FObjekfB2NtSYigTQyR2rq9u4Ub2Sq4/edit?usp=sharing"",""มุกดาหาร!N206"")"),0)</f>
        <v>0</v>
      </c>
      <c r="AF40" s="93">
        <f t="shared" ca="1" si="92"/>
        <v>0</v>
      </c>
      <c r="AG40" s="92">
        <f ca="1">IFERROR(__xludf.DUMMYFUNCTION("IMPORTRANGE(""https://docs.google.com/spreadsheets/d/1uB74YLqNjWX6FObjekfB2NtSYigTQyR2rq9u4Ub2Sq4/edit?usp=sharing"",""มุกดาหาร!L207"")"),12000)</f>
        <v>12000</v>
      </c>
      <c r="AH40" s="92">
        <f ca="1">IFERROR(__xludf.DUMMYFUNCTION("IMPORTRANGE(""https://docs.google.com/spreadsheets/d/1uB74YLqNjWX6FObjekfB2NtSYigTQyR2rq9u4Ub2Sq4/edit?usp=sharing"",""มุกดาหาร!N207"")"),0)</f>
        <v>0</v>
      </c>
      <c r="AI40" s="93">
        <f t="shared" ca="1" si="94"/>
        <v>0</v>
      </c>
      <c r="AJ40" s="92">
        <f ca="1">IFERROR(__xludf.DUMMYFUNCTION("IMPORTRANGE(""https://docs.google.com/spreadsheets/d/1uB74YLqNjWX6FObjekfB2NtSYigTQyR2rq9u4Ub2Sq4/edit?usp=sharing"",""มุกดาหาร!I209"")"),3)</f>
        <v>3</v>
      </c>
      <c r="AK40" s="92">
        <f ca="1">IFERROR(__xludf.DUMMYFUNCTION("IMPORTRANGE(""https://docs.google.com/spreadsheets/d/1uB74YLqNjWX6FObjekfB2NtSYigTQyR2rq9u4Ub2Sq4/edit?usp=sharing"",""มุกดาหาร!J209"")"),0)</f>
        <v>0</v>
      </c>
      <c r="AL40" s="93">
        <f t="shared" ca="1" si="96"/>
        <v>0</v>
      </c>
      <c r="AM40" s="92">
        <f ca="1">IFERROR(__xludf.DUMMYFUNCTION("IMPORTRANGE(""https://docs.google.com/spreadsheets/d/1uB74YLqNjWX6FObjekfB2NtSYigTQyR2rq9u4Ub2Sq4/edit?usp=sharing"",""มุกดาหาร!J211"")"),0)</f>
        <v>0</v>
      </c>
      <c r="AN40" s="92">
        <f ca="1">IFERROR(__xludf.DUMMYFUNCTION("IMPORTRANGE(""https://docs.google.com/spreadsheets/d/1uB74YLqNjWX6FObjekfB2NtSYigTQyR2rq9u4Ub2Sq4/edit?usp=sharing"",""มุกดาหาร!J212"")"),0)</f>
        <v>0</v>
      </c>
      <c r="AO40" s="92">
        <f ca="1">IFERROR(__xludf.DUMMYFUNCTION("IMPORTRANGE(""https://docs.google.com/spreadsheets/d/1uB74YLqNjWX6FObjekfB2NtSYigTQyR2rq9u4Ub2Sq4/edit?usp=sharing"",""มุกดาหาร!L215"")"),1000)</f>
        <v>1000</v>
      </c>
      <c r="AP40" s="92">
        <f ca="1">IFERROR(__xludf.DUMMYFUNCTION("IMPORTRANGE(""https://docs.google.com/spreadsheets/d/1uB74YLqNjWX6FObjekfB2NtSYigTQyR2rq9u4Ub2Sq4/edit?usp=sharing"",""มุกดาหาร!N215"")"),0)</f>
        <v>0</v>
      </c>
      <c r="AQ40" s="93">
        <f t="shared" ca="1" si="98"/>
        <v>0</v>
      </c>
      <c r="AR40" s="92">
        <f ca="1">IFERROR(__xludf.DUMMYFUNCTION("IMPORTRANGE(""https://docs.google.com/spreadsheets/d/1uB74YLqNjWX6FObjekfB2NtSYigTQyR2rq9u4Ub2Sq4/edit?usp=sharing"",""มุกดาหาร!L216"")"),5000)</f>
        <v>5000</v>
      </c>
      <c r="AS40" s="92">
        <f ca="1">IFERROR(__xludf.DUMMYFUNCTION("IMPORTRANGE(""https://docs.google.com/spreadsheets/d/1uB74YLqNjWX6FObjekfB2NtSYigTQyR2rq9u4Ub2Sq4/edit?usp=sharing"",""มุกดาหาร!N216"")"),0)</f>
        <v>0</v>
      </c>
      <c r="AT40" s="93">
        <f t="shared" ca="1" si="100"/>
        <v>0</v>
      </c>
      <c r="AU40" s="92">
        <f ca="1">IFERROR(__xludf.DUMMYFUNCTION("IMPORTRANGE(""https://docs.google.com/spreadsheets/d/1uB74YLqNjWX6FObjekfB2NtSYigTQyR2rq9u4Ub2Sq4/edit?usp=sharing"",""มุกดาหาร!L217"")"),8000)</f>
        <v>8000</v>
      </c>
      <c r="AV40" s="92">
        <f ca="1">IFERROR(__xludf.DUMMYFUNCTION("IMPORTRANGE(""https://docs.google.com/spreadsheets/d/1uB74YLqNjWX6FObjekfB2NtSYigTQyR2rq9u4Ub2Sq4/edit?usp=sharing"",""มุกดาหาร!N217"")"),0)</f>
        <v>0</v>
      </c>
      <c r="AW40" s="93">
        <f t="shared" ca="1" si="102"/>
        <v>0</v>
      </c>
      <c r="AX40" s="92">
        <f ca="1">IFERROR(__xludf.DUMMYFUNCTION("IMPORTRANGE(""https://docs.google.com/spreadsheets/d/1uB74YLqNjWX6FObjekfB2NtSYigTQyR2rq9u4Ub2Sq4/edit?usp=sharing"",""มุกดาหาร!I219"")"),1)</f>
        <v>1</v>
      </c>
      <c r="AY40" s="92">
        <f ca="1">IFERROR(__xludf.DUMMYFUNCTION("IMPORTRANGE(""https://docs.google.com/spreadsheets/d/1uB74YLqNjWX6FObjekfB2NtSYigTQyR2rq9u4Ub2Sq4/edit?usp=sharing"",""มุกดาหาร!J219"")"),0)</f>
        <v>0</v>
      </c>
      <c r="AZ40" s="93">
        <f t="shared" ca="1" si="104"/>
        <v>0</v>
      </c>
      <c r="BA40" s="92">
        <f ca="1">IFERROR(__xludf.DUMMYFUNCTION("IMPORTRANGE(""https://docs.google.com/spreadsheets/d/1uB74YLqNjWX6FObjekfB2NtSYigTQyR2rq9u4Ub2Sq4/edit?usp=sharing"",""มุกดาหาร!I220"")"),1)</f>
        <v>1</v>
      </c>
      <c r="BB40" s="92">
        <f ca="1">IFERROR(__xludf.DUMMYFUNCTION("IMPORTRANGE(""https://docs.google.com/spreadsheets/d/1uB74YLqNjWX6FObjekfB2NtSYigTQyR2rq9u4Ub2Sq4/edit?usp=sharing"",""มุกดาหาร!J220"")"),0)</f>
        <v>0</v>
      </c>
      <c r="BC40" s="93">
        <f t="shared" ca="1" si="106"/>
        <v>0</v>
      </c>
      <c r="BD40" s="92">
        <f ca="1">IFERROR(__xludf.DUMMYFUNCTION("IMPORTRANGE(""https://docs.google.com/spreadsheets/d/1uB74YLqNjWX6FObjekfB2NtSYigTQyR2rq9u4Ub2Sq4/edit?usp=sharing"",""มุกดาหาร!L223"")"),5000)</f>
        <v>5000</v>
      </c>
      <c r="BE40" s="92">
        <f ca="1">IFERROR(__xludf.DUMMYFUNCTION("IMPORTRANGE(""https://docs.google.com/spreadsheets/d/1uB74YLqNjWX6FObjekfB2NtSYigTQyR2rq9u4Ub2Sq4/edit?usp=sharing"",""มุกดาหาร!N223"")"),0)</f>
        <v>0</v>
      </c>
      <c r="BF40" s="93">
        <f t="shared" ca="1" si="108"/>
        <v>0</v>
      </c>
      <c r="BG40" s="92">
        <f ca="1">IFERROR(__xludf.DUMMYFUNCTION("IMPORTRANGE(""https://docs.google.com/spreadsheets/d/1uB74YLqNjWX6FObjekfB2NtSYigTQyR2rq9u4Ub2Sq4/edit?usp=sharing"",""มุกดาหาร!L224"")"),1500)</f>
        <v>1500</v>
      </c>
      <c r="BH40" s="92">
        <f ca="1">IFERROR(__xludf.DUMMYFUNCTION("IMPORTRANGE(""https://docs.google.com/spreadsheets/d/1uB74YLqNjWX6FObjekfB2NtSYigTQyR2rq9u4Ub2Sq4/edit?usp=sharing"",""มุกดาหาร!N224"")"),0)</f>
        <v>0</v>
      </c>
      <c r="BI40" s="93">
        <f t="shared" ca="1" si="110"/>
        <v>0</v>
      </c>
      <c r="BJ40" s="92">
        <f ca="1">IFERROR(__xludf.DUMMYFUNCTION("IMPORTRANGE(""https://docs.google.com/spreadsheets/d/1uB74YLqNjWX6FObjekfB2NtSYigTQyR2rq9u4Ub2Sq4/edit?usp=sharing"",""มุกดาหาร!I228"")"),45000)</f>
        <v>45000</v>
      </c>
      <c r="BK40" s="92">
        <f ca="1">IFERROR(__xludf.DUMMYFUNCTION("IMPORTRANGE(""https://docs.google.com/spreadsheets/d/1uB74YLqNjWX6FObjekfB2NtSYigTQyR2rq9u4Ub2Sq4/edit?usp=sharing"",""มุกดาหาร!J228"")"),0)</f>
        <v>0</v>
      </c>
      <c r="BL40" s="93">
        <f t="shared" ca="1" si="112"/>
        <v>0</v>
      </c>
      <c r="BM40" s="92">
        <f ca="1">IFERROR(__xludf.DUMMYFUNCTION("IMPORTRANGE(""https://docs.google.com/spreadsheets/d/1uB74YLqNjWX6FObjekfB2NtSYigTQyR2rq9u4Ub2Sq4/edit?usp=sharing"",""มุกดาหาร!I229"")"),45000)</f>
        <v>45000</v>
      </c>
      <c r="BN40" s="92">
        <f ca="1">IFERROR(__xludf.DUMMYFUNCTION("IMPORTRANGE(""https://docs.google.com/spreadsheets/d/1uB74YLqNjWX6FObjekfB2NtSYigTQyR2rq9u4Ub2Sq4/edit?usp=sharing"",""มุกดาหาร!J229"")"),0)</f>
        <v>0</v>
      </c>
      <c r="BO40" s="93">
        <f t="shared" ca="1" si="114"/>
        <v>0</v>
      </c>
      <c r="BP40" s="92">
        <f ca="1">IFERROR(__xludf.DUMMYFUNCTION("IMPORTRANGE(""https://docs.google.com/spreadsheets/d/1uB74YLqNjWX6FObjekfB2NtSYigTQyR2rq9u4Ub2Sq4/edit?usp=sharing"",""มุกดาหาร!I230"")"),0)</f>
        <v>0</v>
      </c>
      <c r="BQ40" s="92">
        <f ca="1">IFERROR(__xludf.DUMMYFUNCTION("IMPORTRANGE(""https://docs.google.com/spreadsheets/d/1uB74YLqNjWX6FObjekfB2NtSYigTQyR2rq9u4Ub2Sq4/edit?usp=sharing"",""มุกดาหาร!J230"")"),0)</f>
        <v>0</v>
      </c>
      <c r="BR40" s="93">
        <f t="shared" ca="1" si="116"/>
        <v>0</v>
      </c>
      <c r="BS40" s="92">
        <f ca="1">IFERROR(__xludf.DUMMYFUNCTION("IMPORTRANGE(""https://docs.google.com/spreadsheets/d/1uB74YLqNjWX6FObjekfB2NtSYigTQyR2rq9u4Ub2Sq4/edit?usp=sharing"",""มุกดาหาร!L233"")"),0)</f>
        <v>0</v>
      </c>
      <c r="BT40" s="92">
        <f ca="1">IFERROR(__xludf.DUMMYFUNCTION("IMPORTRANGE(""https://docs.google.com/spreadsheets/d/1uB74YLqNjWX6FObjekfB2NtSYigTQyR2rq9u4Ub2Sq4/edit?usp=sharing"",""มุกดาหาร!N233"")"),0)</f>
        <v>0</v>
      </c>
      <c r="BU40" s="93">
        <f t="shared" ca="1" si="118"/>
        <v>0</v>
      </c>
      <c r="BV40" s="92">
        <f ca="1">IFERROR(__xludf.DUMMYFUNCTION("IMPORTRANGE(""https://docs.google.com/spreadsheets/d/1uB74YLqNjWX6FObjekfB2NtSYigTQyR2rq9u4Ub2Sq4/edit?usp=sharing"",""มุกดาหาร!L234"")"),0)</f>
        <v>0</v>
      </c>
      <c r="BW40" s="92">
        <f ca="1">IFERROR(__xludf.DUMMYFUNCTION("IMPORTRANGE(""https://docs.google.com/spreadsheets/d/1uB74YLqNjWX6FObjekfB2NtSYigTQyR2rq9u4Ub2Sq4/edit?usp=sharing"",""มุกดาหาร!N234"")"),0)</f>
        <v>0</v>
      </c>
      <c r="BX40" s="93">
        <f t="shared" ca="1" si="120"/>
        <v>0</v>
      </c>
      <c r="BY40" s="92">
        <f ca="1">IFERROR(__xludf.DUMMYFUNCTION("IMPORTRANGE(""https://docs.google.com/spreadsheets/d/1uB74YLqNjWX6FObjekfB2NtSYigTQyR2rq9u4Ub2Sq4/edit?usp=sharing"",""มุกดาหาร!L235"")"),0)</f>
        <v>0</v>
      </c>
      <c r="BZ40" s="92">
        <f ca="1">IFERROR(__xludf.DUMMYFUNCTION("IMPORTRANGE(""https://docs.google.com/spreadsheets/d/1uB74YLqNjWX6FObjekfB2NtSYigTQyR2rq9u4Ub2Sq4/edit?usp=sharing"",""มุกดาหาร!N235"")"),0)</f>
        <v>0</v>
      </c>
      <c r="CA40" s="93">
        <f t="shared" ca="1" si="122"/>
        <v>0</v>
      </c>
      <c r="CB40" s="92">
        <f ca="1">IFERROR(__xludf.DUMMYFUNCTION("IMPORTRANGE(""https://docs.google.com/spreadsheets/d/1uB74YLqNjWX6FObjekfB2NtSYigTQyR2rq9u4Ub2Sq4/edit?usp=sharing"",""มุกดาหาร!L236"")"),0)</f>
        <v>0</v>
      </c>
      <c r="CC40" s="92">
        <f ca="1">IFERROR(__xludf.DUMMYFUNCTION("IMPORTRANGE(""https://docs.google.com/spreadsheets/d/1uB74YLqNjWX6FObjekfB2NtSYigTQyR2rq9u4Ub2Sq4/edit?usp=sharing"",""มุกดาหาร!N236"")"),0)</f>
        <v>0</v>
      </c>
      <c r="CD40" s="93">
        <f t="shared" ca="1" si="124"/>
        <v>0</v>
      </c>
      <c r="CE40" s="92">
        <f ca="1">IFERROR(__xludf.DUMMYFUNCTION("IMPORTRANGE(""https://docs.google.com/spreadsheets/d/1uB74YLqNjWX6FObjekfB2NtSYigTQyR2rq9u4Ub2Sq4/edit?usp=sharing"",""มุกดาหาร!I238"")"),0)</f>
        <v>0</v>
      </c>
      <c r="CF40" s="92">
        <f ca="1">IFERROR(__xludf.DUMMYFUNCTION("IMPORTRANGE(""https://docs.google.com/spreadsheets/d/1uB74YLqNjWX6FObjekfB2NtSYigTQyR2rq9u4Ub2Sq4/edit?usp=sharing"",""มุกดาหาร!J238"")"),0)</f>
        <v>0</v>
      </c>
      <c r="CG40" s="93">
        <f t="shared" ca="1" si="126"/>
        <v>0</v>
      </c>
      <c r="CH40" s="92">
        <f ca="1">IFERROR(__xludf.DUMMYFUNCTION("IMPORTRANGE(""https://docs.google.com/spreadsheets/d/1uB74YLqNjWX6FObjekfB2NtSYigTQyR2rq9u4Ub2Sq4/edit?usp=sharing"",""มุกดาหาร!J240"")"),0)</f>
        <v>0</v>
      </c>
      <c r="CI40" s="92">
        <f ca="1">IFERROR(__xludf.DUMMYFUNCTION("IMPORTRANGE(""https://docs.google.com/spreadsheets/d/1uB74YLqNjWX6FObjekfB2NtSYigTQyR2rq9u4Ub2Sq4/edit?usp=sharing"",""มุกดาหาร!J241"")"),0)</f>
        <v>0</v>
      </c>
    </row>
    <row r="41" spans="1:87" ht="21" customHeight="1" x14ac:dyDescent="0.3">
      <c r="A41" s="84">
        <v>10</v>
      </c>
      <c r="B41" s="85" t="s">
        <v>63</v>
      </c>
      <c r="C41" s="174">
        <f t="shared" ca="1" si="77"/>
        <v>52500</v>
      </c>
      <c r="D41" s="175">
        <f t="shared" ca="1" si="152"/>
        <v>52500</v>
      </c>
      <c r="E41" s="176">
        <f ca="1">IFERROR(__xludf.DUMMYFUNCTION("IMPORTRANGE(""https://docs.google.com/spreadsheets/d/1-uDff_7J0KD5mKrp0Vvzr7lt3OU09vwQwhkpOPPYv2Y/edit?usp=sharing"",""งบพรบ!CV41"")"),0)</f>
        <v>0</v>
      </c>
      <c r="F41" s="176">
        <f ca="1">IFERROR(__xludf.DUMMYFUNCTION("IMPORTRANGE(""https://docs.google.com/spreadsheets/d/1-uDff_7J0KD5mKrp0Vvzr7lt3OU09vwQwhkpOPPYv2Y/edit?usp=sharing"",""งบพรบ!CW41"")"),52500)</f>
        <v>52500</v>
      </c>
      <c r="G41" s="176">
        <f ca="1">IFERROR(__xludf.DUMMYFUNCTION("IMPORTRANGE(""https://docs.google.com/spreadsheets/d/1-uDff_7J0KD5mKrp0Vvzr7lt3OU09vwQwhkpOPPYv2Y/edit?usp=sharing"",""งบพรบ!CX41"")"),0)</f>
        <v>0</v>
      </c>
      <c r="H41" s="176">
        <f ca="1">IFERROR(__xludf.DUMMYFUNCTION("IMPORTRANGE(""https://docs.google.com/spreadsheets/d/1-uDff_7J0KD5mKrp0Vvzr7lt3OU09vwQwhkpOPPYv2Y/edit?usp=sharing"",""งบพรบ!CZ41"")"),31500)</f>
        <v>31500</v>
      </c>
      <c r="I41" s="176">
        <f ca="1">IFERROR(__xludf.DUMMYFUNCTION("IMPORTRANGE(""https://docs.google.com/spreadsheets/d/1-uDff_7J0KD5mKrp0Vvzr7lt3OU09vwQwhkpOPPYv2Y/edit?usp=sharing"",""งบพรบ!DA41"")"),0)</f>
        <v>0</v>
      </c>
      <c r="J41" s="176">
        <f t="shared" ca="1" si="79"/>
        <v>0</v>
      </c>
      <c r="K41" s="181">
        <f t="shared" ca="1" si="80"/>
        <v>0</v>
      </c>
      <c r="L41" s="176">
        <f ca="1">IFERROR(__xludf.DUMMYFUNCTION("IMPORTRANGE(""https://docs.google.com/spreadsheets/d/1-uDff_7J0KD5mKrp0Vvzr7lt3OU09vwQwhkpOPPYv2Y/edit?usp=sharing"",""งบพรบ!DB41"")"),0)</f>
        <v>0</v>
      </c>
      <c r="M41" s="179">
        <f t="shared" ca="1" si="81"/>
        <v>0</v>
      </c>
      <c r="N41" s="179">
        <f t="shared" ca="1" si="82"/>
        <v>0</v>
      </c>
      <c r="O41" s="180">
        <f ca="1">IFERROR(__xludf.DUMMYFUNCTION("IMPORTRANGE(""https://docs.google.com/spreadsheets/d/1-uDff_7J0KD5mKrp0Vvzr7lt3OU09vwQwhkpOPPYv2Y/edit?usp=sharing"",""งบพรบ!DC41"")"),0)</f>
        <v>0</v>
      </c>
      <c r="P41" s="180">
        <f t="shared" ca="1" si="83"/>
        <v>0</v>
      </c>
      <c r="Q41" s="179">
        <f t="shared" ca="1" si="84"/>
        <v>0</v>
      </c>
      <c r="R41" s="92">
        <f ca="1">IFERROR(__xludf.DUMMYFUNCTION("IMPORTRANGE(""https://docs.google.com/spreadsheets/d/1NexK3geCPxCTO1fzNF8dPec7yZyUx3OaWkFBC9HsQOo/edit?usp=sharing"",""ยโสธร!L196"")"),6000)</f>
        <v>6000</v>
      </c>
      <c r="S41" s="92">
        <f ca="1">IFERROR(__xludf.DUMMYFUNCTION("IMPORTRANGE(""https://docs.google.com/spreadsheets/d/1NexK3geCPxCTO1fzNF8dPec7yZyUx3OaWkFBC9HsQOo/edit?usp=sharing"",""ยโสธร!N196"")"),0)</f>
        <v>0</v>
      </c>
      <c r="T41" s="93">
        <f t="shared" ca="1" si="86"/>
        <v>0</v>
      </c>
      <c r="U41" s="92">
        <f ca="1">IFERROR(__xludf.DUMMYFUNCTION("IMPORTRANGE(""https://docs.google.com/spreadsheets/d/1NexK3geCPxCTO1fzNF8dPec7yZyUx3OaWkFBC9HsQOo/edit?usp=sharing"",""ยโสธร!I198"")"),4)</f>
        <v>4</v>
      </c>
      <c r="V41" s="92">
        <f ca="1">IFERROR(__xludf.DUMMYFUNCTION("IMPORTRANGE(""https://docs.google.com/spreadsheets/d/1NexK3geCPxCTO1fzNF8dPec7yZyUx3OaWkFBC9HsQOo/edit?usp=sharing"",""ยโสธร!J198"")"),0)</f>
        <v>0</v>
      </c>
      <c r="W41" s="93">
        <f t="shared" ca="1" si="88"/>
        <v>0</v>
      </c>
      <c r="X41" s="92">
        <f ca="1">IFERROR(__xludf.DUMMYFUNCTION("IMPORTRANGE(""https://docs.google.com/spreadsheets/d/1NexK3geCPxCTO1fzNF8dPec7yZyUx3OaWkFBC9HsQOo/edit?usp=sharing"",""ยโสธร!J199"")"),0)</f>
        <v>0</v>
      </c>
      <c r="Y41" s="92">
        <f ca="1">IFERROR(__xludf.DUMMYFUNCTION("IMPORTRANGE(""https://docs.google.com/spreadsheets/d/1NexK3geCPxCTO1fzNF8dPec7yZyUx3OaWkFBC9HsQOo/edit?usp=sharing"",""ยโสธร!J200"")"),0)</f>
        <v>0</v>
      </c>
      <c r="Z41" s="92">
        <f ca="1">IFERROR(__xludf.DUMMYFUNCTION("IMPORTRANGE(""https://docs.google.com/spreadsheets/d/1NexK3geCPxCTO1fzNF8dPec7yZyUx3OaWkFBC9HsQOo/edit?usp=sharing"",""ยโสธร!J201"")"),0)</f>
        <v>0</v>
      </c>
      <c r="AA41" s="92">
        <f ca="1">IFERROR(__xludf.DUMMYFUNCTION("IMPORTRANGE(""https://docs.google.com/spreadsheets/d/1NexK3geCPxCTO1fzNF8dPec7yZyUx3OaWkFBC9HsQOo/edit?usp=sharing"",""ยโสธร!L204"")"),2000)</f>
        <v>2000</v>
      </c>
      <c r="AB41" s="92">
        <f ca="1">IFERROR(__xludf.DUMMYFUNCTION("IMPORTRANGE(""https://docs.google.com/spreadsheets/d/1NexK3geCPxCTO1fzNF8dPec7yZyUx3OaWkFBC9HsQOo/edit?usp=sharing"",""ยโสธร!N204"")"),0)</f>
        <v>0</v>
      </c>
      <c r="AC41" s="93">
        <f t="shared" ca="1" si="90"/>
        <v>0</v>
      </c>
      <c r="AD41" s="92">
        <f ca="1">IFERROR(__xludf.DUMMYFUNCTION("IMPORTRANGE(""https://docs.google.com/spreadsheets/d/1NexK3geCPxCTO1fzNF8dPec7yZyUx3OaWkFBC9HsQOo/edit?usp=sharing"",""ยโสธร!L206"")"),16000)</f>
        <v>16000</v>
      </c>
      <c r="AE41" s="92">
        <f ca="1">IFERROR(__xludf.DUMMYFUNCTION("IMPORTRANGE(""https://docs.google.com/spreadsheets/d/1NexK3geCPxCTO1fzNF8dPec7yZyUx3OaWkFBC9HsQOo/edit?usp=sharing"",""ยโสธร!N206"")"),0)</f>
        <v>0</v>
      </c>
      <c r="AF41" s="93">
        <f t="shared" ca="1" si="92"/>
        <v>0</v>
      </c>
      <c r="AG41" s="92">
        <f ca="1">IFERROR(__xludf.DUMMYFUNCTION("IMPORTRANGE(""https://docs.google.com/spreadsheets/d/1NexK3geCPxCTO1fzNF8dPec7yZyUx3OaWkFBC9HsQOo/edit?usp=sharing"",""ยโสธร!L207"")"),8000)</f>
        <v>8000</v>
      </c>
      <c r="AH41" s="92">
        <f ca="1">IFERROR(__xludf.DUMMYFUNCTION("IMPORTRANGE(""https://docs.google.com/spreadsheets/d/1NexK3geCPxCTO1fzNF8dPec7yZyUx3OaWkFBC9HsQOo/edit?usp=sharing"",""ยโสธร!N207"")"),0)</f>
        <v>0</v>
      </c>
      <c r="AI41" s="93">
        <f t="shared" ca="1" si="94"/>
        <v>0</v>
      </c>
      <c r="AJ41" s="92">
        <f ca="1">IFERROR(__xludf.DUMMYFUNCTION("IMPORTRANGE(""https://docs.google.com/spreadsheets/d/1NexK3geCPxCTO1fzNF8dPec7yZyUx3OaWkFBC9HsQOo/edit?usp=sharing"",""ยโสธร!I209"")"),2)</f>
        <v>2</v>
      </c>
      <c r="AK41" s="92">
        <f ca="1">IFERROR(__xludf.DUMMYFUNCTION("IMPORTRANGE(""https://docs.google.com/spreadsheets/d/1NexK3geCPxCTO1fzNF8dPec7yZyUx3OaWkFBC9HsQOo/edit?usp=sharing"",""ยโสธร!J209"")"),0)</f>
        <v>0</v>
      </c>
      <c r="AL41" s="93">
        <f t="shared" ca="1" si="96"/>
        <v>0</v>
      </c>
      <c r="AM41" s="92">
        <f ca="1">IFERROR(__xludf.DUMMYFUNCTION("IMPORTRANGE(""https://docs.google.com/spreadsheets/d/1NexK3geCPxCTO1fzNF8dPec7yZyUx3OaWkFBC9HsQOo/edit?usp=sharing"",""ยโสธร!J211"")"),0)</f>
        <v>0</v>
      </c>
      <c r="AN41" s="92">
        <f ca="1">IFERROR(__xludf.DUMMYFUNCTION("IMPORTRANGE(""https://docs.google.com/spreadsheets/d/1NexK3geCPxCTO1fzNF8dPec7yZyUx3OaWkFBC9HsQOo/edit?usp=sharing"",""ยโสธร!J212"")"),0)</f>
        <v>0</v>
      </c>
      <c r="AO41" s="92">
        <f ca="1">IFERROR(__xludf.DUMMYFUNCTION("IMPORTRANGE(""https://docs.google.com/spreadsheets/d/1NexK3geCPxCTO1fzNF8dPec7yZyUx3OaWkFBC9HsQOo/edit?usp=sharing"",""ยโสธร!L215"")"),1000)</f>
        <v>1000</v>
      </c>
      <c r="AP41" s="92">
        <f ca="1">IFERROR(__xludf.DUMMYFUNCTION("IMPORTRANGE(""https://docs.google.com/spreadsheets/d/1NexK3geCPxCTO1fzNF8dPec7yZyUx3OaWkFBC9HsQOo/edit?usp=sharing"",""ยโสธร!N215"")"),0)</f>
        <v>0</v>
      </c>
      <c r="AQ41" s="93">
        <f t="shared" ca="1" si="98"/>
        <v>0</v>
      </c>
      <c r="AR41" s="92">
        <f ca="1">IFERROR(__xludf.DUMMYFUNCTION("IMPORTRANGE(""https://docs.google.com/spreadsheets/d/1NexK3geCPxCTO1fzNF8dPec7yZyUx3OaWkFBC9HsQOo/edit?usp=sharing"",""ยโสธร!L216"")"),5000)</f>
        <v>5000</v>
      </c>
      <c r="AS41" s="92">
        <f ca="1">IFERROR(__xludf.DUMMYFUNCTION("IMPORTRANGE(""https://docs.google.com/spreadsheets/d/1NexK3geCPxCTO1fzNF8dPec7yZyUx3OaWkFBC9HsQOo/edit?usp=sharing"",""ยโสธร!N216"")"),0)</f>
        <v>0</v>
      </c>
      <c r="AT41" s="93">
        <f t="shared" ca="1" si="100"/>
        <v>0</v>
      </c>
      <c r="AU41" s="92">
        <f ca="1">IFERROR(__xludf.DUMMYFUNCTION("IMPORTRANGE(""https://docs.google.com/spreadsheets/d/1NexK3geCPxCTO1fzNF8dPec7yZyUx3OaWkFBC9HsQOo/edit?usp=sharing"",""ยโสธร!L217"")"),8000)</f>
        <v>8000</v>
      </c>
      <c r="AV41" s="92">
        <f ca="1">IFERROR(__xludf.DUMMYFUNCTION("IMPORTRANGE(""https://docs.google.com/spreadsheets/d/1NexK3geCPxCTO1fzNF8dPec7yZyUx3OaWkFBC9HsQOo/edit?usp=sharing"",""ยโสธร!N217"")"),0)</f>
        <v>0</v>
      </c>
      <c r="AW41" s="93">
        <f t="shared" ca="1" si="102"/>
        <v>0</v>
      </c>
      <c r="AX41" s="92">
        <f ca="1">IFERROR(__xludf.DUMMYFUNCTION("IMPORTRANGE(""https://docs.google.com/spreadsheets/d/1NexK3geCPxCTO1fzNF8dPec7yZyUx3OaWkFBC9HsQOo/edit?usp=sharing"",""ยโสธร!I219"")"),1)</f>
        <v>1</v>
      </c>
      <c r="AY41" s="92">
        <f ca="1">IFERROR(__xludf.DUMMYFUNCTION("IMPORTRANGE(""https://docs.google.com/spreadsheets/d/1NexK3geCPxCTO1fzNF8dPec7yZyUx3OaWkFBC9HsQOo/edit?usp=sharing"",""ยโสธร!J219"")"),0)</f>
        <v>0</v>
      </c>
      <c r="AZ41" s="93">
        <f t="shared" ca="1" si="104"/>
        <v>0</v>
      </c>
      <c r="BA41" s="92">
        <f ca="1">IFERROR(__xludf.DUMMYFUNCTION("IMPORTRANGE(""https://docs.google.com/spreadsheets/d/1NexK3geCPxCTO1fzNF8dPec7yZyUx3OaWkFBC9HsQOo/edit?usp=sharing"",""ยโสธร!I220"")"),1)</f>
        <v>1</v>
      </c>
      <c r="BB41" s="92">
        <f ca="1">IFERROR(__xludf.DUMMYFUNCTION("IMPORTRANGE(""https://docs.google.com/spreadsheets/d/1NexK3geCPxCTO1fzNF8dPec7yZyUx3OaWkFBC9HsQOo/edit?usp=sharing"",""ยโสธร!J220"")"),0)</f>
        <v>0</v>
      </c>
      <c r="BC41" s="93">
        <f t="shared" ca="1" si="106"/>
        <v>0</v>
      </c>
      <c r="BD41" s="92">
        <f ca="1">IFERROR(__xludf.DUMMYFUNCTION("IMPORTRANGE(""https://docs.google.com/spreadsheets/d/1NexK3geCPxCTO1fzNF8dPec7yZyUx3OaWkFBC9HsQOo/edit?usp=sharing"",""ยโสธร!L223"")"),5000)</f>
        <v>5000</v>
      </c>
      <c r="BE41" s="92">
        <f ca="1">IFERROR(__xludf.DUMMYFUNCTION("IMPORTRANGE(""https://docs.google.com/spreadsheets/d/1NexK3geCPxCTO1fzNF8dPec7yZyUx3OaWkFBC9HsQOo/edit?usp=sharing"",""ยโสธร!N223"")"),0)</f>
        <v>0</v>
      </c>
      <c r="BF41" s="93">
        <f t="shared" ca="1" si="108"/>
        <v>0</v>
      </c>
      <c r="BG41" s="92">
        <f ca="1">IFERROR(__xludf.DUMMYFUNCTION("IMPORTRANGE(""https://docs.google.com/spreadsheets/d/1NexK3geCPxCTO1fzNF8dPec7yZyUx3OaWkFBC9HsQOo/edit?usp=sharing"",""ยโสธร!L224"")"),1500)</f>
        <v>1500</v>
      </c>
      <c r="BH41" s="92">
        <f ca="1">IFERROR(__xludf.DUMMYFUNCTION("IMPORTRANGE(""https://docs.google.com/spreadsheets/d/1NexK3geCPxCTO1fzNF8dPec7yZyUx3OaWkFBC9HsQOo/edit?usp=sharing"",""ยโสธร!N224"")"),0)</f>
        <v>0</v>
      </c>
      <c r="BI41" s="93">
        <f t="shared" ca="1" si="110"/>
        <v>0</v>
      </c>
      <c r="BJ41" s="92">
        <f ca="1">IFERROR(__xludf.DUMMYFUNCTION("IMPORTRANGE(""https://docs.google.com/spreadsheets/d/1NexK3geCPxCTO1fzNF8dPec7yZyUx3OaWkFBC9HsQOo/edit?usp=sharing"",""ยโสธร!I228"")"),30000)</f>
        <v>30000</v>
      </c>
      <c r="BK41" s="92">
        <f ca="1">IFERROR(__xludf.DUMMYFUNCTION("IMPORTRANGE(""https://docs.google.com/spreadsheets/d/1NexK3geCPxCTO1fzNF8dPec7yZyUx3OaWkFBC9HsQOo/edit?usp=sharing"",""ยโสธร!J228"")"),0)</f>
        <v>0</v>
      </c>
      <c r="BL41" s="93">
        <f t="shared" ca="1" si="112"/>
        <v>0</v>
      </c>
      <c r="BM41" s="92">
        <f ca="1">IFERROR(__xludf.DUMMYFUNCTION("IMPORTRANGE(""https://docs.google.com/spreadsheets/d/1NexK3geCPxCTO1fzNF8dPec7yZyUx3OaWkFBC9HsQOo/edit?usp=sharing"",""ยโสธร!I229"")"),30000)</f>
        <v>30000</v>
      </c>
      <c r="BN41" s="92">
        <f ca="1">IFERROR(__xludf.DUMMYFUNCTION("IMPORTRANGE(""https://docs.google.com/spreadsheets/d/1NexK3geCPxCTO1fzNF8dPec7yZyUx3OaWkFBC9HsQOo/edit?usp=sharing"",""ยโสธร!J229"")"),0)</f>
        <v>0</v>
      </c>
      <c r="BO41" s="93">
        <f t="shared" ca="1" si="114"/>
        <v>0</v>
      </c>
      <c r="BP41" s="92">
        <f ca="1">IFERROR(__xludf.DUMMYFUNCTION("IMPORTRANGE(""https://docs.google.com/spreadsheets/d/1NexK3geCPxCTO1fzNF8dPec7yZyUx3OaWkFBC9HsQOo/edit?usp=sharing"",""ยโสธร!I230"")"),0)</f>
        <v>0</v>
      </c>
      <c r="BQ41" s="92">
        <f ca="1">IFERROR(__xludf.DUMMYFUNCTION("IMPORTRANGE(""https://docs.google.com/spreadsheets/d/1NexK3geCPxCTO1fzNF8dPec7yZyUx3OaWkFBC9HsQOo/edit?usp=sharing"",""ยโสธร!J230"")"),0)</f>
        <v>0</v>
      </c>
      <c r="BR41" s="93">
        <f t="shared" ca="1" si="116"/>
        <v>0</v>
      </c>
      <c r="BS41" s="92">
        <f ca="1">IFERROR(__xludf.DUMMYFUNCTION("IMPORTRANGE(""https://docs.google.com/spreadsheets/d/1NexK3geCPxCTO1fzNF8dPec7yZyUx3OaWkFBC9HsQOo/edit?usp=sharing"",""ยโสธร!L233"")"),0)</f>
        <v>0</v>
      </c>
      <c r="BT41" s="92">
        <f ca="1">IFERROR(__xludf.DUMMYFUNCTION("IMPORTRANGE(""https://docs.google.com/spreadsheets/d/1NexK3geCPxCTO1fzNF8dPec7yZyUx3OaWkFBC9HsQOo/edit?usp=sharing"",""ยโสธร!N233"")"),0)</f>
        <v>0</v>
      </c>
      <c r="BU41" s="93">
        <f t="shared" ca="1" si="118"/>
        <v>0</v>
      </c>
      <c r="BV41" s="92">
        <f ca="1">IFERROR(__xludf.DUMMYFUNCTION("IMPORTRANGE(""https://docs.google.com/spreadsheets/d/1NexK3geCPxCTO1fzNF8dPec7yZyUx3OaWkFBC9HsQOo/edit?usp=sharing"",""ยโสธร!L234"")"),0)</f>
        <v>0</v>
      </c>
      <c r="BW41" s="92">
        <f ca="1">IFERROR(__xludf.DUMMYFUNCTION("IMPORTRANGE(""https://docs.google.com/spreadsheets/d/1NexK3geCPxCTO1fzNF8dPec7yZyUx3OaWkFBC9HsQOo/edit?usp=sharing"",""ยโสธร!N234"")"),0)</f>
        <v>0</v>
      </c>
      <c r="BX41" s="93">
        <f t="shared" ca="1" si="120"/>
        <v>0</v>
      </c>
      <c r="BY41" s="92">
        <f ca="1">IFERROR(__xludf.DUMMYFUNCTION("IMPORTRANGE(""https://docs.google.com/spreadsheets/d/1NexK3geCPxCTO1fzNF8dPec7yZyUx3OaWkFBC9HsQOo/edit?usp=sharing"",""ยโสธร!L235"")"),0)</f>
        <v>0</v>
      </c>
      <c r="BZ41" s="92">
        <f ca="1">IFERROR(__xludf.DUMMYFUNCTION("IMPORTRANGE(""https://docs.google.com/spreadsheets/d/1NexK3geCPxCTO1fzNF8dPec7yZyUx3OaWkFBC9HsQOo/edit?usp=sharing"",""ยโสธร!N235"")"),0)</f>
        <v>0</v>
      </c>
      <c r="CA41" s="93">
        <f t="shared" ca="1" si="122"/>
        <v>0</v>
      </c>
      <c r="CB41" s="92">
        <f ca="1">IFERROR(__xludf.DUMMYFUNCTION("IMPORTRANGE(""https://docs.google.com/spreadsheets/d/1NexK3geCPxCTO1fzNF8dPec7yZyUx3OaWkFBC9HsQOo/edit?usp=sharing"",""ยโสธร!L236"")"),0)</f>
        <v>0</v>
      </c>
      <c r="CC41" s="92">
        <f ca="1">IFERROR(__xludf.DUMMYFUNCTION("IMPORTRANGE(""https://docs.google.com/spreadsheets/d/1NexK3geCPxCTO1fzNF8dPec7yZyUx3OaWkFBC9HsQOo/edit?usp=sharing"",""ยโสธร!N236"")"),0)</f>
        <v>0</v>
      </c>
      <c r="CD41" s="93">
        <f t="shared" ca="1" si="124"/>
        <v>0</v>
      </c>
      <c r="CE41" s="92">
        <f ca="1">IFERROR(__xludf.DUMMYFUNCTION("IMPORTRANGE(""https://docs.google.com/spreadsheets/d/1NexK3geCPxCTO1fzNF8dPec7yZyUx3OaWkFBC9HsQOo/edit?usp=sharing"",""ยโสธร!I238"")"),0)</f>
        <v>0</v>
      </c>
      <c r="CF41" s="92">
        <f ca="1">IFERROR(__xludf.DUMMYFUNCTION("IMPORTRANGE(""https://docs.google.com/spreadsheets/d/1NexK3geCPxCTO1fzNF8dPec7yZyUx3OaWkFBC9HsQOo/edit?usp=sharing"",""ยโสธร!J238"")"),0)</f>
        <v>0</v>
      </c>
      <c r="CG41" s="93">
        <f t="shared" ca="1" si="126"/>
        <v>0</v>
      </c>
      <c r="CH41" s="92">
        <f ca="1">IFERROR(__xludf.DUMMYFUNCTION("IMPORTRANGE(""https://docs.google.com/spreadsheets/d/1NexK3geCPxCTO1fzNF8dPec7yZyUx3OaWkFBC9HsQOo/edit?usp=sharing"",""ยโสธร!J240"")"),0)</f>
        <v>0</v>
      </c>
      <c r="CI41" s="92">
        <f ca="1">IFERROR(__xludf.DUMMYFUNCTION("IMPORTRANGE(""https://docs.google.com/spreadsheets/d/1NexK3geCPxCTO1fzNF8dPec7yZyUx3OaWkFBC9HsQOo/edit?usp=sharing"",""ยโสธร!J241"")"),0)</f>
        <v>0</v>
      </c>
    </row>
    <row r="42" spans="1:87" ht="21" customHeight="1" x14ac:dyDescent="0.3">
      <c r="A42" s="84">
        <v>11</v>
      </c>
      <c r="B42" s="85" t="s">
        <v>64</v>
      </c>
      <c r="C42" s="174">
        <f t="shared" ca="1" si="77"/>
        <v>42500</v>
      </c>
      <c r="D42" s="175">
        <f t="shared" ca="1" si="152"/>
        <v>42500</v>
      </c>
      <c r="E42" s="176">
        <f ca="1">IFERROR(__xludf.DUMMYFUNCTION("IMPORTRANGE(""https://docs.google.com/spreadsheets/d/1-uDff_7J0KD5mKrp0Vvzr7lt3OU09vwQwhkpOPPYv2Y/edit?usp=sharing"",""งบพรบ!CV42"")"),0)</f>
        <v>0</v>
      </c>
      <c r="F42" s="176">
        <f ca="1">IFERROR(__xludf.DUMMYFUNCTION("IMPORTRANGE(""https://docs.google.com/spreadsheets/d/1-uDff_7J0KD5mKrp0Vvzr7lt3OU09vwQwhkpOPPYv2Y/edit?usp=sharing"",""งบพรบ!CW42"")"),42500)</f>
        <v>42500</v>
      </c>
      <c r="G42" s="176">
        <f ca="1">IFERROR(__xludf.DUMMYFUNCTION("IMPORTRANGE(""https://docs.google.com/spreadsheets/d/1-uDff_7J0KD5mKrp0Vvzr7lt3OU09vwQwhkpOPPYv2Y/edit?usp=sharing"",""งบพรบ!CX42"")"),0)</f>
        <v>0</v>
      </c>
      <c r="H42" s="176">
        <f ca="1">IFERROR(__xludf.DUMMYFUNCTION("IMPORTRANGE(""https://docs.google.com/spreadsheets/d/1-uDff_7J0KD5mKrp0Vvzr7lt3OU09vwQwhkpOPPYv2Y/edit?usp=sharing"",""งบพรบ!CZ42"")"),22500)</f>
        <v>22500</v>
      </c>
      <c r="I42" s="176">
        <f ca="1">IFERROR(__xludf.DUMMYFUNCTION("IMPORTRANGE(""https://docs.google.com/spreadsheets/d/1-uDff_7J0KD5mKrp0Vvzr7lt3OU09vwQwhkpOPPYv2Y/edit?usp=sharing"",""งบพรบ!DA42"")"),0)</f>
        <v>0</v>
      </c>
      <c r="J42" s="176">
        <f t="shared" ca="1" si="79"/>
        <v>6368</v>
      </c>
      <c r="K42" s="181">
        <f t="shared" ca="1" si="80"/>
        <v>14.983529411764707</v>
      </c>
      <c r="L42" s="176">
        <f ca="1">IFERROR(__xludf.DUMMYFUNCTION("IMPORTRANGE(""https://docs.google.com/spreadsheets/d/1-uDff_7J0KD5mKrp0Vvzr7lt3OU09vwQwhkpOPPYv2Y/edit?usp=sharing"",""งบพรบ!DB42"")"),6368)</f>
        <v>6368</v>
      </c>
      <c r="M42" s="179">
        <f t="shared" ca="1" si="81"/>
        <v>14.983529411764707</v>
      </c>
      <c r="N42" s="179">
        <f t="shared" ca="1" si="82"/>
        <v>28.302222222222223</v>
      </c>
      <c r="O42" s="180">
        <f ca="1">IFERROR(__xludf.DUMMYFUNCTION("IMPORTRANGE(""https://docs.google.com/spreadsheets/d/1-uDff_7J0KD5mKrp0Vvzr7lt3OU09vwQwhkpOPPYv2Y/edit?usp=sharing"",""งบพรบ!DC42"")"),0)</f>
        <v>0</v>
      </c>
      <c r="P42" s="180">
        <f t="shared" ca="1" si="83"/>
        <v>0</v>
      </c>
      <c r="Q42" s="179">
        <f t="shared" ca="1" si="84"/>
        <v>0</v>
      </c>
      <c r="R42" s="92">
        <f ca="1">IFERROR(__xludf.DUMMYFUNCTION("IMPORTRANGE(""https://docs.google.com/spreadsheets/d/1v_cJrbBlyqmnHPReHk44g9NrMRdENNlSy_E_c5M9fIg/edit?usp=sharing"",""ร้อยเอ็ด!L196"")"),6000)</f>
        <v>6000</v>
      </c>
      <c r="S42" s="92">
        <f ca="1">IFERROR(__xludf.DUMMYFUNCTION("IMPORTRANGE(""https://docs.google.com/spreadsheets/d/1v_cJrbBlyqmnHPReHk44g9NrMRdENNlSy_E_c5M9fIg/edit?usp=sharing"",""ร้อยเอ็ด!N196"")"),0)</f>
        <v>0</v>
      </c>
      <c r="T42" s="93">
        <f t="shared" ca="1" si="86"/>
        <v>0</v>
      </c>
      <c r="U42" s="92">
        <f ca="1">IFERROR(__xludf.DUMMYFUNCTION("IMPORTRANGE(""https://docs.google.com/spreadsheets/d/1v_cJrbBlyqmnHPReHk44g9NrMRdENNlSy_E_c5M9fIg/edit?usp=sharing"",""ร้อยเอ็ด!I198"")"),4)</f>
        <v>4</v>
      </c>
      <c r="V42" s="92">
        <f ca="1">IFERROR(__xludf.DUMMYFUNCTION("IMPORTRANGE(""https://docs.google.com/spreadsheets/d/1v_cJrbBlyqmnHPReHk44g9NrMRdENNlSy_E_c5M9fIg/edit?usp=sharing"",""ร้อยเอ็ด!J198"")"),0)</f>
        <v>0</v>
      </c>
      <c r="W42" s="93">
        <f t="shared" ca="1" si="88"/>
        <v>0</v>
      </c>
      <c r="X42" s="92">
        <f ca="1">IFERROR(__xludf.DUMMYFUNCTION("IMPORTRANGE(""https://docs.google.com/spreadsheets/d/1v_cJrbBlyqmnHPReHk44g9NrMRdENNlSy_E_c5M9fIg/edit?usp=sharing"",""ร้อยเอ็ด!J199"")"),0)</f>
        <v>0</v>
      </c>
      <c r="Y42" s="92">
        <f ca="1">IFERROR(__xludf.DUMMYFUNCTION("IMPORTRANGE(""https://docs.google.com/spreadsheets/d/1v_cJrbBlyqmnHPReHk44g9NrMRdENNlSy_E_c5M9fIg/edit?usp=sharing"",""ร้อยเอ็ด!J200"")"),0)</f>
        <v>0</v>
      </c>
      <c r="Z42" s="92">
        <f ca="1">IFERROR(__xludf.DUMMYFUNCTION("IMPORTRANGE(""https://docs.google.com/spreadsheets/d/1v_cJrbBlyqmnHPReHk44g9NrMRdENNlSy_E_c5M9fIg/edit?usp=sharing"",""ร้อยเอ็ด!J201"")"),0)</f>
        <v>0</v>
      </c>
      <c r="AA42" s="92">
        <f ca="1">IFERROR(__xludf.DUMMYFUNCTION("IMPORTRANGE(""https://docs.google.com/spreadsheets/d/1v_cJrbBlyqmnHPReHk44g9NrMRdENNlSy_E_c5M9fIg/edit?usp=sharing"",""ร้อยเอ็ด!L204"")"),2000)</f>
        <v>2000</v>
      </c>
      <c r="AB42" s="92">
        <f ca="1">IFERROR(__xludf.DUMMYFUNCTION("IMPORTRANGE(""https://docs.google.com/spreadsheets/d/1v_cJrbBlyqmnHPReHk44g9NrMRdENNlSy_E_c5M9fIg/edit?usp=sharing"",""ร้อยเอ็ด!N204"")"),0)</f>
        <v>0</v>
      </c>
      <c r="AC42" s="93">
        <f t="shared" ca="1" si="90"/>
        <v>0</v>
      </c>
      <c r="AD42" s="92">
        <f ca="1">IFERROR(__xludf.DUMMYFUNCTION("IMPORTRANGE(""https://docs.google.com/spreadsheets/d/1v_cJrbBlyqmnHPReHk44g9NrMRdENNlSy_E_c5M9fIg/edit?usp=sharing"",""ร้อยเอ็ด!L206"")"),16000)</f>
        <v>16000</v>
      </c>
      <c r="AE42" s="92">
        <f ca="1">IFERROR(__xludf.DUMMYFUNCTION("IMPORTRANGE(""https://docs.google.com/spreadsheets/d/1v_cJrbBlyqmnHPReHk44g9NrMRdENNlSy_E_c5M9fIg/edit?usp=sharing"",""ร้อยเอ็ด!N206"")"),0)</f>
        <v>0</v>
      </c>
      <c r="AF42" s="93">
        <f t="shared" ca="1" si="92"/>
        <v>0</v>
      </c>
      <c r="AG42" s="92">
        <f ca="1">IFERROR(__xludf.DUMMYFUNCTION("IMPORTRANGE(""https://docs.google.com/spreadsheets/d/1v_cJrbBlyqmnHPReHk44g9NrMRdENNlSy_E_c5M9fIg/edit?usp=sharing"",""ร้อยเอ็ด!L207"")"),8000)</f>
        <v>8000</v>
      </c>
      <c r="AH42" s="92">
        <f ca="1">IFERROR(__xludf.DUMMYFUNCTION("IMPORTRANGE(""https://docs.google.com/spreadsheets/d/1v_cJrbBlyqmnHPReHk44g9NrMRdENNlSy_E_c5M9fIg/edit?usp=sharing"",""ร้อยเอ็ด!N207"")"),0)</f>
        <v>0</v>
      </c>
      <c r="AI42" s="93">
        <f t="shared" ca="1" si="94"/>
        <v>0</v>
      </c>
      <c r="AJ42" s="92">
        <f ca="1">IFERROR(__xludf.DUMMYFUNCTION("IMPORTRANGE(""https://docs.google.com/spreadsheets/d/1v_cJrbBlyqmnHPReHk44g9NrMRdENNlSy_E_c5M9fIg/edit?usp=sharing"",""ร้อยเอ็ด!I209"")"),2)</f>
        <v>2</v>
      </c>
      <c r="AK42" s="92">
        <f ca="1">IFERROR(__xludf.DUMMYFUNCTION("IMPORTRANGE(""https://docs.google.com/spreadsheets/d/1v_cJrbBlyqmnHPReHk44g9NrMRdENNlSy_E_c5M9fIg/edit?usp=sharing"",""ร้อยเอ็ด!J209"")"),0)</f>
        <v>0</v>
      </c>
      <c r="AL42" s="93">
        <f t="shared" ca="1" si="96"/>
        <v>0</v>
      </c>
      <c r="AM42" s="92">
        <f ca="1">IFERROR(__xludf.DUMMYFUNCTION("IMPORTRANGE(""https://docs.google.com/spreadsheets/d/1v_cJrbBlyqmnHPReHk44g9NrMRdENNlSy_E_c5M9fIg/edit?usp=sharing"",""ร้อยเอ็ด!J211"")"),0)</f>
        <v>0</v>
      </c>
      <c r="AN42" s="92">
        <f ca="1">IFERROR(__xludf.DUMMYFUNCTION("IMPORTRANGE(""https://docs.google.com/spreadsheets/d/1v_cJrbBlyqmnHPReHk44g9NrMRdENNlSy_E_c5M9fIg/edit?usp=sharing"",""ร้อยเอ็ด!J212"")"),0)</f>
        <v>0</v>
      </c>
      <c r="AO42" s="92">
        <f ca="1">IFERROR(__xludf.DUMMYFUNCTION("IMPORTRANGE(""https://docs.google.com/spreadsheets/d/1v_cJrbBlyqmnHPReHk44g9NrMRdENNlSy_E_c5M9fIg/edit?usp=sharing"",""ร้อยเอ็ด!L215"")"),0)</f>
        <v>0</v>
      </c>
      <c r="AP42" s="92">
        <f ca="1">IFERROR(__xludf.DUMMYFUNCTION("IMPORTRANGE(""https://docs.google.com/spreadsheets/d/1v_cJrbBlyqmnHPReHk44g9NrMRdENNlSy_E_c5M9fIg/edit?usp=sharing"",""ร้อยเอ็ด!N215"")"),0)</f>
        <v>0</v>
      </c>
      <c r="AQ42" s="93">
        <f t="shared" ca="1" si="98"/>
        <v>0</v>
      </c>
      <c r="AR42" s="92">
        <f ca="1">IFERROR(__xludf.DUMMYFUNCTION("IMPORTRANGE(""https://docs.google.com/spreadsheets/d/1v_cJrbBlyqmnHPReHk44g9NrMRdENNlSy_E_c5M9fIg/edit?usp=sharing"",""ร้อยเอ็ด!L216"")"),0)</f>
        <v>0</v>
      </c>
      <c r="AS42" s="92">
        <f ca="1">IFERROR(__xludf.DUMMYFUNCTION("IMPORTRANGE(""https://docs.google.com/spreadsheets/d/1v_cJrbBlyqmnHPReHk44g9NrMRdENNlSy_E_c5M9fIg/edit?usp=sharing"",""ร้อยเอ็ด!N216"")"),0)</f>
        <v>0</v>
      </c>
      <c r="AT42" s="93">
        <f t="shared" ca="1" si="100"/>
        <v>0</v>
      </c>
      <c r="AU42" s="92">
        <f ca="1">IFERROR(__xludf.DUMMYFUNCTION("IMPORTRANGE(""https://docs.google.com/spreadsheets/d/1v_cJrbBlyqmnHPReHk44g9NrMRdENNlSy_E_c5M9fIg/edit?usp=sharing"",""ร้อยเอ็ด!L217"")"),0)</f>
        <v>0</v>
      </c>
      <c r="AV42" s="92">
        <f ca="1">IFERROR(__xludf.DUMMYFUNCTION("IMPORTRANGE(""https://docs.google.com/spreadsheets/d/1v_cJrbBlyqmnHPReHk44g9NrMRdENNlSy_E_c5M9fIg/edit?usp=sharing"",""ร้อยเอ็ด!N217"")"),0)</f>
        <v>0</v>
      </c>
      <c r="AW42" s="93">
        <f t="shared" ca="1" si="102"/>
        <v>0</v>
      </c>
      <c r="AX42" s="92">
        <f ca="1">IFERROR(__xludf.DUMMYFUNCTION("IMPORTRANGE(""https://docs.google.com/spreadsheets/d/1v_cJrbBlyqmnHPReHk44g9NrMRdENNlSy_E_c5M9fIg/edit?usp=sharing"",""ร้อยเอ็ด!I219"")"),0)</f>
        <v>0</v>
      </c>
      <c r="AY42" s="92">
        <f ca="1">IFERROR(__xludf.DUMMYFUNCTION("IMPORTRANGE(""https://docs.google.com/spreadsheets/d/1v_cJrbBlyqmnHPReHk44g9NrMRdENNlSy_E_c5M9fIg/edit?usp=sharing"",""ร้อยเอ็ด!J219"")"),0)</f>
        <v>0</v>
      </c>
      <c r="AZ42" s="93">
        <f t="shared" ca="1" si="104"/>
        <v>0</v>
      </c>
      <c r="BA42" s="92">
        <f ca="1">IFERROR(__xludf.DUMMYFUNCTION("IMPORTRANGE(""https://docs.google.com/spreadsheets/d/1v_cJrbBlyqmnHPReHk44g9NrMRdENNlSy_E_c5M9fIg/edit?usp=sharing"",""ร้อยเอ็ด!I220"")"),0)</f>
        <v>0</v>
      </c>
      <c r="BB42" s="92">
        <f ca="1">IFERROR(__xludf.DUMMYFUNCTION("IMPORTRANGE(""https://docs.google.com/spreadsheets/d/1v_cJrbBlyqmnHPReHk44g9NrMRdENNlSy_E_c5M9fIg/edit?usp=sharing"",""ร้อยเอ็ด!J220"")"),0)</f>
        <v>0</v>
      </c>
      <c r="BC42" s="93">
        <f t="shared" ca="1" si="106"/>
        <v>0</v>
      </c>
      <c r="BD42" s="92">
        <f ca="1">IFERROR(__xludf.DUMMYFUNCTION("IMPORTRANGE(""https://docs.google.com/spreadsheets/d/1v_cJrbBlyqmnHPReHk44g9NrMRdENNlSy_E_c5M9fIg/edit?usp=sharing"",""ร้อยเอ็ด!L223"")"),9000)</f>
        <v>9000</v>
      </c>
      <c r="BE42" s="92">
        <f ca="1">IFERROR(__xludf.DUMMYFUNCTION("IMPORTRANGE(""https://docs.google.com/spreadsheets/d/1v_cJrbBlyqmnHPReHk44g9NrMRdENNlSy_E_c5M9fIg/edit?usp=sharing"",""ร้อยเอ็ด!N223"")"),0)</f>
        <v>0</v>
      </c>
      <c r="BF42" s="93">
        <f t="shared" ca="1" si="108"/>
        <v>0</v>
      </c>
      <c r="BG42" s="92">
        <f ca="1">IFERROR(__xludf.DUMMYFUNCTION("IMPORTRANGE(""https://docs.google.com/spreadsheets/d/1v_cJrbBlyqmnHPReHk44g9NrMRdENNlSy_E_c5M9fIg/edit?usp=sharing"",""ร้อยเอ็ด!L224"")"),1500)</f>
        <v>1500</v>
      </c>
      <c r="BH42" s="92">
        <f ca="1">IFERROR(__xludf.DUMMYFUNCTION("IMPORTRANGE(""https://docs.google.com/spreadsheets/d/1v_cJrbBlyqmnHPReHk44g9NrMRdENNlSy_E_c5M9fIg/edit?usp=sharing"",""ร้อยเอ็ด!N224"")"),0)</f>
        <v>0</v>
      </c>
      <c r="BI42" s="93">
        <f t="shared" ca="1" si="110"/>
        <v>0</v>
      </c>
      <c r="BJ42" s="92">
        <f ca="1">IFERROR(__xludf.DUMMYFUNCTION("IMPORTRANGE(""https://docs.google.com/spreadsheets/d/1v_cJrbBlyqmnHPReHk44g9NrMRdENNlSy_E_c5M9fIg/edit?usp=sharing"",""ร้อยเอ็ด!I228"")"),64000)</f>
        <v>64000</v>
      </c>
      <c r="BK42" s="92">
        <f ca="1">IFERROR(__xludf.DUMMYFUNCTION("IMPORTRANGE(""https://docs.google.com/spreadsheets/d/1v_cJrbBlyqmnHPReHk44g9NrMRdENNlSy_E_c5M9fIg/edit?usp=sharing"",""ร้อยเอ็ด!J228"")"),0)</f>
        <v>0</v>
      </c>
      <c r="BL42" s="93">
        <f t="shared" ca="1" si="112"/>
        <v>0</v>
      </c>
      <c r="BM42" s="92">
        <f ca="1">IFERROR(__xludf.DUMMYFUNCTION("IMPORTRANGE(""https://docs.google.com/spreadsheets/d/1v_cJrbBlyqmnHPReHk44g9NrMRdENNlSy_E_c5M9fIg/edit?usp=sharing"",""ร้อยเอ็ด!I229"")"),64000)</f>
        <v>64000</v>
      </c>
      <c r="BN42" s="92">
        <f ca="1">IFERROR(__xludf.DUMMYFUNCTION("IMPORTRANGE(""https://docs.google.com/spreadsheets/d/1v_cJrbBlyqmnHPReHk44g9NrMRdENNlSy_E_c5M9fIg/edit?usp=sharing"",""ร้อยเอ็ด!J229"")"),0)</f>
        <v>0</v>
      </c>
      <c r="BO42" s="93">
        <f t="shared" ca="1" si="114"/>
        <v>0</v>
      </c>
      <c r="BP42" s="92">
        <f ca="1">IFERROR(__xludf.DUMMYFUNCTION("IMPORTRANGE(""https://docs.google.com/spreadsheets/d/1v_cJrbBlyqmnHPReHk44g9NrMRdENNlSy_E_c5M9fIg/edit?usp=sharing"",""ร้อยเอ็ด!I230"")"),0)</f>
        <v>0</v>
      </c>
      <c r="BQ42" s="92">
        <f ca="1">IFERROR(__xludf.DUMMYFUNCTION("IMPORTRANGE(""https://docs.google.com/spreadsheets/d/1v_cJrbBlyqmnHPReHk44g9NrMRdENNlSy_E_c5M9fIg/edit?usp=sharing"",""ร้อยเอ็ด!J230"")"),0)</f>
        <v>0</v>
      </c>
      <c r="BR42" s="93">
        <f t="shared" ca="1" si="116"/>
        <v>0</v>
      </c>
      <c r="BS42" s="92">
        <f ca="1">IFERROR(__xludf.DUMMYFUNCTION("IMPORTRANGE(""https://docs.google.com/spreadsheets/d/1v_cJrbBlyqmnHPReHk44g9NrMRdENNlSy_E_c5M9fIg/edit?usp=sharing"",""ร้อยเอ็ด!L233"")"),0)</f>
        <v>0</v>
      </c>
      <c r="BT42" s="92">
        <f ca="1">IFERROR(__xludf.DUMMYFUNCTION("IMPORTRANGE(""https://docs.google.com/spreadsheets/d/1v_cJrbBlyqmnHPReHk44g9NrMRdENNlSy_E_c5M9fIg/edit?usp=sharing"",""ร้อยเอ็ด!N233"")"),0)</f>
        <v>0</v>
      </c>
      <c r="BU42" s="93">
        <f t="shared" ca="1" si="118"/>
        <v>0</v>
      </c>
      <c r="BV42" s="92">
        <f ca="1">IFERROR(__xludf.DUMMYFUNCTION("IMPORTRANGE(""https://docs.google.com/spreadsheets/d/1v_cJrbBlyqmnHPReHk44g9NrMRdENNlSy_E_c5M9fIg/edit?usp=sharing"",""ร้อยเอ็ด!L234"")"),0)</f>
        <v>0</v>
      </c>
      <c r="BW42" s="92">
        <f ca="1">IFERROR(__xludf.DUMMYFUNCTION("IMPORTRANGE(""https://docs.google.com/spreadsheets/d/1v_cJrbBlyqmnHPReHk44g9NrMRdENNlSy_E_c5M9fIg/edit?usp=sharing"",""ร้อยเอ็ด!N234"")"),0)</f>
        <v>0</v>
      </c>
      <c r="BX42" s="93">
        <f t="shared" ca="1" si="120"/>
        <v>0</v>
      </c>
      <c r="BY42" s="92">
        <f ca="1">IFERROR(__xludf.DUMMYFUNCTION("IMPORTRANGE(""https://docs.google.com/spreadsheets/d/1v_cJrbBlyqmnHPReHk44g9NrMRdENNlSy_E_c5M9fIg/edit?usp=sharing"",""ร้อยเอ็ด!L235"")"),0)</f>
        <v>0</v>
      </c>
      <c r="BZ42" s="92">
        <f ca="1">IFERROR(__xludf.DUMMYFUNCTION("IMPORTRANGE(""https://docs.google.com/spreadsheets/d/1v_cJrbBlyqmnHPReHk44g9NrMRdENNlSy_E_c5M9fIg/edit?usp=sharing"",""ร้อยเอ็ด!N235"")"),0)</f>
        <v>0</v>
      </c>
      <c r="CA42" s="93">
        <f t="shared" ca="1" si="122"/>
        <v>0</v>
      </c>
      <c r="CB42" s="92">
        <f ca="1">IFERROR(__xludf.DUMMYFUNCTION("IMPORTRANGE(""https://docs.google.com/spreadsheets/d/1v_cJrbBlyqmnHPReHk44g9NrMRdENNlSy_E_c5M9fIg/edit?usp=sharing"",""ร้อยเอ็ด!L236"")"),0)</f>
        <v>0</v>
      </c>
      <c r="CC42" s="92">
        <f ca="1">IFERROR(__xludf.DUMMYFUNCTION("IMPORTRANGE(""https://docs.google.com/spreadsheets/d/1v_cJrbBlyqmnHPReHk44g9NrMRdENNlSy_E_c5M9fIg/edit?usp=sharing"",""ร้อยเอ็ด!N236"")"),0)</f>
        <v>0</v>
      </c>
      <c r="CD42" s="93">
        <f t="shared" ca="1" si="124"/>
        <v>0</v>
      </c>
      <c r="CE42" s="92">
        <f ca="1">IFERROR(__xludf.DUMMYFUNCTION("IMPORTRANGE(""https://docs.google.com/spreadsheets/d/1v_cJrbBlyqmnHPReHk44g9NrMRdENNlSy_E_c5M9fIg/edit?usp=sharing"",""ร้อยเอ็ด!I238"")"),0)</f>
        <v>0</v>
      </c>
      <c r="CF42" s="92">
        <f ca="1">IFERROR(__xludf.DUMMYFUNCTION("IMPORTRANGE(""https://docs.google.com/spreadsheets/d/1v_cJrbBlyqmnHPReHk44g9NrMRdENNlSy_E_c5M9fIg/edit?usp=sharing"",""ร้อยเอ็ด!J238"")"),0)</f>
        <v>0</v>
      </c>
      <c r="CG42" s="93">
        <f t="shared" ca="1" si="126"/>
        <v>0</v>
      </c>
      <c r="CH42" s="92">
        <f ca="1">IFERROR(__xludf.DUMMYFUNCTION("IMPORTRANGE(""https://docs.google.com/spreadsheets/d/1v_cJrbBlyqmnHPReHk44g9NrMRdENNlSy_E_c5M9fIg/edit?usp=sharing"",""ร้อยเอ็ด!J240"")"),0)</f>
        <v>0</v>
      </c>
      <c r="CI42" s="92">
        <f ca="1">IFERROR(__xludf.DUMMYFUNCTION("IMPORTRANGE(""https://docs.google.com/spreadsheets/d/1v_cJrbBlyqmnHPReHk44g9NrMRdENNlSy_E_c5M9fIg/edit?usp=sharing"",""ร้อยเอ็ด!J241"")"),0)</f>
        <v>0</v>
      </c>
    </row>
    <row r="43" spans="1:87" ht="21" customHeight="1" x14ac:dyDescent="0.3">
      <c r="A43" s="84">
        <v>12</v>
      </c>
      <c r="B43" s="85" t="s">
        <v>65</v>
      </c>
      <c r="C43" s="174">
        <f t="shared" ca="1" si="77"/>
        <v>92500</v>
      </c>
      <c r="D43" s="175">
        <f t="shared" ca="1" si="152"/>
        <v>92500</v>
      </c>
      <c r="E43" s="176">
        <f ca="1">IFERROR(__xludf.DUMMYFUNCTION("IMPORTRANGE(""https://docs.google.com/spreadsheets/d/1-uDff_7J0KD5mKrp0Vvzr7lt3OU09vwQwhkpOPPYv2Y/edit?usp=sharing"",""งบพรบ!CV43"")"),0)</f>
        <v>0</v>
      </c>
      <c r="F43" s="176">
        <f ca="1">IFERROR(__xludf.DUMMYFUNCTION("IMPORTRANGE(""https://docs.google.com/spreadsheets/d/1-uDff_7J0KD5mKrp0Vvzr7lt3OU09vwQwhkpOPPYv2Y/edit?usp=sharing"",""งบพรบ!CW43"")"),92500)</f>
        <v>92500</v>
      </c>
      <c r="G43" s="176">
        <f ca="1">IFERROR(__xludf.DUMMYFUNCTION("IMPORTRANGE(""https://docs.google.com/spreadsheets/d/1-uDff_7J0KD5mKrp0Vvzr7lt3OU09vwQwhkpOPPYv2Y/edit?usp=sharing"",""งบพรบ!CX43"")"),0)</f>
        <v>0</v>
      </c>
      <c r="H43" s="176">
        <f ca="1">IFERROR(__xludf.DUMMYFUNCTION("IMPORTRANGE(""https://docs.google.com/spreadsheets/d/1-uDff_7J0KD5mKrp0Vvzr7lt3OU09vwQwhkpOPPYv2Y/edit?usp=sharing"",""งบพรบ!CZ43"")"),49500)</f>
        <v>49500</v>
      </c>
      <c r="I43" s="176">
        <f ca="1">IFERROR(__xludf.DUMMYFUNCTION("IMPORTRANGE(""https://docs.google.com/spreadsheets/d/1-uDff_7J0KD5mKrp0Vvzr7lt3OU09vwQwhkpOPPYv2Y/edit?usp=sharing"",""งบพรบ!DA43"")"),0)</f>
        <v>0</v>
      </c>
      <c r="J43" s="176">
        <f t="shared" ca="1" si="79"/>
        <v>1120</v>
      </c>
      <c r="K43" s="181">
        <f t="shared" ca="1" si="80"/>
        <v>1.2108108108108109</v>
      </c>
      <c r="L43" s="176">
        <f ca="1">IFERROR(__xludf.DUMMYFUNCTION("IMPORTRANGE(""https://docs.google.com/spreadsheets/d/1-uDff_7J0KD5mKrp0Vvzr7lt3OU09vwQwhkpOPPYv2Y/edit?usp=sharing"",""งบพรบ!DB43"")"),1120)</f>
        <v>1120</v>
      </c>
      <c r="M43" s="179">
        <f t="shared" ca="1" si="81"/>
        <v>1.2108108108108109</v>
      </c>
      <c r="N43" s="179">
        <f t="shared" ca="1" si="82"/>
        <v>2.2626262626262625</v>
      </c>
      <c r="O43" s="180">
        <f ca="1">IFERROR(__xludf.DUMMYFUNCTION("IMPORTRANGE(""https://docs.google.com/spreadsheets/d/1-uDff_7J0KD5mKrp0Vvzr7lt3OU09vwQwhkpOPPYv2Y/edit?usp=sharing"",""งบพรบ!DC43"")"),0)</f>
        <v>0</v>
      </c>
      <c r="P43" s="180">
        <f t="shared" ca="1" si="83"/>
        <v>0</v>
      </c>
      <c r="Q43" s="179">
        <f t="shared" ca="1" si="84"/>
        <v>0</v>
      </c>
      <c r="R43" s="92">
        <f ca="1">IFERROR(__xludf.DUMMYFUNCTION("IMPORTRANGE(""https://docs.google.com/spreadsheets/d/1Ul4RCpCX66NxYADU1QpwAPjOmBzW64SsT11s1wzXw_c/edit?usp=sharing"",""เลย!L196"")"),6000)</f>
        <v>6000</v>
      </c>
      <c r="S43" s="92">
        <f ca="1">IFERROR(__xludf.DUMMYFUNCTION("IMPORTRANGE(""https://docs.google.com/spreadsheets/d/1Ul4RCpCX66NxYADU1QpwAPjOmBzW64SsT11s1wzXw_c/edit?usp=sharing"",""เลย!N196"")"),0)</f>
        <v>0</v>
      </c>
      <c r="T43" s="93">
        <f t="shared" ca="1" si="86"/>
        <v>0</v>
      </c>
      <c r="U43" s="92">
        <f ca="1">IFERROR(__xludf.DUMMYFUNCTION("IMPORTRANGE(""https://docs.google.com/spreadsheets/d/1Ul4RCpCX66NxYADU1QpwAPjOmBzW64SsT11s1wzXw_c/edit?usp=sharing"",""เลย!I198"")"),4)</f>
        <v>4</v>
      </c>
      <c r="V43" s="92">
        <f ca="1">IFERROR(__xludf.DUMMYFUNCTION("IMPORTRANGE(""https://docs.google.com/spreadsheets/d/1Ul4RCpCX66NxYADU1QpwAPjOmBzW64SsT11s1wzXw_c/edit?usp=sharing"",""เลย!J198"")"),1)</f>
        <v>1</v>
      </c>
      <c r="W43" s="93">
        <f t="shared" ca="1" si="88"/>
        <v>25</v>
      </c>
      <c r="X43" s="92">
        <f ca="1">IFERROR(__xludf.DUMMYFUNCTION("IMPORTRANGE(""https://docs.google.com/spreadsheets/d/1Ul4RCpCX66NxYADU1QpwAPjOmBzW64SsT11s1wzXw_c/edit?usp=sharing"",""เลย!J199"")"),20)</f>
        <v>20</v>
      </c>
      <c r="Y43" s="92">
        <f ca="1">IFERROR(__xludf.DUMMYFUNCTION("IMPORTRANGE(""https://docs.google.com/spreadsheets/d/1Ul4RCpCX66NxYADU1QpwAPjOmBzW64SsT11s1wzXw_c/edit?usp=sharing"",""เลย!J200"")"),20)</f>
        <v>20</v>
      </c>
      <c r="Z43" s="92">
        <f ca="1">IFERROR(__xludf.DUMMYFUNCTION("IMPORTRANGE(""https://docs.google.com/spreadsheets/d/1Ul4RCpCX66NxYADU1QpwAPjOmBzW64SsT11s1wzXw_c/edit?usp=sharing"",""เลย!J201"")"),0)</f>
        <v>0</v>
      </c>
      <c r="AA43" s="92">
        <f ca="1">IFERROR(__xludf.DUMMYFUNCTION("IMPORTRANGE(""https://docs.google.com/spreadsheets/d/1Ul4RCpCX66NxYADU1QpwAPjOmBzW64SsT11s1wzXw_c/edit?usp=sharing"",""เลย!L204"")"),3000)</f>
        <v>3000</v>
      </c>
      <c r="AB43" s="92">
        <f ca="1">IFERROR(__xludf.DUMMYFUNCTION("IMPORTRANGE(""https://docs.google.com/spreadsheets/d/1Ul4RCpCX66NxYADU1QpwAPjOmBzW64SsT11s1wzXw_c/edit?usp=sharing"",""เลย!N204"")"),0)</f>
        <v>0</v>
      </c>
      <c r="AC43" s="93">
        <f t="shared" ca="1" si="90"/>
        <v>0</v>
      </c>
      <c r="AD43" s="92">
        <f ca="1">IFERROR(__xludf.DUMMYFUNCTION("IMPORTRANGE(""https://docs.google.com/spreadsheets/d/1Ul4RCpCX66NxYADU1QpwAPjOmBzW64SsT11s1wzXw_c/edit?usp=sharing"",""เลย!L206"")"),24000)</f>
        <v>24000</v>
      </c>
      <c r="AE43" s="92">
        <f ca="1">IFERROR(__xludf.DUMMYFUNCTION("IMPORTRANGE(""https://docs.google.com/spreadsheets/d/1Ul4RCpCX66NxYADU1QpwAPjOmBzW64SsT11s1wzXw_c/edit?usp=sharing"",""เลย!N206"")"),0)</f>
        <v>0</v>
      </c>
      <c r="AF43" s="93">
        <f t="shared" ca="1" si="92"/>
        <v>0</v>
      </c>
      <c r="AG43" s="92">
        <f ca="1">IFERROR(__xludf.DUMMYFUNCTION("IMPORTRANGE(""https://docs.google.com/spreadsheets/d/1Ul4RCpCX66NxYADU1QpwAPjOmBzW64SsT11s1wzXw_c/edit?usp=sharing"",""เลย!L207"")"),15000)</f>
        <v>15000</v>
      </c>
      <c r="AH43" s="92">
        <f ca="1">IFERROR(__xludf.DUMMYFUNCTION("IMPORTRANGE(""https://docs.google.com/spreadsheets/d/1Ul4RCpCX66NxYADU1QpwAPjOmBzW64SsT11s1wzXw_c/edit?usp=sharing"",""เลย!N207"")"),0)</f>
        <v>0</v>
      </c>
      <c r="AI43" s="93">
        <f t="shared" ca="1" si="94"/>
        <v>0</v>
      </c>
      <c r="AJ43" s="92">
        <f ca="1">IFERROR(__xludf.DUMMYFUNCTION("IMPORTRANGE(""https://docs.google.com/spreadsheets/d/1Ul4RCpCX66NxYADU1QpwAPjOmBzW64SsT11s1wzXw_c/edit?usp=sharing"",""เลย!I209"")"),3)</f>
        <v>3</v>
      </c>
      <c r="AK43" s="92">
        <f ca="1">IFERROR(__xludf.DUMMYFUNCTION("IMPORTRANGE(""https://docs.google.com/spreadsheets/d/1Ul4RCpCX66NxYADU1QpwAPjOmBzW64SsT11s1wzXw_c/edit?usp=sharing"",""เลย!J209"")"),0)</f>
        <v>0</v>
      </c>
      <c r="AL43" s="93">
        <f t="shared" ca="1" si="96"/>
        <v>0</v>
      </c>
      <c r="AM43" s="92">
        <f ca="1">IFERROR(__xludf.DUMMYFUNCTION("IMPORTRANGE(""https://docs.google.com/spreadsheets/d/1Ul4RCpCX66NxYADU1QpwAPjOmBzW64SsT11s1wzXw_c/edit?usp=sharing"",""เลย!J211"")"),0)</f>
        <v>0</v>
      </c>
      <c r="AN43" s="92">
        <f ca="1">IFERROR(__xludf.DUMMYFUNCTION("IMPORTRANGE(""https://docs.google.com/spreadsheets/d/1Ul4RCpCX66NxYADU1QpwAPjOmBzW64SsT11s1wzXw_c/edit?usp=sharing"",""เลย!J212"")"),0)</f>
        <v>0</v>
      </c>
      <c r="AO43" s="92">
        <f ca="1">IFERROR(__xludf.DUMMYFUNCTION("IMPORTRANGE(""https://docs.google.com/spreadsheets/d/1Ul4RCpCX66NxYADU1QpwAPjOmBzW64SsT11s1wzXw_c/edit?usp=sharing"",""เลย!L215"")"),2000)</f>
        <v>2000</v>
      </c>
      <c r="AP43" s="92">
        <f ca="1">IFERROR(__xludf.DUMMYFUNCTION("IMPORTRANGE(""https://docs.google.com/spreadsheets/d/1Ul4RCpCX66NxYADU1QpwAPjOmBzW64SsT11s1wzXw_c/edit?usp=sharing"",""เลย!N215"")"),0)</f>
        <v>0</v>
      </c>
      <c r="AQ43" s="93">
        <f t="shared" ca="1" si="98"/>
        <v>0</v>
      </c>
      <c r="AR43" s="92">
        <f ca="1">IFERROR(__xludf.DUMMYFUNCTION("IMPORTRANGE(""https://docs.google.com/spreadsheets/d/1Ul4RCpCX66NxYADU1QpwAPjOmBzW64SsT11s1wzXw_c/edit?usp=sharing"",""เลย!L216"")"),10000)</f>
        <v>10000</v>
      </c>
      <c r="AS43" s="92">
        <f ca="1">IFERROR(__xludf.DUMMYFUNCTION("IMPORTRANGE(""https://docs.google.com/spreadsheets/d/1Ul4RCpCX66NxYADU1QpwAPjOmBzW64SsT11s1wzXw_c/edit?usp=sharing"",""เลย!N216"")"),0)</f>
        <v>0</v>
      </c>
      <c r="AT43" s="93">
        <f t="shared" ca="1" si="100"/>
        <v>0</v>
      </c>
      <c r="AU43" s="92">
        <f ca="1">IFERROR(__xludf.DUMMYFUNCTION("IMPORTRANGE(""https://docs.google.com/spreadsheets/d/1Ul4RCpCX66NxYADU1QpwAPjOmBzW64SsT11s1wzXw_c/edit?usp=sharing"",""เลย!L217"")"),16000)</f>
        <v>16000</v>
      </c>
      <c r="AV43" s="92">
        <f ca="1">IFERROR(__xludf.DUMMYFUNCTION("IMPORTRANGE(""https://docs.google.com/spreadsheets/d/1Ul4RCpCX66NxYADU1QpwAPjOmBzW64SsT11s1wzXw_c/edit?usp=sharing"",""เลย!N217"")"),0)</f>
        <v>0</v>
      </c>
      <c r="AW43" s="93">
        <f t="shared" ca="1" si="102"/>
        <v>0</v>
      </c>
      <c r="AX43" s="92">
        <f ca="1">IFERROR(__xludf.DUMMYFUNCTION("IMPORTRANGE(""https://docs.google.com/spreadsheets/d/1Ul4RCpCX66NxYADU1QpwAPjOmBzW64SsT11s1wzXw_c/edit?usp=sharing"",""เลย!I219"")"),2)</f>
        <v>2</v>
      </c>
      <c r="AY43" s="92">
        <f ca="1">IFERROR(__xludf.DUMMYFUNCTION("IMPORTRANGE(""https://docs.google.com/spreadsheets/d/1Ul4RCpCX66NxYADU1QpwAPjOmBzW64SsT11s1wzXw_c/edit?usp=sharing"",""เลย!J219"")"),0)</f>
        <v>0</v>
      </c>
      <c r="AZ43" s="93">
        <f t="shared" ca="1" si="104"/>
        <v>0</v>
      </c>
      <c r="BA43" s="92">
        <f ca="1">IFERROR(__xludf.DUMMYFUNCTION("IMPORTRANGE(""https://docs.google.com/spreadsheets/d/1Ul4RCpCX66NxYADU1QpwAPjOmBzW64SsT11s1wzXw_c/edit?usp=sharing"",""เลย!I220"")"),2)</f>
        <v>2</v>
      </c>
      <c r="BB43" s="92">
        <f ca="1">IFERROR(__xludf.DUMMYFUNCTION("IMPORTRANGE(""https://docs.google.com/spreadsheets/d/1Ul4RCpCX66NxYADU1QpwAPjOmBzW64SsT11s1wzXw_c/edit?usp=sharing"",""เลย!J220"")"),0)</f>
        <v>0</v>
      </c>
      <c r="BC43" s="93">
        <f t="shared" ca="1" si="106"/>
        <v>0</v>
      </c>
      <c r="BD43" s="92">
        <f ca="1">IFERROR(__xludf.DUMMYFUNCTION("IMPORTRANGE(""https://docs.google.com/spreadsheets/d/1Ul4RCpCX66NxYADU1QpwAPjOmBzW64SsT11s1wzXw_c/edit?usp=sharing"",""เลย!L223"")"),15000)</f>
        <v>15000</v>
      </c>
      <c r="BE43" s="92">
        <f ca="1">IFERROR(__xludf.DUMMYFUNCTION("IMPORTRANGE(""https://docs.google.com/spreadsheets/d/1Ul4RCpCX66NxYADU1QpwAPjOmBzW64SsT11s1wzXw_c/edit?usp=sharing"",""เลย!N223"")"),0)</f>
        <v>0</v>
      </c>
      <c r="BF43" s="93">
        <f t="shared" ca="1" si="108"/>
        <v>0</v>
      </c>
      <c r="BG43" s="92">
        <f ca="1">IFERROR(__xludf.DUMMYFUNCTION("IMPORTRANGE(""https://docs.google.com/spreadsheets/d/1Ul4RCpCX66NxYADU1QpwAPjOmBzW64SsT11s1wzXw_c/edit?usp=sharing"",""เลย!L224"")"),1500)</f>
        <v>1500</v>
      </c>
      <c r="BH43" s="92">
        <f ca="1">IFERROR(__xludf.DUMMYFUNCTION("IMPORTRANGE(""https://docs.google.com/spreadsheets/d/1Ul4RCpCX66NxYADU1QpwAPjOmBzW64SsT11s1wzXw_c/edit?usp=sharing"",""เลย!N224"")"),0)</f>
        <v>0</v>
      </c>
      <c r="BI43" s="93">
        <f t="shared" ca="1" si="110"/>
        <v>0</v>
      </c>
      <c r="BJ43" s="92">
        <f ca="1">IFERROR(__xludf.DUMMYFUNCTION("IMPORTRANGE(""https://docs.google.com/spreadsheets/d/1Ul4RCpCX66NxYADU1QpwAPjOmBzW64SsT11s1wzXw_c/edit?usp=sharing"",""เลย!I228"")"),128000)</f>
        <v>128000</v>
      </c>
      <c r="BK43" s="92">
        <f ca="1">IFERROR(__xludf.DUMMYFUNCTION("IMPORTRANGE(""https://docs.google.com/spreadsheets/d/1Ul4RCpCX66NxYADU1QpwAPjOmBzW64SsT11s1wzXw_c/edit?usp=sharing"",""เลย!J228"")"),0)</f>
        <v>0</v>
      </c>
      <c r="BL43" s="93">
        <f t="shared" ca="1" si="112"/>
        <v>0</v>
      </c>
      <c r="BM43" s="92">
        <f ca="1">IFERROR(__xludf.DUMMYFUNCTION("IMPORTRANGE(""https://docs.google.com/spreadsheets/d/1Ul4RCpCX66NxYADU1QpwAPjOmBzW64SsT11s1wzXw_c/edit?usp=sharing"",""เลย!I229"")"),128000)</f>
        <v>128000</v>
      </c>
      <c r="BN43" s="92">
        <f ca="1">IFERROR(__xludf.DUMMYFUNCTION("IMPORTRANGE(""https://docs.google.com/spreadsheets/d/1Ul4RCpCX66NxYADU1QpwAPjOmBzW64SsT11s1wzXw_c/edit?usp=sharing"",""เลย!J229"")"),0)</f>
        <v>0</v>
      </c>
      <c r="BO43" s="93">
        <f t="shared" ca="1" si="114"/>
        <v>0</v>
      </c>
      <c r="BP43" s="92">
        <f ca="1">IFERROR(__xludf.DUMMYFUNCTION("IMPORTRANGE(""https://docs.google.com/spreadsheets/d/1Ul4RCpCX66NxYADU1QpwAPjOmBzW64SsT11s1wzXw_c/edit?usp=sharing"",""เลย!I230"")"),0)</f>
        <v>0</v>
      </c>
      <c r="BQ43" s="92">
        <f ca="1">IFERROR(__xludf.DUMMYFUNCTION("IMPORTRANGE(""https://docs.google.com/spreadsheets/d/1Ul4RCpCX66NxYADU1QpwAPjOmBzW64SsT11s1wzXw_c/edit?usp=sharing"",""เลย!J230"")"),0)</f>
        <v>0</v>
      </c>
      <c r="BR43" s="93">
        <f t="shared" ca="1" si="116"/>
        <v>0</v>
      </c>
      <c r="BS43" s="92">
        <f ca="1">IFERROR(__xludf.DUMMYFUNCTION("IMPORTRANGE(""https://docs.google.com/spreadsheets/d/1Ul4RCpCX66NxYADU1QpwAPjOmBzW64SsT11s1wzXw_c/edit?usp=sharing"",""เลย!L233"")"),0)</f>
        <v>0</v>
      </c>
      <c r="BT43" s="92">
        <f ca="1">IFERROR(__xludf.DUMMYFUNCTION("IMPORTRANGE(""https://docs.google.com/spreadsheets/d/1Ul4RCpCX66NxYADU1QpwAPjOmBzW64SsT11s1wzXw_c/edit?usp=sharing"",""เลย!N233"")"),0)</f>
        <v>0</v>
      </c>
      <c r="BU43" s="93">
        <f t="shared" ca="1" si="118"/>
        <v>0</v>
      </c>
      <c r="BV43" s="92">
        <f ca="1">IFERROR(__xludf.DUMMYFUNCTION("IMPORTRANGE(""https://docs.google.com/spreadsheets/d/1Ul4RCpCX66NxYADU1QpwAPjOmBzW64SsT11s1wzXw_c/edit?usp=sharing"",""เลย!L234"")"),0)</f>
        <v>0</v>
      </c>
      <c r="BW43" s="92">
        <f ca="1">IFERROR(__xludf.DUMMYFUNCTION("IMPORTRANGE(""https://docs.google.com/spreadsheets/d/1Ul4RCpCX66NxYADU1QpwAPjOmBzW64SsT11s1wzXw_c/edit?usp=sharing"",""เลย!N234"")"),0)</f>
        <v>0</v>
      </c>
      <c r="BX43" s="93">
        <f t="shared" ca="1" si="120"/>
        <v>0</v>
      </c>
      <c r="BY43" s="92">
        <f ca="1">IFERROR(__xludf.DUMMYFUNCTION("IMPORTRANGE(""https://docs.google.com/spreadsheets/d/1Ul4RCpCX66NxYADU1QpwAPjOmBzW64SsT11s1wzXw_c/edit?usp=sharing"",""เลย!L235"")"),0)</f>
        <v>0</v>
      </c>
      <c r="BZ43" s="92">
        <f ca="1">IFERROR(__xludf.DUMMYFUNCTION("IMPORTRANGE(""https://docs.google.com/spreadsheets/d/1Ul4RCpCX66NxYADU1QpwAPjOmBzW64SsT11s1wzXw_c/edit?usp=sharing"",""เลย!N235"")"),0)</f>
        <v>0</v>
      </c>
      <c r="CA43" s="93">
        <f t="shared" ca="1" si="122"/>
        <v>0</v>
      </c>
      <c r="CB43" s="92">
        <f ca="1">IFERROR(__xludf.DUMMYFUNCTION("IMPORTRANGE(""https://docs.google.com/spreadsheets/d/1Ul4RCpCX66NxYADU1QpwAPjOmBzW64SsT11s1wzXw_c/edit?usp=sharing"",""เลย!L236"")"),0)</f>
        <v>0</v>
      </c>
      <c r="CC43" s="92">
        <f ca="1">IFERROR(__xludf.DUMMYFUNCTION("IMPORTRANGE(""https://docs.google.com/spreadsheets/d/1Ul4RCpCX66NxYADU1QpwAPjOmBzW64SsT11s1wzXw_c/edit?usp=sharing"",""เลย!N236"")"),0)</f>
        <v>0</v>
      </c>
      <c r="CD43" s="93">
        <f t="shared" ca="1" si="124"/>
        <v>0</v>
      </c>
      <c r="CE43" s="92">
        <f ca="1">IFERROR(__xludf.DUMMYFUNCTION("IMPORTRANGE(""https://docs.google.com/spreadsheets/d/1Ul4RCpCX66NxYADU1QpwAPjOmBzW64SsT11s1wzXw_c/edit?usp=sharing"",""เลย!I238"")"),0)</f>
        <v>0</v>
      </c>
      <c r="CF43" s="92">
        <f ca="1">IFERROR(__xludf.DUMMYFUNCTION("IMPORTRANGE(""https://docs.google.com/spreadsheets/d/1Ul4RCpCX66NxYADU1QpwAPjOmBzW64SsT11s1wzXw_c/edit?usp=sharing"",""เลย!J238"")"),0)</f>
        <v>0</v>
      </c>
      <c r="CG43" s="93">
        <f t="shared" ca="1" si="126"/>
        <v>0</v>
      </c>
      <c r="CH43" s="92">
        <f ca="1">IFERROR(__xludf.DUMMYFUNCTION("IMPORTRANGE(""https://docs.google.com/spreadsheets/d/1Ul4RCpCX66NxYADU1QpwAPjOmBzW64SsT11s1wzXw_c/edit?usp=sharing"",""เลย!J240"")"),0)</f>
        <v>0</v>
      </c>
      <c r="CI43" s="92">
        <f ca="1">IFERROR(__xludf.DUMMYFUNCTION("IMPORTRANGE(""https://docs.google.com/spreadsheets/d/1Ul4RCpCX66NxYADU1QpwAPjOmBzW64SsT11s1wzXw_c/edit?usp=sharing"",""เลย!J241"")"),0)</f>
        <v>0</v>
      </c>
    </row>
    <row r="44" spans="1:87" ht="21" customHeight="1" x14ac:dyDescent="0.3">
      <c r="A44" s="84">
        <v>13</v>
      </c>
      <c r="B44" s="85" t="s">
        <v>66</v>
      </c>
      <c r="C44" s="174">
        <f t="shared" ca="1" si="77"/>
        <v>177300</v>
      </c>
      <c r="D44" s="175">
        <f t="shared" ca="1" si="152"/>
        <v>177300</v>
      </c>
      <c r="E44" s="176">
        <f ca="1">IFERROR(__xludf.DUMMYFUNCTION("IMPORTRANGE(""https://docs.google.com/spreadsheets/d/1-uDff_7J0KD5mKrp0Vvzr7lt3OU09vwQwhkpOPPYv2Y/edit?usp=sharing"",""งบพรบ!CV44"")"),87800)</f>
        <v>87800</v>
      </c>
      <c r="F44" s="176">
        <f ca="1">IFERROR(__xludf.DUMMYFUNCTION("IMPORTRANGE(""https://docs.google.com/spreadsheets/d/1-uDff_7J0KD5mKrp0Vvzr7lt3OU09vwQwhkpOPPYv2Y/edit?usp=sharing"",""งบพรบ!CW44"")"),89500)</f>
        <v>89500</v>
      </c>
      <c r="G44" s="176">
        <f ca="1">IFERROR(__xludf.DUMMYFUNCTION("IMPORTRANGE(""https://docs.google.com/spreadsheets/d/1-uDff_7J0KD5mKrp0Vvzr7lt3OU09vwQwhkpOPPYv2Y/edit?usp=sharing"",""งบพรบ!CX44"")"),0)</f>
        <v>0</v>
      </c>
      <c r="H44" s="176">
        <f ca="1">IFERROR(__xludf.DUMMYFUNCTION("IMPORTRANGE(""https://docs.google.com/spreadsheets/d/1-uDff_7J0KD5mKrp0Vvzr7lt3OU09vwQwhkpOPPYv2Y/edit?usp=sharing"",""งบพรบ!CZ44"")"),121500)</f>
        <v>121500</v>
      </c>
      <c r="I44" s="176">
        <f ca="1">IFERROR(__xludf.DUMMYFUNCTION("IMPORTRANGE(""https://docs.google.com/spreadsheets/d/1-uDff_7J0KD5mKrp0Vvzr7lt3OU09vwQwhkpOPPYv2Y/edit?usp=sharing"",""งบพรบ!DA44"")"),0)</f>
        <v>0</v>
      </c>
      <c r="J44" s="176">
        <f t="shared" ca="1" si="79"/>
        <v>11910</v>
      </c>
      <c r="K44" s="181">
        <f t="shared" ca="1" si="80"/>
        <v>6.7174280879864634</v>
      </c>
      <c r="L44" s="176">
        <f ca="1">IFERROR(__xludf.DUMMYFUNCTION("IMPORTRANGE(""https://docs.google.com/spreadsheets/d/1-uDff_7J0KD5mKrp0Vvzr7lt3OU09vwQwhkpOPPYv2Y/edit?usp=sharing"",""งบพรบ!DB44"")"),11910)</f>
        <v>11910</v>
      </c>
      <c r="M44" s="179">
        <f t="shared" ca="1" si="81"/>
        <v>6.7174280879864634</v>
      </c>
      <c r="N44" s="179">
        <f t="shared" ca="1" si="82"/>
        <v>9.8024691358024683</v>
      </c>
      <c r="O44" s="180">
        <f ca="1">IFERROR(__xludf.DUMMYFUNCTION("IMPORTRANGE(""https://docs.google.com/spreadsheets/d/1-uDff_7J0KD5mKrp0Vvzr7lt3OU09vwQwhkpOPPYv2Y/edit?usp=sharing"",""งบพรบ!DC44"")"),0)</f>
        <v>0</v>
      </c>
      <c r="P44" s="180">
        <f t="shared" ca="1" si="83"/>
        <v>0</v>
      </c>
      <c r="Q44" s="179">
        <f t="shared" ca="1" si="84"/>
        <v>0</v>
      </c>
      <c r="R44" s="92">
        <f ca="1">IFERROR(__xludf.DUMMYFUNCTION("IMPORTRANGE(""https://docs.google.com/spreadsheets/d/1bRrNKwbHDVktQG10isr5vbWRtt5spIZPpkOSWgbT5ug/edit?usp=sharing"",""ศรีสะเกษ!L196"")"),6000)</f>
        <v>6000</v>
      </c>
      <c r="S44" s="92">
        <f ca="1">IFERROR(__xludf.DUMMYFUNCTION("IMPORTRANGE(""https://docs.google.com/spreadsheets/d/1bRrNKwbHDVktQG10isr5vbWRtt5spIZPpkOSWgbT5ug/edit?usp=sharing"",""ศรีสะเกษ!N196"")"),0)</f>
        <v>0</v>
      </c>
      <c r="T44" s="93">
        <f t="shared" ca="1" si="86"/>
        <v>0</v>
      </c>
      <c r="U44" s="92">
        <f ca="1">IFERROR(__xludf.DUMMYFUNCTION("IMPORTRANGE(""https://docs.google.com/spreadsheets/d/1bRrNKwbHDVktQG10isr5vbWRtt5spIZPpkOSWgbT5ug/edit?usp=sharing"",""ศรีสะเกษ!I198"")"),4)</f>
        <v>4</v>
      </c>
      <c r="V44" s="92">
        <f ca="1">IFERROR(__xludf.DUMMYFUNCTION("IMPORTRANGE(""https://docs.google.com/spreadsheets/d/1bRrNKwbHDVktQG10isr5vbWRtt5spIZPpkOSWgbT5ug/edit?usp=sharing"",""ศรีสะเกษ!J198"")"),0)</f>
        <v>0</v>
      </c>
      <c r="W44" s="93">
        <f t="shared" ca="1" si="88"/>
        <v>0</v>
      </c>
      <c r="X44" s="92">
        <f ca="1">IFERROR(__xludf.DUMMYFUNCTION("IMPORTRANGE(""https://docs.google.com/spreadsheets/d/1bRrNKwbHDVktQG10isr5vbWRtt5spIZPpkOSWgbT5ug/edit?usp=sharing"",""ศรีสะเกษ!J199"")"),0)</f>
        <v>0</v>
      </c>
      <c r="Y44" s="92">
        <f ca="1">IFERROR(__xludf.DUMMYFUNCTION("IMPORTRANGE(""https://docs.google.com/spreadsheets/d/1bRrNKwbHDVktQG10isr5vbWRtt5spIZPpkOSWgbT5ug/edit?usp=sharing"",""ศรีสะเกษ!J200"")"),0)</f>
        <v>0</v>
      </c>
      <c r="Z44" s="92">
        <f ca="1">IFERROR(__xludf.DUMMYFUNCTION("IMPORTRANGE(""https://docs.google.com/spreadsheets/d/1bRrNKwbHDVktQG10isr5vbWRtt5spIZPpkOSWgbT5ug/edit?usp=sharing"",""ศรีสะเกษ!J201"")"),0)</f>
        <v>0</v>
      </c>
      <c r="AA44" s="92">
        <f ca="1">IFERROR(__xludf.DUMMYFUNCTION("IMPORTRANGE(""https://docs.google.com/spreadsheets/d/1bRrNKwbHDVktQG10isr5vbWRtt5spIZPpkOSWgbT5ug/edit?usp=sharing"",""ศรีสะเกษ!L204"")"),5000)</f>
        <v>5000</v>
      </c>
      <c r="AB44" s="92">
        <f ca="1">IFERROR(__xludf.DUMMYFUNCTION("IMPORTRANGE(""https://docs.google.com/spreadsheets/d/1bRrNKwbHDVktQG10isr5vbWRtt5spIZPpkOSWgbT5ug/edit?usp=sharing"",""ศรีสะเกษ!N204"")"),0)</f>
        <v>0</v>
      </c>
      <c r="AC44" s="93">
        <f t="shared" ca="1" si="90"/>
        <v>0</v>
      </c>
      <c r="AD44" s="92">
        <f ca="1">IFERROR(__xludf.DUMMYFUNCTION("IMPORTRANGE(""https://docs.google.com/spreadsheets/d/1bRrNKwbHDVktQG10isr5vbWRtt5spIZPpkOSWgbT5ug/edit?usp=sharing"",""ศรีสะเกษ!L206"")"),40000)</f>
        <v>40000</v>
      </c>
      <c r="AE44" s="92">
        <f ca="1">IFERROR(__xludf.DUMMYFUNCTION("IMPORTRANGE(""https://docs.google.com/spreadsheets/d/1bRrNKwbHDVktQG10isr5vbWRtt5spIZPpkOSWgbT5ug/edit?usp=sharing"",""ศรีสะเกษ!N206"")"),0)</f>
        <v>0</v>
      </c>
      <c r="AF44" s="93">
        <f t="shared" ca="1" si="92"/>
        <v>0</v>
      </c>
      <c r="AG44" s="92">
        <f ca="1">IFERROR(__xludf.DUMMYFUNCTION("IMPORTRANGE(""https://docs.google.com/spreadsheets/d/1bRrNKwbHDVktQG10isr5vbWRtt5spIZPpkOSWgbT5ug/edit?usp=sharing"",""ศรีสะเกษ!L207"")"),20000)</f>
        <v>20000</v>
      </c>
      <c r="AH44" s="92">
        <f ca="1">IFERROR(__xludf.DUMMYFUNCTION("IMPORTRANGE(""https://docs.google.com/spreadsheets/d/1bRrNKwbHDVktQG10isr5vbWRtt5spIZPpkOSWgbT5ug/edit?usp=sharing"",""ศรีสะเกษ!N207"")"),0)</f>
        <v>0</v>
      </c>
      <c r="AI44" s="93">
        <f t="shared" ca="1" si="94"/>
        <v>0</v>
      </c>
      <c r="AJ44" s="92">
        <f ca="1">IFERROR(__xludf.DUMMYFUNCTION("IMPORTRANGE(""https://docs.google.com/spreadsheets/d/1bRrNKwbHDVktQG10isr5vbWRtt5spIZPpkOSWgbT5ug/edit?usp=sharing"",""ศรีสะเกษ!I209"")"),5)</f>
        <v>5</v>
      </c>
      <c r="AK44" s="92">
        <f ca="1">IFERROR(__xludf.DUMMYFUNCTION("IMPORTRANGE(""https://docs.google.com/spreadsheets/d/1bRrNKwbHDVktQG10isr5vbWRtt5spIZPpkOSWgbT5ug/edit?usp=sharing"",""ศรีสะเกษ!J209"")"),0)</f>
        <v>0</v>
      </c>
      <c r="AL44" s="93">
        <f t="shared" ca="1" si="96"/>
        <v>0</v>
      </c>
      <c r="AM44" s="92">
        <f ca="1">IFERROR(__xludf.DUMMYFUNCTION("IMPORTRANGE(""https://docs.google.com/spreadsheets/d/1bRrNKwbHDVktQG10isr5vbWRtt5spIZPpkOSWgbT5ug/edit?usp=sharing"",""ศรีสะเกษ!J211"")"),0)</f>
        <v>0</v>
      </c>
      <c r="AN44" s="92">
        <f ca="1">IFERROR(__xludf.DUMMYFUNCTION("IMPORTRANGE(""https://docs.google.com/spreadsheets/d/1bRrNKwbHDVktQG10isr5vbWRtt5spIZPpkOSWgbT5ug/edit?usp=sharing"",""ศรีสะเกษ!J212"")"),0)</f>
        <v>0</v>
      </c>
      <c r="AO44" s="92">
        <f ca="1">IFERROR(__xludf.DUMMYFUNCTION("IMPORTRANGE(""https://docs.google.com/spreadsheets/d/1bRrNKwbHDVktQG10isr5vbWRtt5spIZPpkOSWgbT5ug/edit?usp=sharing"",""ศรีสะเกษ!L215"")"),1000)</f>
        <v>1000</v>
      </c>
      <c r="AP44" s="92">
        <f ca="1">IFERROR(__xludf.DUMMYFUNCTION("IMPORTRANGE(""https://docs.google.com/spreadsheets/d/1bRrNKwbHDVktQG10isr5vbWRtt5spIZPpkOSWgbT5ug/edit?usp=sharing"",""ศรีสะเกษ!N215"")"),0)</f>
        <v>0</v>
      </c>
      <c r="AQ44" s="93">
        <f t="shared" ca="1" si="98"/>
        <v>0</v>
      </c>
      <c r="AR44" s="92">
        <f ca="1">IFERROR(__xludf.DUMMYFUNCTION("IMPORTRANGE(""https://docs.google.com/spreadsheets/d/1bRrNKwbHDVktQG10isr5vbWRtt5spIZPpkOSWgbT5ug/edit?usp=sharing"",""ศรีสะเกษ!L216"")"),5000)</f>
        <v>5000</v>
      </c>
      <c r="AS44" s="92">
        <f ca="1">IFERROR(__xludf.DUMMYFUNCTION("IMPORTRANGE(""https://docs.google.com/spreadsheets/d/1bRrNKwbHDVktQG10isr5vbWRtt5spIZPpkOSWgbT5ug/edit?usp=sharing"",""ศรีสะเกษ!N216"")"),0)</f>
        <v>0</v>
      </c>
      <c r="AT44" s="93">
        <f t="shared" ca="1" si="100"/>
        <v>0</v>
      </c>
      <c r="AU44" s="92">
        <f ca="1">IFERROR(__xludf.DUMMYFUNCTION("IMPORTRANGE(""https://docs.google.com/spreadsheets/d/1bRrNKwbHDVktQG10isr5vbWRtt5spIZPpkOSWgbT5ug/edit?usp=sharing"",""ศรีสะเกษ!L217"")"),8000)</f>
        <v>8000</v>
      </c>
      <c r="AV44" s="92">
        <f ca="1">IFERROR(__xludf.DUMMYFUNCTION("IMPORTRANGE(""https://docs.google.com/spreadsheets/d/1bRrNKwbHDVktQG10isr5vbWRtt5spIZPpkOSWgbT5ug/edit?usp=sharing"",""ศรีสะเกษ!N217"")"),0)</f>
        <v>0</v>
      </c>
      <c r="AW44" s="93">
        <f t="shared" ca="1" si="102"/>
        <v>0</v>
      </c>
      <c r="AX44" s="92">
        <f ca="1">IFERROR(__xludf.DUMMYFUNCTION("IMPORTRANGE(""https://docs.google.com/spreadsheets/d/1bRrNKwbHDVktQG10isr5vbWRtt5spIZPpkOSWgbT5ug/edit?usp=sharing"",""ศรีสะเกษ!I219"")"),1)</f>
        <v>1</v>
      </c>
      <c r="AY44" s="92">
        <f ca="1">IFERROR(__xludf.DUMMYFUNCTION("IMPORTRANGE(""https://docs.google.com/spreadsheets/d/1bRrNKwbHDVktQG10isr5vbWRtt5spIZPpkOSWgbT5ug/edit?usp=sharing"",""ศรีสะเกษ!J219"")"),0)</f>
        <v>0</v>
      </c>
      <c r="AZ44" s="93">
        <f t="shared" ca="1" si="104"/>
        <v>0</v>
      </c>
      <c r="BA44" s="92">
        <f ca="1">IFERROR(__xludf.DUMMYFUNCTION("IMPORTRANGE(""https://docs.google.com/spreadsheets/d/1bRrNKwbHDVktQG10isr5vbWRtt5spIZPpkOSWgbT5ug/edit?usp=sharing"",""ศรีสะเกษ!I220"")"),1)</f>
        <v>1</v>
      </c>
      <c r="BB44" s="92">
        <f ca="1">IFERROR(__xludf.DUMMYFUNCTION("IMPORTRANGE(""https://docs.google.com/spreadsheets/d/1bRrNKwbHDVktQG10isr5vbWRtt5spIZPpkOSWgbT5ug/edit?usp=sharing"",""ศรีสะเกษ!J220"")"),0)</f>
        <v>0</v>
      </c>
      <c r="BC44" s="93">
        <f t="shared" ca="1" si="106"/>
        <v>0</v>
      </c>
      <c r="BD44" s="92">
        <f ca="1">IFERROR(__xludf.DUMMYFUNCTION("IMPORTRANGE(""https://docs.google.com/spreadsheets/d/1bRrNKwbHDVktQG10isr5vbWRtt5spIZPpkOSWgbT5ug/edit?usp=sharing"",""ศรีสะเกษ!L223"")"),3000)</f>
        <v>3000</v>
      </c>
      <c r="BE44" s="92">
        <f ca="1">IFERROR(__xludf.DUMMYFUNCTION("IMPORTRANGE(""https://docs.google.com/spreadsheets/d/1bRrNKwbHDVktQG10isr5vbWRtt5spIZPpkOSWgbT5ug/edit?usp=sharing"",""ศรีสะเกษ!N223"")"),0)</f>
        <v>0</v>
      </c>
      <c r="BF44" s="93">
        <f t="shared" ca="1" si="108"/>
        <v>0</v>
      </c>
      <c r="BG44" s="92">
        <f ca="1">IFERROR(__xludf.DUMMYFUNCTION("IMPORTRANGE(""https://docs.google.com/spreadsheets/d/1bRrNKwbHDVktQG10isr5vbWRtt5spIZPpkOSWgbT5ug/edit?usp=sharing"",""ศรีสะเกษ!L224"")"),1500)</f>
        <v>1500</v>
      </c>
      <c r="BH44" s="92">
        <f ca="1">IFERROR(__xludf.DUMMYFUNCTION("IMPORTRANGE(""https://docs.google.com/spreadsheets/d/1bRrNKwbHDVktQG10isr5vbWRtt5spIZPpkOSWgbT5ug/edit?usp=sharing"",""ศรีสะเกษ!N224"")"),0)</f>
        <v>0</v>
      </c>
      <c r="BI44" s="93">
        <f t="shared" ca="1" si="110"/>
        <v>0</v>
      </c>
      <c r="BJ44" s="92">
        <f ca="1">IFERROR(__xludf.DUMMYFUNCTION("IMPORTRANGE(""https://docs.google.com/spreadsheets/d/1bRrNKwbHDVktQG10isr5vbWRtt5spIZPpkOSWgbT5ug/edit?usp=sharing"",""ศรีสะเกษ!I228"")"),10000)</f>
        <v>10000</v>
      </c>
      <c r="BK44" s="92">
        <f ca="1">IFERROR(__xludf.DUMMYFUNCTION("IMPORTRANGE(""https://docs.google.com/spreadsheets/d/1bRrNKwbHDVktQG10isr5vbWRtt5spIZPpkOSWgbT5ug/edit?usp=sharing"",""ศรีสะเกษ!J228"")"),0)</f>
        <v>0</v>
      </c>
      <c r="BL44" s="93">
        <f t="shared" ca="1" si="112"/>
        <v>0</v>
      </c>
      <c r="BM44" s="92">
        <f ca="1">IFERROR(__xludf.DUMMYFUNCTION("IMPORTRANGE(""https://docs.google.com/spreadsheets/d/1bRrNKwbHDVktQG10isr5vbWRtt5spIZPpkOSWgbT5ug/edit?usp=sharing"",""ศรีสะเกษ!I229"")"),10000)</f>
        <v>10000</v>
      </c>
      <c r="BN44" s="92">
        <f ca="1">IFERROR(__xludf.DUMMYFUNCTION("IMPORTRANGE(""https://docs.google.com/spreadsheets/d/1bRrNKwbHDVktQG10isr5vbWRtt5spIZPpkOSWgbT5ug/edit?usp=sharing"",""ศรีสะเกษ!J229"")"),0)</f>
        <v>0</v>
      </c>
      <c r="BO44" s="93">
        <f t="shared" ca="1" si="114"/>
        <v>0</v>
      </c>
      <c r="BP44" s="92">
        <f ca="1">IFERROR(__xludf.DUMMYFUNCTION("IMPORTRANGE(""https://docs.google.com/spreadsheets/d/1bRrNKwbHDVktQG10isr5vbWRtt5spIZPpkOSWgbT5ug/edit?usp=sharing"",""ศรีสะเกษ!I230"")"),0)</f>
        <v>0</v>
      </c>
      <c r="BQ44" s="92">
        <f ca="1">IFERROR(__xludf.DUMMYFUNCTION("IMPORTRANGE(""https://docs.google.com/spreadsheets/d/1bRrNKwbHDVktQG10isr5vbWRtt5spIZPpkOSWgbT5ug/edit?usp=sharing"",""ศรีสะเกษ!J230"")"),0)</f>
        <v>0</v>
      </c>
      <c r="BR44" s="93">
        <f t="shared" ca="1" si="116"/>
        <v>0</v>
      </c>
      <c r="BS44" s="92">
        <f ca="1">IFERROR(__xludf.DUMMYFUNCTION("IMPORTRANGE(""https://docs.google.com/spreadsheets/d/1bRrNKwbHDVktQG10isr5vbWRtt5spIZPpkOSWgbT5ug/edit?usp=sharing"",""ศรีสะเกษ!L233"")"),0)</f>
        <v>0</v>
      </c>
      <c r="BT44" s="92">
        <f ca="1">IFERROR(__xludf.DUMMYFUNCTION("IMPORTRANGE(""https://docs.google.com/spreadsheets/d/1bRrNKwbHDVktQG10isr5vbWRtt5spIZPpkOSWgbT5ug/edit?usp=sharing"",""ศรีสะเกษ!N233"")"),0)</f>
        <v>0</v>
      </c>
      <c r="BU44" s="93">
        <f t="shared" ca="1" si="118"/>
        <v>0</v>
      </c>
      <c r="BV44" s="92">
        <f ca="1">IFERROR(__xludf.DUMMYFUNCTION("IMPORTRANGE(""https://docs.google.com/spreadsheets/d/1bRrNKwbHDVktQG10isr5vbWRtt5spIZPpkOSWgbT5ug/edit?usp=sharing"",""ศรีสะเกษ!L234"")"),0)</f>
        <v>0</v>
      </c>
      <c r="BW44" s="92">
        <f ca="1">IFERROR(__xludf.DUMMYFUNCTION("IMPORTRANGE(""https://docs.google.com/spreadsheets/d/1bRrNKwbHDVktQG10isr5vbWRtt5spIZPpkOSWgbT5ug/edit?usp=sharing"",""ศรีสะเกษ!N234"")"),0)</f>
        <v>0</v>
      </c>
      <c r="BX44" s="93">
        <f t="shared" ca="1" si="120"/>
        <v>0</v>
      </c>
      <c r="BY44" s="92">
        <f ca="1">IFERROR(__xludf.DUMMYFUNCTION("IMPORTRANGE(""https://docs.google.com/spreadsheets/d/1bRrNKwbHDVktQG10isr5vbWRtt5spIZPpkOSWgbT5ug/edit?usp=sharing"",""ศรีสะเกษ!L235"")"),0)</f>
        <v>0</v>
      </c>
      <c r="BZ44" s="92">
        <f ca="1">IFERROR(__xludf.DUMMYFUNCTION("IMPORTRANGE(""https://docs.google.com/spreadsheets/d/1bRrNKwbHDVktQG10isr5vbWRtt5spIZPpkOSWgbT5ug/edit?usp=sharing"",""ศรีสะเกษ!N235"")"),0)</f>
        <v>0</v>
      </c>
      <c r="CA44" s="93">
        <f t="shared" ca="1" si="122"/>
        <v>0</v>
      </c>
      <c r="CB44" s="92">
        <f ca="1">IFERROR(__xludf.DUMMYFUNCTION("IMPORTRANGE(""https://docs.google.com/spreadsheets/d/1bRrNKwbHDVktQG10isr5vbWRtt5spIZPpkOSWgbT5ug/edit?usp=sharing"",""ศรีสะเกษ!L236"")"),0)</f>
        <v>0</v>
      </c>
      <c r="CC44" s="92">
        <f ca="1">IFERROR(__xludf.DUMMYFUNCTION("IMPORTRANGE(""https://docs.google.com/spreadsheets/d/1bRrNKwbHDVktQG10isr5vbWRtt5spIZPpkOSWgbT5ug/edit?usp=sharing"",""ศรีสะเกษ!N236"")"),0)</f>
        <v>0</v>
      </c>
      <c r="CD44" s="93">
        <f t="shared" ca="1" si="124"/>
        <v>0</v>
      </c>
      <c r="CE44" s="92">
        <f ca="1">IFERROR(__xludf.DUMMYFUNCTION("IMPORTRANGE(""https://docs.google.com/spreadsheets/d/1bRrNKwbHDVktQG10isr5vbWRtt5spIZPpkOSWgbT5ug/edit?usp=sharing"",""ศรีสะเกษ!I238"")"),0)</f>
        <v>0</v>
      </c>
      <c r="CF44" s="92">
        <f ca="1">IFERROR(__xludf.DUMMYFUNCTION("IMPORTRANGE(""https://docs.google.com/spreadsheets/d/1bRrNKwbHDVktQG10isr5vbWRtt5spIZPpkOSWgbT5ug/edit?usp=sharing"",""ศรีสะเกษ!J238"")"),0)</f>
        <v>0</v>
      </c>
      <c r="CG44" s="93">
        <f t="shared" ca="1" si="126"/>
        <v>0</v>
      </c>
      <c r="CH44" s="92">
        <f ca="1">IFERROR(__xludf.DUMMYFUNCTION("IMPORTRANGE(""https://docs.google.com/spreadsheets/d/1bRrNKwbHDVktQG10isr5vbWRtt5spIZPpkOSWgbT5ug/edit?usp=sharing"",""ศรีสะเกษ!J240"")"),0)</f>
        <v>0</v>
      </c>
      <c r="CI44" s="92">
        <f ca="1">IFERROR(__xludf.DUMMYFUNCTION("IMPORTRANGE(""https://docs.google.com/spreadsheets/d/1bRrNKwbHDVktQG10isr5vbWRtt5spIZPpkOSWgbT5ug/edit?usp=sharing"",""ศรีสะเกษ!J241"")"),0)</f>
        <v>0</v>
      </c>
    </row>
    <row r="45" spans="1:87" ht="21" customHeight="1" x14ac:dyDescent="0.3">
      <c r="A45" s="84">
        <v>14</v>
      </c>
      <c r="B45" s="85" t="s">
        <v>67</v>
      </c>
      <c r="C45" s="174">
        <f t="shared" ca="1" si="77"/>
        <v>391900</v>
      </c>
      <c r="D45" s="175">
        <f t="shared" ca="1" si="152"/>
        <v>391900</v>
      </c>
      <c r="E45" s="176">
        <f ca="1">IFERROR(__xludf.DUMMYFUNCTION("IMPORTRANGE(""https://docs.google.com/spreadsheets/d/1-uDff_7J0KD5mKrp0Vvzr7lt3OU09vwQwhkpOPPYv2Y/edit?usp=sharing"",""งบพรบ!CV45"")"),182000)</f>
        <v>182000</v>
      </c>
      <c r="F45" s="176">
        <f ca="1">IFERROR(__xludf.DUMMYFUNCTION("IMPORTRANGE(""https://docs.google.com/spreadsheets/d/1-uDff_7J0KD5mKrp0Vvzr7lt3OU09vwQwhkpOPPYv2Y/edit?usp=sharing"",""งบพรบ!CW45"")"),209900)</f>
        <v>209900</v>
      </c>
      <c r="G45" s="176">
        <f ca="1">IFERROR(__xludf.DUMMYFUNCTION("IMPORTRANGE(""https://docs.google.com/spreadsheets/d/1-uDff_7J0KD5mKrp0Vvzr7lt3OU09vwQwhkpOPPYv2Y/edit?usp=sharing"",""งบพรบ!CX45"")"),0)</f>
        <v>0</v>
      </c>
      <c r="H45" s="176">
        <f ca="1">IFERROR(__xludf.DUMMYFUNCTION("IMPORTRANGE(""https://docs.google.com/spreadsheets/d/1-uDff_7J0KD5mKrp0Vvzr7lt3OU09vwQwhkpOPPYv2Y/edit?usp=sharing"",""งบพรบ!CZ45"")"),322900)</f>
        <v>322900</v>
      </c>
      <c r="I45" s="176">
        <f ca="1">IFERROR(__xludf.DUMMYFUNCTION("IMPORTRANGE(""https://docs.google.com/spreadsheets/d/1-uDff_7J0KD5mKrp0Vvzr7lt3OU09vwQwhkpOPPYv2Y/edit?usp=sharing"",""งบพรบ!DA45"")"),0)</f>
        <v>0</v>
      </c>
      <c r="J45" s="176">
        <f t="shared" ca="1" si="79"/>
        <v>91599.96</v>
      </c>
      <c r="K45" s="181">
        <f t="shared" ca="1" si="80"/>
        <v>23.373299311048736</v>
      </c>
      <c r="L45" s="176">
        <f ca="1">IFERROR(__xludf.DUMMYFUNCTION("IMPORTRANGE(""https://docs.google.com/spreadsheets/d/1-uDff_7J0KD5mKrp0Vvzr7lt3OU09vwQwhkpOPPYv2Y/edit?usp=sharing"",""งบพรบ!DB45"")"),91599.96)</f>
        <v>91599.96</v>
      </c>
      <c r="M45" s="179">
        <f t="shared" ca="1" si="81"/>
        <v>23.373299311048736</v>
      </c>
      <c r="N45" s="179">
        <f t="shared" ca="1" si="82"/>
        <v>28.367903375658098</v>
      </c>
      <c r="O45" s="180">
        <f ca="1">IFERROR(__xludf.DUMMYFUNCTION("IMPORTRANGE(""https://docs.google.com/spreadsheets/d/1-uDff_7J0KD5mKrp0Vvzr7lt3OU09vwQwhkpOPPYv2Y/edit?usp=sharing"",""งบพรบ!DC45"")"),0)</f>
        <v>0</v>
      </c>
      <c r="P45" s="180">
        <f t="shared" ca="1" si="83"/>
        <v>0</v>
      </c>
      <c r="Q45" s="179">
        <f t="shared" ca="1" si="84"/>
        <v>0</v>
      </c>
      <c r="R45" s="92">
        <f ca="1">IFERROR(__xludf.DUMMYFUNCTION("IMPORTRANGE(""https://docs.google.com/spreadsheets/d/17P34_Ow5kFBfdQD0qspb2UuPX5zpi6WMrQzslghyvrI/edit?usp=sharing"",""สกลนคร!L196"")"),6000)</f>
        <v>6000</v>
      </c>
      <c r="S45" s="92">
        <f ca="1">IFERROR(__xludf.DUMMYFUNCTION("IMPORTRANGE(""https://docs.google.com/spreadsheets/d/17P34_Ow5kFBfdQD0qspb2UuPX5zpi6WMrQzslghyvrI/edit?usp=sharing"",""สกลนคร!N196"")"),0)</f>
        <v>0</v>
      </c>
      <c r="T45" s="93">
        <f t="shared" ca="1" si="86"/>
        <v>0</v>
      </c>
      <c r="U45" s="92">
        <f ca="1">IFERROR(__xludf.DUMMYFUNCTION("IMPORTRANGE(""https://docs.google.com/spreadsheets/d/17P34_Ow5kFBfdQD0qspb2UuPX5zpi6WMrQzslghyvrI/edit?usp=sharing"",""สกลนคร!I198"")"),4)</f>
        <v>4</v>
      </c>
      <c r="V45" s="92">
        <f ca="1">IFERROR(__xludf.DUMMYFUNCTION("IMPORTRANGE(""https://docs.google.com/spreadsheets/d/17P34_Ow5kFBfdQD0qspb2UuPX5zpi6WMrQzslghyvrI/edit?usp=sharing"",""สกลนคร!J198"")"),0)</f>
        <v>0</v>
      </c>
      <c r="W45" s="93">
        <f t="shared" ca="1" si="88"/>
        <v>0</v>
      </c>
      <c r="X45" s="92">
        <f ca="1">IFERROR(__xludf.DUMMYFUNCTION("IMPORTRANGE(""https://docs.google.com/spreadsheets/d/17P34_Ow5kFBfdQD0qspb2UuPX5zpi6WMrQzslghyvrI/edit?usp=sharing"",""สกลนคร!J199"")"),0)</f>
        <v>0</v>
      </c>
      <c r="Y45" s="92">
        <f ca="1">IFERROR(__xludf.DUMMYFUNCTION("IMPORTRANGE(""https://docs.google.com/spreadsheets/d/17P34_Ow5kFBfdQD0qspb2UuPX5zpi6WMrQzslghyvrI/edit?usp=sharing"",""สกลนคร!J200"")"),0)</f>
        <v>0</v>
      </c>
      <c r="Z45" s="92">
        <f ca="1">IFERROR(__xludf.DUMMYFUNCTION("IMPORTRANGE(""https://docs.google.com/spreadsheets/d/17P34_Ow5kFBfdQD0qspb2UuPX5zpi6WMrQzslghyvrI/edit?usp=sharing"",""สกลนคร!J201"")"),0)</f>
        <v>0</v>
      </c>
      <c r="AA45" s="92">
        <f ca="1">IFERROR(__xludf.DUMMYFUNCTION("IMPORTRANGE(""https://docs.google.com/spreadsheets/d/17P34_Ow5kFBfdQD0qspb2UuPX5zpi6WMrQzslghyvrI/edit?usp=sharing"",""สกลนคร!L204"")"),2000)</f>
        <v>2000</v>
      </c>
      <c r="AB45" s="92">
        <f ca="1">IFERROR(__xludf.DUMMYFUNCTION("IMPORTRANGE(""https://docs.google.com/spreadsheets/d/17P34_Ow5kFBfdQD0qspb2UuPX5zpi6WMrQzslghyvrI/edit?usp=sharing"",""สกลนคร!N204"")"),0)</f>
        <v>0</v>
      </c>
      <c r="AC45" s="93">
        <f t="shared" ca="1" si="90"/>
        <v>0</v>
      </c>
      <c r="AD45" s="92">
        <f ca="1">IFERROR(__xludf.DUMMYFUNCTION("IMPORTRANGE(""https://docs.google.com/spreadsheets/d/17P34_Ow5kFBfdQD0qspb2UuPX5zpi6WMrQzslghyvrI/edit?usp=sharing"",""สกลนคร!L206"")"),16000)</f>
        <v>16000</v>
      </c>
      <c r="AE45" s="92">
        <f ca="1">IFERROR(__xludf.DUMMYFUNCTION("IMPORTRANGE(""https://docs.google.com/spreadsheets/d/17P34_Ow5kFBfdQD0qspb2UuPX5zpi6WMrQzslghyvrI/edit?usp=sharing"",""สกลนคร!N206"")"),0)</f>
        <v>0</v>
      </c>
      <c r="AF45" s="93">
        <f t="shared" ca="1" si="92"/>
        <v>0</v>
      </c>
      <c r="AG45" s="92">
        <f ca="1">IFERROR(__xludf.DUMMYFUNCTION("IMPORTRANGE(""https://docs.google.com/spreadsheets/d/17P34_Ow5kFBfdQD0qspb2UuPX5zpi6WMrQzslghyvrI/edit?usp=sharing"",""สกลนคร!L207"")"),11000)</f>
        <v>11000</v>
      </c>
      <c r="AH45" s="92">
        <f ca="1">IFERROR(__xludf.DUMMYFUNCTION("IMPORTRANGE(""https://docs.google.com/spreadsheets/d/17P34_Ow5kFBfdQD0qspb2UuPX5zpi6WMrQzslghyvrI/edit?usp=sharing"",""สกลนคร!N207"")"),0)</f>
        <v>0</v>
      </c>
      <c r="AI45" s="93">
        <f t="shared" ca="1" si="94"/>
        <v>0</v>
      </c>
      <c r="AJ45" s="92">
        <f ca="1">IFERROR(__xludf.DUMMYFUNCTION("IMPORTRANGE(""https://docs.google.com/spreadsheets/d/17P34_Ow5kFBfdQD0qspb2UuPX5zpi6WMrQzslghyvrI/edit?usp=sharing"",""สกลนคร!I209"")"),2)</f>
        <v>2</v>
      </c>
      <c r="AK45" s="92">
        <f ca="1">IFERROR(__xludf.DUMMYFUNCTION("IMPORTRANGE(""https://docs.google.com/spreadsheets/d/17P34_Ow5kFBfdQD0qspb2UuPX5zpi6WMrQzslghyvrI/edit?usp=sharing"",""สกลนคร!J209"")"),0)</f>
        <v>0</v>
      </c>
      <c r="AL45" s="93">
        <f t="shared" ca="1" si="96"/>
        <v>0</v>
      </c>
      <c r="AM45" s="92">
        <f ca="1">IFERROR(__xludf.DUMMYFUNCTION("IMPORTRANGE(""https://docs.google.com/spreadsheets/d/17P34_Ow5kFBfdQD0qspb2UuPX5zpi6WMrQzslghyvrI/edit?usp=sharing"",""สกลนคร!J211"")"),0)</f>
        <v>0</v>
      </c>
      <c r="AN45" s="92">
        <f ca="1">IFERROR(__xludf.DUMMYFUNCTION("IMPORTRANGE(""https://docs.google.com/spreadsheets/d/17P34_Ow5kFBfdQD0qspb2UuPX5zpi6WMrQzslghyvrI/edit?usp=sharing"",""สกลนคร!J212"")"),0)</f>
        <v>0</v>
      </c>
      <c r="AO45" s="92">
        <f ca="1">IFERROR(__xludf.DUMMYFUNCTION("IMPORTRANGE(""https://docs.google.com/spreadsheets/d/17P34_Ow5kFBfdQD0qspb2UuPX5zpi6WMrQzslghyvrI/edit?usp=sharing"",""สกลนคร!L215"")"),0)</f>
        <v>0</v>
      </c>
      <c r="AP45" s="92">
        <f ca="1">IFERROR(__xludf.DUMMYFUNCTION("IMPORTRANGE(""https://docs.google.com/spreadsheets/d/17P34_Ow5kFBfdQD0qspb2UuPX5zpi6WMrQzslghyvrI/edit?usp=sharing"",""สกลนคร!N215"")"),0)</f>
        <v>0</v>
      </c>
      <c r="AQ45" s="93">
        <f t="shared" ca="1" si="98"/>
        <v>0</v>
      </c>
      <c r="AR45" s="92">
        <f ca="1">IFERROR(__xludf.DUMMYFUNCTION("IMPORTRANGE(""https://docs.google.com/spreadsheets/d/17P34_Ow5kFBfdQD0qspb2UuPX5zpi6WMrQzslghyvrI/edit?usp=sharing"",""สกลนคร!L216"")"),0)</f>
        <v>0</v>
      </c>
      <c r="AS45" s="92">
        <f ca="1">IFERROR(__xludf.DUMMYFUNCTION("IMPORTRANGE(""https://docs.google.com/spreadsheets/d/17P34_Ow5kFBfdQD0qspb2UuPX5zpi6WMrQzslghyvrI/edit?usp=sharing"",""สกลนคร!N216"")"),0)</f>
        <v>0</v>
      </c>
      <c r="AT45" s="93">
        <f t="shared" ca="1" si="100"/>
        <v>0</v>
      </c>
      <c r="AU45" s="92">
        <f ca="1">IFERROR(__xludf.DUMMYFUNCTION("IMPORTRANGE(""https://docs.google.com/spreadsheets/d/17P34_Ow5kFBfdQD0qspb2UuPX5zpi6WMrQzslghyvrI/edit?usp=sharing"",""สกลนคร!L217"")"),0)</f>
        <v>0</v>
      </c>
      <c r="AV45" s="92">
        <f ca="1">IFERROR(__xludf.DUMMYFUNCTION("IMPORTRANGE(""https://docs.google.com/spreadsheets/d/17P34_Ow5kFBfdQD0qspb2UuPX5zpi6WMrQzslghyvrI/edit?usp=sharing"",""สกลนคร!N217"")"),0)</f>
        <v>0</v>
      </c>
      <c r="AW45" s="93">
        <f t="shared" ca="1" si="102"/>
        <v>0</v>
      </c>
      <c r="AX45" s="92">
        <f ca="1">IFERROR(__xludf.DUMMYFUNCTION("IMPORTRANGE(""https://docs.google.com/spreadsheets/d/17P34_Ow5kFBfdQD0qspb2UuPX5zpi6WMrQzslghyvrI/edit?usp=sharing"",""สกลนคร!I219"")"),0)</f>
        <v>0</v>
      </c>
      <c r="AY45" s="92">
        <f ca="1">IFERROR(__xludf.DUMMYFUNCTION("IMPORTRANGE(""https://docs.google.com/spreadsheets/d/17P34_Ow5kFBfdQD0qspb2UuPX5zpi6WMrQzslghyvrI/edit?usp=sharing"",""สกลนคร!J219"")"),0)</f>
        <v>0</v>
      </c>
      <c r="AZ45" s="93">
        <f t="shared" ca="1" si="104"/>
        <v>0</v>
      </c>
      <c r="BA45" s="92">
        <f ca="1">IFERROR(__xludf.DUMMYFUNCTION("IMPORTRANGE(""https://docs.google.com/spreadsheets/d/17P34_Ow5kFBfdQD0qspb2UuPX5zpi6WMrQzslghyvrI/edit?usp=sharing"",""สกลนคร!I220"")"),0)</f>
        <v>0</v>
      </c>
      <c r="BB45" s="92">
        <f ca="1">IFERROR(__xludf.DUMMYFUNCTION("IMPORTRANGE(""https://docs.google.com/spreadsheets/d/17P34_Ow5kFBfdQD0qspb2UuPX5zpi6WMrQzslghyvrI/edit?usp=sharing"",""สกลนคร!J220"")"),0)</f>
        <v>0</v>
      </c>
      <c r="BC45" s="93">
        <f t="shared" ca="1" si="106"/>
        <v>0</v>
      </c>
      <c r="BD45" s="92">
        <f ca="1">IFERROR(__xludf.DUMMYFUNCTION("IMPORTRANGE(""https://docs.google.com/spreadsheets/d/17P34_Ow5kFBfdQD0qspb2UuPX5zpi6WMrQzslghyvrI/edit?usp=sharing"",""สกลนคร!L223"")"),3000)</f>
        <v>3000</v>
      </c>
      <c r="BE45" s="92">
        <f ca="1">IFERROR(__xludf.DUMMYFUNCTION("IMPORTRANGE(""https://docs.google.com/spreadsheets/d/17P34_Ow5kFBfdQD0qspb2UuPX5zpi6WMrQzslghyvrI/edit?usp=sharing"",""สกลนคร!N223"")"),0)</f>
        <v>0</v>
      </c>
      <c r="BF45" s="93">
        <f t="shared" ca="1" si="108"/>
        <v>0</v>
      </c>
      <c r="BG45" s="92">
        <f ca="1">IFERROR(__xludf.DUMMYFUNCTION("IMPORTRANGE(""https://docs.google.com/spreadsheets/d/17P34_Ow5kFBfdQD0qspb2UuPX5zpi6WMrQzslghyvrI/edit?usp=sharing"",""สกลนคร!L224"")"),1500)</f>
        <v>1500</v>
      </c>
      <c r="BH45" s="92">
        <f ca="1">IFERROR(__xludf.DUMMYFUNCTION("IMPORTRANGE(""https://docs.google.com/spreadsheets/d/17P34_Ow5kFBfdQD0qspb2UuPX5zpi6WMrQzslghyvrI/edit?usp=sharing"",""สกลนคร!N224"")"),0)</f>
        <v>0</v>
      </c>
      <c r="BI45" s="93">
        <f t="shared" ca="1" si="110"/>
        <v>0</v>
      </c>
      <c r="BJ45" s="92">
        <f ca="1">IFERROR(__xludf.DUMMYFUNCTION("IMPORTRANGE(""https://docs.google.com/spreadsheets/d/17P34_Ow5kFBfdQD0qspb2UuPX5zpi6WMrQzslghyvrI/edit?usp=sharing"",""สกลนคร!I228"")"),12800)</f>
        <v>12800</v>
      </c>
      <c r="BK45" s="92">
        <f ca="1">IFERROR(__xludf.DUMMYFUNCTION("IMPORTRANGE(""https://docs.google.com/spreadsheets/d/17P34_Ow5kFBfdQD0qspb2UuPX5zpi6WMrQzslghyvrI/edit?usp=sharing"",""สกลนคร!J228"")"),0)</f>
        <v>0</v>
      </c>
      <c r="BL45" s="93">
        <f t="shared" ca="1" si="112"/>
        <v>0</v>
      </c>
      <c r="BM45" s="92">
        <f ca="1">IFERROR(__xludf.DUMMYFUNCTION("IMPORTRANGE(""https://docs.google.com/spreadsheets/d/17P34_Ow5kFBfdQD0qspb2UuPX5zpi6WMrQzslghyvrI/edit?usp=sharing"",""สกลนคร!I229"")"),12800)</f>
        <v>12800</v>
      </c>
      <c r="BN45" s="92">
        <f ca="1">IFERROR(__xludf.DUMMYFUNCTION("IMPORTRANGE(""https://docs.google.com/spreadsheets/d/17P34_Ow5kFBfdQD0qspb2UuPX5zpi6WMrQzslghyvrI/edit?usp=sharing"",""สกลนคร!J229"")"),0)</f>
        <v>0</v>
      </c>
      <c r="BO45" s="93">
        <f t="shared" ca="1" si="114"/>
        <v>0</v>
      </c>
      <c r="BP45" s="92">
        <f ca="1">IFERROR(__xludf.DUMMYFUNCTION("IMPORTRANGE(""https://docs.google.com/spreadsheets/d/17P34_Ow5kFBfdQD0qspb2UuPX5zpi6WMrQzslghyvrI/edit?usp=sharing"",""สกลนคร!I230"")"),0)</f>
        <v>0</v>
      </c>
      <c r="BQ45" s="92">
        <f ca="1">IFERROR(__xludf.DUMMYFUNCTION("IMPORTRANGE(""https://docs.google.com/spreadsheets/d/17P34_Ow5kFBfdQD0qspb2UuPX5zpi6WMrQzslghyvrI/edit?usp=sharing"",""สกลนคร!J230"")"),0)</f>
        <v>0</v>
      </c>
      <c r="BR45" s="93">
        <f t="shared" ca="1" si="116"/>
        <v>0</v>
      </c>
      <c r="BS45" s="92">
        <f ca="1">IFERROR(__xludf.DUMMYFUNCTION("IMPORTRANGE(""https://docs.google.com/spreadsheets/d/17P34_Ow5kFBfdQD0qspb2UuPX5zpi6WMrQzslghyvrI/edit?usp=sharing"",""สกลนคร!L233"")"),10000)</f>
        <v>10000</v>
      </c>
      <c r="BT45" s="92">
        <f ca="1">IFERROR(__xludf.DUMMYFUNCTION("IMPORTRANGE(""https://docs.google.com/spreadsheets/d/17P34_Ow5kFBfdQD0qspb2UuPX5zpi6WMrQzslghyvrI/edit?usp=sharing"",""สกลนคร!N233"")"),0)</f>
        <v>0</v>
      </c>
      <c r="BU45" s="93">
        <f t="shared" ca="1" si="118"/>
        <v>0</v>
      </c>
      <c r="BV45" s="92">
        <f ca="1">IFERROR(__xludf.DUMMYFUNCTION("IMPORTRANGE(""https://docs.google.com/spreadsheets/d/17P34_Ow5kFBfdQD0qspb2UuPX5zpi6WMrQzslghyvrI/edit?usp=sharing"",""สกลนคร!L234"")"),3000)</f>
        <v>3000</v>
      </c>
      <c r="BW45" s="92">
        <f ca="1">IFERROR(__xludf.DUMMYFUNCTION("IMPORTRANGE(""https://docs.google.com/spreadsheets/d/17P34_Ow5kFBfdQD0qspb2UuPX5zpi6WMrQzslghyvrI/edit?usp=sharing"",""สกลนคร!N234"")"),0)</f>
        <v>0</v>
      </c>
      <c r="BX45" s="93">
        <f t="shared" ca="1" si="120"/>
        <v>0</v>
      </c>
      <c r="BY45" s="92">
        <f ca="1">IFERROR(__xludf.DUMMYFUNCTION("IMPORTRANGE(""https://docs.google.com/spreadsheets/d/17P34_Ow5kFBfdQD0qspb2UuPX5zpi6WMrQzslghyvrI/edit?usp=sharing"",""สกลนคร!L235"")"),124400)</f>
        <v>124400</v>
      </c>
      <c r="BZ45" s="92">
        <f ca="1">IFERROR(__xludf.DUMMYFUNCTION("IMPORTRANGE(""https://docs.google.com/spreadsheets/d/17P34_Ow5kFBfdQD0qspb2UuPX5zpi6WMrQzslghyvrI/edit?usp=sharing"",""สกลนคร!N235"")"),0)</f>
        <v>0</v>
      </c>
      <c r="CA45" s="93">
        <f t="shared" ca="1" si="122"/>
        <v>0</v>
      </c>
      <c r="CB45" s="92">
        <f ca="1">IFERROR(__xludf.DUMMYFUNCTION("IMPORTRANGE(""https://docs.google.com/spreadsheets/d/17P34_Ow5kFBfdQD0qspb2UuPX5zpi6WMrQzslghyvrI/edit?usp=sharing"",""สกลนคร!L236"")"),33000)</f>
        <v>33000</v>
      </c>
      <c r="CC45" s="92">
        <f ca="1">IFERROR(__xludf.DUMMYFUNCTION("IMPORTRANGE(""https://docs.google.com/spreadsheets/d/17P34_Ow5kFBfdQD0qspb2UuPX5zpi6WMrQzslghyvrI/edit?usp=sharing"",""สกลนคร!N236"")"),0)</f>
        <v>0</v>
      </c>
      <c r="CD45" s="93">
        <f t="shared" ca="1" si="124"/>
        <v>0</v>
      </c>
      <c r="CE45" s="92">
        <f ca="1">IFERROR(__xludf.DUMMYFUNCTION("IMPORTRANGE(""https://docs.google.com/spreadsheets/d/17P34_Ow5kFBfdQD0qspb2UuPX5zpi6WMrQzslghyvrI/edit?usp=sharing"",""สกลนคร!I238"")"),40)</f>
        <v>40</v>
      </c>
      <c r="CF45" s="92">
        <f ca="1">IFERROR(__xludf.DUMMYFUNCTION("IMPORTRANGE(""https://docs.google.com/spreadsheets/d/17P34_Ow5kFBfdQD0qspb2UuPX5zpi6WMrQzslghyvrI/edit?usp=sharing"",""สกลนคร!J238"")"),0)</f>
        <v>0</v>
      </c>
      <c r="CG45" s="93">
        <f t="shared" ca="1" si="126"/>
        <v>0</v>
      </c>
      <c r="CH45" s="92">
        <f ca="1">IFERROR(__xludf.DUMMYFUNCTION("IMPORTRANGE(""https://docs.google.com/spreadsheets/d/17P34_Ow5kFBfdQD0qspb2UuPX5zpi6WMrQzslghyvrI/edit?usp=sharing"",""สกลนคร!J240"")"),0)</f>
        <v>0</v>
      </c>
      <c r="CI45" s="92">
        <f ca="1">IFERROR(__xludf.DUMMYFUNCTION("IMPORTRANGE(""https://docs.google.com/spreadsheets/d/17P34_Ow5kFBfdQD0qspb2UuPX5zpi6WMrQzslghyvrI/edit?usp=sharing"",""สกลนคร!J241"")"),0)</f>
        <v>0</v>
      </c>
    </row>
    <row r="46" spans="1:87" ht="21" customHeight="1" x14ac:dyDescent="0.3">
      <c r="A46" s="84">
        <v>15</v>
      </c>
      <c r="B46" s="85" t="s">
        <v>68</v>
      </c>
      <c r="C46" s="174">
        <f t="shared" ca="1" si="77"/>
        <v>65500</v>
      </c>
      <c r="D46" s="175">
        <f t="shared" ca="1" si="152"/>
        <v>65500</v>
      </c>
      <c r="E46" s="176">
        <f ca="1">IFERROR(__xludf.DUMMYFUNCTION("IMPORTRANGE(""https://docs.google.com/spreadsheets/d/1-uDff_7J0KD5mKrp0Vvzr7lt3OU09vwQwhkpOPPYv2Y/edit?usp=sharing"",""งบพรบ!CV46"")"),0)</f>
        <v>0</v>
      </c>
      <c r="F46" s="176">
        <f ca="1">IFERROR(__xludf.DUMMYFUNCTION("IMPORTRANGE(""https://docs.google.com/spreadsheets/d/1-uDff_7J0KD5mKrp0Vvzr7lt3OU09vwQwhkpOPPYv2Y/edit?usp=sharing"",""งบพรบ!CW46"")"),65500)</f>
        <v>65500</v>
      </c>
      <c r="G46" s="176">
        <f ca="1">IFERROR(__xludf.DUMMYFUNCTION("IMPORTRANGE(""https://docs.google.com/spreadsheets/d/1-uDff_7J0KD5mKrp0Vvzr7lt3OU09vwQwhkpOPPYv2Y/edit?usp=sharing"",""งบพรบ!CX46"")"),0)</f>
        <v>0</v>
      </c>
      <c r="H46" s="176">
        <f ca="1">IFERROR(__xludf.DUMMYFUNCTION("IMPORTRANGE(""https://docs.google.com/spreadsheets/d/1-uDff_7J0KD5mKrp0Vvzr7lt3OU09vwQwhkpOPPYv2Y/edit?usp=sharing"",""งบพรบ!CZ46"")"),40500)</f>
        <v>40500</v>
      </c>
      <c r="I46" s="176">
        <f ca="1">IFERROR(__xludf.DUMMYFUNCTION("IMPORTRANGE(""https://docs.google.com/spreadsheets/d/1-uDff_7J0KD5mKrp0Vvzr7lt3OU09vwQwhkpOPPYv2Y/edit?usp=sharing"",""งบพรบ!DA46"")"),0)</f>
        <v>0</v>
      </c>
      <c r="J46" s="176">
        <f t="shared" ca="1" si="79"/>
        <v>1500</v>
      </c>
      <c r="K46" s="181">
        <f t="shared" ca="1" si="80"/>
        <v>2.2900763358778624</v>
      </c>
      <c r="L46" s="176">
        <f ca="1">IFERROR(__xludf.DUMMYFUNCTION("IMPORTRANGE(""https://docs.google.com/spreadsheets/d/1-uDff_7J0KD5mKrp0Vvzr7lt3OU09vwQwhkpOPPYv2Y/edit?usp=sharing"",""งบพรบ!DB46"")"),1500)</f>
        <v>1500</v>
      </c>
      <c r="M46" s="179">
        <f t="shared" ca="1" si="81"/>
        <v>2.2900763358778624</v>
      </c>
      <c r="N46" s="179">
        <f t="shared" ca="1" si="82"/>
        <v>3.7037037037037037</v>
      </c>
      <c r="O46" s="180">
        <f ca="1">IFERROR(__xludf.DUMMYFUNCTION("IMPORTRANGE(""https://docs.google.com/spreadsheets/d/1-uDff_7J0KD5mKrp0Vvzr7lt3OU09vwQwhkpOPPYv2Y/edit?usp=sharing"",""งบพรบ!DC46"")"),0)</f>
        <v>0</v>
      </c>
      <c r="P46" s="180">
        <f t="shared" ca="1" si="83"/>
        <v>0</v>
      </c>
      <c r="Q46" s="179">
        <f t="shared" ca="1" si="84"/>
        <v>0</v>
      </c>
      <c r="R46" s="92">
        <f ca="1">IFERROR(__xludf.DUMMYFUNCTION("IMPORTRANGE(""https://docs.google.com/spreadsheets/d/1yswqbM3-AEpThF3ZSUa1AcmHnmRTF1vlJ1CZGcJ8YuU/edit?usp=sharing"",""สุรินทร์!L196"")"),6000)</f>
        <v>6000</v>
      </c>
      <c r="S46" s="92">
        <f ca="1">IFERROR(__xludf.DUMMYFUNCTION("IMPORTRANGE(""https://docs.google.com/spreadsheets/d/1yswqbM3-AEpThF3ZSUa1AcmHnmRTF1vlJ1CZGcJ8YuU/edit?usp=sharing"",""สุรินทร์!N196"")"),0)</f>
        <v>0</v>
      </c>
      <c r="T46" s="93">
        <f t="shared" ca="1" si="86"/>
        <v>0</v>
      </c>
      <c r="U46" s="92">
        <f ca="1">IFERROR(__xludf.DUMMYFUNCTION("IMPORTRANGE(""https://docs.google.com/spreadsheets/d/1yswqbM3-AEpThF3ZSUa1AcmHnmRTF1vlJ1CZGcJ8YuU/edit?usp=sharing"",""สุรินทร์!I198"")"),4)</f>
        <v>4</v>
      </c>
      <c r="V46" s="92">
        <f ca="1">IFERROR(__xludf.DUMMYFUNCTION("IMPORTRANGE(""https://docs.google.com/spreadsheets/d/1yswqbM3-AEpThF3ZSUa1AcmHnmRTF1vlJ1CZGcJ8YuU/edit?usp=sharing"",""สุรินทร์!J198"")"),0)</f>
        <v>0</v>
      </c>
      <c r="W46" s="93">
        <f t="shared" ca="1" si="88"/>
        <v>0</v>
      </c>
      <c r="X46" s="92">
        <f ca="1">IFERROR(__xludf.DUMMYFUNCTION("IMPORTRANGE(""https://docs.google.com/spreadsheets/d/1yswqbM3-AEpThF3ZSUa1AcmHnmRTF1vlJ1CZGcJ8YuU/edit?usp=sharing"",""สุรินทร์!J199"")"),0)</f>
        <v>0</v>
      </c>
      <c r="Y46" s="92">
        <f ca="1">IFERROR(__xludf.DUMMYFUNCTION("IMPORTRANGE(""https://docs.google.com/spreadsheets/d/1yswqbM3-AEpThF3ZSUa1AcmHnmRTF1vlJ1CZGcJ8YuU/edit?usp=sharing"",""สุรินทร์!J200"")"),0)</f>
        <v>0</v>
      </c>
      <c r="Z46" s="92">
        <f ca="1">IFERROR(__xludf.DUMMYFUNCTION("IMPORTRANGE(""https://docs.google.com/spreadsheets/d/1yswqbM3-AEpThF3ZSUa1AcmHnmRTF1vlJ1CZGcJ8YuU/edit?usp=sharing"",""สุรินทร์!J201"")"),0)</f>
        <v>0</v>
      </c>
      <c r="AA46" s="92">
        <f ca="1">IFERROR(__xludf.DUMMYFUNCTION("IMPORTRANGE(""https://docs.google.com/spreadsheets/d/1yswqbM3-AEpThF3ZSUa1AcmHnmRTF1vlJ1CZGcJ8YuU/edit?usp=sharing"",""สุรินทร์!L204"")"),1000)</f>
        <v>1000</v>
      </c>
      <c r="AB46" s="92">
        <f ca="1">IFERROR(__xludf.DUMMYFUNCTION("IMPORTRANGE(""https://docs.google.com/spreadsheets/d/1yswqbM3-AEpThF3ZSUa1AcmHnmRTF1vlJ1CZGcJ8YuU/edit?usp=sharing"",""สุรินทร์!N204"")"),0)</f>
        <v>0</v>
      </c>
      <c r="AC46" s="93">
        <f t="shared" ca="1" si="90"/>
        <v>0</v>
      </c>
      <c r="AD46" s="92">
        <f ca="1">IFERROR(__xludf.DUMMYFUNCTION("IMPORTRANGE(""https://docs.google.com/spreadsheets/d/1yswqbM3-AEpThF3ZSUa1AcmHnmRTF1vlJ1CZGcJ8YuU/edit?usp=sharing"",""สุรินทร์!L206"")"),8000)</f>
        <v>8000</v>
      </c>
      <c r="AE46" s="92">
        <f ca="1">IFERROR(__xludf.DUMMYFUNCTION("IMPORTRANGE(""https://docs.google.com/spreadsheets/d/1yswqbM3-AEpThF3ZSUa1AcmHnmRTF1vlJ1CZGcJ8YuU/edit?usp=sharing"",""สุรินทร์!N206"")"),0)</f>
        <v>0</v>
      </c>
      <c r="AF46" s="93">
        <f t="shared" ca="1" si="92"/>
        <v>0</v>
      </c>
      <c r="AG46" s="92">
        <f ca="1">IFERROR(__xludf.DUMMYFUNCTION("IMPORTRANGE(""https://docs.google.com/spreadsheets/d/1yswqbM3-AEpThF3ZSUa1AcmHnmRTF1vlJ1CZGcJ8YuU/edit?usp=sharing"",""สุรินทร์!L207"")"),4000)</f>
        <v>4000</v>
      </c>
      <c r="AH46" s="92">
        <f ca="1">IFERROR(__xludf.DUMMYFUNCTION("IMPORTRANGE(""https://docs.google.com/spreadsheets/d/1yswqbM3-AEpThF3ZSUa1AcmHnmRTF1vlJ1CZGcJ8YuU/edit?usp=sharing"",""สุรินทร์!N207"")"),0)</f>
        <v>0</v>
      </c>
      <c r="AI46" s="93">
        <f t="shared" ca="1" si="94"/>
        <v>0</v>
      </c>
      <c r="AJ46" s="92">
        <f ca="1">IFERROR(__xludf.DUMMYFUNCTION("IMPORTRANGE(""https://docs.google.com/spreadsheets/d/1yswqbM3-AEpThF3ZSUa1AcmHnmRTF1vlJ1CZGcJ8YuU/edit?usp=sharing"",""สุรินทร์!I209"")"),1)</f>
        <v>1</v>
      </c>
      <c r="AK46" s="92">
        <f ca="1">IFERROR(__xludf.DUMMYFUNCTION("IMPORTRANGE(""https://docs.google.com/spreadsheets/d/1yswqbM3-AEpThF3ZSUa1AcmHnmRTF1vlJ1CZGcJ8YuU/edit?usp=sharing"",""สุรินทร์!J209"")"),0)</f>
        <v>0</v>
      </c>
      <c r="AL46" s="93">
        <f t="shared" ca="1" si="96"/>
        <v>0</v>
      </c>
      <c r="AM46" s="92">
        <f ca="1">IFERROR(__xludf.DUMMYFUNCTION("IMPORTRANGE(""https://docs.google.com/spreadsheets/d/1yswqbM3-AEpThF3ZSUa1AcmHnmRTF1vlJ1CZGcJ8YuU/edit?usp=sharing"",""สุรินทร์!J211"")"),0)</f>
        <v>0</v>
      </c>
      <c r="AN46" s="92">
        <f ca="1">IFERROR(__xludf.DUMMYFUNCTION("IMPORTRANGE(""https://docs.google.com/spreadsheets/d/1yswqbM3-AEpThF3ZSUa1AcmHnmRTF1vlJ1CZGcJ8YuU/edit?usp=sharing"",""สุรินทร์!J212"")"),0)</f>
        <v>0</v>
      </c>
      <c r="AO46" s="92">
        <f ca="1">IFERROR(__xludf.DUMMYFUNCTION("IMPORTRANGE(""https://docs.google.com/spreadsheets/d/1yswqbM3-AEpThF3ZSUa1AcmHnmRTF1vlJ1CZGcJ8YuU/edit?usp=sharing"",""สุรินทร์!L215"")"),3000)</f>
        <v>3000</v>
      </c>
      <c r="AP46" s="92">
        <f ca="1">IFERROR(__xludf.DUMMYFUNCTION("IMPORTRANGE(""https://docs.google.com/spreadsheets/d/1yswqbM3-AEpThF3ZSUa1AcmHnmRTF1vlJ1CZGcJ8YuU/edit?usp=sharing"",""สุรินทร์!N215"")"),0)</f>
        <v>0</v>
      </c>
      <c r="AQ46" s="93">
        <f t="shared" ca="1" si="98"/>
        <v>0</v>
      </c>
      <c r="AR46" s="92">
        <f ca="1">IFERROR(__xludf.DUMMYFUNCTION("IMPORTRANGE(""https://docs.google.com/spreadsheets/d/1yswqbM3-AEpThF3ZSUa1AcmHnmRTF1vlJ1CZGcJ8YuU/edit?usp=sharing"",""สุรินทร์!L216"")"),15000)</f>
        <v>15000</v>
      </c>
      <c r="AS46" s="92">
        <f ca="1">IFERROR(__xludf.DUMMYFUNCTION("IMPORTRANGE(""https://docs.google.com/spreadsheets/d/1yswqbM3-AEpThF3ZSUa1AcmHnmRTF1vlJ1CZGcJ8YuU/edit?usp=sharing"",""สุรินทร์!N216"")"),0)</f>
        <v>0</v>
      </c>
      <c r="AT46" s="93">
        <f t="shared" ca="1" si="100"/>
        <v>0</v>
      </c>
      <c r="AU46" s="92">
        <f ca="1">IFERROR(__xludf.DUMMYFUNCTION("IMPORTRANGE(""https://docs.google.com/spreadsheets/d/1yswqbM3-AEpThF3ZSUa1AcmHnmRTF1vlJ1CZGcJ8YuU/edit?usp=sharing"",""สุรินทร์!L217"")"),24000)</f>
        <v>24000</v>
      </c>
      <c r="AV46" s="92">
        <f ca="1">IFERROR(__xludf.DUMMYFUNCTION("IMPORTRANGE(""https://docs.google.com/spreadsheets/d/1yswqbM3-AEpThF3ZSUa1AcmHnmRTF1vlJ1CZGcJ8YuU/edit?usp=sharing"",""สุรินทร์!N217"")"),0)</f>
        <v>0</v>
      </c>
      <c r="AW46" s="93">
        <f t="shared" ca="1" si="102"/>
        <v>0</v>
      </c>
      <c r="AX46" s="92">
        <f ca="1">IFERROR(__xludf.DUMMYFUNCTION("IMPORTRANGE(""https://docs.google.com/spreadsheets/d/1yswqbM3-AEpThF3ZSUa1AcmHnmRTF1vlJ1CZGcJ8YuU/edit?usp=sharing"",""สุรินทร์!I219"")"),3)</f>
        <v>3</v>
      </c>
      <c r="AY46" s="92">
        <f ca="1">IFERROR(__xludf.DUMMYFUNCTION("IMPORTRANGE(""https://docs.google.com/spreadsheets/d/1yswqbM3-AEpThF3ZSUa1AcmHnmRTF1vlJ1CZGcJ8YuU/edit?usp=sharing"",""สุรินทร์!J219"")"),0)</f>
        <v>0</v>
      </c>
      <c r="AZ46" s="93">
        <f t="shared" ca="1" si="104"/>
        <v>0</v>
      </c>
      <c r="BA46" s="92">
        <f ca="1">IFERROR(__xludf.DUMMYFUNCTION("IMPORTRANGE(""https://docs.google.com/spreadsheets/d/1yswqbM3-AEpThF3ZSUa1AcmHnmRTF1vlJ1CZGcJ8YuU/edit?usp=sharing"",""สุรินทร์!I220"")"),3)</f>
        <v>3</v>
      </c>
      <c r="BB46" s="92">
        <f ca="1">IFERROR(__xludf.DUMMYFUNCTION("IMPORTRANGE(""https://docs.google.com/spreadsheets/d/1yswqbM3-AEpThF3ZSUa1AcmHnmRTF1vlJ1CZGcJ8YuU/edit?usp=sharing"",""สุรินทร์!J220"")"),0)</f>
        <v>0</v>
      </c>
      <c r="BC46" s="93">
        <f t="shared" ca="1" si="106"/>
        <v>0</v>
      </c>
      <c r="BD46" s="92">
        <f ca="1">IFERROR(__xludf.DUMMYFUNCTION("IMPORTRANGE(""https://docs.google.com/spreadsheets/d/1yswqbM3-AEpThF3ZSUa1AcmHnmRTF1vlJ1CZGcJ8YuU/edit?usp=sharing"",""สุรินทร์!L223"")"),3000)</f>
        <v>3000</v>
      </c>
      <c r="BE46" s="92">
        <f ca="1">IFERROR(__xludf.DUMMYFUNCTION("IMPORTRANGE(""https://docs.google.com/spreadsheets/d/1yswqbM3-AEpThF3ZSUa1AcmHnmRTF1vlJ1CZGcJ8YuU/edit?usp=sharing"",""สุรินทร์!N223"")"),0)</f>
        <v>0</v>
      </c>
      <c r="BF46" s="93">
        <f t="shared" ca="1" si="108"/>
        <v>0</v>
      </c>
      <c r="BG46" s="92">
        <f ca="1">IFERROR(__xludf.DUMMYFUNCTION("IMPORTRANGE(""https://docs.google.com/spreadsheets/d/1yswqbM3-AEpThF3ZSUa1AcmHnmRTF1vlJ1CZGcJ8YuU/edit?usp=sharing"",""สุรินทร์!L224"")"),1500)</f>
        <v>1500</v>
      </c>
      <c r="BH46" s="92">
        <f ca="1">IFERROR(__xludf.DUMMYFUNCTION("IMPORTRANGE(""https://docs.google.com/spreadsheets/d/1yswqbM3-AEpThF3ZSUa1AcmHnmRTF1vlJ1CZGcJ8YuU/edit?usp=sharing"",""สุรินทร์!N224"")"),0)</f>
        <v>0</v>
      </c>
      <c r="BI46" s="93">
        <f t="shared" ca="1" si="110"/>
        <v>0</v>
      </c>
      <c r="BJ46" s="92">
        <f ca="1">IFERROR(__xludf.DUMMYFUNCTION("IMPORTRANGE(""https://docs.google.com/spreadsheets/d/1yswqbM3-AEpThF3ZSUa1AcmHnmRTF1vlJ1CZGcJ8YuU/edit?usp=sharing"",""สุรินทร์!I228"")"),15000)</f>
        <v>15000</v>
      </c>
      <c r="BK46" s="92">
        <f ca="1">IFERROR(__xludf.DUMMYFUNCTION("IMPORTRANGE(""https://docs.google.com/spreadsheets/d/1yswqbM3-AEpThF3ZSUa1AcmHnmRTF1vlJ1CZGcJ8YuU/edit?usp=sharing"",""สุรินทร์!J228"")"),0)</f>
        <v>0</v>
      </c>
      <c r="BL46" s="93">
        <f t="shared" ca="1" si="112"/>
        <v>0</v>
      </c>
      <c r="BM46" s="92">
        <f ca="1">IFERROR(__xludf.DUMMYFUNCTION("IMPORTRANGE(""https://docs.google.com/spreadsheets/d/1yswqbM3-AEpThF3ZSUa1AcmHnmRTF1vlJ1CZGcJ8YuU/edit?usp=sharing"",""สุรินทร์!I229"")"),15000)</f>
        <v>15000</v>
      </c>
      <c r="BN46" s="92">
        <f ca="1">IFERROR(__xludf.DUMMYFUNCTION("IMPORTRANGE(""https://docs.google.com/spreadsheets/d/1yswqbM3-AEpThF3ZSUa1AcmHnmRTF1vlJ1CZGcJ8YuU/edit?usp=sharing"",""สุรินทร์!J229"")"),0)</f>
        <v>0</v>
      </c>
      <c r="BO46" s="93">
        <f t="shared" ca="1" si="114"/>
        <v>0</v>
      </c>
      <c r="BP46" s="92">
        <f ca="1">IFERROR(__xludf.DUMMYFUNCTION("IMPORTRANGE(""https://docs.google.com/spreadsheets/d/1yswqbM3-AEpThF3ZSUa1AcmHnmRTF1vlJ1CZGcJ8YuU/edit?usp=sharing"",""สุรินทร์!I230"")"),0)</f>
        <v>0</v>
      </c>
      <c r="BQ46" s="92">
        <f ca="1">IFERROR(__xludf.DUMMYFUNCTION("IMPORTRANGE(""https://docs.google.com/spreadsheets/d/1yswqbM3-AEpThF3ZSUa1AcmHnmRTF1vlJ1CZGcJ8YuU/edit?usp=sharing"",""สุรินทร์!J230"")"),0)</f>
        <v>0</v>
      </c>
      <c r="BR46" s="93">
        <f t="shared" ca="1" si="116"/>
        <v>0</v>
      </c>
      <c r="BS46" s="92">
        <f ca="1">IFERROR(__xludf.DUMMYFUNCTION("IMPORTRANGE(""https://docs.google.com/spreadsheets/d/1yswqbM3-AEpThF3ZSUa1AcmHnmRTF1vlJ1CZGcJ8YuU/edit?usp=sharing"",""สุรินทร์!L233"")"),0)</f>
        <v>0</v>
      </c>
      <c r="BT46" s="92">
        <f ca="1">IFERROR(__xludf.DUMMYFUNCTION("IMPORTRANGE(""https://docs.google.com/spreadsheets/d/1yswqbM3-AEpThF3ZSUa1AcmHnmRTF1vlJ1CZGcJ8YuU/edit?usp=sharing"",""สุรินทร์!N233"")"),0)</f>
        <v>0</v>
      </c>
      <c r="BU46" s="93">
        <f t="shared" ca="1" si="118"/>
        <v>0</v>
      </c>
      <c r="BV46" s="92">
        <f ca="1">IFERROR(__xludf.DUMMYFUNCTION("IMPORTRANGE(""https://docs.google.com/spreadsheets/d/1yswqbM3-AEpThF3ZSUa1AcmHnmRTF1vlJ1CZGcJ8YuU/edit?usp=sharing"",""สุรินทร์!L234"")"),0)</f>
        <v>0</v>
      </c>
      <c r="BW46" s="92">
        <f ca="1">IFERROR(__xludf.DUMMYFUNCTION("IMPORTRANGE(""https://docs.google.com/spreadsheets/d/1yswqbM3-AEpThF3ZSUa1AcmHnmRTF1vlJ1CZGcJ8YuU/edit?usp=sharing"",""สุรินทร์!N234"")"),0)</f>
        <v>0</v>
      </c>
      <c r="BX46" s="93">
        <f t="shared" ca="1" si="120"/>
        <v>0</v>
      </c>
      <c r="BY46" s="92">
        <f ca="1">IFERROR(__xludf.DUMMYFUNCTION("IMPORTRANGE(""https://docs.google.com/spreadsheets/d/1yswqbM3-AEpThF3ZSUa1AcmHnmRTF1vlJ1CZGcJ8YuU/edit?usp=sharing"",""สุรินทร์!L235"")"),0)</f>
        <v>0</v>
      </c>
      <c r="BZ46" s="92">
        <f ca="1">IFERROR(__xludf.DUMMYFUNCTION("IMPORTRANGE(""https://docs.google.com/spreadsheets/d/1yswqbM3-AEpThF3ZSUa1AcmHnmRTF1vlJ1CZGcJ8YuU/edit?usp=sharing"",""สุรินทร์!N235"")"),0)</f>
        <v>0</v>
      </c>
      <c r="CA46" s="93">
        <f t="shared" ca="1" si="122"/>
        <v>0</v>
      </c>
      <c r="CB46" s="92">
        <f ca="1">IFERROR(__xludf.DUMMYFUNCTION("IMPORTRANGE(""https://docs.google.com/spreadsheets/d/1yswqbM3-AEpThF3ZSUa1AcmHnmRTF1vlJ1CZGcJ8YuU/edit?usp=sharing"",""สุรินทร์!L236"")"),0)</f>
        <v>0</v>
      </c>
      <c r="CC46" s="92">
        <f ca="1">IFERROR(__xludf.DUMMYFUNCTION("IMPORTRANGE(""https://docs.google.com/spreadsheets/d/1yswqbM3-AEpThF3ZSUa1AcmHnmRTF1vlJ1CZGcJ8YuU/edit?usp=sharing"",""สุรินทร์!N236"")"),0)</f>
        <v>0</v>
      </c>
      <c r="CD46" s="93">
        <f t="shared" ca="1" si="124"/>
        <v>0</v>
      </c>
      <c r="CE46" s="92">
        <f ca="1">IFERROR(__xludf.DUMMYFUNCTION("IMPORTRANGE(""https://docs.google.com/spreadsheets/d/1yswqbM3-AEpThF3ZSUa1AcmHnmRTF1vlJ1CZGcJ8YuU/edit?usp=sharing"",""สุรินทร์!I238"")"),0)</f>
        <v>0</v>
      </c>
      <c r="CF46" s="92">
        <f ca="1">IFERROR(__xludf.DUMMYFUNCTION("IMPORTRANGE(""https://docs.google.com/spreadsheets/d/1yswqbM3-AEpThF3ZSUa1AcmHnmRTF1vlJ1CZGcJ8YuU/edit?usp=sharing"",""สุรินทร์!J238"")"),0)</f>
        <v>0</v>
      </c>
      <c r="CG46" s="93">
        <f t="shared" ca="1" si="126"/>
        <v>0</v>
      </c>
      <c r="CH46" s="92">
        <f ca="1">IFERROR(__xludf.DUMMYFUNCTION("IMPORTRANGE(""https://docs.google.com/spreadsheets/d/1yswqbM3-AEpThF3ZSUa1AcmHnmRTF1vlJ1CZGcJ8YuU/edit?usp=sharing"",""สุรินทร์!J240"")"),0)</f>
        <v>0</v>
      </c>
      <c r="CI46" s="92">
        <f ca="1">IFERROR(__xludf.DUMMYFUNCTION("IMPORTRANGE(""https://docs.google.com/spreadsheets/d/1yswqbM3-AEpThF3ZSUa1AcmHnmRTF1vlJ1CZGcJ8YuU/edit?usp=sharing"",""สุรินทร์!J241"")"),0)</f>
        <v>0</v>
      </c>
    </row>
    <row r="47" spans="1:87" ht="21" customHeight="1" x14ac:dyDescent="0.3">
      <c r="A47" s="84">
        <v>16</v>
      </c>
      <c r="B47" s="85" t="s">
        <v>69</v>
      </c>
      <c r="C47" s="174">
        <f t="shared" ca="1" si="77"/>
        <v>146500</v>
      </c>
      <c r="D47" s="175">
        <f t="shared" ca="1" si="152"/>
        <v>146500</v>
      </c>
      <c r="E47" s="176">
        <f ca="1">IFERROR(__xludf.DUMMYFUNCTION("IMPORTRANGE(""https://docs.google.com/spreadsheets/d/1-uDff_7J0KD5mKrp0Vvzr7lt3OU09vwQwhkpOPPYv2Y/edit?usp=sharing"",""งบพรบ!CV47"")"),91000)</f>
        <v>91000</v>
      </c>
      <c r="F47" s="176">
        <f ca="1">IFERROR(__xludf.DUMMYFUNCTION("IMPORTRANGE(""https://docs.google.com/spreadsheets/d/1-uDff_7J0KD5mKrp0Vvzr7lt3OU09vwQwhkpOPPYv2Y/edit?usp=sharing"",""งบพรบ!CW47"")"),55500)</f>
        <v>55500</v>
      </c>
      <c r="G47" s="176">
        <f ca="1">IFERROR(__xludf.DUMMYFUNCTION("IMPORTRANGE(""https://docs.google.com/spreadsheets/d/1-uDff_7J0KD5mKrp0Vvzr7lt3OU09vwQwhkpOPPYv2Y/edit?usp=sharing"",""งบพรบ!CX47"")"),0)</f>
        <v>0</v>
      </c>
      <c r="H47" s="176">
        <f ca="1">IFERROR(__xludf.DUMMYFUNCTION("IMPORTRANGE(""https://docs.google.com/spreadsheets/d/1-uDff_7J0KD5mKrp0Vvzr7lt3OU09vwQwhkpOPPYv2Y/edit?usp=sharing"",""งบพรบ!CZ47"")"),96500)</f>
        <v>96500</v>
      </c>
      <c r="I47" s="176">
        <f ca="1">IFERROR(__xludf.DUMMYFUNCTION("IMPORTRANGE(""https://docs.google.com/spreadsheets/d/1-uDff_7J0KD5mKrp0Vvzr7lt3OU09vwQwhkpOPPYv2Y/edit?usp=sharing"",""งบพรบ!DA47"")"),0)</f>
        <v>0</v>
      </c>
      <c r="J47" s="176">
        <f t="shared" ca="1" si="79"/>
        <v>26000</v>
      </c>
      <c r="K47" s="181">
        <f t="shared" ca="1" si="80"/>
        <v>17.747440273037544</v>
      </c>
      <c r="L47" s="176">
        <f ca="1">IFERROR(__xludf.DUMMYFUNCTION("IMPORTRANGE(""https://docs.google.com/spreadsheets/d/1-uDff_7J0KD5mKrp0Vvzr7lt3OU09vwQwhkpOPPYv2Y/edit?usp=sharing"",""งบพรบ!DB47"")"),26000)</f>
        <v>26000</v>
      </c>
      <c r="M47" s="179">
        <f t="shared" ca="1" si="81"/>
        <v>17.747440273037544</v>
      </c>
      <c r="N47" s="179">
        <f t="shared" ca="1" si="82"/>
        <v>26.94300518134715</v>
      </c>
      <c r="O47" s="180">
        <f ca="1">IFERROR(__xludf.DUMMYFUNCTION("IMPORTRANGE(""https://docs.google.com/spreadsheets/d/1-uDff_7J0KD5mKrp0Vvzr7lt3OU09vwQwhkpOPPYv2Y/edit?usp=sharing"",""งบพรบ!DC47"")"),0)</f>
        <v>0</v>
      </c>
      <c r="P47" s="180">
        <f t="shared" ca="1" si="83"/>
        <v>0</v>
      </c>
      <c r="Q47" s="179">
        <f t="shared" ca="1" si="84"/>
        <v>0</v>
      </c>
      <c r="R47" s="92">
        <f ca="1">IFERROR(__xludf.DUMMYFUNCTION("IMPORTRANGE(""https://docs.google.com/spreadsheets/d/13JHU_EFbsQOUQ0JSQ3dWy1VTRosIWcDq6Nc99z2qzdc/edit?usp=sharing"",""หนองคาย!L196"")"),6000)</f>
        <v>6000</v>
      </c>
      <c r="S47" s="92">
        <f ca="1">IFERROR(__xludf.DUMMYFUNCTION("IMPORTRANGE(""https://docs.google.com/spreadsheets/d/13JHU_EFbsQOUQ0JSQ3dWy1VTRosIWcDq6Nc99z2qzdc/edit?usp=sharing"",""หนองคาย!N196"")"),0)</f>
        <v>0</v>
      </c>
      <c r="T47" s="93">
        <f t="shared" ca="1" si="86"/>
        <v>0</v>
      </c>
      <c r="U47" s="92">
        <f ca="1">IFERROR(__xludf.DUMMYFUNCTION("IMPORTRANGE(""https://docs.google.com/spreadsheets/d/13JHU_EFbsQOUQ0JSQ3dWy1VTRosIWcDq6Nc99z2qzdc/edit?usp=sharing"",""หนองคาย!I198"")"),4)</f>
        <v>4</v>
      </c>
      <c r="V47" s="92">
        <f ca="1">IFERROR(__xludf.DUMMYFUNCTION("IMPORTRANGE(""https://docs.google.com/spreadsheets/d/13JHU_EFbsQOUQ0JSQ3dWy1VTRosIWcDq6Nc99z2qzdc/edit?usp=sharing"",""หนองคาย!J198"")"),0)</f>
        <v>0</v>
      </c>
      <c r="W47" s="93">
        <f t="shared" ca="1" si="88"/>
        <v>0</v>
      </c>
      <c r="X47" s="92">
        <f ca="1">IFERROR(__xludf.DUMMYFUNCTION("IMPORTRANGE(""https://docs.google.com/spreadsheets/d/13JHU_EFbsQOUQ0JSQ3dWy1VTRosIWcDq6Nc99z2qzdc/edit?usp=sharing"",""หนองคาย!J199"")"),0)</f>
        <v>0</v>
      </c>
      <c r="Y47" s="92">
        <f ca="1">IFERROR(__xludf.DUMMYFUNCTION("IMPORTRANGE(""https://docs.google.com/spreadsheets/d/13JHU_EFbsQOUQ0JSQ3dWy1VTRosIWcDq6Nc99z2qzdc/edit?usp=sharing"",""หนองคาย!J200"")"),0)</f>
        <v>0</v>
      </c>
      <c r="Z47" s="92">
        <f ca="1">IFERROR(__xludf.DUMMYFUNCTION("IMPORTRANGE(""https://docs.google.com/spreadsheets/d/13JHU_EFbsQOUQ0JSQ3dWy1VTRosIWcDq6Nc99z2qzdc/edit?usp=sharing"",""หนองคาย!J201"")"),0)</f>
        <v>0</v>
      </c>
      <c r="AA47" s="92">
        <f ca="1">IFERROR(__xludf.DUMMYFUNCTION("IMPORTRANGE(""https://docs.google.com/spreadsheets/d/13JHU_EFbsQOUQ0JSQ3dWy1VTRosIWcDq6Nc99z2qzdc/edit?usp=sharing"",""หนองคาย!L204"")"),2000)</f>
        <v>2000</v>
      </c>
      <c r="AB47" s="92">
        <f ca="1">IFERROR(__xludf.DUMMYFUNCTION("IMPORTRANGE(""https://docs.google.com/spreadsheets/d/13JHU_EFbsQOUQ0JSQ3dWy1VTRosIWcDq6Nc99z2qzdc/edit?usp=sharing"",""หนองคาย!N204"")"),0)</f>
        <v>0</v>
      </c>
      <c r="AC47" s="93">
        <f t="shared" ca="1" si="90"/>
        <v>0</v>
      </c>
      <c r="AD47" s="92">
        <f ca="1">IFERROR(__xludf.DUMMYFUNCTION("IMPORTRANGE(""https://docs.google.com/spreadsheets/d/13JHU_EFbsQOUQ0JSQ3dWy1VTRosIWcDq6Nc99z2qzdc/edit?usp=sharing"",""หนองคาย!L206"")"),16000)</f>
        <v>16000</v>
      </c>
      <c r="AE47" s="92">
        <f ca="1">IFERROR(__xludf.DUMMYFUNCTION("IMPORTRANGE(""https://docs.google.com/spreadsheets/d/13JHU_EFbsQOUQ0JSQ3dWy1VTRosIWcDq6Nc99z2qzdc/edit?usp=sharing"",""หนองคาย!N206"")"),0)</f>
        <v>0</v>
      </c>
      <c r="AF47" s="93">
        <f t="shared" ca="1" si="92"/>
        <v>0</v>
      </c>
      <c r="AG47" s="92">
        <f ca="1">IFERROR(__xludf.DUMMYFUNCTION("IMPORTRANGE(""https://docs.google.com/spreadsheets/d/13JHU_EFbsQOUQ0JSQ3dWy1VTRosIWcDq6Nc99z2qzdc/edit?usp=sharing"",""หนองคาย!L207"")"),11000)</f>
        <v>11000</v>
      </c>
      <c r="AH47" s="92">
        <f ca="1">IFERROR(__xludf.DUMMYFUNCTION("IMPORTRANGE(""https://docs.google.com/spreadsheets/d/13JHU_EFbsQOUQ0JSQ3dWy1VTRosIWcDq6Nc99z2qzdc/edit?usp=sharing"",""หนองคาย!N207"")"),0)</f>
        <v>0</v>
      </c>
      <c r="AI47" s="93">
        <f t="shared" ca="1" si="94"/>
        <v>0</v>
      </c>
      <c r="AJ47" s="92">
        <f ca="1">IFERROR(__xludf.DUMMYFUNCTION("IMPORTRANGE(""https://docs.google.com/spreadsheets/d/13JHU_EFbsQOUQ0JSQ3dWy1VTRosIWcDq6Nc99z2qzdc/edit?usp=sharing"",""หนองคาย!I209"")"),2)</f>
        <v>2</v>
      </c>
      <c r="AK47" s="92">
        <f ca="1">IFERROR(__xludf.DUMMYFUNCTION("IMPORTRANGE(""https://docs.google.com/spreadsheets/d/13JHU_EFbsQOUQ0JSQ3dWy1VTRosIWcDq6Nc99z2qzdc/edit?usp=sharing"",""หนองคาย!J209"")"),0)</f>
        <v>0</v>
      </c>
      <c r="AL47" s="93">
        <f t="shared" ca="1" si="96"/>
        <v>0</v>
      </c>
      <c r="AM47" s="92">
        <f ca="1">IFERROR(__xludf.DUMMYFUNCTION("IMPORTRANGE(""https://docs.google.com/spreadsheets/d/13JHU_EFbsQOUQ0JSQ3dWy1VTRosIWcDq6Nc99z2qzdc/edit?usp=sharing"",""หนองคาย!J211"")"),0)</f>
        <v>0</v>
      </c>
      <c r="AN47" s="92">
        <f ca="1">IFERROR(__xludf.DUMMYFUNCTION("IMPORTRANGE(""https://docs.google.com/spreadsheets/d/13JHU_EFbsQOUQ0JSQ3dWy1VTRosIWcDq6Nc99z2qzdc/edit?usp=sharing"",""หนองคาย!J212"")"),0)</f>
        <v>0</v>
      </c>
      <c r="AO47" s="92">
        <f ca="1">IFERROR(__xludf.DUMMYFUNCTION("IMPORTRANGE(""https://docs.google.com/spreadsheets/d/13JHU_EFbsQOUQ0JSQ3dWy1VTRosIWcDq6Nc99z2qzdc/edit?usp=sharing"",""หนองคาย!L215"")"),1000)</f>
        <v>1000</v>
      </c>
      <c r="AP47" s="92">
        <f ca="1">IFERROR(__xludf.DUMMYFUNCTION("IMPORTRANGE(""https://docs.google.com/spreadsheets/d/13JHU_EFbsQOUQ0JSQ3dWy1VTRosIWcDq6Nc99z2qzdc/edit?usp=sharing"",""หนองคาย!N215"")"),0)</f>
        <v>0</v>
      </c>
      <c r="AQ47" s="93">
        <f t="shared" ca="1" si="98"/>
        <v>0</v>
      </c>
      <c r="AR47" s="92">
        <f ca="1">IFERROR(__xludf.DUMMYFUNCTION("IMPORTRANGE(""https://docs.google.com/spreadsheets/d/13JHU_EFbsQOUQ0JSQ3dWy1VTRosIWcDq6Nc99z2qzdc/edit?usp=sharing"",""หนองคาย!L216"")"),5000)</f>
        <v>5000</v>
      </c>
      <c r="AS47" s="92">
        <f ca="1">IFERROR(__xludf.DUMMYFUNCTION("IMPORTRANGE(""https://docs.google.com/spreadsheets/d/13JHU_EFbsQOUQ0JSQ3dWy1VTRosIWcDq6Nc99z2qzdc/edit?usp=sharing"",""หนองคาย!N216"")"),0)</f>
        <v>0</v>
      </c>
      <c r="AT47" s="93">
        <f t="shared" ca="1" si="100"/>
        <v>0</v>
      </c>
      <c r="AU47" s="92">
        <f ca="1">IFERROR(__xludf.DUMMYFUNCTION("IMPORTRANGE(""https://docs.google.com/spreadsheets/d/13JHU_EFbsQOUQ0JSQ3dWy1VTRosIWcDq6Nc99z2qzdc/edit?usp=sharing"",""หนองคาย!L217"")"),8000)</f>
        <v>8000</v>
      </c>
      <c r="AV47" s="92">
        <f ca="1">IFERROR(__xludf.DUMMYFUNCTION("IMPORTRANGE(""https://docs.google.com/spreadsheets/d/13JHU_EFbsQOUQ0JSQ3dWy1VTRosIWcDq6Nc99z2qzdc/edit?usp=sharing"",""หนองคาย!N217"")"),0)</f>
        <v>0</v>
      </c>
      <c r="AW47" s="93">
        <f t="shared" ca="1" si="102"/>
        <v>0</v>
      </c>
      <c r="AX47" s="92">
        <f ca="1">IFERROR(__xludf.DUMMYFUNCTION("IMPORTRANGE(""https://docs.google.com/spreadsheets/d/13JHU_EFbsQOUQ0JSQ3dWy1VTRosIWcDq6Nc99z2qzdc/edit?usp=sharing"",""หนองคาย!I219"")"),1)</f>
        <v>1</v>
      </c>
      <c r="AY47" s="92">
        <f ca="1">IFERROR(__xludf.DUMMYFUNCTION("IMPORTRANGE(""https://docs.google.com/spreadsheets/d/13JHU_EFbsQOUQ0JSQ3dWy1VTRosIWcDq6Nc99z2qzdc/edit?usp=sharing"",""หนองคาย!J219"")"),0)</f>
        <v>0</v>
      </c>
      <c r="AZ47" s="93">
        <f t="shared" ca="1" si="104"/>
        <v>0</v>
      </c>
      <c r="BA47" s="92">
        <f ca="1">IFERROR(__xludf.DUMMYFUNCTION("IMPORTRANGE(""https://docs.google.com/spreadsheets/d/13JHU_EFbsQOUQ0JSQ3dWy1VTRosIWcDq6Nc99z2qzdc/edit?usp=sharing"",""หนองคาย!I220"")"),1)</f>
        <v>1</v>
      </c>
      <c r="BB47" s="92">
        <f ca="1">IFERROR(__xludf.DUMMYFUNCTION("IMPORTRANGE(""https://docs.google.com/spreadsheets/d/13JHU_EFbsQOUQ0JSQ3dWy1VTRosIWcDq6Nc99z2qzdc/edit?usp=sharing"",""หนองคาย!J220"")"),0)</f>
        <v>0</v>
      </c>
      <c r="BC47" s="93">
        <f t="shared" ca="1" si="106"/>
        <v>0</v>
      </c>
      <c r="BD47" s="92">
        <f ca="1">IFERROR(__xludf.DUMMYFUNCTION("IMPORTRANGE(""https://docs.google.com/spreadsheets/d/13JHU_EFbsQOUQ0JSQ3dWy1VTRosIWcDq6Nc99z2qzdc/edit?usp=sharing"",""หนองคาย!L223"")"),5000)</f>
        <v>5000</v>
      </c>
      <c r="BE47" s="92">
        <f ca="1">IFERROR(__xludf.DUMMYFUNCTION("IMPORTRANGE(""https://docs.google.com/spreadsheets/d/13JHU_EFbsQOUQ0JSQ3dWy1VTRosIWcDq6Nc99z2qzdc/edit?usp=sharing"",""หนองคาย!N223"")"),0)</f>
        <v>0</v>
      </c>
      <c r="BF47" s="93">
        <f t="shared" ca="1" si="108"/>
        <v>0</v>
      </c>
      <c r="BG47" s="92">
        <f ca="1">IFERROR(__xludf.DUMMYFUNCTION("IMPORTRANGE(""https://docs.google.com/spreadsheets/d/13JHU_EFbsQOUQ0JSQ3dWy1VTRosIWcDq6Nc99z2qzdc/edit?usp=sharing"",""หนองคาย!L224"")"),1500)</f>
        <v>1500</v>
      </c>
      <c r="BH47" s="92">
        <f ca="1">IFERROR(__xludf.DUMMYFUNCTION("IMPORTRANGE(""https://docs.google.com/spreadsheets/d/13JHU_EFbsQOUQ0JSQ3dWy1VTRosIWcDq6Nc99z2qzdc/edit?usp=sharing"",""หนองคาย!N224"")"),0)</f>
        <v>0</v>
      </c>
      <c r="BI47" s="93">
        <f t="shared" ca="1" si="110"/>
        <v>0</v>
      </c>
      <c r="BJ47" s="92">
        <f ca="1">IFERROR(__xludf.DUMMYFUNCTION("IMPORTRANGE(""https://docs.google.com/spreadsheets/d/13JHU_EFbsQOUQ0JSQ3dWy1VTRosIWcDq6Nc99z2qzdc/edit?usp=sharing"",""หนองคาย!I228"")"),30000)</f>
        <v>30000</v>
      </c>
      <c r="BK47" s="92">
        <f ca="1">IFERROR(__xludf.DUMMYFUNCTION("IMPORTRANGE(""https://docs.google.com/spreadsheets/d/13JHU_EFbsQOUQ0JSQ3dWy1VTRosIWcDq6Nc99z2qzdc/edit?usp=sharing"",""หนองคาย!J228"")"),0)</f>
        <v>0</v>
      </c>
      <c r="BL47" s="93">
        <f t="shared" ca="1" si="112"/>
        <v>0</v>
      </c>
      <c r="BM47" s="92">
        <f ca="1">IFERROR(__xludf.DUMMYFUNCTION("IMPORTRANGE(""https://docs.google.com/spreadsheets/d/13JHU_EFbsQOUQ0JSQ3dWy1VTRosIWcDq6Nc99z2qzdc/edit?usp=sharing"",""หนองคาย!I229"")"),30000)</f>
        <v>30000</v>
      </c>
      <c r="BN47" s="92">
        <f ca="1">IFERROR(__xludf.DUMMYFUNCTION("IMPORTRANGE(""https://docs.google.com/spreadsheets/d/13JHU_EFbsQOUQ0JSQ3dWy1VTRosIWcDq6Nc99z2qzdc/edit?usp=sharing"",""หนองคาย!J229"")"),0)</f>
        <v>0</v>
      </c>
      <c r="BO47" s="93">
        <f t="shared" ca="1" si="114"/>
        <v>0</v>
      </c>
      <c r="BP47" s="92">
        <f ca="1">IFERROR(__xludf.DUMMYFUNCTION("IMPORTRANGE(""https://docs.google.com/spreadsheets/d/13JHU_EFbsQOUQ0JSQ3dWy1VTRosIWcDq6Nc99z2qzdc/edit?usp=sharing"",""หนองคาย!I230"")"),0)</f>
        <v>0</v>
      </c>
      <c r="BQ47" s="92">
        <f ca="1">IFERROR(__xludf.DUMMYFUNCTION("IMPORTRANGE(""https://docs.google.com/spreadsheets/d/13JHU_EFbsQOUQ0JSQ3dWy1VTRosIWcDq6Nc99z2qzdc/edit?usp=sharing"",""หนองคาย!J230"")"),0)</f>
        <v>0</v>
      </c>
      <c r="BR47" s="93">
        <f t="shared" ca="1" si="116"/>
        <v>0</v>
      </c>
      <c r="BS47" s="92">
        <f ca="1">IFERROR(__xludf.DUMMYFUNCTION("IMPORTRANGE(""https://docs.google.com/spreadsheets/d/13JHU_EFbsQOUQ0JSQ3dWy1VTRosIWcDq6Nc99z2qzdc/edit?usp=sharing"",""หนองคาย!L233"")"),0)</f>
        <v>0</v>
      </c>
      <c r="BT47" s="92">
        <f ca="1">IFERROR(__xludf.DUMMYFUNCTION("IMPORTRANGE(""https://docs.google.com/spreadsheets/d/13JHU_EFbsQOUQ0JSQ3dWy1VTRosIWcDq6Nc99z2qzdc/edit?usp=sharing"",""หนองคาย!N233"")"),0)</f>
        <v>0</v>
      </c>
      <c r="BU47" s="93">
        <f t="shared" ca="1" si="118"/>
        <v>0</v>
      </c>
      <c r="BV47" s="92">
        <f ca="1">IFERROR(__xludf.DUMMYFUNCTION("IMPORTRANGE(""https://docs.google.com/spreadsheets/d/13JHU_EFbsQOUQ0JSQ3dWy1VTRosIWcDq6Nc99z2qzdc/edit?usp=sharing"",""หนองคาย!L234"")"),0)</f>
        <v>0</v>
      </c>
      <c r="BW47" s="92">
        <f ca="1">IFERROR(__xludf.DUMMYFUNCTION("IMPORTRANGE(""https://docs.google.com/spreadsheets/d/13JHU_EFbsQOUQ0JSQ3dWy1VTRosIWcDq6Nc99z2qzdc/edit?usp=sharing"",""หนองคาย!N234"")"),0)</f>
        <v>0</v>
      </c>
      <c r="BX47" s="93">
        <f t="shared" ca="1" si="120"/>
        <v>0</v>
      </c>
      <c r="BY47" s="92">
        <f ca="1">IFERROR(__xludf.DUMMYFUNCTION("IMPORTRANGE(""https://docs.google.com/spreadsheets/d/13JHU_EFbsQOUQ0JSQ3dWy1VTRosIWcDq6Nc99z2qzdc/edit?usp=sharing"",""หนองคาย!L235"")"),0)</f>
        <v>0</v>
      </c>
      <c r="BZ47" s="92">
        <f ca="1">IFERROR(__xludf.DUMMYFUNCTION("IMPORTRANGE(""https://docs.google.com/spreadsheets/d/13JHU_EFbsQOUQ0JSQ3dWy1VTRosIWcDq6Nc99z2qzdc/edit?usp=sharing"",""หนองคาย!N235"")"),0)</f>
        <v>0</v>
      </c>
      <c r="CA47" s="93">
        <f t="shared" ca="1" si="122"/>
        <v>0</v>
      </c>
      <c r="CB47" s="92">
        <f ca="1">IFERROR(__xludf.DUMMYFUNCTION("IMPORTRANGE(""https://docs.google.com/spreadsheets/d/13JHU_EFbsQOUQ0JSQ3dWy1VTRosIWcDq6Nc99z2qzdc/edit?usp=sharing"",""หนองคาย!L236"")"),0)</f>
        <v>0</v>
      </c>
      <c r="CC47" s="92">
        <f ca="1">IFERROR(__xludf.DUMMYFUNCTION("IMPORTRANGE(""https://docs.google.com/spreadsheets/d/13JHU_EFbsQOUQ0JSQ3dWy1VTRosIWcDq6Nc99z2qzdc/edit?usp=sharing"",""หนองคาย!N236"")"),0)</f>
        <v>0</v>
      </c>
      <c r="CD47" s="93">
        <f t="shared" ca="1" si="124"/>
        <v>0</v>
      </c>
      <c r="CE47" s="92">
        <f ca="1">IFERROR(__xludf.DUMMYFUNCTION("IMPORTRANGE(""https://docs.google.com/spreadsheets/d/13JHU_EFbsQOUQ0JSQ3dWy1VTRosIWcDq6Nc99z2qzdc/edit?usp=sharing"",""หนองคาย!I238"")"),0)</f>
        <v>0</v>
      </c>
      <c r="CF47" s="92">
        <f ca="1">IFERROR(__xludf.DUMMYFUNCTION("IMPORTRANGE(""https://docs.google.com/spreadsheets/d/13JHU_EFbsQOUQ0JSQ3dWy1VTRosIWcDq6Nc99z2qzdc/edit?usp=sharing"",""หนองคาย!J238"")"),0)</f>
        <v>0</v>
      </c>
      <c r="CG47" s="93">
        <f t="shared" ca="1" si="126"/>
        <v>0</v>
      </c>
      <c r="CH47" s="92">
        <f ca="1">IFERROR(__xludf.DUMMYFUNCTION("IMPORTRANGE(""https://docs.google.com/spreadsheets/d/13JHU_EFbsQOUQ0JSQ3dWy1VTRosIWcDq6Nc99z2qzdc/edit?usp=sharing"",""หนองคาย!J240"")"),0)</f>
        <v>0</v>
      </c>
      <c r="CI47" s="92">
        <f ca="1">IFERROR(__xludf.DUMMYFUNCTION("IMPORTRANGE(""https://docs.google.com/spreadsheets/d/13JHU_EFbsQOUQ0JSQ3dWy1VTRosIWcDq6Nc99z2qzdc/edit?usp=sharing"",""หนองคาย!J241"")"),0)</f>
        <v>0</v>
      </c>
    </row>
    <row r="48" spans="1:87" ht="21" customHeight="1" x14ac:dyDescent="0.3">
      <c r="A48" s="84">
        <v>17</v>
      </c>
      <c r="B48" s="85" t="s">
        <v>70</v>
      </c>
      <c r="C48" s="174">
        <f t="shared" ca="1" si="77"/>
        <v>161500</v>
      </c>
      <c r="D48" s="175">
        <f t="shared" ca="1" si="152"/>
        <v>161500</v>
      </c>
      <c r="E48" s="176">
        <f ca="1">IFERROR(__xludf.DUMMYFUNCTION("IMPORTRANGE(""https://docs.google.com/spreadsheets/d/1-uDff_7J0KD5mKrp0Vvzr7lt3OU09vwQwhkpOPPYv2Y/edit?usp=sharing"",""งบพรบ!CV48"")"),91000)</f>
        <v>91000</v>
      </c>
      <c r="F48" s="176">
        <f ca="1">IFERROR(__xludf.DUMMYFUNCTION("IMPORTRANGE(""https://docs.google.com/spreadsheets/d/1-uDff_7J0KD5mKrp0Vvzr7lt3OU09vwQwhkpOPPYv2Y/edit?usp=sharing"",""งบพรบ!CW48"")"),70500)</f>
        <v>70500</v>
      </c>
      <c r="G48" s="176">
        <f ca="1">IFERROR(__xludf.DUMMYFUNCTION("IMPORTRANGE(""https://docs.google.com/spreadsheets/d/1-uDff_7J0KD5mKrp0Vvzr7lt3OU09vwQwhkpOPPYv2Y/edit?usp=sharing"",""งบพรบ!CX48"")"),0)</f>
        <v>0</v>
      </c>
      <c r="H48" s="176">
        <f ca="1">IFERROR(__xludf.DUMMYFUNCTION("IMPORTRANGE(""https://docs.google.com/spreadsheets/d/1-uDff_7J0KD5mKrp0Vvzr7lt3OU09vwQwhkpOPPYv2Y/edit?usp=sharing"",""งบพรบ!CZ48"")"),105500)</f>
        <v>105500</v>
      </c>
      <c r="I48" s="176">
        <f ca="1">IFERROR(__xludf.DUMMYFUNCTION("IMPORTRANGE(""https://docs.google.com/spreadsheets/d/1-uDff_7J0KD5mKrp0Vvzr7lt3OU09vwQwhkpOPPYv2Y/edit?usp=sharing"",""งบพรบ!DA48"")"),0)</f>
        <v>0</v>
      </c>
      <c r="J48" s="176">
        <f t="shared" ca="1" si="79"/>
        <v>40000</v>
      </c>
      <c r="K48" s="181">
        <f t="shared" ca="1" si="80"/>
        <v>24.767801857585141</v>
      </c>
      <c r="L48" s="176">
        <f ca="1">IFERROR(__xludf.DUMMYFUNCTION("IMPORTRANGE(""https://docs.google.com/spreadsheets/d/1-uDff_7J0KD5mKrp0Vvzr7lt3OU09vwQwhkpOPPYv2Y/edit?usp=sharing"",""งบพรบ!DB48"")"),40000)</f>
        <v>40000</v>
      </c>
      <c r="M48" s="179">
        <f t="shared" ca="1" si="81"/>
        <v>24.767801857585141</v>
      </c>
      <c r="N48" s="179">
        <f t="shared" ca="1" si="82"/>
        <v>37.914691943127963</v>
      </c>
      <c r="O48" s="180">
        <f ca="1">IFERROR(__xludf.DUMMYFUNCTION("IMPORTRANGE(""https://docs.google.com/spreadsheets/d/1-uDff_7J0KD5mKrp0Vvzr7lt3OU09vwQwhkpOPPYv2Y/edit?usp=sharing"",""งบพรบ!DC48"")"),0)</f>
        <v>0</v>
      </c>
      <c r="P48" s="180">
        <f t="shared" ca="1" si="83"/>
        <v>0</v>
      </c>
      <c r="Q48" s="179">
        <f t="shared" ca="1" si="84"/>
        <v>0</v>
      </c>
      <c r="R48" s="92">
        <f ca="1">IFERROR(__xludf.DUMMYFUNCTION("IMPORTRANGE(""https://docs.google.com/spreadsheets/d/1Hx73zIEgVdDZZaYSTc46Dqv64atFhpr3GelxLbaIN8A/edit?usp=sharing"",""หนองบัวลำภู!L196"")"),6000)</f>
        <v>6000</v>
      </c>
      <c r="S48" s="92">
        <f ca="1">IFERROR(__xludf.DUMMYFUNCTION("IMPORTRANGE(""https://docs.google.com/spreadsheets/d/1Hx73zIEgVdDZZaYSTc46Dqv64atFhpr3GelxLbaIN8A/edit?usp=sharing"",""หนองบัวลำภู!N196"")"),0)</f>
        <v>0</v>
      </c>
      <c r="T48" s="93">
        <f t="shared" ca="1" si="86"/>
        <v>0</v>
      </c>
      <c r="U48" s="92">
        <f ca="1">IFERROR(__xludf.DUMMYFUNCTION("IMPORTRANGE(""https://docs.google.com/spreadsheets/d/1Hx73zIEgVdDZZaYSTc46Dqv64atFhpr3GelxLbaIN8A/edit?usp=sharing"",""หนองบัวลำภู!I198"")"),4)</f>
        <v>4</v>
      </c>
      <c r="V48" s="92">
        <f ca="1">IFERROR(__xludf.DUMMYFUNCTION("IMPORTRANGE(""https://docs.google.com/spreadsheets/d/1Hx73zIEgVdDZZaYSTc46Dqv64atFhpr3GelxLbaIN8A/edit?usp=sharing"",""หนองบัวลำภู!J198"")"),0)</f>
        <v>0</v>
      </c>
      <c r="W48" s="93">
        <f t="shared" ca="1" si="88"/>
        <v>0</v>
      </c>
      <c r="X48" s="92">
        <f ca="1">IFERROR(__xludf.DUMMYFUNCTION("IMPORTRANGE(""https://docs.google.com/spreadsheets/d/1Hx73zIEgVdDZZaYSTc46Dqv64atFhpr3GelxLbaIN8A/edit?usp=sharing"",""หนองบัวลำภู!J199"")"),0)</f>
        <v>0</v>
      </c>
      <c r="Y48" s="92">
        <f ca="1">IFERROR(__xludf.DUMMYFUNCTION("IMPORTRANGE(""https://docs.google.com/spreadsheets/d/1Hx73zIEgVdDZZaYSTc46Dqv64atFhpr3GelxLbaIN8A/edit?usp=sharing"",""หนองบัวลำภู!J200"")"),0)</f>
        <v>0</v>
      </c>
      <c r="Z48" s="92">
        <f ca="1">IFERROR(__xludf.DUMMYFUNCTION("IMPORTRANGE(""https://docs.google.com/spreadsheets/d/1Hx73zIEgVdDZZaYSTc46Dqv64atFhpr3GelxLbaIN8A/edit?usp=sharing"",""หนองบัวลำภู!J201"")"),0)</f>
        <v>0</v>
      </c>
      <c r="AA48" s="92">
        <f ca="1">IFERROR(__xludf.DUMMYFUNCTION("IMPORTRANGE(""https://docs.google.com/spreadsheets/d/1Hx73zIEgVdDZZaYSTc46Dqv64atFhpr3GelxLbaIN8A/edit?usp=sharing"",""หนองบัวลำภู!L204"")"),1000)</f>
        <v>1000</v>
      </c>
      <c r="AB48" s="92">
        <f ca="1">IFERROR(__xludf.DUMMYFUNCTION("IMPORTRANGE(""https://docs.google.com/spreadsheets/d/1Hx73zIEgVdDZZaYSTc46Dqv64atFhpr3GelxLbaIN8A/edit?usp=sharing"",""หนองบัวลำภู!N204"")"),0)</f>
        <v>0</v>
      </c>
      <c r="AC48" s="93">
        <f t="shared" ca="1" si="90"/>
        <v>0</v>
      </c>
      <c r="AD48" s="92">
        <f ca="1">IFERROR(__xludf.DUMMYFUNCTION("IMPORTRANGE(""https://docs.google.com/spreadsheets/d/1Hx73zIEgVdDZZaYSTc46Dqv64atFhpr3GelxLbaIN8A/edit?usp=sharing"",""หนองบัวลำภู!L206"")"),8000)</f>
        <v>8000</v>
      </c>
      <c r="AE48" s="92">
        <f ca="1">IFERROR(__xludf.DUMMYFUNCTION("IMPORTRANGE(""https://docs.google.com/spreadsheets/d/1Hx73zIEgVdDZZaYSTc46Dqv64atFhpr3GelxLbaIN8A/edit?usp=sharing"",""หนองบัวลำภู!N206"")"),0)</f>
        <v>0</v>
      </c>
      <c r="AF48" s="93">
        <f t="shared" ca="1" si="92"/>
        <v>0</v>
      </c>
      <c r="AG48" s="92">
        <f ca="1">IFERROR(__xludf.DUMMYFUNCTION("IMPORTRANGE(""https://docs.google.com/spreadsheets/d/1Hx73zIEgVdDZZaYSTc46Dqv64atFhpr3GelxLbaIN8A/edit?usp=sharing"",""หนองบัวลำภู!L207"")"),9000)</f>
        <v>9000</v>
      </c>
      <c r="AH48" s="92">
        <f ca="1">IFERROR(__xludf.DUMMYFUNCTION("IMPORTRANGE(""https://docs.google.com/spreadsheets/d/1Hx73zIEgVdDZZaYSTc46Dqv64atFhpr3GelxLbaIN8A/edit?usp=sharing"",""หนองบัวลำภู!N207"")"),0)</f>
        <v>0</v>
      </c>
      <c r="AI48" s="93">
        <f t="shared" ca="1" si="94"/>
        <v>0</v>
      </c>
      <c r="AJ48" s="92">
        <f ca="1">IFERROR(__xludf.DUMMYFUNCTION("IMPORTRANGE(""https://docs.google.com/spreadsheets/d/1Hx73zIEgVdDZZaYSTc46Dqv64atFhpr3GelxLbaIN8A/edit?usp=sharing"",""หนองบัวลำภู!I209"")"),1)</f>
        <v>1</v>
      </c>
      <c r="AK48" s="92">
        <f ca="1">IFERROR(__xludf.DUMMYFUNCTION("IMPORTRANGE(""https://docs.google.com/spreadsheets/d/1Hx73zIEgVdDZZaYSTc46Dqv64atFhpr3GelxLbaIN8A/edit?usp=sharing"",""หนองบัวลำภู!J209"")"),0)</f>
        <v>0</v>
      </c>
      <c r="AL48" s="93">
        <f t="shared" ca="1" si="96"/>
        <v>0</v>
      </c>
      <c r="AM48" s="92">
        <f ca="1">IFERROR(__xludf.DUMMYFUNCTION("IMPORTRANGE(""https://docs.google.com/spreadsheets/d/1Hx73zIEgVdDZZaYSTc46Dqv64atFhpr3GelxLbaIN8A/edit?usp=sharing"",""หนองบัวลำภู!J211"")"),0)</f>
        <v>0</v>
      </c>
      <c r="AN48" s="92">
        <f ca="1">IFERROR(__xludf.DUMMYFUNCTION("IMPORTRANGE(""https://docs.google.com/spreadsheets/d/1Hx73zIEgVdDZZaYSTc46Dqv64atFhpr3GelxLbaIN8A/edit?usp=sharing"",""หนองบัวลำภู!J212"")"),0)</f>
        <v>0</v>
      </c>
      <c r="AO48" s="92">
        <f ca="1">IFERROR(__xludf.DUMMYFUNCTION("IMPORTRANGE(""https://docs.google.com/spreadsheets/d/1Hx73zIEgVdDZZaYSTc46Dqv64atFhpr3GelxLbaIN8A/edit?usp=sharing"",""หนองบัวลำภู!L215"")"),3000)</f>
        <v>3000</v>
      </c>
      <c r="AP48" s="92">
        <f ca="1">IFERROR(__xludf.DUMMYFUNCTION("IMPORTRANGE(""https://docs.google.com/spreadsheets/d/1Hx73zIEgVdDZZaYSTc46Dqv64atFhpr3GelxLbaIN8A/edit?usp=sharing"",""หนองบัวลำภู!N215"")"),0)</f>
        <v>0</v>
      </c>
      <c r="AQ48" s="93">
        <f t="shared" ca="1" si="98"/>
        <v>0</v>
      </c>
      <c r="AR48" s="92">
        <f ca="1">IFERROR(__xludf.DUMMYFUNCTION("IMPORTRANGE(""https://docs.google.com/spreadsheets/d/1Hx73zIEgVdDZZaYSTc46Dqv64atFhpr3GelxLbaIN8A/edit?usp=sharing"",""หนองบัวลำภู!L216"")"),15000)</f>
        <v>15000</v>
      </c>
      <c r="AS48" s="92">
        <f ca="1">IFERROR(__xludf.DUMMYFUNCTION("IMPORTRANGE(""https://docs.google.com/spreadsheets/d/1Hx73zIEgVdDZZaYSTc46Dqv64atFhpr3GelxLbaIN8A/edit?usp=sharing"",""หนองบัวลำภู!N216"")"),0)</f>
        <v>0</v>
      </c>
      <c r="AT48" s="93">
        <f t="shared" ca="1" si="100"/>
        <v>0</v>
      </c>
      <c r="AU48" s="92">
        <f ca="1">IFERROR(__xludf.DUMMYFUNCTION("IMPORTRANGE(""https://docs.google.com/spreadsheets/d/1Hx73zIEgVdDZZaYSTc46Dqv64atFhpr3GelxLbaIN8A/edit?usp=sharing"",""หนองบัวลำภู!L217"")"),24000)</f>
        <v>24000</v>
      </c>
      <c r="AV48" s="92">
        <f ca="1">IFERROR(__xludf.DUMMYFUNCTION("IMPORTRANGE(""https://docs.google.com/spreadsheets/d/1Hx73zIEgVdDZZaYSTc46Dqv64atFhpr3GelxLbaIN8A/edit?usp=sharing"",""หนองบัวลำภู!N217"")"),0)</f>
        <v>0</v>
      </c>
      <c r="AW48" s="93">
        <f t="shared" ca="1" si="102"/>
        <v>0</v>
      </c>
      <c r="AX48" s="92">
        <f ca="1">IFERROR(__xludf.DUMMYFUNCTION("IMPORTRANGE(""https://docs.google.com/spreadsheets/d/1Hx73zIEgVdDZZaYSTc46Dqv64atFhpr3GelxLbaIN8A/edit?usp=sharing"",""หนองบัวลำภู!I219"")"),3)</f>
        <v>3</v>
      </c>
      <c r="AY48" s="92">
        <f ca="1">IFERROR(__xludf.DUMMYFUNCTION("IMPORTRANGE(""https://docs.google.com/spreadsheets/d/1Hx73zIEgVdDZZaYSTc46Dqv64atFhpr3GelxLbaIN8A/edit?usp=sharing"",""หนองบัวลำภู!J219"")"),0)</f>
        <v>0</v>
      </c>
      <c r="AZ48" s="93">
        <f t="shared" ca="1" si="104"/>
        <v>0</v>
      </c>
      <c r="BA48" s="92">
        <f ca="1">IFERROR(__xludf.DUMMYFUNCTION("IMPORTRANGE(""https://docs.google.com/spreadsheets/d/1Hx73zIEgVdDZZaYSTc46Dqv64atFhpr3GelxLbaIN8A/edit?usp=sharing"",""หนองบัวลำภู!I220"")"),3)</f>
        <v>3</v>
      </c>
      <c r="BB48" s="92">
        <f ca="1">IFERROR(__xludf.DUMMYFUNCTION("IMPORTRANGE(""https://docs.google.com/spreadsheets/d/1Hx73zIEgVdDZZaYSTc46Dqv64atFhpr3GelxLbaIN8A/edit?usp=sharing"",""หนองบัวลำภู!J220"")"),0)</f>
        <v>0</v>
      </c>
      <c r="BC48" s="93">
        <f t="shared" ca="1" si="106"/>
        <v>0</v>
      </c>
      <c r="BD48" s="92">
        <f ca="1">IFERROR(__xludf.DUMMYFUNCTION("IMPORTRANGE(""https://docs.google.com/spreadsheets/d/1Hx73zIEgVdDZZaYSTc46Dqv64atFhpr3GelxLbaIN8A/edit?usp=sharing"",""หนองบัวลำภู!L223"")"),3000)</f>
        <v>3000</v>
      </c>
      <c r="BE48" s="92">
        <f ca="1">IFERROR(__xludf.DUMMYFUNCTION("IMPORTRANGE(""https://docs.google.com/spreadsheets/d/1Hx73zIEgVdDZZaYSTc46Dqv64atFhpr3GelxLbaIN8A/edit?usp=sharing"",""หนองบัวลำภู!N223"")"),0)</f>
        <v>0</v>
      </c>
      <c r="BF48" s="93">
        <f t="shared" ca="1" si="108"/>
        <v>0</v>
      </c>
      <c r="BG48" s="92">
        <f ca="1">IFERROR(__xludf.DUMMYFUNCTION("IMPORTRANGE(""https://docs.google.com/spreadsheets/d/1Hx73zIEgVdDZZaYSTc46Dqv64atFhpr3GelxLbaIN8A/edit?usp=sharing"",""หนองบัวลำภู!L224"")"),1500)</f>
        <v>1500</v>
      </c>
      <c r="BH48" s="92">
        <f ca="1">IFERROR(__xludf.DUMMYFUNCTION("IMPORTRANGE(""https://docs.google.com/spreadsheets/d/1Hx73zIEgVdDZZaYSTc46Dqv64atFhpr3GelxLbaIN8A/edit?usp=sharing"",""หนองบัวลำภู!N224"")"),0)</f>
        <v>0</v>
      </c>
      <c r="BI48" s="93">
        <f t="shared" ca="1" si="110"/>
        <v>0</v>
      </c>
      <c r="BJ48" s="92">
        <f ca="1">IFERROR(__xludf.DUMMYFUNCTION("IMPORTRANGE(""https://docs.google.com/spreadsheets/d/1Hx73zIEgVdDZZaYSTc46Dqv64atFhpr3GelxLbaIN8A/edit?usp=sharing"",""หนองบัวลำภู!I228"")"),10000)</f>
        <v>10000</v>
      </c>
      <c r="BK48" s="92">
        <f ca="1">IFERROR(__xludf.DUMMYFUNCTION("IMPORTRANGE(""https://docs.google.com/spreadsheets/d/1Hx73zIEgVdDZZaYSTc46Dqv64atFhpr3GelxLbaIN8A/edit?usp=sharing"",""หนองบัวลำภู!J228"")"),0)</f>
        <v>0</v>
      </c>
      <c r="BL48" s="93">
        <f t="shared" ca="1" si="112"/>
        <v>0</v>
      </c>
      <c r="BM48" s="92">
        <f ca="1">IFERROR(__xludf.DUMMYFUNCTION("IMPORTRANGE(""https://docs.google.com/spreadsheets/d/1Hx73zIEgVdDZZaYSTc46Dqv64atFhpr3GelxLbaIN8A/edit?usp=sharing"",""หนองบัวลำภู!I229"")"),10000)</f>
        <v>10000</v>
      </c>
      <c r="BN48" s="92">
        <f ca="1">IFERROR(__xludf.DUMMYFUNCTION("IMPORTRANGE(""https://docs.google.com/spreadsheets/d/1Hx73zIEgVdDZZaYSTc46Dqv64atFhpr3GelxLbaIN8A/edit?usp=sharing"",""หนองบัวลำภู!J229"")"),0)</f>
        <v>0</v>
      </c>
      <c r="BO48" s="93">
        <f t="shared" ca="1" si="114"/>
        <v>0</v>
      </c>
      <c r="BP48" s="92">
        <f ca="1">IFERROR(__xludf.DUMMYFUNCTION("IMPORTRANGE(""https://docs.google.com/spreadsheets/d/1Hx73zIEgVdDZZaYSTc46Dqv64atFhpr3GelxLbaIN8A/edit?usp=sharing"",""หนองบัวลำภู!I230"")"),0)</f>
        <v>0</v>
      </c>
      <c r="BQ48" s="92">
        <f ca="1">IFERROR(__xludf.DUMMYFUNCTION("IMPORTRANGE(""https://docs.google.com/spreadsheets/d/1Hx73zIEgVdDZZaYSTc46Dqv64atFhpr3GelxLbaIN8A/edit?usp=sharing"",""หนองบัวลำภู!J230"")"),0)</f>
        <v>0</v>
      </c>
      <c r="BR48" s="93">
        <f t="shared" ca="1" si="116"/>
        <v>0</v>
      </c>
      <c r="BS48" s="92">
        <f ca="1">IFERROR(__xludf.DUMMYFUNCTION("IMPORTRANGE(""https://docs.google.com/spreadsheets/d/1Hx73zIEgVdDZZaYSTc46Dqv64atFhpr3GelxLbaIN8A/edit?usp=sharing"",""หนองบัวลำภู!L233"")"),0)</f>
        <v>0</v>
      </c>
      <c r="BT48" s="92">
        <f ca="1">IFERROR(__xludf.DUMMYFUNCTION("IMPORTRANGE(""https://docs.google.com/spreadsheets/d/1Hx73zIEgVdDZZaYSTc46Dqv64atFhpr3GelxLbaIN8A/edit?usp=sharing"",""หนองบัวลำภู!N233"")"),0)</f>
        <v>0</v>
      </c>
      <c r="BU48" s="93">
        <f t="shared" ca="1" si="118"/>
        <v>0</v>
      </c>
      <c r="BV48" s="92">
        <f ca="1">IFERROR(__xludf.DUMMYFUNCTION("IMPORTRANGE(""https://docs.google.com/spreadsheets/d/1Hx73zIEgVdDZZaYSTc46Dqv64atFhpr3GelxLbaIN8A/edit?usp=sharing"",""หนองบัวลำภู!L234"")"),0)</f>
        <v>0</v>
      </c>
      <c r="BW48" s="92">
        <f ca="1">IFERROR(__xludf.DUMMYFUNCTION("IMPORTRANGE(""https://docs.google.com/spreadsheets/d/1Hx73zIEgVdDZZaYSTc46Dqv64atFhpr3GelxLbaIN8A/edit?usp=sharing"",""หนองบัวลำภู!N234"")"),0)</f>
        <v>0</v>
      </c>
      <c r="BX48" s="93">
        <f t="shared" ca="1" si="120"/>
        <v>0</v>
      </c>
      <c r="BY48" s="92">
        <f ca="1">IFERROR(__xludf.DUMMYFUNCTION("IMPORTRANGE(""https://docs.google.com/spreadsheets/d/1Hx73zIEgVdDZZaYSTc46Dqv64atFhpr3GelxLbaIN8A/edit?usp=sharing"",""หนองบัวลำภู!L235"")"),0)</f>
        <v>0</v>
      </c>
      <c r="BZ48" s="92">
        <f ca="1">IFERROR(__xludf.DUMMYFUNCTION("IMPORTRANGE(""https://docs.google.com/spreadsheets/d/1Hx73zIEgVdDZZaYSTc46Dqv64atFhpr3GelxLbaIN8A/edit?usp=sharing"",""หนองบัวลำภู!N235"")"),0)</f>
        <v>0</v>
      </c>
      <c r="CA48" s="93">
        <f t="shared" ca="1" si="122"/>
        <v>0</v>
      </c>
      <c r="CB48" s="92">
        <f ca="1">IFERROR(__xludf.DUMMYFUNCTION("IMPORTRANGE(""https://docs.google.com/spreadsheets/d/1Hx73zIEgVdDZZaYSTc46Dqv64atFhpr3GelxLbaIN8A/edit?usp=sharing"",""หนองบัวลำภู!L236"")"),0)</f>
        <v>0</v>
      </c>
      <c r="CC48" s="92">
        <f ca="1">IFERROR(__xludf.DUMMYFUNCTION("IMPORTRANGE(""https://docs.google.com/spreadsheets/d/1Hx73zIEgVdDZZaYSTc46Dqv64atFhpr3GelxLbaIN8A/edit?usp=sharing"",""หนองบัวลำภู!N236"")"),0)</f>
        <v>0</v>
      </c>
      <c r="CD48" s="93">
        <f t="shared" ca="1" si="124"/>
        <v>0</v>
      </c>
      <c r="CE48" s="92">
        <f ca="1">IFERROR(__xludf.DUMMYFUNCTION("IMPORTRANGE(""https://docs.google.com/spreadsheets/d/1Hx73zIEgVdDZZaYSTc46Dqv64atFhpr3GelxLbaIN8A/edit?usp=sharing"",""หนองบัวลำภู!I238"")"),0)</f>
        <v>0</v>
      </c>
      <c r="CF48" s="92">
        <f ca="1">IFERROR(__xludf.DUMMYFUNCTION("IMPORTRANGE(""https://docs.google.com/spreadsheets/d/1Hx73zIEgVdDZZaYSTc46Dqv64atFhpr3GelxLbaIN8A/edit?usp=sharing"",""หนองบัวลำภู!J238"")"),0)</f>
        <v>0</v>
      </c>
      <c r="CG48" s="93">
        <f t="shared" ca="1" si="126"/>
        <v>0</v>
      </c>
      <c r="CH48" s="92">
        <f ca="1">IFERROR(__xludf.DUMMYFUNCTION("IMPORTRANGE(""https://docs.google.com/spreadsheets/d/1Hx73zIEgVdDZZaYSTc46Dqv64atFhpr3GelxLbaIN8A/edit?usp=sharing"",""หนองบัวลำภู!J240"")"),0)</f>
        <v>0</v>
      </c>
      <c r="CI48" s="92">
        <f ca="1">IFERROR(__xludf.DUMMYFUNCTION("IMPORTRANGE(""https://docs.google.com/spreadsheets/d/1Hx73zIEgVdDZZaYSTc46Dqv64atFhpr3GelxLbaIN8A/edit?usp=sharing"",""หนองบัวลำภู!J241"")"),0)</f>
        <v>0</v>
      </c>
    </row>
    <row r="49" spans="1:87" ht="21" customHeight="1" x14ac:dyDescent="0.3">
      <c r="A49" s="84">
        <v>18</v>
      </c>
      <c r="B49" s="85" t="s">
        <v>71</v>
      </c>
      <c r="C49" s="174">
        <f t="shared" ca="1" si="77"/>
        <v>42500</v>
      </c>
      <c r="D49" s="175">
        <f t="shared" ca="1" si="152"/>
        <v>42500</v>
      </c>
      <c r="E49" s="176">
        <f ca="1">IFERROR(__xludf.DUMMYFUNCTION("IMPORTRANGE(""https://docs.google.com/spreadsheets/d/1-uDff_7J0KD5mKrp0Vvzr7lt3OU09vwQwhkpOPPYv2Y/edit?usp=sharing"",""งบพรบ!CV49"")"),0)</f>
        <v>0</v>
      </c>
      <c r="F49" s="176">
        <f ca="1">IFERROR(__xludf.DUMMYFUNCTION("IMPORTRANGE(""https://docs.google.com/spreadsheets/d/1-uDff_7J0KD5mKrp0Vvzr7lt3OU09vwQwhkpOPPYv2Y/edit?usp=sharing"",""งบพรบ!CW49"")"),42500)</f>
        <v>42500</v>
      </c>
      <c r="G49" s="176">
        <f ca="1">IFERROR(__xludf.DUMMYFUNCTION("IMPORTRANGE(""https://docs.google.com/spreadsheets/d/1-uDff_7J0KD5mKrp0Vvzr7lt3OU09vwQwhkpOPPYv2Y/edit?usp=sharing"",""งบพรบ!CX49"")"),0)</f>
        <v>0</v>
      </c>
      <c r="H49" s="176">
        <f ca="1">IFERROR(__xludf.DUMMYFUNCTION("IMPORTRANGE(""https://docs.google.com/spreadsheets/d/1-uDff_7J0KD5mKrp0Vvzr7lt3OU09vwQwhkpOPPYv2Y/edit?usp=sharing"",""งบพรบ!CZ49"")"),22500)</f>
        <v>22500</v>
      </c>
      <c r="I49" s="176">
        <f ca="1">IFERROR(__xludf.DUMMYFUNCTION("IMPORTRANGE(""https://docs.google.com/spreadsheets/d/1-uDff_7J0KD5mKrp0Vvzr7lt3OU09vwQwhkpOPPYv2Y/edit?usp=sharing"",""งบพรบ!DA49"")"),0)</f>
        <v>0</v>
      </c>
      <c r="J49" s="176">
        <f t="shared" ca="1" si="79"/>
        <v>0</v>
      </c>
      <c r="K49" s="181">
        <f t="shared" ca="1" si="80"/>
        <v>0</v>
      </c>
      <c r="L49" s="176">
        <f ca="1">IFERROR(__xludf.DUMMYFUNCTION("IMPORTRANGE(""https://docs.google.com/spreadsheets/d/1-uDff_7J0KD5mKrp0Vvzr7lt3OU09vwQwhkpOPPYv2Y/edit?usp=sharing"",""งบพรบ!DB49"")"),0)</f>
        <v>0</v>
      </c>
      <c r="M49" s="179">
        <f t="shared" ca="1" si="81"/>
        <v>0</v>
      </c>
      <c r="N49" s="179">
        <f t="shared" ca="1" si="82"/>
        <v>0</v>
      </c>
      <c r="O49" s="180">
        <f ca="1">IFERROR(__xludf.DUMMYFUNCTION("IMPORTRANGE(""https://docs.google.com/spreadsheets/d/1-uDff_7J0KD5mKrp0Vvzr7lt3OU09vwQwhkpOPPYv2Y/edit?usp=sharing"",""งบพรบ!DC49"")"),0)</f>
        <v>0</v>
      </c>
      <c r="P49" s="180">
        <f t="shared" ca="1" si="83"/>
        <v>0</v>
      </c>
      <c r="Q49" s="179">
        <f t="shared" ca="1" si="84"/>
        <v>0</v>
      </c>
      <c r="R49" s="92">
        <f ca="1">IFERROR(__xludf.DUMMYFUNCTION("IMPORTRANGE(""https://docs.google.com/spreadsheets/d/1lFxr3ctmjFN90yc-xV6jrQ9Ty8BKYVBWnAZ15wcNIJc/edit?usp=sharing"",""อำนาจเจริญ!L196"")"),6000)</f>
        <v>6000</v>
      </c>
      <c r="S49" s="92">
        <f ca="1">IFERROR(__xludf.DUMMYFUNCTION("IMPORTRANGE(""https://docs.google.com/spreadsheets/d/1lFxr3ctmjFN90yc-xV6jrQ9Ty8BKYVBWnAZ15wcNIJc/edit?usp=sharing"",""อำนาจเจริญ!N196"")"),0)</f>
        <v>0</v>
      </c>
      <c r="T49" s="93">
        <f t="shared" ca="1" si="86"/>
        <v>0</v>
      </c>
      <c r="U49" s="92">
        <f ca="1">IFERROR(__xludf.DUMMYFUNCTION("IMPORTRANGE(""https://docs.google.com/spreadsheets/d/1lFxr3ctmjFN90yc-xV6jrQ9Ty8BKYVBWnAZ15wcNIJc/edit?usp=sharing"",""อำนาจเจริญ!I198"")"),4)</f>
        <v>4</v>
      </c>
      <c r="V49" s="92">
        <f ca="1">IFERROR(__xludf.DUMMYFUNCTION("IMPORTRANGE(""https://docs.google.com/spreadsheets/d/1lFxr3ctmjFN90yc-xV6jrQ9Ty8BKYVBWnAZ15wcNIJc/edit?usp=sharing"",""อำนาจเจริญ!J198"")"),0)</f>
        <v>0</v>
      </c>
      <c r="W49" s="93">
        <f t="shared" ca="1" si="88"/>
        <v>0</v>
      </c>
      <c r="X49" s="92">
        <f ca="1">IFERROR(__xludf.DUMMYFUNCTION("IMPORTRANGE(""https://docs.google.com/spreadsheets/d/1lFxr3ctmjFN90yc-xV6jrQ9Ty8BKYVBWnAZ15wcNIJc/edit?usp=sharing"",""อำนาจเจริญ!J199"")"),0)</f>
        <v>0</v>
      </c>
      <c r="Y49" s="92">
        <f ca="1">IFERROR(__xludf.DUMMYFUNCTION("IMPORTRANGE(""https://docs.google.com/spreadsheets/d/1lFxr3ctmjFN90yc-xV6jrQ9Ty8BKYVBWnAZ15wcNIJc/edit?usp=sharing"",""อำนาจเจริญ!J200"")"),0)</f>
        <v>0</v>
      </c>
      <c r="Z49" s="92">
        <f ca="1">IFERROR(__xludf.DUMMYFUNCTION("IMPORTRANGE(""https://docs.google.com/spreadsheets/d/1lFxr3ctmjFN90yc-xV6jrQ9Ty8BKYVBWnAZ15wcNIJc/edit?usp=sharing"",""อำนาจเจริญ!J201"")"),0)</f>
        <v>0</v>
      </c>
      <c r="AA49" s="92">
        <f ca="1">IFERROR(__xludf.DUMMYFUNCTION("IMPORTRANGE(""https://docs.google.com/spreadsheets/d/1lFxr3ctmjFN90yc-xV6jrQ9Ty8BKYVBWnAZ15wcNIJc/edit?usp=sharing"",""อำนาจเจริญ!L204"")"),1000)</f>
        <v>1000</v>
      </c>
      <c r="AB49" s="92">
        <f ca="1">IFERROR(__xludf.DUMMYFUNCTION("IMPORTRANGE(""https://docs.google.com/spreadsheets/d/1lFxr3ctmjFN90yc-xV6jrQ9Ty8BKYVBWnAZ15wcNIJc/edit?usp=sharing"",""อำนาจเจริญ!N204"")"),0)</f>
        <v>0</v>
      </c>
      <c r="AC49" s="93">
        <f t="shared" ca="1" si="90"/>
        <v>0</v>
      </c>
      <c r="AD49" s="92">
        <f ca="1">IFERROR(__xludf.DUMMYFUNCTION("IMPORTRANGE(""https://docs.google.com/spreadsheets/d/1lFxr3ctmjFN90yc-xV6jrQ9Ty8BKYVBWnAZ15wcNIJc/edit?usp=sharing"",""อำนาจเจริญ!L206"")"),8000)</f>
        <v>8000</v>
      </c>
      <c r="AE49" s="92">
        <f ca="1">IFERROR(__xludf.DUMMYFUNCTION("IMPORTRANGE(""https://docs.google.com/spreadsheets/d/1lFxr3ctmjFN90yc-xV6jrQ9Ty8BKYVBWnAZ15wcNIJc/edit?usp=sharing"",""อำนาจเจริญ!N206"")"),0)</f>
        <v>0</v>
      </c>
      <c r="AF49" s="93">
        <f t="shared" ca="1" si="92"/>
        <v>0</v>
      </c>
      <c r="AG49" s="92">
        <f ca="1">IFERROR(__xludf.DUMMYFUNCTION("IMPORTRANGE(""https://docs.google.com/spreadsheets/d/1lFxr3ctmjFN90yc-xV6jrQ9Ty8BKYVBWnAZ15wcNIJc/edit?usp=sharing"",""อำนาจเจริญ!L207"")"),7000)</f>
        <v>7000</v>
      </c>
      <c r="AH49" s="92">
        <f ca="1">IFERROR(__xludf.DUMMYFUNCTION("IMPORTRANGE(""https://docs.google.com/spreadsheets/d/1lFxr3ctmjFN90yc-xV6jrQ9Ty8BKYVBWnAZ15wcNIJc/edit?usp=sharing"",""อำนาจเจริญ!N207"")"),0)</f>
        <v>0</v>
      </c>
      <c r="AI49" s="93">
        <f t="shared" ca="1" si="94"/>
        <v>0</v>
      </c>
      <c r="AJ49" s="92">
        <f ca="1">IFERROR(__xludf.DUMMYFUNCTION("IMPORTRANGE(""https://docs.google.com/spreadsheets/d/1lFxr3ctmjFN90yc-xV6jrQ9Ty8BKYVBWnAZ15wcNIJc/edit?usp=sharing"",""อำนาจเจริญ!I209"")"),1)</f>
        <v>1</v>
      </c>
      <c r="AK49" s="92">
        <f ca="1">IFERROR(__xludf.DUMMYFUNCTION("IMPORTRANGE(""https://docs.google.com/spreadsheets/d/1lFxr3ctmjFN90yc-xV6jrQ9Ty8BKYVBWnAZ15wcNIJc/edit?usp=sharing"",""อำนาจเจริญ!J209"")"),0)</f>
        <v>0</v>
      </c>
      <c r="AL49" s="93">
        <f t="shared" ca="1" si="96"/>
        <v>0</v>
      </c>
      <c r="AM49" s="92">
        <f ca="1">IFERROR(__xludf.DUMMYFUNCTION("IMPORTRANGE(""https://docs.google.com/spreadsheets/d/1lFxr3ctmjFN90yc-xV6jrQ9Ty8BKYVBWnAZ15wcNIJc/edit?usp=sharing"",""อำนาจเจริญ!J211"")"),0)</f>
        <v>0</v>
      </c>
      <c r="AN49" s="92">
        <f ca="1">IFERROR(__xludf.DUMMYFUNCTION("IMPORTRANGE(""https://docs.google.com/spreadsheets/d/1lFxr3ctmjFN90yc-xV6jrQ9Ty8BKYVBWnAZ15wcNIJc/edit?usp=sharing"",""อำนาจเจริญ!J212"")"),0)</f>
        <v>0</v>
      </c>
      <c r="AO49" s="92">
        <f ca="1">IFERROR(__xludf.DUMMYFUNCTION("IMPORTRANGE(""https://docs.google.com/spreadsheets/d/1lFxr3ctmjFN90yc-xV6jrQ9Ty8BKYVBWnAZ15wcNIJc/edit?usp=sharing"",""อำนาจเจริญ!L215"")"),1000)</f>
        <v>1000</v>
      </c>
      <c r="AP49" s="92">
        <f ca="1">IFERROR(__xludf.DUMMYFUNCTION("IMPORTRANGE(""https://docs.google.com/spreadsheets/d/1lFxr3ctmjFN90yc-xV6jrQ9Ty8BKYVBWnAZ15wcNIJc/edit?usp=sharing"",""อำนาจเจริญ!N215"")"),0)</f>
        <v>0</v>
      </c>
      <c r="AQ49" s="93">
        <f t="shared" ca="1" si="98"/>
        <v>0</v>
      </c>
      <c r="AR49" s="92">
        <f ca="1">IFERROR(__xludf.DUMMYFUNCTION("IMPORTRANGE(""https://docs.google.com/spreadsheets/d/1lFxr3ctmjFN90yc-xV6jrQ9Ty8BKYVBWnAZ15wcNIJc/edit?usp=sharing"",""อำนาจเจริญ!L216"")"),5000)</f>
        <v>5000</v>
      </c>
      <c r="AS49" s="92">
        <f ca="1">IFERROR(__xludf.DUMMYFUNCTION("IMPORTRANGE(""https://docs.google.com/spreadsheets/d/1lFxr3ctmjFN90yc-xV6jrQ9Ty8BKYVBWnAZ15wcNIJc/edit?usp=sharing"",""อำนาจเจริญ!N216"")"),0)</f>
        <v>0</v>
      </c>
      <c r="AT49" s="93">
        <f t="shared" ca="1" si="100"/>
        <v>0</v>
      </c>
      <c r="AU49" s="92">
        <f ca="1">IFERROR(__xludf.DUMMYFUNCTION("IMPORTRANGE(""https://docs.google.com/spreadsheets/d/1lFxr3ctmjFN90yc-xV6jrQ9Ty8BKYVBWnAZ15wcNIJc/edit?usp=sharing"",""อำนาจเจริญ!L217"")"),8000)</f>
        <v>8000</v>
      </c>
      <c r="AV49" s="92">
        <f ca="1">IFERROR(__xludf.DUMMYFUNCTION("IMPORTRANGE(""https://docs.google.com/spreadsheets/d/1lFxr3ctmjFN90yc-xV6jrQ9Ty8BKYVBWnAZ15wcNIJc/edit?usp=sharing"",""อำนาจเจริญ!N217"")"),0)</f>
        <v>0</v>
      </c>
      <c r="AW49" s="93">
        <f t="shared" ca="1" si="102"/>
        <v>0</v>
      </c>
      <c r="AX49" s="92">
        <f ca="1">IFERROR(__xludf.DUMMYFUNCTION("IMPORTRANGE(""https://docs.google.com/spreadsheets/d/1lFxr3ctmjFN90yc-xV6jrQ9Ty8BKYVBWnAZ15wcNIJc/edit?usp=sharing"",""อำนาจเจริญ!I219"")"),1)</f>
        <v>1</v>
      </c>
      <c r="AY49" s="92">
        <f ca="1">IFERROR(__xludf.DUMMYFUNCTION("IMPORTRANGE(""https://docs.google.com/spreadsheets/d/1lFxr3ctmjFN90yc-xV6jrQ9Ty8BKYVBWnAZ15wcNIJc/edit?usp=sharing"",""อำนาจเจริญ!J219"")"),0)</f>
        <v>0</v>
      </c>
      <c r="AZ49" s="93">
        <f t="shared" ca="1" si="104"/>
        <v>0</v>
      </c>
      <c r="BA49" s="92">
        <f ca="1">IFERROR(__xludf.DUMMYFUNCTION("IMPORTRANGE(""https://docs.google.com/spreadsheets/d/1lFxr3ctmjFN90yc-xV6jrQ9Ty8BKYVBWnAZ15wcNIJc/edit?usp=sharing"",""อำนาจเจริญ!I220"")"),1)</f>
        <v>1</v>
      </c>
      <c r="BB49" s="92">
        <f ca="1">IFERROR(__xludf.DUMMYFUNCTION("IMPORTRANGE(""https://docs.google.com/spreadsheets/d/1lFxr3ctmjFN90yc-xV6jrQ9Ty8BKYVBWnAZ15wcNIJc/edit?usp=sharing"",""อำนาจเจริญ!J220"")"),0)</f>
        <v>0</v>
      </c>
      <c r="BC49" s="93">
        <f t="shared" ca="1" si="106"/>
        <v>0</v>
      </c>
      <c r="BD49" s="92">
        <f ca="1">IFERROR(__xludf.DUMMYFUNCTION("IMPORTRANGE(""https://docs.google.com/spreadsheets/d/1lFxr3ctmjFN90yc-xV6jrQ9Ty8BKYVBWnAZ15wcNIJc/edit?usp=sharing"",""อำนาจเจริญ!L223"")"),5000)</f>
        <v>5000</v>
      </c>
      <c r="BE49" s="92">
        <f ca="1">IFERROR(__xludf.DUMMYFUNCTION("IMPORTRANGE(""https://docs.google.com/spreadsheets/d/1lFxr3ctmjFN90yc-xV6jrQ9Ty8BKYVBWnAZ15wcNIJc/edit?usp=sharing"",""อำนาจเจริญ!N223"")"),0)</f>
        <v>0</v>
      </c>
      <c r="BF49" s="93">
        <f t="shared" ca="1" si="108"/>
        <v>0</v>
      </c>
      <c r="BG49" s="92">
        <f ca="1">IFERROR(__xludf.DUMMYFUNCTION("IMPORTRANGE(""https://docs.google.com/spreadsheets/d/1lFxr3ctmjFN90yc-xV6jrQ9Ty8BKYVBWnAZ15wcNIJc/edit?usp=sharing"",""อำนาจเจริญ!L224"")"),1500)</f>
        <v>1500</v>
      </c>
      <c r="BH49" s="92">
        <f ca="1">IFERROR(__xludf.DUMMYFUNCTION("IMPORTRANGE(""https://docs.google.com/spreadsheets/d/1lFxr3ctmjFN90yc-xV6jrQ9Ty8BKYVBWnAZ15wcNIJc/edit?usp=sharing"",""อำนาจเจริญ!N224"")"),0)</f>
        <v>0</v>
      </c>
      <c r="BI49" s="93">
        <f t="shared" ca="1" si="110"/>
        <v>0</v>
      </c>
      <c r="BJ49" s="92">
        <f ca="1">IFERROR(__xludf.DUMMYFUNCTION("IMPORTRANGE(""https://docs.google.com/spreadsheets/d/1lFxr3ctmjFN90yc-xV6jrQ9Ty8BKYVBWnAZ15wcNIJc/edit?usp=sharing"",""อำนาจเจริญ!I228"")"),30000)</f>
        <v>30000</v>
      </c>
      <c r="BK49" s="92">
        <f ca="1">IFERROR(__xludf.DUMMYFUNCTION("IMPORTRANGE(""https://docs.google.com/spreadsheets/d/1lFxr3ctmjFN90yc-xV6jrQ9Ty8BKYVBWnAZ15wcNIJc/edit?usp=sharing"",""อำนาจเจริญ!J228"")"),0)</f>
        <v>0</v>
      </c>
      <c r="BL49" s="93">
        <f t="shared" ca="1" si="112"/>
        <v>0</v>
      </c>
      <c r="BM49" s="92">
        <f ca="1">IFERROR(__xludf.DUMMYFUNCTION("IMPORTRANGE(""https://docs.google.com/spreadsheets/d/1lFxr3ctmjFN90yc-xV6jrQ9Ty8BKYVBWnAZ15wcNIJc/edit?usp=sharing"",""อำนาจเจริญ!I229"")"),30000)</f>
        <v>30000</v>
      </c>
      <c r="BN49" s="92">
        <f ca="1">IFERROR(__xludf.DUMMYFUNCTION("IMPORTRANGE(""https://docs.google.com/spreadsheets/d/1lFxr3ctmjFN90yc-xV6jrQ9Ty8BKYVBWnAZ15wcNIJc/edit?usp=sharing"",""อำนาจเจริญ!J229"")"),0)</f>
        <v>0</v>
      </c>
      <c r="BO49" s="93">
        <f t="shared" ca="1" si="114"/>
        <v>0</v>
      </c>
      <c r="BP49" s="92">
        <f ca="1">IFERROR(__xludf.DUMMYFUNCTION("IMPORTRANGE(""https://docs.google.com/spreadsheets/d/1lFxr3ctmjFN90yc-xV6jrQ9Ty8BKYVBWnAZ15wcNIJc/edit?usp=sharing"",""อำนาจเจริญ!I230"")"),0)</f>
        <v>0</v>
      </c>
      <c r="BQ49" s="92">
        <f ca="1">IFERROR(__xludf.DUMMYFUNCTION("IMPORTRANGE(""https://docs.google.com/spreadsheets/d/1lFxr3ctmjFN90yc-xV6jrQ9Ty8BKYVBWnAZ15wcNIJc/edit?usp=sharing"",""อำนาจเจริญ!J230"")"),0)</f>
        <v>0</v>
      </c>
      <c r="BR49" s="93">
        <f t="shared" ca="1" si="116"/>
        <v>0</v>
      </c>
      <c r="BS49" s="92">
        <f ca="1">IFERROR(__xludf.DUMMYFUNCTION("IMPORTRANGE(""https://docs.google.com/spreadsheets/d/1lFxr3ctmjFN90yc-xV6jrQ9Ty8BKYVBWnAZ15wcNIJc/edit?usp=sharing"",""อำนาจเจริญ!L233"")"),0)</f>
        <v>0</v>
      </c>
      <c r="BT49" s="92">
        <f ca="1">IFERROR(__xludf.DUMMYFUNCTION("IMPORTRANGE(""https://docs.google.com/spreadsheets/d/1lFxr3ctmjFN90yc-xV6jrQ9Ty8BKYVBWnAZ15wcNIJc/edit?usp=sharing"",""อำนาจเจริญ!N233"")"),0)</f>
        <v>0</v>
      </c>
      <c r="BU49" s="93">
        <f t="shared" ca="1" si="118"/>
        <v>0</v>
      </c>
      <c r="BV49" s="92">
        <f ca="1">IFERROR(__xludf.DUMMYFUNCTION("IMPORTRANGE(""https://docs.google.com/spreadsheets/d/1lFxr3ctmjFN90yc-xV6jrQ9Ty8BKYVBWnAZ15wcNIJc/edit?usp=sharing"",""อำนาจเจริญ!L234"")"),0)</f>
        <v>0</v>
      </c>
      <c r="BW49" s="92">
        <f ca="1">IFERROR(__xludf.DUMMYFUNCTION("IMPORTRANGE(""https://docs.google.com/spreadsheets/d/1lFxr3ctmjFN90yc-xV6jrQ9Ty8BKYVBWnAZ15wcNIJc/edit?usp=sharing"",""อำนาจเจริญ!N234"")"),0)</f>
        <v>0</v>
      </c>
      <c r="BX49" s="93">
        <f t="shared" ca="1" si="120"/>
        <v>0</v>
      </c>
      <c r="BY49" s="92">
        <f ca="1">IFERROR(__xludf.DUMMYFUNCTION("IMPORTRANGE(""https://docs.google.com/spreadsheets/d/1lFxr3ctmjFN90yc-xV6jrQ9Ty8BKYVBWnAZ15wcNIJc/edit?usp=sharing"",""อำนาจเจริญ!L235"")"),0)</f>
        <v>0</v>
      </c>
      <c r="BZ49" s="92">
        <f ca="1">IFERROR(__xludf.DUMMYFUNCTION("IMPORTRANGE(""https://docs.google.com/spreadsheets/d/1lFxr3ctmjFN90yc-xV6jrQ9Ty8BKYVBWnAZ15wcNIJc/edit?usp=sharing"",""อำนาจเจริญ!N235"")"),0)</f>
        <v>0</v>
      </c>
      <c r="CA49" s="93">
        <f t="shared" ca="1" si="122"/>
        <v>0</v>
      </c>
      <c r="CB49" s="92">
        <f ca="1">IFERROR(__xludf.DUMMYFUNCTION("IMPORTRANGE(""https://docs.google.com/spreadsheets/d/1lFxr3ctmjFN90yc-xV6jrQ9Ty8BKYVBWnAZ15wcNIJc/edit?usp=sharing"",""อำนาจเจริญ!L236"")"),0)</f>
        <v>0</v>
      </c>
      <c r="CC49" s="92">
        <f ca="1">IFERROR(__xludf.DUMMYFUNCTION("IMPORTRANGE(""https://docs.google.com/spreadsheets/d/1lFxr3ctmjFN90yc-xV6jrQ9Ty8BKYVBWnAZ15wcNIJc/edit?usp=sharing"",""อำนาจเจริญ!N236"")"),0)</f>
        <v>0</v>
      </c>
      <c r="CD49" s="93">
        <f t="shared" ca="1" si="124"/>
        <v>0</v>
      </c>
      <c r="CE49" s="92">
        <f ca="1">IFERROR(__xludf.DUMMYFUNCTION("IMPORTRANGE(""https://docs.google.com/spreadsheets/d/1lFxr3ctmjFN90yc-xV6jrQ9Ty8BKYVBWnAZ15wcNIJc/edit?usp=sharing"",""อำนาจเจริญ!I238"")"),0)</f>
        <v>0</v>
      </c>
      <c r="CF49" s="92">
        <f ca="1">IFERROR(__xludf.DUMMYFUNCTION("IMPORTRANGE(""https://docs.google.com/spreadsheets/d/1lFxr3ctmjFN90yc-xV6jrQ9Ty8BKYVBWnAZ15wcNIJc/edit?usp=sharing"",""อำนาจเจริญ!J238"")"),0)</f>
        <v>0</v>
      </c>
      <c r="CG49" s="93">
        <f t="shared" ca="1" si="126"/>
        <v>0</v>
      </c>
      <c r="CH49" s="92">
        <f ca="1">IFERROR(__xludf.DUMMYFUNCTION("IMPORTRANGE(""https://docs.google.com/spreadsheets/d/1lFxr3ctmjFN90yc-xV6jrQ9Ty8BKYVBWnAZ15wcNIJc/edit?usp=sharing"",""อำนาจเจริญ!J240"")"),0)</f>
        <v>0</v>
      </c>
      <c r="CI49" s="92">
        <f ca="1">IFERROR(__xludf.DUMMYFUNCTION("IMPORTRANGE(""https://docs.google.com/spreadsheets/d/1lFxr3ctmjFN90yc-xV6jrQ9Ty8BKYVBWnAZ15wcNIJc/edit?usp=sharing"",""อำนาจเจริญ!J241"")"),0)</f>
        <v>0</v>
      </c>
    </row>
    <row r="50" spans="1:87" ht="21" customHeight="1" x14ac:dyDescent="0.3">
      <c r="A50" s="84">
        <v>19</v>
      </c>
      <c r="B50" s="85" t="s">
        <v>72</v>
      </c>
      <c r="C50" s="174">
        <f t="shared" ca="1" si="77"/>
        <v>65500</v>
      </c>
      <c r="D50" s="175">
        <f t="shared" ca="1" si="152"/>
        <v>65500</v>
      </c>
      <c r="E50" s="176">
        <f ca="1">IFERROR(__xludf.DUMMYFUNCTION("IMPORTRANGE(""https://docs.google.com/spreadsheets/d/1-uDff_7J0KD5mKrp0Vvzr7lt3OU09vwQwhkpOPPYv2Y/edit?usp=sharing"",""งบพรบ!CV50"")"),0)</f>
        <v>0</v>
      </c>
      <c r="F50" s="176">
        <f ca="1">IFERROR(__xludf.DUMMYFUNCTION("IMPORTRANGE(""https://docs.google.com/spreadsheets/d/1-uDff_7J0KD5mKrp0Vvzr7lt3OU09vwQwhkpOPPYv2Y/edit?usp=sharing"",""งบพรบ!CW50"")"),65500)</f>
        <v>65500</v>
      </c>
      <c r="G50" s="176">
        <f ca="1">IFERROR(__xludf.DUMMYFUNCTION("IMPORTRANGE(""https://docs.google.com/spreadsheets/d/1-uDff_7J0KD5mKrp0Vvzr7lt3OU09vwQwhkpOPPYv2Y/edit?usp=sharing"",""งบพรบ!CX50"")"),0)</f>
        <v>0</v>
      </c>
      <c r="H50" s="176">
        <f ca="1">IFERROR(__xludf.DUMMYFUNCTION("IMPORTRANGE(""https://docs.google.com/spreadsheets/d/1-uDff_7J0KD5mKrp0Vvzr7lt3OU09vwQwhkpOPPYv2Y/edit?usp=sharing"",""งบพรบ!CZ50"")"),40500)</f>
        <v>40500</v>
      </c>
      <c r="I50" s="176">
        <f ca="1">IFERROR(__xludf.DUMMYFUNCTION("IMPORTRANGE(""https://docs.google.com/spreadsheets/d/1-uDff_7J0KD5mKrp0Vvzr7lt3OU09vwQwhkpOPPYv2Y/edit?usp=sharing"",""งบพรบ!DA50"")"),0)</f>
        <v>0</v>
      </c>
      <c r="J50" s="176">
        <f t="shared" ca="1" si="79"/>
        <v>3745</v>
      </c>
      <c r="K50" s="181">
        <f t="shared" ca="1" si="80"/>
        <v>5.7175572519083966</v>
      </c>
      <c r="L50" s="176">
        <f ca="1">IFERROR(__xludf.DUMMYFUNCTION("IMPORTRANGE(""https://docs.google.com/spreadsheets/d/1-uDff_7J0KD5mKrp0Vvzr7lt3OU09vwQwhkpOPPYv2Y/edit?usp=sharing"",""งบพรบ!DB50"")"),3745)</f>
        <v>3745</v>
      </c>
      <c r="M50" s="179">
        <f t="shared" ca="1" si="81"/>
        <v>5.7175572519083966</v>
      </c>
      <c r="N50" s="179">
        <f t="shared" ca="1" si="82"/>
        <v>9.2469135802469129</v>
      </c>
      <c r="O50" s="180">
        <f ca="1">IFERROR(__xludf.DUMMYFUNCTION("IMPORTRANGE(""https://docs.google.com/spreadsheets/d/1-uDff_7J0KD5mKrp0Vvzr7lt3OU09vwQwhkpOPPYv2Y/edit?usp=sharing"",""งบพรบ!DC50"")"),0)</f>
        <v>0</v>
      </c>
      <c r="P50" s="180">
        <f t="shared" ca="1" si="83"/>
        <v>0</v>
      </c>
      <c r="Q50" s="179">
        <f t="shared" ca="1" si="84"/>
        <v>0</v>
      </c>
      <c r="R50" s="92">
        <f ca="1">IFERROR(__xludf.DUMMYFUNCTION("IMPORTRANGE(""https://docs.google.com/spreadsheets/d/1gF7RJpRnL-1oyjyeWxs5SFWEH7y8ahOZsQlyp2A2e-A/edit?usp=sharing"",""อุดรธานี!L196"")"),6000)</f>
        <v>6000</v>
      </c>
      <c r="S50" s="92">
        <f ca="1">IFERROR(__xludf.DUMMYFUNCTION("IMPORTRANGE(""https://docs.google.com/spreadsheets/d/1gF7RJpRnL-1oyjyeWxs5SFWEH7y8ahOZsQlyp2A2e-A/edit?usp=sharing"",""อุดรธานี!N196"")"),0)</f>
        <v>0</v>
      </c>
      <c r="T50" s="93">
        <f t="shared" ca="1" si="86"/>
        <v>0</v>
      </c>
      <c r="U50" s="92">
        <f ca="1">IFERROR(__xludf.DUMMYFUNCTION("IMPORTRANGE(""https://docs.google.com/spreadsheets/d/1gF7RJpRnL-1oyjyeWxs5SFWEH7y8ahOZsQlyp2A2e-A/edit?usp=sharing"",""อุดรธานี!I198"")"),4)</f>
        <v>4</v>
      </c>
      <c r="V50" s="92">
        <f ca="1">IFERROR(__xludf.DUMMYFUNCTION("IMPORTRANGE(""https://docs.google.com/spreadsheets/d/1gF7RJpRnL-1oyjyeWxs5SFWEH7y8ahOZsQlyp2A2e-A/edit?usp=sharing"",""อุดรธานี!J198"")"),0)</f>
        <v>0</v>
      </c>
      <c r="W50" s="93">
        <f t="shared" ca="1" si="88"/>
        <v>0</v>
      </c>
      <c r="X50" s="92">
        <f ca="1">IFERROR(__xludf.DUMMYFUNCTION("IMPORTRANGE(""https://docs.google.com/spreadsheets/d/1gF7RJpRnL-1oyjyeWxs5SFWEH7y8ahOZsQlyp2A2e-A/edit?usp=sharing"",""อุดรธานี!J199"")"),0)</f>
        <v>0</v>
      </c>
      <c r="Y50" s="92">
        <f ca="1">IFERROR(__xludf.DUMMYFUNCTION("IMPORTRANGE(""https://docs.google.com/spreadsheets/d/1gF7RJpRnL-1oyjyeWxs5SFWEH7y8ahOZsQlyp2A2e-A/edit?usp=sharing"",""อุดรธานี!J200"")"),0)</f>
        <v>0</v>
      </c>
      <c r="Z50" s="92">
        <f ca="1">IFERROR(__xludf.DUMMYFUNCTION("IMPORTRANGE(""https://docs.google.com/spreadsheets/d/1gF7RJpRnL-1oyjyeWxs5SFWEH7y8ahOZsQlyp2A2e-A/edit?usp=sharing"",""อุดรธานี!J201"")"),0)</f>
        <v>0</v>
      </c>
      <c r="AA50" s="92">
        <f ca="1">IFERROR(__xludf.DUMMYFUNCTION("IMPORTRANGE(""https://docs.google.com/spreadsheets/d/1gF7RJpRnL-1oyjyeWxs5SFWEH7y8ahOZsQlyp2A2e-A/edit?usp=sharing"",""อุดรธานี!L204"")"),1000)</f>
        <v>1000</v>
      </c>
      <c r="AB50" s="92">
        <f ca="1">IFERROR(__xludf.DUMMYFUNCTION("IMPORTRANGE(""https://docs.google.com/spreadsheets/d/1gF7RJpRnL-1oyjyeWxs5SFWEH7y8ahOZsQlyp2A2e-A/edit?usp=sharing"",""อุดรธานี!N204"")"),0)</f>
        <v>0</v>
      </c>
      <c r="AC50" s="93">
        <f t="shared" ca="1" si="90"/>
        <v>0</v>
      </c>
      <c r="AD50" s="92">
        <f ca="1">IFERROR(__xludf.DUMMYFUNCTION("IMPORTRANGE(""https://docs.google.com/spreadsheets/d/1gF7RJpRnL-1oyjyeWxs5SFWEH7y8ahOZsQlyp2A2e-A/edit?usp=sharing"",""อุดรธานี!L206"")"),8000)</f>
        <v>8000</v>
      </c>
      <c r="AE50" s="92">
        <f ca="1">IFERROR(__xludf.DUMMYFUNCTION("IMPORTRANGE(""https://docs.google.com/spreadsheets/d/1gF7RJpRnL-1oyjyeWxs5SFWEH7y8ahOZsQlyp2A2e-A/edit?usp=sharing"",""อุดรธานี!N206"")"),0)</f>
        <v>0</v>
      </c>
      <c r="AF50" s="93">
        <f t="shared" ca="1" si="92"/>
        <v>0</v>
      </c>
      <c r="AG50" s="92">
        <f ca="1">IFERROR(__xludf.DUMMYFUNCTION("IMPORTRANGE(""https://docs.google.com/spreadsheets/d/1gF7RJpRnL-1oyjyeWxs5SFWEH7y8ahOZsQlyp2A2e-A/edit?usp=sharing"",""อุดรธานี!L207"")"),4000)</f>
        <v>4000</v>
      </c>
      <c r="AH50" s="92">
        <f ca="1">IFERROR(__xludf.DUMMYFUNCTION("IMPORTRANGE(""https://docs.google.com/spreadsheets/d/1gF7RJpRnL-1oyjyeWxs5SFWEH7y8ahOZsQlyp2A2e-A/edit?usp=sharing"",""อุดรธานี!N207"")"),0)</f>
        <v>0</v>
      </c>
      <c r="AI50" s="93">
        <f t="shared" ca="1" si="94"/>
        <v>0</v>
      </c>
      <c r="AJ50" s="92">
        <f ca="1">IFERROR(__xludf.DUMMYFUNCTION("IMPORTRANGE(""https://docs.google.com/spreadsheets/d/1gF7RJpRnL-1oyjyeWxs5SFWEH7y8ahOZsQlyp2A2e-A/edit?usp=sharing"",""อุดรธานี!I209"")"),1)</f>
        <v>1</v>
      </c>
      <c r="AK50" s="92">
        <f ca="1">IFERROR(__xludf.DUMMYFUNCTION("IMPORTRANGE(""https://docs.google.com/spreadsheets/d/1gF7RJpRnL-1oyjyeWxs5SFWEH7y8ahOZsQlyp2A2e-A/edit?usp=sharing"",""อุดรธานี!J209"")"),0)</f>
        <v>0</v>
      </c>
      <c r="AL50" s="93">
        <f t="shared" ca="1" si="96"/>
        <v>0</v>
      </c>
      <c r="AM50" s="92">
        <f ca="1">IFERROR(__xludf.DUMMYFUNCTION("IMPORTRANGE(""https://docs.google.com/spreadsheets/d/1gF7RJpRnL-1oyjyeWxs5SFWEH7y8ahOZsQlyp2A2e-A/edit?usp=sharing"",""อุดรธานี!J211"")"),0)</f>
        <v>0</v>
      </c>
      <c r="AN50" s="92">
        <f ca="1">IFERROR(__xludf.DUMMYFUNCTION("IMPORTRANGE(""https://docs.google.com/spreadsheets/d/1gF7RJpRnL-1oyjyeWxs5SFWEH7y8ahOZsQlyp2A2e-A/edit?usp=sharing"",""อุดรธานี!J212"")"),0)</f>
        <v>0</v>
      </c>
      <c r="AO50" s="92">
        <f ca="1">IFERROR(__xludf.DUMMYFUNCTION("IMPORTRANGE(""https://docs.google.com/spreadsheets/d/1gF7RJpRnL-1oyjyeWxs5SFWEH7y8ahOZsQlyp2A2e-A/edit?usp=sharing"",""อุดรธานี!L215"")"),3000)</f>
        <v>3000</v>
      </c>
      <c r="AP50" s="92">
        <f ca="1">IFERROR(__xludf.DUMMYFUNCTION("IMPORTRANGE(""https://docs.google.com/spreadsheets/d/1gF7RJpRnL-1oyjyeWxs5SFWEH7y8ahOZsQlyp2A2e-A/edit?usp=sharing"",""อุดรธานี!N215"")"),0)</f>
        <v>0</v>
      </c>
      <c r="AQ50" s="93">
        <f t="shared" ca="1" si="98"/>
        <v>0</v>
      </c>
      <c r="AR50" s="92">
        <f ca="1">IFERROR(__xludf.DUMMYFUNCTION("IMPORTRANGE(""https://docs.google.com/spreadsheets/d/1gF7RJpRnL-1oyjyeWxs5SFWEH7y8ahOZsQlyp2A2e-A/edit?usp=sharing"",""อุดรธานี!L216"")"),15000)</f>
        <v>15000</v>
      </c>
      <c r="AS50" s="92">
        <f ca="1">IFERROR(__xludf.DUMMYFUNCTION("IMPORTRANGE(""https://docs.google.com/spreadsheets/d/1gF7RJpRnL-1oyjyeWxs5SFWEH7y8ahOZsQlyp2A2e-A/edit?usp=sharing"",""อุดรธานี!N216"")"),0)</f>
        <v>0</v>
      </c>
      <c r="AT50" s="93">
        <f t="shared" ca="1" si="100"/>
        <v>0</v>
      </c>
      <c r="AU50" s="92">
        <f ca="1">IFERROR(__xludf.DUMMYFUNCTION("IMPORTRANGE(""https://docs.google.com/spreadsheets/d/1gF7RJpRnL-1oyjyeWxs5SFWEH7y8ahOZsQlyp2A2e-A/edit?usp=sharing"",""อุดรธานี!L217"")"),24000)</f>
        <v>24000</v>
      </c>
      <c r="AV50" s="92">
        <f ca="1">IFERROR(__xludf.DUMMYFUNCTION("IMPORTRANGE(""https://docs.google.com/spreadsheets/d/1gF7RJpRnL-1oyjyeWxs5SFWEH7y8ahOZsQlyp2A2e-A/edit?usp=sharing"",""อุดรธานี!N217"")"),0)</f>
        <v>0</v>
      </c>
      <c r="AW50" s="93">
        <f t="shared" ca="1" si="102"/>
        <v>0</v>
      </c>
      <c r="AX50" s="92">
        <f ca="1">IFERROR(__xludf.DUMMYFUNCTION("IMPORTRANGE(""https://docs.google.com/spreadsheets/d/1gF7RJpRnL-1oyjyeWxs5SFWEH7y8ahOZsQlyp2A2e-A/edit?usp=sharing"",""อุดรธานี!I219"")"),3)</f>
        <v>3</v>
      </c>
      <c r="AY50" s="92">
        <f ca="1">IFERROR(__xludf.DUMMYFUNCTION("IMPORTRANGE(""https://docs.google.com/spreadsheets/d/1gF7RJpRnL-1oyjyeWxs5SFWEH7y8ahOZsQlyp2A2e-A/edit?usp=sharing"",""อุดรธานี!J219"")"),0)</f>
        <v>0</v>
      </c>
      <c r="AZ50" s="93">
        <f t="shared" ca="1" si="104"/>
        <v>0</v>
      </c>
      <c r="BA50" s="92">
        <f ca="1">IFERROR(__xludf.DUMMYFUNCTION("IMPORTRANGE(""https://docs.google.com/spreadsheets/d/1gF7RJpRnL-1oyjyeWxs5SFWEH7y8ahOZsQlyp2A2e-A/edit?usp=sharing"",""อุดรธานี!I220"")"),3)</f>
        <v>3</v>
      </c>
      <c r="BB50" s="92">
        <f ca="1">IFERROR(__xludf.DUMMYFUNCTION("IMPORTRANGE(""https://docs.google.com/spreadsheets/d/1gF7RJpRnL-1oyjyeWxs5SFWEH7y8ahOZsQlyp2A2e-A/edit?usp=sharing"",""อุดรธานี!J220"")"),0)</f>
        <v>0</v>
      </c>
      <c r="BC50" s="93">
        <f t="shared" ca="1" si="106"/>
        <v>0</v>
      </c>
      <c r="BD50" s="92">
        <f ca="1">IFERROR(__xludf.DUMMYFUNCTION("IMPORTRANGE(""https://docs.google.com/spreadsheets/d/1gF7RJpRnL-1oyjyeWxs5SFWEH7y8ahOZsQlyp2A2e-A/edit?usp=sharing"",""อุดรธานี!L223"")"),3000)</f>
        <v>3000</v>
      </c>
      <c r="BE50" s="92">
        <f ca="1">IFERROR(__xludf.DUMMYFUNCTION("IMPORTRANGE(""https://docs.google.com/spreadsheets/d/1gF7RJpRnL-1oyjyeWxs5SFWEH7y8ahOZsQlyp2A2e-A/edit?usp=sharing"",""อุดรธานี!N223"")"),0)</f>
        <v>0</v>
      </c>
      <c r="BF50" s="93">
        <f t="shared" ca="1" si="108"/>
        <v>0</v>
      </c>
      <c r="BG50" s="92">
        <f ca="1">IFERROR(__xludf.DUMMYFUNCTION("IMPORTRANGE(""https://docs.google.com/spreadsheets/d/1gF7RJpRnL-1oyjyeWxs5SFWEH7y8ahOZsQlyp2A2e-A/edit?usp=sharing"",""อุดรธานี!L224"")"),1500)</f>
        <v>1500</v>
      </c>
      <c r="BH50" s="92">
        <f ca="1">IFERROR(__xludf.DUMMYFUNCTION("IMPORTRANGE(""https://docs.google.com/spreadsheets/d/1gF7RJpRnL-1oyjyeWxs5SFWEH7y8ahOZsQlyp2A2e-A/edit?usp=sharing"",""อุดรธานี!N224"")"),0)</f>
        <v>0</v>
      </c>
      <c r="BI50" s="93">
        <f t="shared" ca="1" si="110"/>
        <v>0</v>
      </c>
      <c r="BJ50" s="92">
        <f ca="1">IFERROR(__xludf.DUMMYFUNCTION("IMPORTRANGE(""https://docs.google.com/spreadsheets/d/1gF7RJpRnL-1oyjyeWxs5SFWEH7y8ahOZsQlyp2A2e-A/edit?usp=sharing"",""อุดรธานี!I228"")"),10000)</f>
        <v>10000</v>
      </c>
      <c r="BK50" s="92">
        <f ca="1">IFERROR(__xludf.DUMMYFUNCTION("IMPORTRANGE(""https://docs.google.com/spreadsheets/d/1gF7RJpRnL-1oyjyeWxs5SFWEH7y8ahOZsQlyp2A2e-A/edit?usp=sharing"",""อุดรธานี!J228"")"),0)</f>
        <v>0</v>
      </c>
      <c r="BL50" s="93">
        <f t="shared" ca="1" si="112"/>
        <v>0</v>
      </c>
      <c r="BM50" s="92">
        <f ca="1">IFERROR(__xludf.DUMMYFUNCTION("IMPORTRANGE(""https://docs.google.com/spreadsheets/d/1gF7RJpRnL-1oyjyeWxs5SFWEH7y8ahOZsQlyp2A2e-A/edit?usp=sharing"",""อุดรธานี!I229"")"),10000)</f>
        <v>10000</v>
      </c>
      <c r="BN50" s="92">
        <f ca="1">IFERROR(__xludf.DUMMYFUNCTION("IMPORTRANGE(""https://docs.google.com/spreadsheets/d/1gF7RJpRnL-1oyjyeWxs5SFWEH7y8ahOZsQlyp2A2e-A/edit?usp=sharing"",""อุดรธานี!J229"")"),0)</f>
        <v>0</v>
      </c>
      <c r="BO50" s="93">
        <f t="shared" ca="1" si="114"/>
        <v>0</v>
      </c>
      <c r="BP50" s="92">
        <f ca="1">IFERROR(__xludf.DUMMYFUNCTION("IMPORTRANGE(""https://docs.google.com/spreadsheets/d/1gF7RJpRnL-1oyjyeWxs5SFWEH7y8ahOZsQlyp2A2e-A/edit?usp=sharing"",""อุดรธานี!I230"")"),0)</f>
        <v>0</v>
      </c>
      <c r="BQ50" s="92">
        <f ca="1">IFERROR(__xludf.DUMMYFUNCTION("IMPORTRANGE(""https://docs.google.com/spreadsheets/d/1gF7RJpRnL-1oyjyeWxs5SFWEH7y8ahOZsQlyp2A2e-A/edit?usp=sharing"",""อุดรธานี!J230"")"),0)</f>
        <v>0</v>
      </c>
      <c r="BR50" s="93">
        <f t="shared" ca="1" si="116"/>
        <v>0</v>
      </c>
      <c r="BS50" s="92">
        <f ca="1">IFERROR(__xludf.DUMMYFUNCTION("IMPORTRANGE(""https://docs.google.com/spreadsheets/d/1gF7RJpRnL-1oyjyeWxs5SFWEH7y8ahOZsQlyp2A2e-A/edit?usp=sharing"",""อุดรธานี!L233"")"),0)</f>
        <v>0</v>
      </c>
      <c r="BT50" s="92">
        <f ca="1">IFERROR(__xludf.DUMMYFUNCTION("IMPORTRANGE(""https://docs.google.com/spreadsheets/d/1gF7RJpRnL-1oyjyeWxs5SFWEH7y8ahOZsQlyp2A2e-A/edit?usp=sharing"",""อุดรธานี!N233"")"),0)</f>
        <v>0</v>
      </c>
      <c r="BU50" s="93">
        <f t="shared" ca="1" si="118"/>
        <v>0</v>
      </c>
      <c r="BV50" s="92">
        <f ca="1">IFERROR(__xludf.DUMMYFUNCTION("IMPORTRANGE(""https://docs.google.com/spreadsheets/d/1gF7RJpRnL-1oyjyeWxs5SFWEH7y8ahOZsQlyp2A2e-A/edit?usp=sharing"",""อุดรธานี!L234"")"),0)</f>
        <v>0</v>
      </c>
      <c r="BW50" s="92">
        <f ca="1">IFERROR(__xludf.DUMMYFUNCTION("IMPORTRANGE(""https://docs.google.com/spreadsheets/d/1gF7RJpRnL-1oyjyeWxs5SFWEH7y8ahOZsQlyp2A2e-A/edit?usp=sharing"",""อุดรธานี!N234"")"),0)</f>
        <v>0</v>
      </c>
      <c r="BX50" s="93">
        <f t="shared" ca="1" si="120"/>
        <v>0</v>
      </c>
      <c r="BY50" s="92">
        <f ca="1">IFERROR(__xludf.DUMMYFUNCTION("IMPORTRANGE(""https://docs.google.com/spreadsheets/d/1gF7RJpRnL-1oyjyeWxs5SFWEH7y8ahOZsQlyp2A2e-A/edit?usp=sharing"",""อุดรธานี!L235"")"),0)</f>
        <v>0</v>
      </c>
      <c r="BZ50" s="92">
        <f ca="1">IFERROR(__xludf.DUMMYFUNCTION("IMPORTRANGE(""https://docs.google.com/spreadsheets/d/1gF7RJpRnL-1oyjyeWxs5SFWEH7y8ahOZsQlyp2A2e-A/edit?usp=sharing"",""อุดรธานี!N235"")"),0)</f>
        <v>0</v>
      </c>
      <c r="CA50" s="93">
        <f t="shared" ca="1" si="122"/>
        <v>0</v>
      </c>
      <c r="CB50" s="92">
        <f ca="1">IFERROR(__xludf.DUMMYFUNCTION("IMPORTRANGE(""https://docs.google.com/spreadsheets/d/1gF7RJpRnL-1oyjyeWxs5SFWEH7y8ahOZsQlyp2A2e-A/edit?usp=sharing"",""อุดรธานี!L236"")"),0)</f>
        <v>0</v>
      </c>
      <c r="CC50" s="92">
        <f ca="1">IFERROR(__xludf.DUMMYFUNCTION("IMPORTRANGE(""https://docs.google.com/spreadsheets/d/1gF7RJpRnL-1oyjyeWxs5SFWEH7y8ahOZsQlyp2A2e-A/edit?usp=sharing"",""อุดรธานี!N236"")"),0)</f>
        <v>0</v>
      </c>
      <c r="CD50" s="93">
        <f t="shared" ca="1" si="124"/>
        <v>0</v>
      </c>
      <c r="CE50" s="92">
        <f ca="1">IFERROR(__xludf.DUMMYFUNCTION("IMPORTRANGE(""https://docs.google.com/spreadsheets/d/1gF7RJpRnL-1oyjyeWxs5SFWEH7y8ahOZsQlyp2A2e-A/edit?usp=sharing"",""อุดรธานี!I238"")"),0)</f>
        <v>0</v>
      </c>
      <c r="CF50" s="92">
        <f ca="1">IFERROR(__xludf.DUMMYFUNCTION("IMPORTRANGE(""https://docs.google.com/spreadsheets/d/1gF7RJpRnL-1oyjyeWxs5SFWEH7y8ahOZsQlyp2A2e-A/edit?usp=sharing"",""อุดรธานี!J238"")"),0)</f>
        <v>0</v>
      </c>
      <c r="CG50" s="93">
        <f t="shared" ca="1" si="126"/>
        <v>0</v>
      </c>
      <c r="CH50" s="92">
        <f ca="1">IFERROR(__xludf.DUMMYFUNCTION("IMPORTRANGE(""https://docs.google.com/spreadsheets/d/1gF7RJpRnL-1oyjyeWxs5SFWEH7y8ahOZsQlyp2A2e-A/edit?usp=sharing"",""อุดรธานี!J240"")"),0)</f>
        <v>0</v>
      </c>
      <c r="CI50" s="92">
        <f ca="1">IFERROR(__xludf.DUMMYFUNCTION("IMPORTRANGE(""https://docs.google.com/spreadsheets/d/1gF7RJpRnL-1oyjyeWxs5SFWEH7y8ahOZsQlyp2A2e-A/edit?usp=sharing"",""อุดรธานี!J241"")"),0)</f>
        <v>0</v>
      </c>
    </row>
    <row r="51" spans="1:87" ht="21" customHeight="1" x14ac:dyDescent="0.3">
      <c r="A51" s="95">
        <v>20</v>
      </c>
      <c r="B51" s="96" t="s">
        <v>73</v>
      </c>
      <c r="C51" s="223">
        <f t="shared" ca="1" si="77"/>
        <v>433500</v>
      </c>
      <c r="D51" s="224">
        <f t="shared" ca="1" si="152"/>
        <v>433500</v>
      </c>
      <c r="E51" s="225">
        <f ca="1">IFERROR(__xludf.DUMMYFUNCTION("IMPORTRANGE(""https://docs.google.com/spreadsheets/d/1-uDff_7J0KD5mKrp0Vvzr7lt3OU09vwQwhkpOPPYv2Y/edit?usp=sharing"",""งบพรบ!CV51"")"),182000)</f>
        <v>182000</v>
      </c>
      <c r="F51" s="225">
        <f ca="1">IFERROR(__xludf.DUMMYFUNCTION("IMPORTRANGE(""https://docs.google.com/spreadsheets/d/1-uDff_7J0KD5mKrp0Vvzr7lt3OU09vwQwhkpOPPYv2Y/edit?usp=sharing"",""งบพรบ!CW51"")"),251500)</f>
        <v>251500</v>
      </c>
      <c r="G51" s="225">
        <f ca="1">IFERROR(__xludf.DUMMYFUNCTION("IMPORTRANGE(""https://docs.google.com/spreadsheets/d/1-uDff_7J0KD5mKrp0Vvzr7lt3OU09vwQwhkpOPPYv2Y/edit?usp=sharing"",""งบพรบ!CX51"")"),0)</f>
        <v>0</v>
      </c>
      <c r="H51" s="225">
        <f ca="1">IFERROR(__xludf.DUMMYFUNCTION("IMPORTRANGE(""https://docs.google.com/spreadsheets/d/1-uDff_7J0KD5mKrp0Vvzr7lt3OU09vwQwhkpOPPYv2Y/edit?usp=sharing"",""งบพรบ!CZ51"")"),329500)</f>
        <v>329500</v>
      </c>
      <c r="I51" s="225">
        <f ca="1">IFERROR(__xludf.DUMMYFUNCTION("IMPORTRANGE(""https://docs.google.com/spreadsheets/d/1-uDff_7J0KD5mKrp0Vvzr7lt3OU09vwQwhkpOPPYv2Y/edit?usp=sharing"",""งบพรบ!DA51"")"),0)</f>
        <v>0</v>
      </c>
      <c r="J51" s="225">
        <f t="shared" ca="1" si="79"/>
        <v>79567</v>
      </c>
      <c r="K51" s="226">
        <f t="shared" ca="1" si="80"/>
        <v>18.354555940023069</v>
      </c>
      <c r="L51" s="225">
        <f ca="1">IFERROR(__xludf.DUMMYFUNCTION("IMPORTRANGE(""https://docs.google.com/spreadsheets/d/1-uDff_7J0KD5mKrp0Vvzr7lt3OU09vwQwhkpOPPYv2Y/edit?usp=sharing"",""งบพรบ!DB51"")"),79567)</f>
        <v>79567</v>
      </c>
      <c r="M51" s="227">
        <f t="shared" ca="1" si="81"/>
        <v>18.354555940023069</v>
      </c>
      <c r="N51" s="227">
        <f t="shared" ca="1" si="82"/>
        <v>24.147799696509864</v>
      </c>
      <c r="O51" s="228">
        <f ca="1">IFERROR(__xludf.DUMMYFUNCTION("IMPORTRANGE(""https://docs.google.com/spreadsheets/d/1-uDff_7J0KD5mKrp0Vvzr7lt3OU09vwQwhkpOPPYv2Y/edit?usp=sharing"",""งบพรบ!DC51"")"),0)</f>
        <v>0</v>
      </c>
      <c r="P51" s="228">
        <f t="shared" ca="1" si="83"/>
        <v>0</v>
      </c>
      <c r="Q51" s="227">
        <f t="shared" ca="1" si="84"/>
        <v>0</v>
      </c>
      <c r="R51" s="103">
        <f ca="1">IFERROR(__xludf.DUMMYFUNCTION("IMPORTRANGE(""https://docs.google.com/spreadsheets/d/1kfLP0j3INXRa8bTDpcEmoWewMBV61jlFlfzczfjWIgc/edit?usp=sharing"",""อุบลราชธานี!L196"")"),6000)</f>
        <v>6000</v>
      </c>
      <c r="S51" s="103">
        <f ca="1">IFERROR(__xludf.DUMMYFUNCTION("IMPORTRANGE(""https://docs.google.com/spreadsheets/d/1kfLP0j3INXRa8bTDpcEmoWewMBV61jlFlfzczfjWIgc/edit?usp=sharing"",""อุบลราชธานี!N196"")"),0)</f>
        <v>0</v>
      </c>
      <c r="T51" s="104">
        <f t="shared" ca="1" si="86"/>
        <v>0</v>
      </c>
      <c r="U51" s="103">
        <f ca="1">IFERROR(__xludf.DUMMYFUNCTION("IMPORTRANGE(""https://docs.google.com/spreadsheets/d/1kfLP0j3INXRa8bTDpcEmoWewMBV61jlFlfzczfjWIgc/edit?usp=sharing"",""อุบลราชธานี!I198"")"),4)</f>
        <v>4</v>
      </c>
      <c r="V51" s="103">
        <f ca="1">IFERROR(__xludf.DUMMYFUNCTION("IMPORTRANGE(""https://docs.google.com/spreadsheets/d/1kfLP0j3INXRa8bTDpcEmoWewMBV61jlFlfzczfjWIgc/edit?usp=sharing"",""อุบลราชธานี!J198"")"),0)</f>
        <v>0</v>
      </c>
      <c r="W51" s="104">
        <f t="shared" ca="1" si="88"/>
        <v>0</v>
      </c>
      <c r="X51" s="103">
        <f ca="1">IFERROR(__xludf.DUMMYFUNCTION("IMPORTRANGE(""https://docs.google.com/spreadsheets/d/1kfLP0j3INXRa8bTDpcEmoWewMBV61jlFlfzczfjWIgc/edit?usp=sharing"",""อุบลราชธานี!J199"")"),0)</f>
        <v>0</v>
      </c>
      <c r="Y51" s="103">
        <f ca="1">IFERROR(__xludf.DUMMYFUNCTION("IMPORTRANGE(""https://docs.google.com/spreadsheets/d/1kfLP0j3INXRa8bTDpcEmoWewMBV61jlFlfzczfjWIgc/edit?usp=sharing"",""อุบลราชธานี!J200"")"),0)</f>
        <v>0</v>
      </c>
      <c r="Z51" s="103">
        <f ca="1">IFERROR(__xludf.DUMMYFUNCTION("IMPORTRANGE(""https://docs.google.com/spreadsheets/d/1kfLP0j3INXRa8bTDpcEmoWewMBV61jlFlfzczfjWIgc/edit?usp=sharing"",""อุบลราชธานี!J201"")"),0)</f>
        <v>0</v>
      </c>
      <c r="AA51" s="103">
        <f ca="1">IFERROR(__xludf.DUMMYFUNCTION("IMPORTRANGE(""https://docs.google.com/spreadsheets/d/1kfLP0j3INXRa8bTDpcEmoWewMBV61jlFlfzczfjWIgc/edit?usp=sharing"",""อุบลราชธานี!L204"")"),2000)</f>
        <v>2000</v>
      </c>
      <c r="AB51" s="103">
        <f ca="1">IFERROR(__xludf.DUMMYFUNCTION("IMPORTRANGE(""https://docs.google.com/spreadsheets/d/1kfLP0j3INXRa8bTDpcEmoWewMBV61jlFlfzczfjWIgc/edit?usp=sharing"",""อุบลราชธานี!N204"")"),0)</f>
        <v>0</v>
      </c>
      <c r="AC51" s="104">
        <f t="shared" ca="1" si="90"/>
        <v>0</v>
      </c>
      <c r="AD51" s="103">
        <f ca="1">IFERROR(__xludf.DUMMYFUNCTION("IMPORTRANGE(""https://docs.google.com/spreadsheets/d/1kfLP0j3INXRa8bTDpcEmoWewMBV61jlFlfzczfjWIgc/edit?usp=sharing"",""อุบลราชธานี!L206"")"),16000)</f>
        <v>16000</v>
      </c>
      <c r="AE51" s="103">
        <f ca="1">IFERROR(__xludf.DUMMYFUNCTION("IMPORTRANGE(""https://docs.google.com/spreadsheets/d/1kfLP0j3INXRa8bTDpcEmoWewMBV61jlFlfzczfjWIgc/edit?usp=sharing"",""อุบลราชธานี!N206"")"),0)</f>
        <v>0</v>
      </c>
      <c r="AF51" s="104">
        <f t="shared" ca="1" si="92"/>
        <v>0</v>
      </c>
      <c r="AG51" s="103">
        <f ca="1">IFERROR(__xludf.DUMMYFUNCTION("IMPORTRANGE(""https://docs.google.com/spreadsheets/d/1kfLP0j3INXRa8bTDpcEmoWewMBV61jlFlfzczfjWIgc/edit?usp=sharing"",""อุบลราชธานี!L207"")"),8000)</f>
        <v>8000</v>
      </c>
      <c r="AH51" s="103">
        <f ca="1">IFERROR(__xludf.DUMMYFUNCTION("IMPORTRANGE(""https://docs.google.com/spreadsheets/d/1kfLP0j3INXRa8bTDpcEmoWewMBV61jlFlfzczfjWIgc/edit?usp=sharing"",""อุบลราชธานี!N207"")"),0)</f>
        <v>0</v>
      </c>
      <c r="AI51" s="104">
        <f t="shared" ca="1" si="94"/>
        <v>0</v>
      </c>
      <c r="AJ51" s="103">
        <f ca="1">IFERROR(__xludf.DUMMYFUNCTION("IMPORTRANGE(""https://docs.google.com/spreadsheets/d/1kfLP0j3INXRa8bTDpcEmoWewMBV61jlFlfzczfjWIgc/edit?usp=sharing"",""อุบลราชธานี!I209"")"),2)</f>
        <v>2</v>
      </c>
      <c r="AK51" s="103">
        <f ca="1">IFERROR(__xludf.DUMMYFUNCTION("IMPORTRANGE(""https://docs.google.com/spreadsheets/d/1kfLP0j3INXRa8bTDpcEmoWewMBV61jlFlfzczfjWIgc/edit?usp=sharing"",""อุบลราชธานี!J209"")"),0)</f>
        <v>0</v>
      </c>
      <c r="AL51" s="104">
        <f t="shared" ca="1" si="96"/>
        <v>0</v>
      </c>
      <c r="AM51" s="103">
        <f ca="1">IFERROR(__xludf.DUMMYFUNCTION("IMPORTRANGE(""https://docs.google.com/spreadsheets/d/1kfLP0j3INXRa8bTDpcEmoWewMBV61jlFlfzczfjWIgc/edit?usp=sharing"",""อุบลราชธานี!J211"")"),0)</f>
        <v>0</v>
      </c>
      <c r="AN51" s="103">
        <f ca="1">IFERROR(__xludf.DUMMYFUNCTION("IMPORTRANGE(""https://docs.google.com/spreadsheets/d/1kfLP0j3INXRa8bTDpcEmoWewMBV61jlFlfzczfjWIgc/edit?usp=sharing"",""อุบลราชธานี!J212"")"),0)</f>
        <v>0</v>
      </c>
      <c r="AO51" s="103">
        <f ca="1">IFERROR(__xludf.DUMMYFUNCTION("IMPORTRANGE(""https://docs.google.com/spreadsheets/d/1kfLP0j3INXRa8bTDpcEmoWewMBV61jlFlfzczfjWIgc/edit?usp=sharing"",""อุบลราชธานี!L215"")"),2000)</f>
        <v>2000</v>
      </c>
      <c r="AP51" s="103">
        <f ca="1">IFERROR(__xludf.DUMMYFUNCTION("IMPORTRANGE(""https://docs.google.com/spreadsheets/d/1kfLP0j3INXRa8bTDpcEmoWewMBV61jlFlfzczfjWIgc/edit?usp=sharing"",""อุบลราชธานี!N215"")"),0)</f>
        <v>0</v>
      </c>
      <c r="AQ51" s="104">
        <f t="shared" ca="1" si="98"/>
        <v>0</v>
      </c>
      <c r="AR51" s="103">
        <f ca="1">IFERROR(__xludf.DUMMYFUNCTION("IMPORTRANGE(""https://docs.google.com/spreadsheets/d/1kfLP0j3INXRa8bTDpcEmoWewMBV61jlFlfzczfjWIgc/edit?usp=sharing"",""อุบลราชธานี!L216"")"),10000)</f>
        <v>10000</v>
      </c>
      <c r="AS51" s="103">
        <f ca="1">IFERROR(__xludf.DUMMYFUNCTION("IMPORTRANGE(""https://docs.google.com/spreadsheets/d/1kfLP0j3INXRa8bTDpcEmoWewMBV61jlFlfzczfjWIgc/edit?usp=sharing"",""อุบลราชธานี!N216"")"),0)</f>
        <v>0</v>
      </c>
      <c r="AT51" s="104">
        <f t="shared" ca="1" si="100"/>
        <v>0</v>
      </c>
      <c r="AU51" s="103">
        <f ca="1">IFERROR(__xludf.DUMMYFUNCTION("IMPORTRANGE(""https://docs.google.com/spreadsheets/d/1kfLP0j3INXRa8bTDpcEmoWewMBV61jlFlfzczfjWIgc/edit?usp=sharing"",""อุบลราชธานี!L217"")"),16000)</f>
        <v>16000</v>
      </c>
      <c r="AV51" s="103">
        <f ca="1">IFERROR(__xludf.DUMMYFUNCTION("IMPORTRANGE(""https://docs.google.com/spreadsheets/d/1kfLP0j3INXRa8bTDpcEmoWewMBV61jlFlfzczfjWIgc/edit?usp=sharing"",""อุบลราชธานี!N217"")"),0)</f>
        <v>0</v>
      </c>
      <c r="AW51" s="104">
        <f t="shared" ca="1" si="102"/>
        <v>0</v>
      </c>
      <c r="AX51" s="103">
        <f ca="1">IFERROR(__xludf.DUMMYFUNCTION("IMPORTRANGE(""https://docs.google.com/spreadsheets/d/1kfLP0j3INXRa8bTDpcEmoWewMBV61jlFlfzczfjWIgc/edit?usp=sharing"",""อุบลราชธานี!I219"")"),2)</f>
        <v>2</v>
      </c>
      <c r="AY51" s="103">
        <f ca="1">IFERROR(__xludf.DUMMYFUNCTION("IMPORTRANGE(""https://docs.google.com/spreadsheets/d/1kfLP0j3INXRa8bTDpcEmoWewMBV61jlFlfzczfjWIgc/edit?usp=sharing"",""อุบลราชธานี!J219"")"),0)</f>
        <v>0</v>
      </c>
      <c r="AZ51" s="104">
        <f t="shared" ca="1" si="104"/>
        <v>0</v>
      </c>
      <c r="BA51" s="103">
        <f ca="1">IFERROR(__xludf.DUMMYFUNCTION("IMPORTRANGE(""https://docs.google.com/spreadsheets/d/1kfLP0j3INXRa8bTDpcEmoWewMBV61jlFlfzczfjWIgc/edit?usp=sharing"",""อุบลราชธานี!I220"")"),2)</f>
        <v>2</v>
      </c>
      <c r="BB51" s="103">
        <f ca="1">IFERROR(__xludf.DUMMYFUNCTION("IMPORTRANGE(""https://docs.google.com/spreadsheets/d/1kfLP0j3INXRa8bTDpcEmoWewMBV61jlFlfzczfjWIgc/edit?usp=sharing"",""อุบลราชธานี!J220"")"),0)</f>
        <v>0</v>
      </c>
      <c r="BC51" s="104">
        <f t="shared" ca="1" si="106"/>
        <v>0</v>
      </c>
      <c r="BD51" s="103">
        <f ca="1">IFERROR(__xludf.DUMMYFUNCTION("IMPORTRANGE(""https://docs.google.com/spreadsheets/d/1kfLP0j3INXRa8bTDpcEmoWewMBV61jlFlfzczfjWIgc/edit?usp=sharing"",""อุบลราชธานี!L223"")"),5000)</f>
        <v>5000</v>
      </c>
      <c r="BE51" s="103">
        <f ca="1">IFERROR(__xludf.DUMMYFUNCTION("IMPORTRANGE(""https://docs.google.com/spreadsheets/d/1kfLP0j3INXRa8bTDpcEmoWewMBV61jlFlfzczfjWIgc/edit?usp=sharing"",""อุบลราชธานี!N223"")"),0)</f>
        <v>0</v>
      </c>
      <c r="BF51" s="104">
        <f t="shared" ca="1" si="108"/>
        <v>0</v>
      </c>
      <c r="BG51" s="103">
        <f ca="1">IFERROR(__xludf.DUMMYFUNCTION("IMPORTRANGE(""https://docs.google.com/spreadsheets/d/1kfLP0j3INXRa8bTDpcEmoWewMBV61jlFlfzczfjWIgc/edit?usp=sharing"",""อุบลราชธานี!L224"")"),1500)</f>
        <v>1500</v>
      </c>
      <c r="BH51" s="103">
        <f ca="1">IFERROR(__xludf.DUMMYFUNCTION("IMPORTRANGE(""https://docs.google.com/spreadsheets/d/1kfLP0j3INXRa8bTDpcEmoWewMBV61jlFlfzczfjWIgc/edit?usp=sharing"",""อุบลราชธานี!N224"")"),0)</f>
        <v>0</v>
      </c>
      <c r="BI51" s="104">
        <f t="shared" ca="1" si="110"/>
        <v>0</v>
      </c>
      <c r="BJ51" s="103">
        <f ca="1">IFERROR(__xludf.DUMMYFUNCTION("IMPORTRANGE(""https://docs.google.com/spreadsheets/d/1kfLP0j3INXRa8bTDpcEmoWewMBV61jlFlfzczfjWIgc/edit?usp=sharing"",""อุบลราชธานี!I228"")"),30000)</f>
        <v>30000</v>
      </c>
      <c r="BK51" s="103">
        <f ca="1">IFERROR(__xludf.DUMMYFUNCTION("IMPORTRANGE(""https://docs.google.com/spreadsheets/d/1kfLP0j3INXRa8bTDpcEmoWewMBV61jlFlfzczfjWIgc/edit?usp=sharing"",""อุบลราชธานี!J228"")"),0)</f>
        <v>0</v>
      </c>
      <c r="BL51" s="104">
        <f t="shared" ca="1" si="112"/>
        <v>0</v>
      </c>
      <c r="BM51" s="103">
        <f ca="1">IFERROR(__xludf.DUMMYFUNCTION("IMPORTRANGE(""https://docs.google.com/spreadsheets/d/1kfLP0j3INXRa8bTDpcEmoWewMBV61jlFlfzczfjWIgc/edit?usp=sharing"",""อุบลราชธานี!I229"")"),30000)</f>
        <v>30000</v>
      </c>
      <c r="BN51" s="103">
        <f ca="1">IFERROR(__xludf.DUMMYFUNCTION("IMPORTRANGE(""https://docs.google.com/spreadsheets/d/1kfLP0j3INXRa8bTDpcEmoWewMBV61jlFlfzczfjWIgc/edit?usp=sharing"",""อุบลราชธานี!J229"")"),0)</f>
        <v>0</v>
      </c>
      <c r="BO51" s="104">
        <f t="shared" ca="1" si="114"/>
        <v>0</v>
      </c>
      <c r="BP51" s="103">
        <f ca="1">IFERROR(__xludf.DUMMYFUNCTION("IMPORTRANGE(""https://docs.google.com/spreadsheets/d/1kfLP0j3INXRa8bTDpcEmoWewMBV61jlFlfzczfjWIgc/edit?usp=sharing"",""อุบลราชธานี!I230"")"),0)</f>
        <v>0</v>
      </c>
      <c r="BQ51" s="103">
        <f ca="1">IFERROR(__xludf.DUMMYFUNCTION("IMPORTRANGE(""https://docs.google.com/spreadsheets/d/1kfLP0j3INXRa8bTDpcEmoWewMBV61jlFlfzczfjWIgc/edit?usp=sharing"",""อุบลราชธานี!J230"")"),0)</f>
        <v>0</v>
      </c>
      <c r="BR51" s="104">
        <f t="shared" ca="1" si="116"/>
        <v>0</v>
      </c>
      <c r="BS51" s="103">
        <f ca="1">IFERROR(__xludf.DUMMYFUNCTION("IMPORTRANGE(""https://docs.google.com/spreadsheets/d/1kfLP0j3INXRa8bTDpcEmoWewMBV61jlFlfzczfjWIgc/edit?usp=sharing"",""อุบลราชธานี!L233"")"),101000)</f>
        <v>101000</v>
      </c>
      <c r="BT51" s="103">
        <f ca="1">IFERROR(__xludf.DUMMYFUNCTION("IMPORTRANGE(""https://docs.google.com/spreadsheets/d/1kfLP0j3INXRa8bTDpcEmoWewMBV61jlFlfzczfjWIgc/edit?usp=sharing"",""อุบลราชธานี!N233"")"),0)</f>
        <v>0</v>
      </c>
      <c r="BU51" s="104">
        <f t="shared" ca="1" si="118"/>
        <v>0</v>
      </c>
      <c r="BV51" s="103">
        <f ca="1">IFERROR(__xludf.DUMMYFUNCTION("IMPORTRANGE(""https://docs.google.com/spreadsheets/d/1kfLP0j3INXRa8bTDpcEmoWewMBV61jlFlfzczfjWIgc/edit?usp=sharing"",""อุบลราชธานี!L234"")"),3000)</f>
        <v>3000</v>
      </c>
      <c r="BW51" s="103">
        <f ca="1">IFERROR(__xludf.DUMMYFUNCTION("IMPORTRANGE(""https://docs.google.com/spreadsheets/d/1kfLP0j3INXRa8bTDpcEmoWewMBV61jlFlfzczfjWIgc/edit?usp=sharing"",""อุบลราชธานี!N234"")"),0)</f>
        <v>0</v>
      </c>
      <c r="BX51" s="104">
        <f t="shared" ca="1" si="120"/>
        <v>0</v>
      </c>
      <c r="BY51" s="103">
        <f ca="1">IFERROR(__xludf.DUMMYFUNCTION("IMPORTRANGE(""https://docs.google.com/spreadsheets/d/1kfLP0j3INXRa8bTDpcEmoWewMBV61jlFlfzczfjWIgc/edit?usp=sharing"",""อุบลราชธานี!L235"")"),48000)</f>
        <v>48000</v>
      </c>
      <c r="BZ51" s="103">
        <f ca="1">IFERROR(__xludf.DUMMYFUNCTION("IMPORTRANGE(""https://docs.google.com/spreadsheets/d/1kfLP0j3INXRa8bTDpcEmoWewMBV61jlFlfzczfjWIgc/edit?usp=sharing"",""อุบลราชธานี!N235"")"),0)</f>
        <v>0</v>
      </c>
      <c r="CA51" s="104">
        <f t="shared" ca="1" si="122"/>
        <v>0</v>
      </c>
      <c r="CB51" s="103">
        <f ca="1">IFERROR(__xludf.DUMMYFUNCTION("IMPORTRANGE(""https://docs.google.com/spreadsheets/d/1kfLP0j3INXRa8bTDpcEmoWewMBV61jlFlfzczfjWIgc/edit?usp=sharing"",""อุบลราชธานี!L236"")"),33000)</f>
        <v>33000</v>
      </c>
      <c r="CC51" s="103">
        <f ca="1">IFERROR(__xludf.DUMMYFUNCTION("IMPORTRANGE(""https://docs.google.com/spreadsheets/d/1kfLP0j3INXRa8bTDpcEmoWewMBV61jlFlfzczfjWIgc/edit?usp=sharing"",""อุบลราชธานี!N236"")"),0)</f>
        <v>0</v>
      </c>
      <c r="CD51" s="104">
        <f t="shared" ca="1" si="124"/>
        <v>0</v>
      </c>
      <c r="CE51" s="103">
        <f ca="1">IFERROR(__xludf.DUMMYFUNCTION("IMPORTRANGE(""https://docs.google.com/spreadsheets/d/1kfLP0j3INXRa8bTDpcEmoWewMBV61jlFlfzczfjWIgc/edit?usp=sharing"",""อุบลราชธานี!I238"")"),40)</f>
        <v>40</v>
      </c>
      <c r="CF51" s="103">
        <f ca="1">IFERROR(__xludf.DUMMYFUNCTION("IMPORTRANGE(""https://docs.google.com/spreadsheets/d/1kfLP0j3INXRa8bTDpcEmoWewMBV61jlFlfzczfjWIgc/edit?usp=sharing"",""อุบลราชธานี!J238"")"),0)</f>
        <v>0</v>
      </c>
      <c r="CG51" s="104">
        <f t="shared" ca="1" si="126"/>
        <v>0</v>
      </c>
      <c r="CH51" s="103">
        <f ca="1">IFERROR(__xludf.DUMMYFUNCTION("IMPORTRANGE(""https://docs.google.com/spreadsheets/d/1kfLP0j3INXRa8bTDpcEmoWewMBV61jlFlfzczfjWIgc/edit?usp=sharing"",""อุบลราชธานี!J240"")"),0)</f>
        <v>0</v>
      </c>
      <c r="CI51" s="103">
        <f ca="1">IFERROR(__xludf.DUMMYFUNCTION("IMPORTRANGE(""https://docs.google.com/spreadsheets/d/1kfLP0j3INXRa8bTDpcEmoWewMBV61jlFlfzczfjWIgc/edit?usp=sharing"",""อุบลราชธานี!J241"")"),0)</f>
        <v>0</v>
      </c>
    </row>
    <row r="52" spans="1:87" ht="21" customHeight="1" x14ac:dyDescent="0.3">
      <c r="A52" s="443" t="s">
        <v>74</v>
      </c>
      <c r="B52" s="376"/>
      <c r="C52" s="229">
        <f t="shared" ca="1" si="77"/>
        <v>3396000</v>
      </c>
      <c r="D52" s="229">
        <f t="shared" ref="D52:I52" ca="1" si="153">SUM(D53:D73)</f>
        <v>3396000</v>
      </c>
      <c r="E52" s="229">
        <f t="shared" ca="1" si="153"/>
        <v>1574600</v>
      </c>
      <c r="F52" s="229">
        <f t="shared" ca="1" si="153"/>
        <v>1821400</v>
      </c>
      <c r="G52" s="229">
        <f t="shared" ca="1" si="153"/>
        <v>0</v>
      </c>
      <c r="H52" s="229">
        <f t="shared" ca="1" si="153"/>
        <v>2724225</v>
      </c>
      <c r="I52" s="229">
        <f t="shared" ca="1" si="153"/>
        <v>0</v>
      </c>
      <c r="J52" s="229">
        <f t="shared" ca="1" si="79"/>
        <v>809619.79</v>
      </c>
      <c r="K52" s="230">
        <f t="shared" ca="1" si="80"/>
        <v>23.840394287396936</v>
      </c>
      <c r="L52" s="229">
        <f ca="1">SUM(L53:L73)</f>
        <v>809619.79</v>
      </c>
      <c r="M52" s="231">
        <f t="shared" ca="1" si="81"/>
        <v>23.840394287396936</v>
      </c>
      <c r="N52" s="231">
        <f t="shared" ca="1" si="82"/>
        <v>29.71927025117235</v>
      </c>
      <c r="O52" s="232">
        <f ca="1">SUM(O53:O73)</f>
        <v>0</v>
      </c>
      <c r="P52" s="232">
        <f t="shared" ca="1" si="83"/>
        <v>0</v>
      </c>
      <c r="Q52" s="231">
        <f t="shared" ca="1" si="84"/>
        <v>0</v>
      </c>
      <c r="R52" s="68">
        <f t="shared" ref="R52:S52" ca="1" si="154">SUM(R53:R73)</f>
        <v>126000</v>
      </c>
      <c r="S52" s="68">
        <f t="shared" ca="1" si="154"/>
        <v>9090</v>
      </c>
      <c r="T52" s="107">
        <f t="shared" ca="1" si="86"/>
        <v>7.2142857142857144</v>
      </c>
      <c r="U52" s="68">
        <f t="shared" ref="U52:V52" ca="1" si="155">SUM(U53:U73)</f>
        <v>84</v>
      </c>
      <c r="V52" s="68">
        <f t="shared" ca="1" si="155"/>
        <v>9</v>
      </c>
      <c r="W52" s="107">
        <f t="shared" ca="1" si="88"/>
        <v>10.714285714285714</v>
      </c>
      <c r="X52" s="68">
        <f t="shared" ref="X52:AB52" ca="1" si="156">SUM(X53:X73)</f>
        <v>290</v>
      </c>
      <c r="Y52" s="68">
        <f t="shared" ca="1" si="156"/>
        <v>290</v>
      </c>
      <c r="Z52" s="68">
        <f t="shared" ca="1" si="156"/>
        <v>0</v>
      </c>
      <c r="AA52" s="68">
        <f t="shared" ca="1" si="156"/>
        <v>30000</v>
      </c>
      <c r="AB52" s="68">
        <f t="shared" ca="1" si="156"/>
        <v>1960</v>
      </c>
      <c r="AC52" s="107">
        <f t="shared" ca="1" si="90"/>
        <v>6.5333333333333332</v>
      </c>
      <c r="AD52" s="68">
        <f t="shared" ref="AD52:AE52" ca="1" si="157">SUM(AD53:AD73)</f>
        <v>240000</v>
      </c>
      <c r="AE52" s="68">
        <f t="shared" ca="1" si="157"/>
        <v>36747</v>
      </c>
      <c r="AF52" s="107">
        <f t="shared" ca="1" si="92"/>
        <v>15.311249999999999</v>
      </c>
      <c r="AG52" s="68">
        <f t="shared" ref="AG52:AH52" ca="1" si="158">SUM(AG53:AG73)</f>
        <v>133000</v>
      </c>
      <c r="AH52" s="68">
        <f t="shared" ca="1" si="158"/>
        <v>0</v>
      </c>
      <c r="AI52" s="107">
        <f t="shared" ca="1" si="94"/>
        <v>0</v>
      </c>
      <c r="AJ52" s="68">
        <f t="shared" ref="AJ52:AK52" ca="1" si="159">SUM(AJ53:AJ73)</f>
        <v>30</v>
      </c>
      <c r="AK52" s="68">
        <f t="shared" ca="1" si="159"/>
        <v>3</v>
      </c>
      <c r="AL52" s="107">
        <f t="shared" ca="1" si="96"/>
        <v>10</v>
      </c>
      <c r="AM52" s="68">
        <f t="shared" ref="AM52:AP52" ca="1" si="160">SUM(AM53:AM73)</f>
        <v>0</v>
      </c>
      <c r="AN52" s="68">
        <f t="shared" ca="1" si="160"/>
        <v>0</v>
      </c>
      <c r="AO52" s="68">
        <f t="shared" ca="1" si="160"/>
        <v>14000</v>
      </c>
      <c r="AP52" s="68">
        <f t="shared" ca="1" si="160"/>
        <v>240</v>
      </c>
      <c r="AQ52" s="107">
        <f t="shared" ca="1" si="98"/>
        <v>1.7142857142857142</v>
      </c>
      <c r="AR52" s="68">
        <f t="shared" ref="AR52:AS52" ca="1" si="161">SUM(AR53:AR73)</f>
        <v>70000</v>
      </c>
      <c r="AS52" s="68">
        <f t="shared" ca="1" si="161"/>
        <v>0</v>
      </c>
      <c r="AT52" s="107">
        <f t="shared" ca="1" si="100"/>
        <v>0</v>
      </c>
      <c r="AU52" s="68">
        <f t="shared" ref="AU52:AV52" ca="1" si="162">SUM(AU53:AU73)</f>
        <v>112000</v>
      </c>
      <c r="AV52" s="68">
        <f t="shared" ca="1" si="162"/>
        <v>8000</v>
      </c>
      <c r="AW52" s="107">
        <f t="shared" ca="1" si="102"/>
        <v>7.1428571428571432</v>
      </c>
      <c r="AX52" s="68">
        <f t="shared" ref="AX52:AY52" ca="1" si="163">SUM(AX53:AX73)</f>
        <v>14</v>
      </c>
      <c r="AY52" s="68">
        <f t="shared" ca="1" si="163"/>
        <v>0</v>
      </c>
      <c r="AZ52" s="107">
        <f t="shared" ca="1" si="104"/>
        <v>0</v>
      </c>
      <c r="BA52" s="68">
        <f t="shared" ref="BA52:BB52" ca="1" si="164">SUM(BA53:BA73)</f>
        <v>14</v>
      </c>
      <c r="BB52" s="68">
        <f t="shared" ca="1" si="164"/>
        <v>1</v>
      </c>
      <c r="BC52" s="107">
        <f t="shared" ca="1" si="106"/>
        <v>7.1428571428571432</v>
      </c>
      <c r="BD52" s="68">
        <f t="shared" ref="BD52:BE52" ca="1" si="165">SUM(BD53:BD73)</f>
        <v>81000</v>
      </c>
      <c r="BE52" s="68">
        <f t="shared" ca="1" si="165"/>
        <v>0</v>
      </c>
      <c r="BF52" s="107">
        <f t="shared" ca="1" si="108"/>
        <v>0</v>
      </c>
      <c r="BG52" s="68">
        <f t="shared" ref="BG52:BH52" ca="1" si="166">SUM(BG53:BG73)</f>
        <v>31500</v>
      </c>
      <c r="BH52" s="68">
        <f t="shared" ca="1" si="166"/>
        <v>0</v>
      </c>
      <c r="BI52" s="107">
        <f t="shared" ca="1" si="110"/>
        <v>0</v>
      </c>
      <c r="BJ52" s="68">
        <f t="shared" ref="BJ52:BK52" ca="1" si="167">SUM(BJ53:BJ73)</f>
        <v>482200</v>
      </c>
      <c r="BK52" s="68">
        <f t="shared" ca="1" si="167"/>
        <v>57800</v>
      </c>
      <c r="BL52" s="107">
        <f t="shared" ca="1" si="112"/>
        <v>11.986727498963086</v>
      </c>
      <c r="BM52" s="68">
        <f t="shared" ref="BM52:BN52" ca="1" si="168">SUM(BM53:BM73)</f>
        <v>482200</v>
      </c>
      <c r="BN52" s="68">
        <f t="shared" ca="1" si="168"/>
        <v>0</v>
      </c>
      <c r="BO52" s="107">
        <f t="shared" ca="1" si="114"/>
        <v>0</v>
      </c>
      <c r="BP52" s="68">
        <f t="shared" ref="BP52:BQ52" ca="1" si="169">SUM(BP53:BP73)</f>
        <v>0</v>
      </c>
      <c r="BQ52" s="68">
        <f t="shared" ca="1" si="169"/>
        <v>0</v>
      </c>
      <c r="BR52" s="107">
        <f t="shared" ca="1" si="116"/>
        <v>0</v>
      </c>
      <c r="BS52" s="68">
        <f t="shared" ref="BS52:BT52" ca="1" si="170">SUM(BS53:BS73)</f>
        <v>189000</v>
      </c>
      <c r="BT52" s="68">
        <f t="shared" ca="1" si="170"/>
        <v>26018</v>
      </c>
      <c r="BU52" s="107">
        <f t="shared" ca="1" si="118"/>
        <v>13.766137566137566</v>
      </c>
      <c r="BV52" s="68">
        <f t="shared" ref="BV52:BW52" ca="1" si="171">SUM(BV53:BV73)</f>
        <v>31000</v>
      </c>
      <c r="BW52" s="68">
        <f t="shared" ca="1" si="171"/>
        <v>26650</v>
      </c>
      <c r="BX52" s="107">
        <f t="shared" ca="1" si="120"/>
        <v>85.967741935483872</v>
      </c>
      <c r="BY52" s="68">
        <f t="shared" ref="BY52:BZ52" ca="1" si="172">SUM(BY53:BY73)</f>
        <v>397900</v>
      </c>
      <c r="BZ52" s="68">
        <f t="shared" ca="1" si="172"/>
        <v>68200</v>
      </c>
      <c r="CA52" s="107">
        <f t="shared" ca="1" si="122"/>
        <v>17.13998492083438</v>
      </c>
      <c r="CB52" s="68">
        <f t="shared" ref="CB52:CC52" ca="1" si="173">SUM(CB53:CB73)</f>
        <v>366000</v>
      </c>
      <c r="CC52" s="68">
        <f t="shared" ca="1" si="173"/>
        <v>36000</v>
      </c>
      <c r="CD52" s="107">
        <f t="shared" ca="1" si="124"/>
        <v>9.8360655737704921</v>
      </c>
      <c r="CE52" s="68">
        <f t="shared" ref="CE52:CF52" ca="1" si="174">SUM(CE53:CE73)</f>
        <v>330</v>
      </c>
      <c r="CF52" s="68">
        <f t="shared" ca="1" si="174"/>
        <v>60</v>
      </c>
      <c r="CG52" s="107">
        <f t="shared" ca="1" si="126"/>
        <v>18.181818181818183</v>
      </c>
      <c r="CH52" s="68">
        <f t="shared" ref="CH52:CI52" ca="1" si="175">SUM(CH53:CH73)</f>
        <v>30</v>
      </c>
      <c r="CI52" s="68">
        <f t="shared" ca="1" si="175"/>
        <v>0</v>
      </c>
    </row>
    <row r="53" spans="1:87" ht="21" customHeight="1" x14ac:dyDescent="0.3">
      <c r="A53" s="74">
        <v>1</v>
      </c>
      <c r="B53" s="75" t="s">
        <v>75</v>
      </c>
      <c r="C53" s="174">
        <f t="shared" ca="1" si="77"/>
        <v>199100</v>
      </c>
      <c r="D53" s="175">
        <f t="shared" ref="D53:D73" ca="1" si="176">+E53+F53</f>
        <v>199100</v>
      </c>
      <c r="E53" s="176">
        <f ca="1">IFERROR(__xludf.DUMMYFUNCTION("IMPORTRANGE(""https://docs.google.com/spreadsheets/d/1-uDff_7J0KD5mKrp0Vvzr7lt3OU09vwQwhkpOPPYv2Y/edit?usp=sharing"",""งบพรบ!CV53"")"),0)</f>
        <v>0</v>
      </c>
      <c r="F53" s="176">
        <f ca="1">IFERROR(__xludf.DUMMYFUNCTION("IMPORTRANGE(""https://docs.google.com/spreadsheets/d/1-uDff_7J0KD5mKrp0Vvzr7lt3OU09vwQwhkpOPPYv2Y/edit?usp=sharing"",""งบพรบ!CW53"")"),199100)</f>
        <v>199100</v>
      </c>
      <c r="G53" s="177">
        <f ca="1">IFERROR(__xludf.DUMMYFUNCTION("IMPORTRANGE(""https://docs.google.com/spreadsheets/d/1-uDff_7J0KD5mKrp0Vvzr7lt3OU09vwQwhkpOPPYv2Y/edit?usp=sharing"",""งบพรบ!CX53"")"),0)</f>
        <v>0</v>
      </c>
      <c r="H53" s="177">
        <f ca="1">IFERROR(__xludf.DUMMYFUNCTION("IMPORTRANGE(""https://docs.google.com/spreadsheets/d/1-uDff_7J0KD5mKrp0Vvzr7lt3OU09vwQwhkpOPPYv2Y/edit?usp=sharing"",""งบพรบ!CZ53"")"),172100)</f>
        <v>172100</v>
      </c>
      <c r="I53" s="177">
        <f ca="1">IFERROR(__xludf.DUMMYFUNCTION("IMPORTRANGE(""https://docs.google.com/spreadsheets/d/1-uDff_7J0KD5mKrp0Vvzr7lt3OU09vwQwhkpOPPYv2Y/edit?usp=sharing"",""งบพรบ!DA53"")"),0)</f>
        <v>0</v>
      </c>
      <c r="J53" s="177">
        <f t="shared" ca="1" si="79"/>
        <v>95965</v>
      </c>
      <c r="K53" s="178">
        <f t="shared" ca="1" si="80"/>
        <v>48.19939728779508</v>
      </c>
      <c r="L53" s="177">
        <f ca="1">IFERROR(__xludf.DUMMYFUNCTION("IMPORTRANGE(""https://docs.google.com/spreadsheets/d/1-uDff_7J0KD5mKrp0Vvzr7lt3OU09vwQwhkpOPPYv2Y/edit?usp=sharing"",""งบพรบ!DB53"")"),95965)</f>
        <v>95965</v>
      </c>
      <c r="M53" s="179">
        <f t="shared" ca="1" si="81"/>
        <v>48.19939728779508</v>
      </c>
      <c r="N53" s="179">
        <f t="shared" ca="1" si="82"/>
        <v>55.761185357350378</v>
      </c>
      <c r="O53" s="180">
        <f ca="1">IFERROR(__xludf.DUMMYFUNCTION("IMPORTRANGE(""https://docs.google.com/spreadsheets/d/1-uDff_7J0KD5mKrp0Vvzr7lt3OU09vwQwhkpOPPYv2Y/edit?usp=sharing"",""งบพรบ!DC53"")"),0)</f>
        <v>0</v>
      </c>
      <c r="P53" s="180">
        <f t="shared" ca="1" si="83"/>
        <v>0</v>
      </c>
      <c r="Q53" s="179">
        <f t="shared" ca="1" si="84"/>
        <v>0</v>
      </c>
      <c r="R53" s="79">
        <f ca="1">IFERROR(__xludf.DUMMYFUNCTION("IMPORTRANGE(""https://docs.google.com/spreadsheets/d/13wPX838HrBrQMCywv1BsuMkt4PEKTChp52zj44s2izQ/edit?usp=sharing"",""กาญจนบุรี!L196"")"),6000)</f>
        <v>6000</v>
      </c>
      <c r="S53" s="79">
        <f ca="1">IFERROR(__xludf.DUMMYFUNCTION("IMPORTRANGE(""https://docs.google.com/spreadsheets/d/13wPX838HrBrQMCywv1BsuMkt4PEKTChp52zj44s2izQ/edit?usp=sharing"",""กาญจนบุรี!N196"")"),2660)</f>
        <v>2660</v>
      </c>
      <c r="T53" s="83">
        <f t="shared" ca="1" si="86"/>
        <v>44.333333333333336</v>
      </c>
      <c r="U53" s="79">
        <f ca="1">IFERROR(__xludf.DUMMYFUNCTION("IMPORTRANGE(""https://docs.google.com/spreadsheets/d/13wPX838HrBrQMCywv1BsuMkt4PEKTChp52zj44s2izQ/edit?usp=sharing"",""กาญจนบุรี!I198"")"),4)</f>
        <v>4</v>
      </c>
      <c r="V53" s="79">
        <f ca="1">IFERROR(__xludf.DUMMYFUNCTION("IMPORTRANGE(""https://docs.google.com/spreadsheets/d/13wPX838HrBrQMCywv1BsuMkt4PEKTChp52zj44s2izQ/edit?usp=sharing"",""กาญจนบุรี!J198"")"),1)</f>
        <v>1</v>
      </c>
      <c r="W53" s="83">
        <f t="shared" ca="1" si="88"/>
        <v>25</v>
      </c>
      <c r="X53" s="79">
        <f ca="1">IFERROR(__xludf.DUMMYFUNCTION("IMPORTRANGE(""https://docs.google.com/spreadsheets/d/13wPX838HrBrQMCywv1BsuMkt4PEKTChp52zj44s2izQ/edit?usp=sharing"",""กาญจนบุรี!J199"")"),47)</f>
        <v>47</v>
      </c>
      <c r="Y53" s="79">
        <f ca="1">IFERROR(__xludf.DUMMYFUNCTION("IMPORTRANGE(""https://docs.google.com/spreadsheets/d/13wPX838HrBrQMCywv1BsuMkt4PEKTChp52zj44s2izQ/edit?usp=sharing"",""กาญจนบุรี!J200"")"),47)</f>
        <v>47</v>
      </c>
      <c r="Z53" s="79">
        <f ca="1">IFERROR(__xludf.DUMMYFUNCTION("IMPORTRANGE(""https://docs.google.com/spreadsheets/d/13wPX838HrBrQMCywv1BsuMkt4PEKTChp52zj44s2izQ/edit?usp=sharing"",""กาญจนบุรี!J201"")"),0)</f>
        <v>0</v>
      </c>
      <c r="AA53" s="79">
        <f ca="1">IFERROR(__xludf.DUMMYFUNCTION("IMPORTRANGE(""https://docs.google.com/spreadsheets/d/13wPX838HrBrQMCywv1BsuMkt4PEKTChp52zj44s2izQ/edit?usp=sharing"",""กาญจนบุรี!L204"")"),1000)</f>
        <v>1000</v>
      </c>
      <c r="AB53" s="79">
        <f ca="1">IFERROR(__xludf.DUMMYFUNCTION("IMPORTRANGE(""https://docs.google.com/spreadsheets/d/13wPX838HrBrQMCywv1BsuMkt4PEKTChp52zj44s2izQ/edit?usp=sharing"",""กาญจนบุรี!N204"")"),0)</f>
        <v>0</v>
      </c>
      <c r="AC53" s="83">
        <f t="shared" ca="1" si="90"/>
        <v>0</v>
      </c>
      <c r="AD53" s="79">
        <f ca="1">IFERROR(__xludf.DUMMYFUNCTION("IMPORTRANGE(""https://docs.google.com/spreadsheets/d/13wPX838HrBrQMCywv1BsuMkt4PEKTChp52zj44s2izQ/edit?usp=sharing"",""กาญจนบุรี!L206"")"),8000)</f>
        <v>8000</v>
      </c>
      <c r="AE53" s="79">
        <f ca="1">IFERROR(__xludf.DUMMYFUNCTION("IMPORTRANGE(""https://docs.google.com/spreadsheets/d/13wPX838HrBrQMCywv1BsuMkt4PEKTChp52zj44s2izQ/edit?usp=sharing"",""กาญจนบุรี!N206"")"),0)</f>
        <v>0</v>
      </c>
      <c r="AF53" s="83">
        <f t="shared" ca="1" si="92"/>
        <v>0</v>
      </c>
      <c r="AG53" s="79">
        <f ca="1">IFERROR(__xludf.DUMMYFUNCTION("IMPORTRANGE(""https://docs.google.com/spreadsheets/d/13wPX838HrBrQMCywv1BsuMkt4PEKTChp52zj44s2izQ/edit?usp=sharing"",""กาญจนบุรี!L207"")"),4000)</f>
        <v>4000</v>
      </c>
      <c r="AH53" s="79">
        <f ca="1">IFERROR(__xludf.DUMMYFUNCTION("IMPORTRANGE(""https://docs.google.com/spreadsheets/d/13wPX838HrBrQMCywv1BsuMkt4PEKTChp52zj44s2izQ/edit?usp=sharing"",""กาญจนบุรี!N207"")"),0)</f>
        <v>0</v>
      </c>
      <c r="AI53" s="83">
        <f t="shared" ca="1" si="94"/>
        <v>0</v>
      </c>
      <c r="AJ53" s="79">
        <f ca="1">IFERROR(__xludf.DUMMYFUNCTION("IMPORTRANGE(""https://docs.google.com/spreadsheets/d/13wPX838HrBrQMCywv1BsuMkt4PEKTChp52zj44s2izQ/edit?usp=sharing"",""กาญจนบุรี!I209"")"),1)</f>
        <v>1</v>
      </c>
      <c r="AK53" s="79">
        <f ca="1">IFERROR(__xludf.DUMMYFUNCTION("IMPORTRANGE(""https://docs.google.com/spreadsheets/d/13wPX838HrBrQMCywv1BsuMkt4PEKTChp52zj44s2izQ/edit?usp=sharing"",""กาญจนบุรี!J209"")"),0)</f>
        <v>0</v>
      </c>
      <c r="AL53" s="83">
        <f t="shared" ca="1" si="96"/>
        <v>0</v>
      </c>
      <c r="AM53" s="79">
        <f ca="1">IFERROR(__xludf.DUMMYFUNCTION("IMPORTRANGE(""https://docs.google.com/spreadsheets/d/13wPX838HrBrQMCywv1BsuMkt4PEKTChp52zj44s2izQ/edit?usp=sharing"",""กาญจนบุรี!J211"")"),0)</f>
        <v>0</v>
      </c>
      <c r="AN53" s="79">
        <f ca="1">IFERROR(__xludf.DUMMYFUNCTION("IMPORTRANGE(""https://docs.google.com/spreadsheets/d/13wPX838HrBrQMCywv1BsuMkt4PEKTChp52zj44s2izQ/edit?usp=sharing"",""กาญจนบุรี!J212"")"),0)</f>
        <v>0</v>
      </c>
      <c r="AO53" s="79">
        <f ca="1">IFERROR(__xludf.DUMMYFUNCTION("IMPORTRANGE(""https://docs.google.com/spreadsheets/d/13wPX838HrBrQMCywv1BsuMkt4PEKTChp52zj44s2izQ/edit?usp=sharing"",""กาญจนบุรี!L215"")"),3000)</f>
        <v>3000</v>
      </c>
      <c r="AP53" s="79">
        <f ca="1">IFERROR(__xludf.DUMMYFUNCTION("IMPORTRANGE(""https://docs.google.com/spreadsheets/d/13wPX838HrBrQMCywv1BsuMkt4PEKTChp52zj44s2izQ/edit?usp=sharing"",""กาญจนบุรี!N215"")"),0)</f>
        <v>0</v>
      </c>
      <c r="AQ53" s="83">
        <f t="shared" ca="1" si="98"/>
        <v>0</v>
      </c>
      <c r="AR53" s="79">
        <f ca="1">IFERROR(__xludf.DUMMYFUNCTION("IMPORTRANGE(""https://docs.google.com/spreadsheets/d/13wPX838HrBrQMCywv1BsuMkt4PEKTChp52zj44s2izQ/edit?usp=sharing"",""กาญจนบุรี!L216"")"),15000)</f>
        <v>15000</v>
      </c>
      <c r="AS53" s="79">
        <f ca="1">IFERROR(__xludf.DUMMYFUNCTION("IMPORTRANGE(""https://docs.google.com/spreadsheets/d/13wPX838HrBrQMCywv1BsuMkt4PEKTChp52zj44s2izQ/edit?usp=sharing"",""กาญจนบุรี!N216"")"),0)</f>
        <v>0</v>
      </c>
      <c r="AT53" s="83">
        <f t="shared" ca="1" si="100"/>
        <v>0</v>
      </c>
      <c r="AU53" s="79">
        <f ca="1">IFERROR(__xludf.DUMMYFUNCTION("IMPORTRANGE(""https://docs.google.com/spreadsheets/d/13wPX838HrBrQMCywv1BsuMkt4PEKTChp52zj44s2izQ/edit?usp=sharing"",""กาญจนบุรี!L217"")"),24000)</f>
        <v>24000</v>
      </c>
      <c r="AV53" s="79">
        <f ca="1">IFERROR(__xludf.DUMMYFUNCTION("IMPORTRANGE(""https://docs.google.com/spreadsheets/d/13wPX838HrBrQMCywv1BsuMkt4PEKTChp52zj44s2izQ/edit?usp=sharing"",""กาญจนบุรี!N217"")"),0)</f>
        <v>0</v>
      </c>
      <c r="AW53" s="83">
        <f t="shared" ca="1" si="102"/>
        <v>0</v>
      </c>
      <c r="AX53" s="79">
        <f ca="1">IFERROR(__xludf.DUMMYFUNCTION("IMPORTRANGE(""https://docs.google.com/spreadsheets/d/13wPX838HrBrQMCywv1BsuMkt4PEKTChp52zj44s2izQ/edit?usp=sharing"",""กาญจนบุรี!I219"")"),3)</f>
        <v>3</v>
      </c>
      <c r="AY53" s="79">
        <f ca="1">IFERROR(__xludf.DUMMYFUNCTION("IMPORTRANGE(""https://docs.google.com/spreadsheets/d/13wPX838HrBrQMCywv1BsuMkt4PEKTChp52zj44s2izQ/edit?usp=sharing"",""กาญจนบุรี!J219"")"),0)</f>
        <v>0</v>
      </c>
      <c r="AZ53" s="83">
        <f t="shared" ca="1" si="104"/>
        <v>0</v>
      </c>
      <c r="BA53" s="79">
        <f ca="1">IFERROR(__xludf.DUMMYFUNCTION("IMPORTRANGE(""https://docs.google.com/spreadsheets/d/13wPX838HrBrQMCywv1BsuMkt4PEKTChp52zj44s2izQ/edit?usp=sharing"",""กาญจนบุรี!I220"")"),3)</f>
        <v>3</v>
      </c>
      <c r="BB53" s="79">
        <f ca="1">IFERROR(__xludf.DUMMYFUNCTION("IMPORTRANGE(""https://docs.google.com/spreadsheets/d/13wPX838HrBrQMCywv1BsuMkt4PEKTChp52zj44s2izQ/edit?usp=sharing"",""กาญจนบุรี!J220"")"),0)</f>
        <v>0</v>
      </c>
      <c r="BC53" s="83">
        <f t="shared" ca="1" si="106"/>
        <v>0</v>
      </c>
      <c r="BD53" s="79">
        <f ca="1">IFERROR(__xludf.DUMMYFUNCTION("IMPORTRANGE(""https://docs.google.com/spreadsheets/d/13wPX838HrBrQMCywv1BsuMkt4PEKTChp52zj44s2izQ/edit?usp=sharing"",""กาญจนบุรี!L223"")"),5000)</f>
        <v>5000</v>
      </c>
      <c r="BE53" s="79">
        <f ca="1">IFERROR(__xludf.DUMMYFUNCTION("IMPORTRANGE(""https://docs.google.com/spreadsheets/d/13wPX838HrBrQMCywv1BsuMkt4PEKTChp52zj44s2izQ/edit?usp=sharing"",""กาญจนบุรี!N223"")"),0)</f>
        <v>0</v>
      </c>
      <c r="BF53" s="83">
        <f t="shared" ca="1" si="108"/>
        <v>0</v>
      </c>
      <c r="BG53" s="79">
        <f ca="1">IFERROR(__xludf.DUMMYFUNCTION("IMPORTRANGE(""https://docs.google.com/spreadsheets/d/13wPX838HrBrQMCywv1BsuMkt4PEKTChp52zj44s2izQ/edit?usp=sharing"",""กาญจนบุรี!L224"")"),1500)</f>
        <v>1500</v>
      </c>
      <c r="BH53" s="79">
        <f ca="1">IFERROR(__xludf.DUMMYFUNCTION("IMPORTRANGE(""https://docs.google.com/spreadsheets/d/13wPX838HrBrQMCywv1BsuMkt4PEKTChp52zj44s2izQ/edit?usp=sharing"",""กาญจนบุรี!N224"")"),0)</f>
        <v>0</v>
      </c>
      <c r="BI53" s="83">
        <f t="shared" ca="1" si="110"/>
        <v>0</v>
      </c>
      <c r="BJ53" s="79">
        <f ca="1">IFERROR(__xludf.DUMMYFUNCTION("IMPORTRANGE(""https://docs.google.com/spreadsheets/d/13wPX838HrBrQMCywv1BsuMkt4PEKTChp52zj44s2izQ/edit?usp=sharing"",""กาญจนบุรี!I228"")"),40000)</f>
        <v>40000</v>
      </c>
      <c r="BK53" s="79">
        <f ca="1">IFERROR(__xludf.DUMMYFUNCTION("IMPORTRANGE(""https://docs.google.com/spreadsheets/d/13wPX838HrBrQMCywv1BsuMkt4PEKTChp52zj44s2izQ/edit?usp=sharing"",""กาญจนบุรี!J228"")"),40000)</f>
        <v>40000</v>
      </c>
      <c r="BL53" s="83">
        <f t="shared" ca="1" si="112"/>
        <v>100</v>
      </c>
      <c r="BM53" s="79">
        <f ca="1">IFERROR(__xludf.DUMMYFUNCTION("IMPORTRANGE(""https://docs.google.com/spreadsheets/d/13wPX838HrBrQMCywv1BsuMkt4PEKTChp52zj44s2izQ/edit?usp=sharing"",""กาญจนบุรี!I229"")"),40000)</f>
        <v>40000</v>
      </c>
      <c r="BN53" s="79">
        <f ca="1">IFERROR(__xludf.DUMMYFUNCTION("IMPORTRANGE(""https://docs.google.com/spreadsheets/d/13wPX838HrBrQMCywv1BsuMkt4PEKTChp52zj44s2izQ/edit?usp=sharing"",""กาญจนบุรี!J229"")"),0)</f>
        <v>0</v>
      </c>
      <c r="BO53" s="83">
        <f t="shared" ca="1" si="114"/>
        <v>0</v>
      </c>
      <c r="BP53" s="79">
        <f ca="1">IFERROR(__xludf.DUMMYFUNCTION("IMPORTRANGE(""https://docs.google.com/spreadsheets/d/13wPX838HrBrQMCywv1BsuMkt4PEKTChp52zj44s2izQ/edit?usp=sharing"",""กาญจนบุรี!I230"")"),0)</f>
        <v>0</v>
      </c>
      <c r="BQ53" s="79">
        <f ca="1">IFERROR(__xludf.DUMMYFUNCTION("IMPORTRANGE(""https://docs.google.com/spreadsheets/d/13wPX838HrBrQMCywv1BsuMkt4PEKTChp52zj44s2izQ/edit?usp=sharing"",""กาญจนบุรี!J230"")"),0)</f>
        <v>0</v>
      </c>
      <c r="BR53" s="83">
        <f t="shared" ca="1" si="116"/>
        <v>0</v>
      </c>
      <c r="BS53" s="79">
        <f ca="1">IFERROR(__xludf.DUMMYFUNCTION("IMPORTRANGE(""https://docs.google.com/spreadsheets/d/13wPX838HrBrQMCywv1BsuMkt4PEKTChp52zj44s2izQ/edit?usp=sharing"",""กาญจนบุรี!L233"")"),8000)</f>
        <v>8000</v>
      </c>
      <c r="BT53" s="79">
        <f ca="1">IFERROR(__xludf.DUMMYFUNCTION("IMPORTRANGE(""https://docs.google.com/spreadsheets/d/13wPX838HrBrQMCywv1BsuMkt4PEKTChp52zj44s2izQ/edit?usp=sharing"",""กาญจนบุรี!N233"")"),4365)</f>
        <v>4365</v>
      </c>
      <c r="BU53" s="83">
        <f t="shared" ca="1" si="118"/>
        <v>54.5625</v>
      </c>
      <c r="BV53" s="79">
        <f ca="1">IFERROR(__xludf.DUMMYFUNCTION("IMPORTRANGE(""https://docs.google.com/spreadsheets/d/13wPX838HrBrQMCywv1BsuMkt4PEKTChp52zj44s2izQ/edit?usp=sharing"",""กาญจนบุรี!L234"")"),2000)</f>
        <v>2000</v>
      </c>
      <c r="BW53" s="79">
        <f ca="1">IFERROR(__xludf.DUMMYFUNCTION("IMPORTRANGE(""https://docs.google.com/spreadsheets/d/13wPX838HrBrQMCywv1BsuMkt4PEKTChp52zj44s2izQ/edit?usp=sharing"",""กาญจนบุรี!N234"")"),0)</f>
        <v>0</v>
      </c>
      <c r="BX53" s="83">
        <f t="shared" ca="1" si="120"/>
        <v>0</v>
      </c>
      <c r="BY53" s="79">
        <f ca="1">IFERROR(__xludf.DUMMYFUNCTION("IMPORTRANGE(""https://docs.google.com/spreadsheets/d/13wPX838HrBrQMCywv1BsuMkt4PEKTChp52zj44s2izQ/edit?usp=sharing"",""กาญจนบุรี!L235"")"),55600)</f>
        <v>55600</v>
      </c>
      <c r="BZ53" s="79">
        <f ca="1">IFERROR(__xludf.DUMMYFUNCTION("IMPORTRANGE(""https://docs.google.com/spreadsheets/d/13wPX838HrBrQMCywv1BsuMkt4PEKTChp52zj44s2izQ/edit?usp=sharing"",""กาญจนบุรี!N235"")"),55600)</f>
        <v>55600</v>
      </c>
      <c r="CA53" s="83">
        <f t="shared" ca="1" si="122"/>
        <v>100</v>
      </c>
      <c r="CB53" s="79">
        <f ca="1">IFERROR(__xludf.DUMMYFUNCTION("IMPORTRANGE(""https://docs.google.com/spreadsheets/d/13wPX838HrBrQMCywv1BsuMkt4PEKTChp52zj44s2izQ/edit?usp=sharing"",""กาญจนบุรี!L236"")"),66000)</f>
        <v>66000</v>
      </c>
      <c r="CC53" s="79">
        <f ca="1">IFERROR(__xludf.DUMMYFUNCTION("IMPORTRANGE(""https://docs.google.com/spreadsheets/d/13wPX838HrBrQMCywv1BsuMkt4PEKTChp52zj44s2izQ/edit?usp=sharing"",""กาญจนบุรี!N236"")"),36000)</f>
        <v>36000</v>
      </c>
      <c r="CD53" s="83">
        <f t="shared" ca="1" si="124"/>
        <v>54.545454545454547</v>
      </c>
      <c r="CE53" s="79">
        <f ca="1">IFERROR(__xludf.DUMMYFUNCTION("IMPORTRANGE(""https://docs.google.com/spreadsheets/d/13wPX838HrBrQMCywv1BsuMkt4PEKTChp52zj44s2izQ/edit?usp=sharing"",""กาญจนบุรี!I238"")"),30)</f>
        <v>30</v>
      </c>
      <c r="CF53" s="79">
        <f ca="1">IFERROR(__xludf.DUMMYFUNCTION("IMPORTRANGE(""https://docs.google.com/spreadsheets/d/13wPX838HrBrQMCywv1BsuMkt4PEKTChp52zj44s2izQ/edit?usp=sharing"",""กาญจนบุรี!J238"")"),30)</f>
        <v>30</v>
      </c>
      <c r="CG53" s="83">
        <f t="shared" ca="1" si="126"/>
        <v>100</v>
      </c>
      <c r="CH53" s="79">
        <f ca="1">IFERROR(__xludf.DUMMYFUNCTION("IMPORTRANGE(""https://docs.google.com/spreadsheets/d/13wPX838HrBrQMCywv1BsuMkt4PEKTChp52zj44s2izQ/edit?usp=sharing"",""กาญจนบุรี!J240"")"),30)</f>
        <v>30</v>
      </c>
      <c r="CI53" s="79">
        <f ca="1">IFERROR(__xludf.DUMMYFUNCTION("IMPORTRANGE(""https://docs.google.com/spreadsheets/d/13wPX838HrBrQMCywv1BsuMkt4PEKTChp52zj44s2izQ/edit?usp=sharing"",""กาญจนบุรี!J241"")"),0)</f>
        <v>0</v>
      </c>
    </row>
    <row r="54" spans="1:87" ht="21" customHeight="1" x14ac:dyDescent="0.3">
      <c r="A54" s="84">
        <v>2</v>
      </c>
      <c r="B54" s="85" t="s">
        <v>76</v>
      </c>
      <c r="C54" s="174">
        <f t="shared" ca="1" si="77"/>
        <v>263400</v>
      </c>
      <c r="D54" s="175">
        <f t="shared" ca="1" si="176"/>
        <v>263400</v>
      </c>
      <c r="E54" s="176">
        <f ca="1">IFERROR(__xludf.DUMMYFUNCTION("IMPORTRANGE(""https://docs.google.com/spreadsheets/d/1-uDff_7J0KD5mKrp0Vvzr7lt3OU09vwQwhkpOPPYv2Y/edit?usp=sharing"",""งบพรบ!CV54"")"),168200)</f>
        <v>168200</v>
      </c>
      <c r="F54" s="176">
        <f ca="1">IFERROR(__xludf.DUMMYFUNCTION("IMPORTRANGE(""https://docs.google.com/spreadsheets/d/1-uDff_7J0KD5mKrp0Vvzr7lt3OU09vwQwhkpOPPYv2Y/edit?usp=sharing"",""งบพรบ!CW54"")"),95200)</f>
        <v>95200</v>
      </c>
      <c r="G54" s="176">
        <f ca="1">IFERROR(__xludf.DUMMYFUNCTION("IMPORTRANGE(""https://docs.google.com/spreadsheets/d/1-uDff_7J0KD5mKrp0Vvzr7lt3OU09vwQwhkpOPPYv2Y/edit?usp=sharing"",""งบพรบ!CX54"")"),0)</f>
        <v>0</v>
      </c>
      <c r="H54" s="176">
        <f ca="1">IFERROR(__xludf.DUMMYFUNCTION("IMPORTRANGE(""https://docs.google.com/spreadsheets/d/1-uDff_7J0KD5mKrp0Vvzr7lt3OU09vwQwhkpOPPYv2Y/edit?usp=sharing"",""งบพรบ!CZ54"")"),200700)</f>
        <v>200700</v>
      </c>
      <c r="I54" s="176">
        <f ca="1">IFERROR(__xludf.DUMMYFUNCTION("IMPORTRANGE(""https://docs.google.com/spreadsheets/d/1-uDff_7J0KD5mKrp0Vvzr7lt3OU09vwQwhkpOPPYv2Y/edit?usp=sharing"",""งบพรบ!DA54"")"),0)</f>
        <v>0</v>
      </c>
      <c r="J54" s="176">
        <f t="shared" ca="1" si="79"/>
        <v>58739.99</v>
      </c>
      <c r="K54" s="181">
        <f t="shared" ca="1" si="80"/>
        <v>22.300679574791193</v>
      </c>
      <c r="L54" s="176">
        <f ca="1">IFERROR(__xludf.DUMMYFUNCTION("IMPORTRANGE(""https://docs.google.com/spreadsheets/d/1-uDff_7J0KD5mKrp0Vvzr7lt3OU09vwQwhkpOPPYv2Y/edit?usp=sharing"",""งบพรบ!DB54"")"),58739.99)</f>
        <v>58739.99</v>
      </c>
      <c r="M54" s="179">
        <f t="shared" ca="1" si="81"/>
        <v>22.300679574791193</v>
      </c>
      <c r="N54" s="179">
        <f t="shared" ca="1" si="82"/>
        <v>29.267558545092179</v>
      </c>
      <c r="O54" s="180">
        <f ca="1">IFERROR(__xludf.DUMMYFUNCTION("IMPORTRANGE(""https://docs.google.com/spreadsheets/d/1-uDff_7J0KD5mKrp0Vvzr7lt3OU09vwQwhkpOPPYv2Y/edit?usp=sharing"",""งบพรบ!DC54"")"),0)</f>
        <v>0</v>
      </c>
      <c r="P54" s="180">
        <f t="shared" ca="1" si="83"/>
        <v>0</v>
      </c>
      <c r="Q54" s="179">
        <f t="shared" ca="1" si="84"/>
        <v>0</v>
      </c>
      <c r="R54" s="92">
        <f ca="1">IFERROR(__xludf.DUMMYFUNCTION("IMPORTRANGE(""https://docs.google.com/spreadsheets/d/1ddFKvqj1W1NEiWytbGlB1zMx_ykJDVtmfEQ-6-lIUBA/edit?usp=sharing"",""จันทบุรี!L196"")"),6000)</f>
        <v>6000</v>
      </c>
      <c r="S54" s="92">
        <f ca="1">IFERROR(__xludf.DUMMYFUNCTION("IMPORTRANGE(""https://docs.google.com/spreadsheets/d/1ddFKvqj1W1NEiWytbGlB1zMx_ykJDVtmfEQ-6-lIUBA/edit?usp=sharing"",""จันทบุรี!N196"")"),0)</f>
        <v>0</v>
      </c>
      <c r="T54" s="93">
        <f t="shared" ca="1" si="86"/>
        <v>0</v>
      </c>
      <c r="U54" s="92">
        <f ca="1">IFERROR(__xludf.DUMMYFUNCTION("IMPORTRANGE(""https://docs.google.com/spreadsheets/d/1ddFKvqj1W1NEiWytbGlB1zMx_ykJDVtmfEQ-6-lIUBA/edit?usp=sharing"",""จันทบุรี!I198"")"),4)</f>
        <v>4</v>
      </c>
      <c r="V54" s="92">
        <f ca="1">IFERROR(__xludf.DUMMYFUNCTION("IMPORTRANGE(""https://docs.google.com/spreadsheets/d/1ddFKvqj1W1NEiWytbGlB1zMx_ykJDVtmfEQ-6-lIUBA/edit?usp=sharing"",""จันทบุรี!J198"")"),1)</f>
        <v>1</v>
      </c>
      <c r="W54" s="93">
        <f t="shared" ca="1" si="88"/>
        <v>25</v>
      </c>
      <c r="X54" s="92">
        <f ca="1">IFERROR(__xludf.DUMMYFUNCTION("IMPORTRANGE(""https://docs.google.com/spreadsheets/d/1ddFKvqj1W1NEiWytbGlB1zMx_ykJDVtmfEQ-6-lIUBA/edit?usp=sharing"",""จันทบุรี!J199"")"),80)</f>
        <v>80</v>
      </c>
      <c r="Y54" s="92">
        <f ca="1">IFERROR(__xludf.DUMMYFUNCTION("IMPORTRANGE(""https://docs.google.com/spreadsheets/d/1ddFKvqj1W1NEiWytbGlB1zMx_ykJDVtmfEQ-6-lIUBA/edit?usp=sharing"",""จันทบุรี!J200"")"),80)</f>
        <v>80</v>
      </c>
      <c r="Z54" s="92">
        <f ca="1">IFERROR(__xludf.DUMMYFUNCTION("IMPORTRANGE(""https://docs.google.com/spreadsheets/d/1ddFKvqj1W1NEiWytbGlB1zMx_ykJDVtmfEQ-6-lIUBA/edit?usp=sharing"",""จันทบุรี!J201"")"),0)</f>
        <v>0</v>
      </c>
      <c r="AA54" s="92">
        <f ca="1">IFERROR(__xludf.DUMMYFUNCTION("IMPORTRANGE(""https://docs.google.com/spreadsheets/d/1ddFKvqj1W1NEiWytbGlB1zMx_ykJDVtmfEQ-6-lIUBA/edit?usp=sharing"",""จันทบุรี!L204"")"),1000)</f>
        <v>1000</v>
      </c>
      <c r="AB54" s="92">
        <f ca="1">IFERROR(__xludf.DUMMYFUNCTION("IMPORTRANGE(""https://docs.google.com/spreadsheets/d/1ddFKvqj1W1NEiWytbGlB1zMx_ykJDVtmfEQ-6-lIUBA/edit?usp=sharing"",""จันทบุรี!N204"")"),0)</f>
        <v>0</v>
      </c>
      <c r="AC54" s="93">
        <f t="shared" ca="1" si="90"/>
        <v>0</v>
      </c>
      <c r="AD54" s="92">
        <f ca="1">IFERROR(__xludf.DUMMYFUNCTION("IMPORTRANGE(""https://docs.google.com/spreadsheets/d/1ddFKvqj1W1NEiWytbGlB1zMx_ykJDVtmfEQ-6-lIUBA/edit?usp=sharing"",""จันทบุรี!L206"")"),8000)</f>
        <v>8000</v>
      </c>
      <c r="AE54" s="92">
        <f ca="1">IFERROR(__xludf.DUMMYFUNCTION("IMPORTRANGE(""https://docs.google.com/spreadsheets/d/1ddFKvqj1W1NEiWytbGlB1zMx_ykJDVtmfEQ-6-lIUBA/edit?usp=sharing"",""จันทบุรี!N206"")"),8000)</f>
        <v>8000</v>
      </c>
      <c r="AF54" s="93">
        <f t="shared" ca="1" si="92"/>
        <v>100</v>
      </c>
      <c r="AG54" s="92">
        <f ca="1">IFERROR(__xludf.DUMMYFUNCTION("IMPORTRANGE(""https://docs.google.com/spreadsheets/d/1ddFKvqj1W1NEiWytbGlB1zMx_ykJDVtmfEQ-6-lIUBA/edit?usp=sharing"",""จันทบุรี!L207"")"),4000)</f>
        <v>4000</v>
      </c>
      <c r="AH54" s="92">
        <f ca="1">IFERROR(__xludf.DUMMYFUNCTION("IMPORTRANGE(""https://docs.google.com/spreadsheets/d/1ddFKvqj1W1NEiWytbGlB1zMx_ykJDVtmfEQ-6-lIUBA/edit?usp=sharing"",""จันทบุรี!N207"")"),0)</f>
        <v>0</v>
      </c>
      <c r="AI54" s="93">
        <f t="shared" ca="1" si="94"/>
        <v>0</v>
      </c>
      <c r="AJ54" s="92">
        <f ca="1">IFERROR(__xludf.DUMMYFUNCTION("IMPORTRANGE(""https://docs.google.com/spreadsheets/d/1ddFKvqj1W1NEiWytbGlB1zMx_ykJDVtmfEQ-6-lIUBA/edit?usp=sharing"",""จันทบุรี!I209"")"),1)</f>
        <v>1</v>
      </c>
      <c r="AK54" s="92">
        <f ca="1">IFERROR(__xludf.DUMMYFUNCTION("IMPORTRANGE(""https://docs.google.com/spreadsheets/d/1ddFKvqj1W1NEiWytbGlB1zMx_ykJDVtmfEQ-6-lIUBA/edit?usp=sharing"",""จันทบุรี!J209"")"),1)</f>
        <v>1</v>
      </c>
      <c r="AL54" s="93">
        <f t="shared" ca="1" si="96"/>
        <v>100</v>
      </c>
      <c r="AM54" s="92">
        <f ca="1">IFERROR(__xludf.DUMMYFUNCTION("IMPORTRANGE(""https://docs.google.com/spreadsheets/d/1ddFKvqj1W1NEiWytbGlB1zMx_ykJDVtmfEQ-6-lIUBA/edit?usp=sharing"",""จันทบุรี!J211"")"),0)</f>
        <v>0</v>
      </c>
      <c r="AN54" s="92">
        <f ca="1">IFERROR(__xludf.DUMMYFUNCTION("IMPORTRANGE(""https://docs.google.com/spreadsheets/d/1ddFKvqj1W1NEiWytbGlB1zMx_ykJDVtmfEQ-6-lIUBA/edit?usp=sharing"",""จันทบุรี!J212"")"),0)</f>
        <v>0</v>
      </c>
      <c r="AO54" s="92">
        <f ca="1">IFERROR(__xludf.DUMMYFUNCTION("IMPORTRANGE(""https://docs.google.com/spreadsheets/d/1ddFKvqj1W1NEiWytbGlB1zMx_ykJDVtmfEQ-6-lIUBA/edit?usp=sharing"",""จันทบุรี!L215"")"),1000)</f>
        <v>1000</v>
      </c>
      <c r="AP54" s="92">
        <f ca="1">IFERROR(__xludf.DUMMYFUNCTION("IMPORTRANGE(""https://docs.google.com/spreadsheets/d/1ddFKvqj1W1NEiWytbGlB1zMx_ykJDVtmfEQ-6-lIUBA/edit?usp=sharing"",""จันทบุรี!N215"")"),0)</f>
        <v>0</v>
      </c>
      <c r="AQ54" s="93">
        <f t="shared" ca="1" si="98"/>
        <v>0</v>
      </c>
      <c r="AR54" s="92">
        <f ca="1">IFERROR(__xludf.DUMMYFUNCTION("IMPORTRANGE(""https://docs.google.com/spreadsheets/d/1ddFKvqj1W1NEiWytbGlB1zMx_ykJDVtmfEQ-6-lIUBA/edit?usp=sharing"",""จันทบุรี!L216"")"),5000)</f>
        <v>5000</v>
      </c>
      <c r="AS54" s="92">
        <f ca="1">IFERROR(__xludf.DUMMYFUNCTION("IMPORTRANGE(""https://docs.google.com/spreadsheets/d/1ddFKvqj1W1NEiWytbGlB1zMx_ykJDVtmfEQ-6-lIUBA/edit?usp=sharing"",""จันทบุรี!N216"")"),0)</f>
        <v>0</v>
      </c>
      <c r="AT54" s="93">
        <f t="shared" ca="1" si="100"/>
        <v>0</v>
      </c>
      <c r="AU54" s="92">
        <f ca="1">IFERROR(__xludf.DUMMYFUNCTION("IMPORTRANGE(""https://docs.google.com/spreadsheets/d/1ddFKvqj1W1NEiWytbGlB1zMx_ykJDVtmfEQ-6-lIUBA/edit?usp=sharing"",""จันทบุรี!L217"")"),8000)</f>
        <v>8000</v>
      </c>
      <c r="AV54" s="92">
        <f ca="1">IFERROR(__xludf.DUMMYFUNCTION("IMPORTRANGE(""https://docs.google.com/spreadsheets/d/1ddFKvqj1W1NEiWytbGlB1zMx_ykJDVtmfEQ-6-lIUBA/edit?usp=sharing"",""จันทบุรี!N217"")"),0)</f>
        <v>0</v>
      </c>
      <c r="AW54" s="93">
        <f t="shared" ca="1" si="102"/>
        <v>0</v>
      </c>
      <c r="AX54" s="92">
        <f ca="1">IFERROR(__xludf.DUMMYFUNCTION("IMPORTRANGE(""https://docs.google.com/spreadsheets/d/1ddFKvqj1W1NEiWytbGlB1zMx_ykJDVtmfEQ-6-lIUBA/edit?usp=sharing"",""จันทบุรี!I219"")"),1)</f>
        <v>1</v>
      </c>
      <c r="AY54" s="92">
        <f ca="1">IFERROR(__xludf.DUMMYFUNCTION("IMPORTRANGE(""https://docs.google.com/spreadsheets/d/1ddFKvqj1W1NEiWytbGlB1zMx_ykJDVtmfEQ-6-lIUBA/edit?usp=sharing"",""จันทบุรี!J219"")"),0)</f>
        <v>0</v>
      </c>
      <c r="AZ54" s="93">
        <f t="shared" ca="1" si="104"/>
        <v>0</v>
      </c>
      <c r="BA54" s="92">
        <f ca="1">IFERROR(__xludf.DUMMYFUNCTION("IMPORTRANGE(""https://docs.google.com/spreadsheets/d/1ddFKvqj1W1NEiWytbGlB1zMx_ykJDVtmfEQ-6-lIUBA/edit?usp=sharing"",""จันทบุรี!I220"")"),1)</f>
        <v>1</v>
      </c>
      <c r="BB54" s="92">
        <f ca="1">IFERROR(__xludf.DUMMYFUNCTION("IMPORTRANGE(""https://docs.google.com/spreadsheets/d/1ddFKvqj1W1NEiWytbGlB1zMx_ykJDVtmfEQ-6-lIUBA/edit?usp=sharing"",""จันทบุรี!J220"")"),0)</f>
        <v>0</v>
      </c>
      <c r="BC54" s="93">
        <f t="shared" ca="1" si="106"/>
        <v>0</v>
      </c>
      <c r="BD54" s="92">
        <f ca="1">IFERROR(__xludf.DUMMYFUNCTION("IMPORTRANGE(""https://docs.google.com/spreadsheets/d/1ddFKvqj1W1NEiWytbGlB1zMx_ykJDVtmfEQ-6-lIUBA/edit?usp=sharing"",""จันทบุรี!L223"")"),3000)</f>
        <v>3000</v>
      </c>
      <c r="BE54" s="92">
        <f ca="1">IFERROR(__xludf.DUMMYFUNCTION("IMPORTRANGE(""https://docs.google.com/spreadsheets/d/1ddFKvqj1W1NEiWytbGlB1zMx_ykJDVtmfEQ-6-lIUBA/edit?usp=sharing"",""จันทบุรี!N223"")"),0)</f>
        <v>0</v>
      </c>
      <c r="BF54" s="93">
        <f t="shared" ca="1" si="108"/>
        <v>0</v>
      </c>
      <c r="BG54" s="92">
        <f ca="1">IFERROR(__xludf.DUMMYFUNCTION("IMPORTRANGE(""https://docs.google.com/spreadsheets/d/1ddFKvqj1W1NEiWytbGlB1zMx_ykJDVtmfEQ-6-lIUBA/edit?usp=sharing"",""จันทบุรี!L224"")"),1500)</f>
        <v>1500</v>
      </c>
      <c r="BH54" s="92">
        <f ca="1">IFERROR(__xludf.DUMMYFUNCTION("IMPORTRANGE(""https://docs.google.com/spreadsheets/d/1ddFKvqj1W1NEiWytbGlB1zMx_ykJDVtmfEQ-6-lIUBA/edit?usp=sharing"",""จันทบุรี!N224"")"),0)</f>
        <v>0</v>
      </c>
      <c r="BI54" s="93">
        <f t="shared" ca="1" si="110"/>
        <v>0</v>
      </c>
      <c r="BJ54" s="92">
        <f ca="1">IFERROR(__xludf.DUMMYFUNCTION("IMPORTRANGE(""https://docs.google.com/spreadsheets/d/1ddFKvqj1W1NEiWytbGlB1zMx_ykJDVtmfEQ-6-lIUBA/edit?usp=sharing"",""จันทบุรี!I228"")"),12800)</f>
        <v>12800</v>
      </c>
      <c r="BK54" s="92">
        <f ca="1">IFERROR(__xludf.DUMMYFUNCTION("IMPORTRANGE(""https://docs.google.com/spreadsheets/d/1ddFKvqj1W1NEiWytbGlB1zMx_ykJDVtmfEQ-6-lIUBA/edit?usp=sharing"",""จันทบุรี!J228"")"),12800)</f>
        <v>12800</v>
      </c>
      <c r="BL54" s="93">
        <f t="shared" ca="1" si="112"/>
        <v>100</v>
      </c>
      <c r="BM54" s="92">
        <f ca="1">IFERROR(__xludf.DUMMYFUNCTION("IMPORTRANGE(""https://docs.google.com/spreadsheets/d/1ddFKvqj1W1NEiWytbGlB1zMx_ykJDVtmfEQ-6-lIUBA/edit?usp=sharing"",""จันทบุรี!I229"")"),12800)</f>
        <v>12800</v>
      </c>
      <c r="BN54" s="92">
        <f ca="1">IFERROR(__xludf.DUMMYFUNCTION("IMPORTRANGE(""https://docs.google.com/spreadsheets/d/1ddFKvqj1W1NEiWytbGlB1zMx_ykJDVtmfEQ-6-lIUBA/edit?usp=sharing"",""จันทบุรี!J229"")"),0)</f>
        <v>0</v>
      </c>
      <c r="BO54" s="93">
        <f t="shared" ca="1" si="114"/>
        <v>0</v>
      </c>
      <c r="BP54" s="92">
        <f ca="1">IFERROR(__xludf.DUMMYFUNCTION("IMPORTRANGE(""https://docs.google.com/spreadsheets/d/1ddFKvqj1W1NEiWytbGlB1zMx_ykJDVtmfEQ-6-lIUBA/edit?usp=sharing"",""จันทบุรี!I230"")"),0)</f>
        <v>0</v>
      </c>
      <c r="BQ54" s="92">
        <f ca="1">IFERROR(__xludf.DUMMYFUNCTION("IMPORTRANGE(""https://docs.google.com/spreadsheets/d/1ddFKvqj1W1NEiWytbGlB1zMx_ykJDVtmfEQ-6-lIUBA/edit?usp=sharing"",""จันทบุรี!J230"")"),0)</f>
        <v>0</v>
      </c>
      <c r="BR54" s="93">
        <f t="shared" ca="1" si="116"/>
        <v>0</v>
      </c>
      <c r="BS54" s="92">
        <f ca="1">IFERROR(__xludf.DUMMYFUNCTION("IMPORTRANGE(""https://docs.google.com/spreadsheets/d/1ddFKvqj1W1NEiWytbGlB1zMx_ykJDVtmfEQ-6-lIUBA/edit?usp=sharing"",""จันทบุรี!L233"")"),8000)</f>
        <v>8000</v>
      </c>
      <c r="BT54" s="92">
        <f ca="1">IFERROR(__xludf.DUMMYFUNCTION("IMPORTRANGE(""https://docs.google.com/spreadsheets/d/1ddFKvqj1W1NEiWytbGlB1zMx_ykJDVtmfEQ-6-lIUBA/edit?usp=sharing"",""จันทบุรี!N233"")"),0)</f>
        <v>0</v>
      </c>
      <c r="BU54" s="93">
        <f t="shared" ca="1" si="118"/>
        <v>0</v>
      </c>
      <c r="BV54" s="92">
        <f ca="1">IFERROR(__xludf.DUMMYFUNCTION("IMPORTRANGE(""https://docs.google.com/spreadsheets/d/1ddFKvqj1W1NEiWytbGlB1zMx_ykJDVtmfEQ-6-lIUBA/edit?usp=sharing"",""จันทบุรี!L234"")"),2000)</f>
        <v>2000</v>
      </c>
      <c r="BW54" s="92">
        <f ca="1">IFERROR(__xludf.DUMMYFUNCTION("IMPORTRANGE(""https://docs.google.com/spreadsheets/d/1ddFKvqj1W1NEiWytbGlB1zMx_ykJDVtmfEQ-6-lIUBA/edit?usp=sharing"",""จันทบุรี!N234"")"),0)</f>
        <v>0</v>
      </c>
      <c r="BX54" s="93">
        <f t="shared" ca="1" si="120"/>
        <v>0</v>
      </c>
      <c r="BY54" s="92">
        <f ca="1">IFERROR(__xludf.DUMMYFUNCTION("IMPORTRANGE(""https://docs.google.com/spreadsheets/d/1ddFKvqj1W1NEiWytbGlB1zMx_ykJDVtmfEQ-6-lIUBA/edit?usp=sharing"",""จันทบุรี!L235"")"),27700)</f>
        <v>27700</v>
      </c>
      <c r="BZ54" s="92">
        <f ca="1">IFERROR(__xludf.DUMMYFUNCTION("IMPORTRANGE(""https://docs.google.com/spreadsheets/d/1ddFKvqj1W1NEiWytbGlB1zMx_ykJDVtmfEQ-6-lIUBA/edit?usp=sharing"",""จันทบุรี!N235"")"),0)</f>
        <v>0</v>
      </c>
      <c r="CA54" s="93">
        <f t="shared" ca="1" si="122"/>
        <v>0</v>
      </c>
      <c r="CB54" s="92">
        <f ca="1">IFERROR(__xludf.DUMMYFUNCTION("IMPORTRANGE(""https://docs.google.com/spreadsheets/d/1ddFKvqj1W1NEiWytbGlB1zMx_ykJDVtmfEQ-6-lIUBA/edit?usp=sharing"",""จันทบุรี!L236"")"),20000)</f>
        <v>20000</v>
      </c>
      <c r="CC54" s="92">
        <f ca="1">IFERROR(__xludf.DUMMYFUNCTION("IMPORTRANGE(""https://docs.google.com/spreadsheets/d/1ddFKvqj1W1NEiWytbGlB1zMx_ykJDVtmfEQ-6-lIUBA/edit?usp=sharing"",""จันทบุรี!N236"")"),0)</f>
        <v>0</v>
      </c>
      <c r="CD54" s="93">
        <f t="shared" ca="1" si="124"/>
        <v>0</v>
      </c>
      <c r="CE54" s="92">
        <f ca="1">IFERROR(__xludf.DUMMYFUNCTION("IMPORTRANGE(""https://docs.google.com/spreadsheets/d/1ddFKvqj1W1NEiWytbGlB1zMx_ykJDVtmfEQ-6-lIUBA/edit?usp=sharing"",""จันทบุรี!I238"")"),10)</f>
        <v>10</v>
      </c>
      <c r="CF54" s="92">
        <f ca="1">IFERROR(__xludf.DUMMYFUNCTION("IMPORTRANGE(""https://docs.google.com/spreadsheets/d/1ddFKvqj1W1NEiWytbGlB1zMx_ykJDVtmfEQ-6-lIUBA/edit?usp=sharing"",""จันทบุรี!J238"")"),0)</f>
        <v>0</v>
      </c>
      <c r="CG54" s="93">
        <f t="shared" ca="1" si="126"/>
        <v>0</v>
      </c>
      <c r="CH54" s="92">
        <f ca="1">IFERROR(__xludf.DUMMYFUNCTION("IMPORTRANGE(""https://docs.google.com/spreadsheets/d/1ddFKvqj1W1NEiWytbGlB1zMx_ykJDVtmfEQ-6-lIUBA/edit?usp=sharing"",""จันทบุรี!J240"")"),0)</f>
        <v>0</v>
      </c>
      <c r="CI54" s="92">
        <f ca="1">IFERROR(__xludf.DUMMYFUNCTION("IMPORTRANGE(""https://docs.google.com/spreadsheets/d/1ddFKvqj1W1NEiWytbGlB1zMx_ykJDVtmfEQ-6-lIUBA/edit?usp=sharing"",""จันทบุรี!J241"")"),0)</f>
        <v>0</v>
      </c>
    </row>
    <row r="55" spans="1:87" ht="21" customHeight="1" x14ac:dyDescent="0.3">
      <c r="A55" s="84">
        <v>3</v>
      </c>
      <c r="B55" s="85" t="s">
        <v>77</v>
      </c>
      <c r="C55" s="174">
        <f t="shared" ca="1" si="77"/>
        <v>298000</v>
      </c>
      <c r="D55" s="175">
        <f t="shared" ca="1" si="176"/>
        <v>298000</v>
      </c>
      <c r="E55" s="176">
        <f ca="1">IFERROR(__xludf.DUMMYFUNCTION("IMPORTRANGE(""https://docs.google.com/spreadsheets/d/1-uDff_7J0KD5mKrp0Vvzr7lt3OU09vwQwhkpOPPYv2Y/edit?usp=sharing"",""งบพรบ!CV55"")"),91000)</f>
        <v>91000</v>
      </c>
      <c r="F55" s="176">
        <f ca="1">IFERROR(__xludf.DUMMYFUNCTION("IMPORTRANGE(""https://docs.google.com/spreadsheets/d/1-uDff_7J0KD5mKrp0Vvzr7lt3OU09vwQwhkpOPPYv2Y/edit?usp=sharing"",""งบพรบ!CW55"")"),207000)</f>
        <v>207000</v>
      </c>
      <c r="G55" s="176">
        <f ca="1">IFERROR(__xludf.DUMMYFUNCTION("IMPORTRANGE(""https://docs.google.com/spreadsheets/d/1-uDff_7J0KD5mKrp0Vvzr7lt3OU09vwQwhkpOPPYv2Y/edit?usp=sharing"",""งบพรบ!CX55"")"),0)</f>
        <v>0</v>
      </c>
      <c r="H55" s="176">
        <f ca="1">IFERROR(__xludf.DUMMYFUNCTION("IMPORTRANGE(""https://docs.google.com/spreadsheets/d/1-uDff_7J0KD5mKrp0Vvzr7lt3OU09vwQwhkpOPPYv2Y/edit?usp=sharing"",""งบพรบ!CZ55"")"),236000)</f>
        <v>236000</v>
      </c>
      <c r="I55" s="176">
        <f ca="1">IFERROR(__xludf.DUMMYFUNCTION("IMPORTRANGE(""https://docs.google.com/spreadsheets/d/1-uDff_7J0KD5mKrp0Vvzr7lt3OU09vwQwhkpOPPYv2Y/edit?usp=sharing"",""งบพรบ!DA55"")"),0)</f>
        <v>0</v>
      </c>
      <c r="J55" s="176">
        <f t="shared" ca="1" si="79"/>
        <v>12590</v>
      </c>
      <c r="K55" s="181">
        <f t="shared" ca="1" si="80"/>
        <v>4.224832214765101</v>
      </c>
      <c r="L55" s="176">
        <f ca="1">IFERROR(__xludf.DUMMYFUNCTION("IMPORTRANGE(""https://docs.google.com/spreadsheets/d/1-uDff_7J0KD5mKrp0Vvzr7lt3OU09vwQwhkpOPPYv2Y/edit?usp=sharing"",""งบพรบ!DB55"")"),12590)</f>
        <v>12590</v>
      </c>
      <c r="M55" s="179">
        <f t="shared" ca="1" si="81"/>
        <v>4.224832214765101</v>
      </c>
      <c r="N55" s="179">
        <f t="shared" ca="1" si="82"/>
        <v>5.3347457627118642</v>
      </c>
      <c r="O55" s="180">
        <f ca="1">IFERROR(__xludf.DUMMYFUNCTION("IMPORTRANGE(""https://docs.google.com/spreadsheets/d/1-uDff_7J0KD5mKrp0Vvzr7lt3OU09vwQwhkpOPPYv2Y/edit?usp=sharing"",""งบพรบ!DC55"")"),0)</f>
        <v>0</v>
      </c>
      <c r="P55" s="180">
        <f t="shared" ca="1" si="83"/>
        <v>0</v>
      </c>
      <c r="Q55" s="179">
        <f t="shared" ca="1" si="84"/>
        <v>0</v>
      </c>
      <c r="R55" s="92">
        <f ca="1">IFERROR(__xludf.DUMMYFUNCTION("IMPORTRANGE(""https://docs.google.com/spreadsheets/d/1T1PQvRODqOBZk8BRht_U031fIS1beLA0Ub2CEytj2q0/edit?usp=sharing"",""ฉะเชิงเทรา!L196"")"),6000)</f>
        <v>6000</v>
      </c>
      <c r="S55" s="92">
        <f ca="1">IFERROR(__xludf.DUMMYFUNCTION("IMPORTRANGE(""https://docs.google.com/spreadsheets/d/1T1PQvRODqOBZk8BRht_U031fIS1beLA0Ub2CEytj2q0/edit?usp=sharing"",""ฉะเชิงเทรา!N196"")"),840)</f>
        <v>840</v>
      </c>
      <c r="T55" s="93">
        <f t="shared" ca="1" si="86"/>
        <v>14</v>
      </c>
      <c r="U55" s="92">
        <f ca="1">IFERROR(__xludf.DUMMYFUNCTION("IMPORTRANGE(""https://docs.google.com/spreadsheets/d/1T1PQvRODqOBZk8BRht_U031fIS1beLA0Ub2CEytj2q0/edit?usp=sharing"",""ฉะเชิงเทรา!I198"")"),4)</f>
        <v>4</v>
      </c>
      <c r="V55" s="92">
        <f ca="1">IFERROR(__xludf.DUMMYFUNCTION("IMPORTRANGE(""https://docs.google.com/spreadsheets/d/1T1PQvRODqOBZk8BRht_U031fIS1beLA0Ub2CEytj2q0/edit?usp=sharing"",""ฉะเชิงเทรา!J198"")"),1)</f>
        <v>1</v>
      </c>
      <c r="W55" s="93">
        <f t="shared" ca="1" si="88"/>
        <v>25</v>
      </c>
      <c r="X55" s="92">
        <f ca="1">IFERROR(__xludf.DUMMYFUNCTION("IMPORTRANGE(""https://docs.google.com/spreadsheets/d/1T1PQvRODqOBZk8BRht_U031fIS1beLA0Ub2CEytj2q0/edit?usp=sharing"",""ฉะเชิงเทรา!J199"")"),0)</f>
        <v>0</v>
      </c>
      <c r="Y55" s="92">
        <f ca="1">IFERROR(__xludf.DUMMYFUNCTION("IMPORTRANGE(""https://docs.google.com/spreadsheets/d/1T1PQvRODqOBZk8BRht_U031fIS1beLA0Ub2CEytj2q0/edit?usp=sharing"",""ฉะเชิงเทรา!J200"")"),0)</f>
        <v>0</v>
      </c>
      <c r="Z55" s="92">
        <f ca="1">IFERROR(__xludf.DUMMYFUNCTION("IMPORTRANGE(""https://docs.google.com/spreadsheets/d/1T1PQvRODqOBZk8BRht_U031fIS1beLA0Ub2CEytj2q0/edit?usp=sharing"",""ฉะเชิงเทรา!J201"")"),0)</f>
        <v>0</v>
      </c>
      <c r="AA55" s="92">
        <f ca="1">IFERROR(__xludf.DUMMYFUNCTION("IMPORTRANGE(""https://docs.google.com/spreadsheets/d/1T1PQvRODqOBZk8BRht_U031fIS1beLA0Ub2CEytj2q0/edit?usp=sharing"",""ฉะเชิงเทรา!L204"")"),2000)</f>
        <v>2000</v>
      </c>
      <c r="AB55" s="92">
        <f ca="1">IFERROR(__xludf.DUMMYFUNCTION("IMPORTRANGE(""https://docs.google.com/spreadsheets/d/1T1PQvRODqOBZk8BRht_U031fIS1beLA0Ub2CEytj2q0/edit?usp=sharing"",""ฉะเชิงเทรา!N204"")"),720)</f>
        <v>720</v>
      </c>
      <c r="AC55" s="93">
        <f t="shared" ca="1" si="90"/>
        <v>36</v>
      </c>
      <c r="AD55" s="92">
        <f ca="1">IFERROR(__xludf.DUMMYFUNCTION("IMPORTRANGE(""https://docs.google.com/spreadsheets/d/1T1PQvRODqOBZk8BRht_U031fIS1beLA0Ub2CEytj2q0/edit?usp=sharing"",""ฉะเชิงเทรา!L206"")"),16000)</f>
        <v>16000</v>
      </c>
      <c r="AE55" s="92">
        <f ca="1">IFERROR(__xludf.DUMMYFUNCTION("IMPORTRANGE(""https://docs.google.com/spreadsheets/d/1T1PQvRODqOBZk8BRht_U031fIS1beLA0Ub2CEytj2q0/edit?usp=sharing"",""ฉะเชิงเทรา!N206"")"),0)</f>
        <v>0</v>
      </c>
      <c r="AF55" s="93">
        <f t="shared" ca="1" si="92"/>
        <v>0</v>
      </c>
      <c r="AG55" s="92">
        <f ca="1">IFERROR(__xludf.DUMMYFUNCTION("IMPORTRANGE(""https://docs.google.com/spreadsheets/d/1T1PQvRODqOBZk8BRht_U031fIS1beLA0Ub2CEytj2q0/edit?usp=sharing"",""ฉะเชิงเทรา!L207"")"),13000)</f>
        <v>13000</v>
      </c>
      <c r="AH55" s="92">
        <f ca="1">IFERROR(__xludf.DUMMYFUNCTION("IMPORTRANGE(""https://docs.google.com/spreadsheets/d/1T1PQvRODqOBZk8BRht_U031fIS1beLA0Ub2CEytj2q0/edit?usp=sharing"",""ฉะเชิงเทรา!N207"")"),0)</f>
        <v>0</v>
      </c>
      <c r="AI55" s="93">
        <f t="shared" ca="1" si="94"/>
        <v>0</v>
      </c>
      <c r="AJ55" s="92">
        <f ca="1">IFERROR(__xludf.DUMMYFUNCTION("IMPORTRANGE(""https://docs.google.com/spreadsheets/d/1T1PQvRODqOBZk8BRht_U031fIS1beLA0Ub2CEytj2q0/edit?usp=sharing"",""ฉะเชิงเทรา!I209"")"),2)</f>
        <v>2</v>
      </c>
      <c r="AK55" s="92">
        <f ca="1">IFERROR(__xludf.DUMMYFUNCTION("IMPORTRANGE(""https://docs.google.com/spreadsheets/d/1T1PQvRODqOBZk8BRht_U031fIS1beLA0Ub2CEytj2q0/edit?usp=sharing"",""ฉะเชิงเทรา!J209"")"),0)</f>
        <v>0</v>
      </c>
      <c r="AL55" s="93">
        <f t="shared" ca="1" si="96"/>
        <v>0</v>
      </c>
      <c r="AM55" s="92">
        <f ca="1">IFERROR(__xludf.DUMMYFUNCTION("IMPORTRANGE(""https://docs.google.com/spreadsheets/d/1T1PQvRODqOBZk8BRht_U031fIS1beLA0Ub2CEytj2q0/edit?usp=sharing"",""ฉะเชิงเทรา!J211"")"),0)</f>
        <v>0</v>
      </c>
      <c r="AN55" s="92">
        <f ca="1">IFERROR(__xludf.DUMMYFUNCTION("IMPORTRANGE(""https://docs.google.com/spreadsheets/d/1T1PQvRODqOBZk8BRht_U031fIS1beLA0Ub2CEytj2q0/edit?usp=sharing"",""ฉะเชิงเทรา!J212"")"),0)</f>
        <v>0</v>
      </c>
      <c r="AO55" s="92">
        <f ca="1">IFERROR(__xludf.DUMMYFUNCTION("IMPORTRANGE(""https://docs.google.com/spreadsheets/d/1T1PQvRODqOBZk8BRht_U031fIS1beLA0Ub2CEytj2q0/edit?usp=sharing"",""ฉะเชิงเทรา!L215"")"),3000)</f>
        <v>3000</v>
      </c>
      <c r="AP55" s="92">
        <f ca="1">IFERROR(__xludf.DUMMYFUNCTION("IMPORTRANGE(""https://docs.google.com/spreadsheets/d/1T1PQvRODqOBZk8BRht_U031fIS1beLA0Ub2CEytj2q0/edit?usp=sharing"",""ฉะเชิงเทรา!N215"")"),0)</f>
        <v>0</v>
      </c>
      <c r="AQ55" s="93">
        <f t="shared" ca="1" si="98"/>
        <v>0</v>
      </c>
      <c r="AR55" s="92">
        <f ca="1">IFERROR(__xludf.DUMMYFUNCTION("IMPORTRANGE(""https://docs.google.com/spreadsheets/d/1T1PQvRODqOBZk8BRht_U031fIS1beLA0Ub2CEytj2q0/edit?usp=sharing"",""ฉะเชิงเทรา!L216"")"),15000)</f>
        <v>15000</v>
      </c>
      <c r="AS55" s="92">
        <f ca="1">IFERROR(__xludf.DUMMYFUNCTION("IMPORTRANGE(""https://docs.google.com/spreadsheets/d/1T1PQvRODqOBZk8BRht_U031fIS1beLA0Ub2CEytj2q0/edit?usp=sharing"",""ฉะเชิงเทรา!N216"")"),0)</f>
        <v>0</v>
      </c>
      <c r="AT55" s="93">
        <f t="shared" ca="1" si="100"/>
        <v>0</v>
      </c>
      <c r="AU55" s="92">
        <f ca="1">IFERROR(__xludf.DUMMYFUNCTION("IMPORTRANGE(""https://docs.google.com/spreadsheets/d/1T1PQvRODqOBZk8BRht_U031fIS1beLA0Ub2CEytj2q0/edit?usp=sharing"",""ฉะเชิงเทรา!L217"")"),24000)</f>
        <v>24000</v>
      </c>
      <c r="AV55" s="92">
        <f ca="1">IFERROR(__xludf.DUMMYFUNCTION("IMPORTRANGE(""https://docs.google.com/spreadsheets/d/1T1PQvRODqOBZk8BRht_U031fIS1beLA0Ub2CEytj2q0/edit?usp=sharing"",""ฉะเชิงเทรา!N217"")"),0)</f>
        <v>0</v>
      </c>
      <c r="AW55" s="93">
        <f t="shared" ca="1" si="102"/>
        <v>0</v>
      </c>
      <c r="AX55" s="92">
        <f ca="1">IFERROR(__xludf.DUMMYFUNCTION("IMPORTRANGE(""https://docs.google.com/spreadsheets/d/1T1PQvRODqOBZk8BRht_U031fIS1beLA0Ub2CEytj2q0/edit?usp=sharing"",""ฉะเชิงเทรา!I219"")"),3)</f>
        <v>3</v>
      </c>
      <c r="AY55" s="92">
        <f ca="1">IFERROR(__xludf.DUMMYFUNCTION("IMPORTRANGE(""https://docs.google.com/spreadsheets/d/1T1PQvRODqOBZk8BRht_U031fIS1beLA0Ub2CEytj2q0/edit?usp=sharing"",""ฉะเชิงเทรา!J219"")"),0)</f>
        <v>0</v>
      </c>
      <c r="AZ55" s="93">
        <f t="shared" ca="1" si="104"/>
        <v>0</v>
      </c>
      <c r="BA55" s="92">
        <f ca="1">IFERROR(__xludf.DUMMYFUNCTION("IMPORTRANGE(""https://docs.google.com/spreadsheets/d/1T1PQvRODqOBZk8BRht_U031fIS1beLA0Ub2CEytj2q0/edit?usp=sharing"",""ฉะเชิงเทรา!I220"")"),3)</f>
        <v>3</v>
      </c>
      <c r="BB55" s="92">
        <f ca="1">IFERROR(__xludf.DUMMYFUNCTION("IMPORTRANGE(""https://docs.google.com/spreadsheets/d/1T1PQvRODqOBZk8BRht_U031fIS1beLA0Ub2CEytj2q0/edit?usp=sharing"",""ฉะเชิงเทรา!J220"")"),0)</f>
        <v>0</v>
      </c>
      <c r="BC55" s="93">
        <f t="shared" ca="1" si="106"/>
        <v>0</v>
      </c>
      <c r="BD55" s="92">
        <f ca="1">IFERROR(__xludf.DUMMYFUNCTION("IMPORTRANGE(""https://docs.google.com/spreadsheets/d/1T1PQvRODqOBZk8BRht_U031fIS1beLA0Ub2CEytj2q0/edit?usp=sharing"",""ฉะเชิงเทรา!L223"")"),5000)</f>
        <v>5000</v>
      </c>
      <c r="BE55" s="92">
        <f ca="1">IFERROR(__xludf.DUMMYFUNCTION("IMPORTRANGE(""https://docs.google.com/spreadsheets/d/1T1PQvRODqOBZk8BRht_U031fIS1beLA0Ub2CEytj2q0/edit?usp=sharing"",""ฉะเชิงเทรา!N223"")"),0)</f>
        <v>0</v>
      </c>
      <c r="BF55" s="93">
        <f t="shared" ca="1" si="108"/>
        <v>0</v>
      </c>
      <c r="BG55" s="92">
        <f ca="1">IFERROR(__xludf.DUMMYFUNCTION("IMPORTRANGE(""https://docs.google.com/spreadsheets/d/1T1PQvRODqOBZk8BRht_U031fIS1beLA0Ub2CEytj2q0/edit?usp=sharing"",""ฉะเชิงเทรา!L224"")"),1500)</f>
        <v>1500</v>
      </c>
      <c r="BH55" s="92">
        <f ca="1">IFERROR(__xludf.DUMMYFUNCTION("IMPORTRANGE(""https://docs.google.com/spreadsheets/d/1T1PQvRODqOBZk8BRht_U031fIS1beLA0Ub2CEytj2q0/edit?usp=sharing"",""ฉะเชิงเทรา!N224"")"),0)</f>
        <v>0</v>
      </c>
      <c r="BI55" s="93">
        <f t="shared" ca="1" si="110"/>
        <v>0</v>
      </c>
      <c r="BJ55" s="92">
        <f ca="1">IFERROR(__xludf.DUMMYFUNCTION("IMPORTRANGE(""https://docs.google.com/spreadsheets/d/1T1PQvRODqOBZk8BRht_U031fIS1beLA0Ub2CEytj2q0/edit?usp=sharing"",""ฉะเชิงเทรา!I228"")"),40000)</f>
        <v>40000</v>
      </c>
      <c r="BK55" s="92">
        <f ca="1">IFERROR(__xludf.DUMMYFUNCTION("IMPORTRANGE(""https://docs.google.com/spreadsheets/d/1T1PQvRODqOBZk8BRht_U031fIS1beLA0Ub2CEytj2q0/edit?usp=sharing"",""ฉะเชิงเทรา!J228"")"),0)</f>
        <v>0</v>
      </c>
      <c r="BL55" s="93">
        <f t="shared" ca="1" si="112"/>
        <v>0</v>
      </c>
      <c r="BM55" s="92">
        <f ca="1">IFERROR(__xludf.DUMMYFUNCTION("IMPORTRANGE(""https://docs.google.com/spreadsheets/d/1T1PQvRODqOBZk8BRht_U031fIS1beLA0Ub2CEytj2q0/edit?usp=sharing"",""ฉะเชิงเทรา!I229"")"),40000)</f>
        <v>40000</v>
      </c>
      <c r="BN55" s="92">
        <f ca="1">IFERROR(__xludf.DUMMYFUNCTION("IMPORTRANGE(""https://docs.google.com/spreadsheets/d/1T1PQvRODqOBZk8BRht_U031fIS1beLA0Ub2CEytj2q0/edit?usp=sharing"",""ฉะเชิงเทรา!J229"")"),0)</f>
        <v>0</v>
      </c>
      <c r="BO55" s="93">
        <f t="shared" ca="1" si="114"/>
        <v>0</v>
      </c>
      <c r="BP55" s="92">
        <f ca="1">IFERROR(__xludf.DUMMYFUNCTION("IMPORTRANGE(""https://docs.google.com/spreadsheets/d/1T1PQvRODqOBZk8BRht_U031fIS1beLA0Ub2CEytj2q0/edit?usp=sharing"",""ฉะเชิงเทรา!I230"")"),0)</f>
        <v>0</v>
      </c>
      <c r="BQ55" s="92">
        <f ca="1">IFERROR(__xludf.DUMMYFUNCTION("IMPORTRANGE(""https://docs.google.com/spreadsheets/d/1T1PQvRODqOBZk8BRht_U031fIS1beLA0Ub2CEytj2q0/edit?usp=sharing"",""ฉะเชิงเทรา!J230"")"),0)</f>
        <v>0</v>
      </c>
      <c r="BR55" s="93">
        <f t="shared" ca="1" si="116"/>
        <v>0</v>
      </c>
      <c r="BS55" s="92">
        <f ca="1">IFERROR(__xludf.DUMMYFUNCTION("IMPORTRANGE(""https://docs.google.com/spreadsheets/d/1T1PQvRODqOBZk8BRht_U031fIS1beLA0Ub2CEytj2q0/edit?usp=sharing"",""ฉะเชิงเทรา!L233"")"),16000)</f>
        <v>16000</v>
      </c>
      <c r="BT55" s="92">
        <f ca="1">IFERROR(__xludf.DUMMYFUNCTION("IMPORTRANGE(""https://docs.google.com/spreadsheets/d/1T1PQvRODqOBZk8BRht_U031fIS1beLA0Ub2CEytj2q0/edit?usp=sharing"",""ฉะเชิงเทรา!N233"")"),2710)</f>
        <v>2710</v>
      </c>
      <c r="BU55" s="93">
        <f t="shared" ca="1" si="118"/>
        <v>16.9375</v>
      </c>
      <c r="BV55" s="92">
        <f ca="1">IFERROR(__xludf.DUMMYFUNCTION("IMPORTRANGE(""https://docs.google.com/spreadsheets/d/1T1PQvRODqOBZk8BRht_U031fIS1beLA0Ub2CEytj2q0/edit?usp=sharing"",""ฉะเชิงเทรา!L234"")"),6000)</f>
        <v>6000</v>
      </c>
      <c r="BW55" s="92">
        <f ca="1">IFERROR(__xludf.DUMMYFUNCTION("IMPORTRANGE(""https://docs.google.com/spreadsheets/d/1T1PQvRODqOBZk8BRht_U031fIS1beLA0Ub2CEytj2q0/edit?usp=sharing"",""ฉะเชิงเทรา!N234"")"),0)</f>
        <v>0</v>
      </c>
      <c r="BX55" s="93">
        <f t="shared" ca="1" si="120"/>
        <v>0</v>
      </c>
      <c r="BY55" s="92">
        <f ca="1">IFERROR(__xludf.DUMMYFUNCTION("IMPORTRANGE(""https://docs.google.com/spreadsheets/d/1T1PQvRODqOBZk8BRht_U031fIS1beLA0Ub2CEytj2q0/edit?usp=sharing"",""ฉะเชิงเทรา!L235"")"),55500)</f>
        <v>55500</v>
      </c>
      <c r="BZ55" s="92">
        <f ca="1">IFERROR(__xludf.DUMMYFUNCTION("IMPORTRANGE(""https://docs.google.com/spreadsheets/d/1T1PQvRODqOBZk8BRht_U031fIS1beLA0Ub2CEytj2q0/edit?usp=sharing"",""ฉะเชิงเทรา!N235"")"),0)</f>
        <v>0</v>
      </c>
      <c r="CA55" s="93">
        <f t="shared" ca="1" si="122"/>
        <v>0</v>
      </c>
      <c r="CB55" s="92">
        <f ca="1">IFERROR(__xludf.DUMMYFUNCTION("IMPORTRANGE(""https://docs.google.com/spreadsheets/d/1T1PQvRODqOBZk8BRht_U031fIS1beLA0Ub2CEytj2q0/edit?usp=sharing"",""ฉะเชิงเทรา!L236"")"),44000)</f>
        <v>44000</v>
      </c>
      <c r="CC55" s="92">
        <f ca="1">IFERROR(__xludf.DUMMYFUNCTION("IMPORTRANGE(""https://docs.google.com/spreadsheets/d/1T1PQvRODqOBZk8BRht_U031fIS1beLA0Ub2CEytj2q0/edit?usp=sharing"",""ฉะเชิงเทรา!N236"")"),0)</f>
        <v>0</v>
      </c>
      <c r="CD55" s="93">
        <f t="shared" ca="1" si="124"/>
        <v>0</v>
      </c>
      <c r="CE55" s="92">
        <f ca="1">IFERROR(__xludf.DUMMYFUNCTION("IMPORTRANGE(""https://docs.google.com/spreadsheets/d/1T1PQvRODqOBZk8BRht_U031fIS1beLA0Ub2CEytj2q0/edit?usp=sharing"",""ฉะเชิงเทรา!I238"")"),40)</f>
        <v>40</v>
      </c>
      <c r="CF55" s="92">
        <f ca="1">IFERROR(__xludf.DUMMYFUNCTION("IMPORTRANGE(""https://docs.google.com/spreadsheets/d/1T1PQvRODqOBZk8BRht_U031fIS1beLA0Ub2CEytj2q0/edit?usp=sharing"",""ฉะเชิงเทรา!J238"")"),0)</f>
        <v>0</v>
      </c>
      <c r="CG55" s="93">
        <f t="shared" ca="1" si="126"/>
        <v>0</v>
      </c>
      <c r="CH55" s="92">
        <f ca="1">IFERROR(__xludf.DUMMYFUNCTION("IMPORTRANGE(""https://docs.google.com/spreadsheets/d/1T1PQvRODqOBZk8BRht_U031fIS1beLA0Ub2CEytj2q0/edit?usp=sharing"",""ฉะเชิงเทรา!J240"")"),0)</f>
        <v>0</v>
      </c>
      <c r="CI55" s="92">
        <f ca="1">IFERROR(__xludf.DUMMYFUNCTION("IMPORTRANGE(""https://docs.google.com/spreadsheets/d/1T1PQvRODqOBZk8BRht_U031fIS1beLA0Ub2CEytj2q0/edit?usp=sharing"",""ฉะเชิงเทรา!J241"")"),0)</f>
        <v>0</v>
      </c>
    </row>
    <row r="56" spans="1:87" ht="21" customHeight="1" x14ac:dyDescent="0.3">
      <c r="A56" s="84">
        <v>4</v>
      </c>
      <c r="B56" s="85" t="s">
        <v>78</v>
      </c>
      <c r="C56" s="174">
        <f t="shared" ca="1" si="77"/>
        <v>81100</v>
      </c>
      <c r="D56" s="175">
        <f t="shared" ca="1" si="176"/>
        <v>81100</v>
      </c>
      <c r="E56" s="176">
        <f ca="1">IFERROR(__xludf.DUMMYFUNCTION("IMPORTRANGE(""https://docs.google.com/spreadsheets/d/1-uDff_7J0KD5mKrp0Vvzr7lt3OU09vwQwhkpOPPYv2Y/edit?usp=sharing"",""งบพรบ!CV56"")"),0)</f>
        <v>0</v>
      </c>
      <c r="F56" s="176">
        <f ca="1">IFERROR(__xludf.DUMMYFUNCTION("IMPORTRANGE(""https://docs.google.com/spreadsheets/d/1-uDff_7J0KD5mKrp0Vvzr7lt3OU09vwQwhkpOPPYv2Y/edit?usp=sharing"",""งบพรบ!CW56"")"),81100)</f>
        <v>81100</v>
      </c>
      <c r="G56" s="176">
        <f ca="1">IFERROR(__xludf.DUMMYFUNCTION("IMPORTRANGE(""https://docs.google.com/spreadsheets/d/1-uDff_7J0KD5mKrp0Vvzr7lt3OU09vwQwhkpOPPYv2Y/edit?usp=sharing"",""งบพรบ!CX56"")"),0)</f>
        <v>0</v>
      </c>
      <c r="H56" s="176">
        <f ca="1">IFERROR(__xludf.DUMMYFUNCTION("IMPORTRANGE(""https://docs.google.com/spreadsheets/d/1-uDff_7J0KD5mKrp0Vvzr7lt3OU09vwQwhkpOPPYv2Y/edit?usp=sharing"",""งบพรบ!CZ56"")"),64100)</f>
        <v>64100</v>
      </c>
      <c r="I56" s="176">
        <f ca="1">IFERROR(__xludf.DUMMYFUNCTION("IMPORTRANGE(""https://docs.google.com/spreadsheets/d/1-uDff_7J0KD5mKrp0Vvzr7lt3OU09vwQwhkpOPPYv2Y/edit?usp=sharing"",""งบพรบ!DA56"")"),0)</f>
        <v>0</v>
      </c>
      <c r="J56" s="176">
        <f t="shared" ca="1" si="79"/>
        <v>33885</v>
      </c>
      <c r="K56" s="181">
        <f t="shared" ca="1" si="80"/>
        <v>41.78175092478422</v>
      </c>
      <c r="L56" s="176">
        <f ca="1">IFERROR(__xludf.DUMMYFUNCTION("IMPORTRANGE(""https://docs.google.com/spreadsheets/d/1-uDff_7J0KD5mKrp0Vvzr7lt3OU09vwQwhkpOPPYv2Y/edit?usp=sharing"",""งบพรบ!DB56"")"),33885)</f>
        <v>33885</v>
      </c>
      <c r="M56" s="179">
        <f t="shared" ca="1" si="81"/>
        <v>41.78175092478422</v>
      </c>
      <c r="N56" s="179">
        <f t="shared" ca="1" si="82"/>
        <v>52.862714508580346</v>
      </c>
      <c r="O56" s="180">
        <f ca="1">IFERROR(__xludf.DUMMYFUNCTION("IMPORTRANGE(""https://docs.google.com/spreadsheets/d/1-uDff_7J0KD5mKrp0Vvzr7lt3OU09vwQwhkpOPPYv2Y/edit?usp=sharing"",""งบพรบ!DC56"")"),0)</f>
        <v>0</v>
      </c>
      <c r="P56" s="180">
        <f t="shared" ca="1" si="83"/>
        <v>0</v>
      </c>
      <c r="Q56" s="179">
        <f t="shared" ca="1" si="84"/>
        <v>0</v>
      </c>
      <c r="R56" s="92">
        <f ca="1">IFERROR(__xludf.DUMMYFUNCTION("IMPORTRANGE(""https://docs.google.com/spreadsheets/d/11tr1B-Bhyr79v2bkwVh5h_fR-PStkgjlZtkrZpYurG0/edit?usp=sharing"",""ชลบุรี!L196"")"),6000)</f>
        <v>6000</v>
      </c>
      <c r="S56" s="92">
        <f ca="1">IFERROR(__xludf.DUMMYFUNCTION("IMPORTRANGE(""https://docs.google.com/spreadsheets/d/11tr1B-Bhyr79v2bkwVh5h_fR-PStkgjlZtkrZpYurG0/edit?usp=sharing"",""ชลบุรี!N196"")"),740)</f>
        <v>740</v>
      </c>
      <c r="T56" s="93">
        <f t="shared" ca="1" si="86"/>
        <v>12.333333333333334</v>
      </c>
      <c r="U56" s="92">
        <f ca="1">IFERROR(__xludf.DUMMYFUNCTION("IMPORTRANGE(""https://docs.google.com/spreadsheets/d/11tr1B-Bhyr79v2bkwVh5h_fR-PStkgjlZtkrZpYurG0/edit?usp=sharing"",""ชลบุรี!I198"")"),4)</f>
        <v>4</v>
      </c>
      <c r="V56" s="92">
        <f ca="1">IFERROR(__xludf.DUMMYFUNCTION("IMPORTRANGE(""https://docs.google.com/spreadsheets/d/11tr1B-Bhyr79v2bkwVh5h_fR-PStkgjlZtkrZpYurG0/edit?usp=sharing"",""ชลบุรี!J198"")"),0)</f>
        <v>0</v>
      </c>
      <c r="W56" s="93">
        <f t="shared" ca="1" si="88"/>
        <v>0</v>
      </c>
      <c r="X56" s="92">
        <f ca="1">IFERROR(__xludf.DUMMYFUNCTION("IMPORTRANGE(""https://docs.google.com/spreadsheets/d/11tr1B-Bhyr79v2bkwVh5h_fR-PStkgjlZtkrZpYurG0/edit?usp=sharing"",""ชลบุรี!J199"")"),0)</f>
        <v>0</v>
      </c>
      <c r="Y56" s="92">
        <f ca="1">IFERROR(__xludf.DUMMYFUNCTION("IMPORTRANGE(""https://docs.google.com/spreadsheets/d/11tr1B-Bhyr79v2bkwVh5h_fR-PStkgjlZtkrZpYurG0/edit?usp=sharing"",""ชลบุรี!J200"")"),0)</f>
        <v>0</v>
      </c>
      <c r="Z56" s="92">
        <f ca="1">IFERROR(__xludf.DUMMYFUNCTION("IMPORTRANGE(""https://docs.google.com/spreadsheets/d/11tr1B-Bhyr79v2bkwVh5h_fR-PStkgjlZtkrZpYurG0/edit?usp=sharing"",""ชลบุรี!J201"")"),0)</f>
        <v>0</v>
      </c>
      <c r="AA56" s="92">
        <f ca="1">IFERROR(__xludf.DUMMYFUNCTION("IMPORTRANGE(""https://docs.google.com/spreadsheets/d/11tr1B-Bhyr79v2bkwVh5h_fR-PStkgjlZtkrZpYurG0/edit?usp=sharing"",""ชลบุรี!L204"")"),2000)</f>
        <v>2000</v>
      </c>
      <c r="AB56" s="92">
        <f ca="1">IFERROR(__xludf.DUMMYFUNCTION("IMPORTRANGE(""https://docs.google.com/spreadsheets/d/11tr1B-Bhyr79v2bkwVh5h_fR-PStkgjlZtkrZpYurG0/edit?usp=sharing"",""ชลบุรี!N204"")"),1240)</f>
        <v>1240</v>
      </c>
      <c r="AC56" s="93">
        <f t="shared" ca="1" si="90"/>
        <v>62</v>
      </c>
      <c r="AD56" s="92">
        <f ca="1">IFERROR(__xludf.DUMMYFUNCTION("IMPORTRANGE(""https://docs.google.com/spreadsheets/d/11tr1B-Bhyr79v2bkwVh5h_fR-PStkgjlZtkrZpYurG0/edit?usp=sharing"",""ชลบุรี!L206"")"),16000)</f>
        <v>16000</v>
      </c>
      <c r="AE56" s="92">
        <f ca="1">IFERROR(__xludf.DUMMYFUNCTION("IMPORTRANGE(""https://docs.google.com/spreadsheets/d/11tr1B-Bhyr79v2bkwVh5h_fR-PStkgjlZtkrZpYurG0/edit?usp=sharing"",""ชลบุรี!N206"")"),12162)</f>
        <v>12162</v>
      </c>
      <c r="AF56" s="93">
        <f t="shared" ca="1" si="92"/>
        <v>76.012500000000003</v>
      </c>
      <c r="AG56" s="92">
        <f ca="1">IFERROR(__xludf.DUMMYFUNCTION("IMPORTRANGE(""https://docs.google.com/spreadsheets/d/11tr1B-Bhyr79v2bkwVh5h_fR-PStkgjlZtkrZpYurG0/edit?usp=sharing"",""ชลบุรี!L207"")"),11000)</f>
        <v>11000</v>
      </c>
      <c r="AH56" s="92">
        <f ca="1">IFERROR(__xludf.DUMMYFUNCTION("IMPORTRANGE(""https://docs.google.com/spreadsheets/d/11tr1B-Bhyr79v2bkwVh5h_fR-PStkgjlZtkrZpYurG0/edit?usp=sharing"",""ชลบุรี!N207"")"),0)</f>
        <v>0</v>
      </c>
      <c r="AI56" s="93">
        <f t="shared" ca="1" si="94"/>
        <v>0</v>
      </c>
      <c r="AJ56" s="92">
        <f ca="1">IFERROR(__xludf.DUMMYFUNCTION("IMPORTRANGE(""https://docs.google.com/spreadsheets/d/11tr1B-Bhyr79v2bkwVh5h_fR-PStkgjlZtkrZpYurG0/edit?usp=sharing"",""ชลบุรี!I209"")"),2)</f>
        <v>2</v>
      </c>
      <c r="AK56" s="92">
        <f ca="1">IFERROR(__xludf.DUMMYFUNCTION("IMPORTRANGE(""https://docs.google.com/spreadsheets/d/11tr1B-Bhyr79v2bkwVh5h_fR-PStkgjlZtkrZpYurG0/edit?usp=sharing"",""ชลบุรี!J209"")"),0)</f>
        <v>0</v>
      </c>
      <c r="AL56" s="93">
        <f t="shared" ca="1" si="96"/>
        <v>0</v>
      </c>
      <c r="AM56" s="92">
        <f ca="1">IFERROR(__xludf.DUMMYFUNCTION("IMPORTRANGE(""https://docs.google.com/spreadsheets/d/11tr1B-Bhyr79v2bkwVh5h_fR-PStkgjlZtkrZpYurG0/edit?usp=sharing"",""ชลบุรี!J211"")"),0)</f>
        <v>0</v>
      </c>
      <c r="AN56" s="92">
        <f ca="1">IFERROR(__xludf.DUMMYFUNCTION("IMPORTRANGE(""https://docs.google.com/spreadsheets/d/11tr1B-Bhyr79v2bkwVh5h_fR-PStkgjlZtkrZpYurG0/edit?usp=sharing"",""ชลบุรี!J212"")"),0)</f>
        <v>0</v>
      </c>
      <c r="AO56" s="92">
        <f ca="1">IFERROR(__xludf.DUMMYFUNCTION("IMPORTRANGE(""https://docs.google.com/spreadsheets/d/11tr1B-Bhyr79v2bkwVh5h_fR-PStkgjlZtkrZpYurG0/edit?usp=sharing"",""ชลบุรี!L215"")"),0)</f>
        <v>0</v>
      </c>
      <c r="AP56" s="92">
        <f ca="1">IFERROR(__xludf.DUMMYFUNCTION("IMPORTRANGE(""https://docs.google.com/spreadsheets/d/11tr1B-Bhyr79v2bkwVh5h_fR-PStkgjlZtkrZpYurG0/edit?usp=sharing"",""ชลบุรี!N215"")"),0)</f>
        <v>0</v>
      </c>
      <c r="AQ56" s="93">
        <f t="shared" ca="1" si="98"/>
        <v>0</v>
      </c>
      <c r="AR56" s="92">
        <f ca="1">IFERROR(__xludf.DUMMYFUNCTION("IMPORTRANGE(""https://docs.google.com/spreadsheets/d/11tr1B-Bhyr79v2bkwVh5h_fR-PStkgjlZtkrZpYurG0/edit?usp=sharing"",""ชลบุรี!L216"")"),0)</f>
        <v>0</v>
      </c>
      <c r="AS56" s="92">
        <f ca="1">IFERROR(__xludf.DUMMYFUNCTION("IMPORTRANGE(""https://docs.google.com/spreadsheets/d/11tr1B-Bhyr79v2bkwVh5h_fR-PStkgjlZtkrZpYurG0/edit?usp=sharing"",""ชลบุรี!N216"")"),0)</f>
        <v>0</v>
      </c>
      <c r="AT56" s="93">
        <f t="shared" ca="1" si="100"/>
        <v>0</v>
      </c>
      <c r="AU56" s="92">
        <f ca="1">IFERROR(__xludf.DUMMYFUNCTION("IMPORTRANGE(""https://docs.google.com/spreadsheets/d/11tr1B-Bhyr79v2bkwVh5h_fR-PStkgjlZtkrZpYurG0/edit?usp=sharing"",""ชลบุรี!L217"")"),0)</f>
        <v>0</v>
      </c>
      <c r="AV56" s="92">
        <f ca="1">IFERROR(__xludf.DUMMYFUNCTION("IMPORTRANGE(""https://docs.google.com/spreadsheets/d/11tr1B-Bhyr79v2bkwVh5h_fR-PStkgjlZtkrZpYurG0/edit?usp=sharing"",""ชลบุรี!N217"")"),0)</f>
        <v>0</v>
      </c>
      <c r="AW56" s="93">
        <f t="shared" ca="1" si="102"/>
        <v>0</v>
      </c>
      <c r="AX56" s="92">
        <f ca="1">IFERROR(__xludf.DUMMYFUNCTION("IMPORTRANGE(""https://docs.google.com/spreadsheets/d/11tr1B-Bhyr79v2bkwVh5h_fR-PStkgjlZtkrZpYurG0/edit?usp=sharing"",""ชลบุรี!I219"")"),0)</f>
        <v>0</v>
      </c>
      <c r="AY56" s="92">
        <f ca="1">IFERROR(__xludf.DUMMYFUNCTION("IMPORTRANGE(""https://docs.google.com/spreadsheets/d/11tr1B-Bhyr79v2bkwVh5h_fR-PStkgjlZtkrZpYurG0/edit?usp=sharing"",""ชลบุรี!J219"")"),0)</f>
        <v>0</v>
      </c>
      <c r="AZ56" s="93">
        <f t="shared" ca="1" si="104"/>
        <v>0</v>
      </c>
      <c r="BA56" s="92">
        <f ca="1">IFERROR(__xludf.DUMMYFUNCTION("IMPORTRANGE(""https://docs.google.com/spreadsheets/d/11tr1B-Bhyr79v2bkwVh5h_fR-PStkgjlZtkrZpYurG0/edit?usp=sharing"",""ชลบุรี!I220"")"),0)</f>
        <v>0</v>
      </c>
      <c r="BB56" s="92">
        <f ca="1">IFERROR(__xludf.DUMMYFUNCTION("IMPORTRANGE(""https://docs.google.com/spreadsheets/d/11tr1B-Bhyr79v2bkwVh5h_fR-PStkgjlZtkrZpYurG0/edit?usp=sharing"",""ชลบุรี!J220"")"),0)</f>
        <v>0</v>
      </c>
      <c r="BC56" s="93">
        <f t="shared" ca="1" si="106"/>
        <v>0</v>
      </c>
      <c r="BD56" s="92">
        <f ca="1">IFERROR(__xludf.DUMMYFUNCTION("IMPORTRANGE(""https://docs.google.com/spreadsheets/d/11tr1B-Bhyr79v2bkwVh5h_fR-PStkgjlZtkrZpYurG0/edit?usp=sharing"",""ชลบุรี!L223"")"),3000)</f>
        <v>3000</v>
      </c>
      <c r="BE56" s="92">
        <f ca="1">IFERROR(__xludf.DUMMYFUNCTION("IMPORTRANGE(""https://docs.google.com/spreadsheets/d/11tr1B-Bhyr79v2bkwVh5h_fR-PStkgjlZtkrZpYurG0/edit?usp=sharing"",""ชลบุรี!N223"")"),0)</f>
        <v>0</v>
      </c>
      <c r="BF56" s="93">
        <f t="shared" ca="1" si="108"/>
        <v>0</v>
      </c>
      <c r="BG56" s="92">
        <f ca="1">IFERROR(__xludf.DUMMYFUNCTION("IMPORTRANGE(""https://docs.google.com/spreadsheets/d/11tr1B-Bhyr79v2bkwVh5h_fR-PStkgjlZtkrZpYurG0/edit?usp=sharing"",""ชลบุรี!L224"")"),1500)</f>
        <v>1500</v>
      </c>
      <c r="BH56" s="92">
        <f ca="1">IFERROR(__xludf.DUMMYFUNCTION("IMPORTRANGE(""https://docs.google.com/spreadsheets/d/11tr1B-Bhyr79v2bkwVh5h_fR-PStkgjlZtkrZpYurG0/edit?usp=sharing"",""ชลบุรี!N224"")"),0)</f>
        <v>0</v>
      </c>
      <c r="BI56" s="93">
        <f t="shared" ca="1" si="110"/>
        <v>0</v>
      </c>
      <c r="BJ56" s="92">
        <f ca="1">IFERROR(__xludf.DUMMYFUNCTION("IMPORTRANGE(""https://docs.google.com/spreadsheets/d/11tr1B-Bhyr79v2bkwVh5h_fR-PStkgjlZtkrZpYurG0/edit?usp=sharing"",""ชลบุรี!I228"")"),5000)</f>
        <v>5000</v>
      </c>
      <c r="BK56" s="92">
        <f ca="1">IFERROR(__xludf.DUMMYFUNCTION("IMPORTRANGE(""https://docs.google.com/spreadsheets/d/11tr1B-Bhyr79v2bkwVh5h_fR-PStkgjlZtkrZpYurG0/edit?usp=sharing"",""ชลบุรี!J228"")"),0)</f>
        <v>0</v>
      </c>
      <c r="BL56" s="93">
        <f t="shared" ca="1" si="112"/>
        <v>0</v>
      </c>
      <c r="BM56" s="92">
        <f ca="1">IFERROR(__xludf.DUMMYFUNCTION("IMPORTRANGE(""https://docs.google.com/spreadsheets/d/11tr1B-Bhyr79v2bkwVh5h_fR-PStkgjlZtkrZpYurG0/edit?usp=sharing"",""ชลบุรี!I229"")"),5000)</f>
        <v>5000</v>
      </c>
      <c r="BN56" s="92">
        <f ca="1">IFERROR(__xludf.DUMMYFUNCTION("IMPORTRANGE(""https://docs.google.com/spreadsheets/d/11tr1B-Bhyr79v2bkwVh5h_fR-PStkgjlZtkrZpYurG0/edit?usp=sharing"",""ชลบุรี!J229"")"),0)</f>
        <v>0</v>
      </c>
      <c r="BO56" s="93">
        <f t="shared" ca="1" si="114"/>
        <v>0</v>
      </c>
      <c r="BP56" s="92">
        <f ca="1">IFERROR(__xludf.DUMMYFUNCTION("IMPORTRANGE(""https://docs.google.com/spreadsheets/d/11tr1B-Bhyr79v2bkwVh5h_fR-PStkgjlZtkrZpYurG0/edit?usp=sharing"",""ชลบุรี!I230"")"),0)</f>
        <v>0</v>
      </c>
      <c r="BQ56" s="92">
        <f ca="1">IFERROR(__xludf.DUMMYFUNCTION("IMPORTRANGE(""https://docs.google.com/spreadsheets/d/11tr1B-Bhyr79v2bkwVh5h_fR-PStkgjlZtkrZpYurG0/edit?usp=sharing"",""ชลบุรี!J230"")"),0)</f>
        <v>0</v>
      </c>
      <c r="BR56" s="93">
        <f t="shared" ca="1" si="116"/>
        <v>0</v>
      </c>
      <c r="BS56" s="92">
        <f ca="1">IFERROR(__xludf.DUMMYFUNCTION("IMPORTRANGE(""https://docs.google.com/spreadsheets/d/11tr1B-Bhyr79v2bkwVh5h_fR-PStkgjlZtkrZpYurG0/edit?usp=sharing"",""ชลบุรี!L233"")"),8000)</f>
        <v>8000</v>
      </c>
      <c r="BT56" s="92">
        <f ca="1">IFERROR(__xludf.DUMMYFUNCTION("IMPORTRANGE(""https://docs.google.com/spreadsheets/d/11tr1B-Bhyr79v2bkwVh5h_fR-PStkgjlZtkrZpYurG0/edit?usp=sharing"",""ชลบุรี!N233"")"),3443)</f>
        <v>3443</v>
      </c>
      <c r="BU56" s="93">
        <f t="shared" ca="1" si="118"/>
        <v>43.037500000000001</v>
      </c>
      <c r="BV56" s="92">
        <f ca="1">IFERROR(__xludf.DUMMYFUNCTION("IMPORTRANGE(""https://docs.google.com/spreadsheets/d/11tr1B-Bhyr79v2bkwVh5h_fR-PStkgjlZtkrZpYurG0/edit?usp=sharing"",""ชลบุรี!L234"")"),2000)</f>
        <v>2000</v>
      </c>
      <c r="BW56" s="92">
        <f ca="1">IFERROR(__xludf.DUMMYFUNCTION("IMPORTRANGE(""https://docs.google.com/spreadsheets/d/11tr1B-Bhyr79v2bkwVh5h_fR-PStkgjlZtkrZpYurG0/edit?usp=sharing"",""ชลบุรี!N234"")"),4440)</f>
        <v>4440</v>
      </c>
      <c r="BX56" s="93">
        <f t="shared" ca="1" si="120"/>
        <v>222</v>
      </c>
      <c r="BY56" s="92">
        <f ca="1">IFERROR(__xludf.DUMMYFUNCTION("IMPORTRANGE(""https://docs.google.com/spreadsheets/d/11tr1B-Bhyr79v2bkwVh5h_fR-PStkgjlZtkrZpYurG0/edit?usp=sharing"",""ชลบุรี!L235"")"),12600)</f>
        <v>12600</v>
      </c>
      <c r="BZ56" s="92">
        <f ca="1">IFERROR(__xludf.DUMMYFUNCTION("IMPORTRANGE(""https://docs.google.com/spreadsheets/d/11tr1B-Bhyr79v2bkwVh5h_fR-PStkgjlZtkrZpYurG0/edit?usp=sharing"",""ชลบุรี!N235"")"),12600)</f>
        <v>12600</v>
      </c>
      <c r="CA56" s="93">
        <f t="shared" ca="1" si="122"/>
        <v>100</v>
      </c>
      <c r="CB56" s="92">
        <f ca="1">IFERROR(__xludf.DUMMYFUNCTION("IMPORTRANGE(""https://docs.google.com/spreadsheets/d/11tr1B-Bhyr79v2bkwVh5h_fR-PStkgjlZtkrZpYurG0/edit?usp=sharing"",""ชลบุรี!L236"")"),19000)</f>
        <v>19000</v>
      </c>
      <c r="CC56" s="92">
        <f ca="1">IFERROR(__xludf.DUMMYFUNCTION("IMPORTRANGE(""https://docs.google.com/spreadsheets/d/11tr1B-Bhyr79v2bkwVh5h_fR-PStkgjlZtkrZpYurG0/edit?usp=sharing"",""ชลบุรี!N236"")"),0)</f>
        <v>0</v>
      </c>
      <c r="CD56" s="93">
        <f t="shared" ca="1" si="124"/>
        <v>0</v>
      </c>
      <c r="CE56" s="92">
        <f ca="1">IFERROR(__xludf.DUMMYFUNCTION("IMPORTRANGE(""https://docs.google.com/spreadsheets/d/11tr1B-Bhyr79v2bkwVh5h_fR-PStkgjlZtkrZpYurG0/edit?usp=sharing"",""ชลบุรี!I238"")"),20)</f>
        <v>20</v>
      </c>
      <c r="CF56" s="92">
        <f ca="1">IFERROR(__xludf.DUMMYFUNCTION("IMPORTRANGE(""https://docs.google.com/spreadsheets/d/11tr1B-Bhyr79v2bkwVh5h_fR-PStkgjlZtkrZpYurG0/edit?usp=sharing"",""ชลบุรี!J238"")"),0)</f>
        <v>0</v>
      </c>
      <c r="CG56" s="93">
        <f t="shared" ca="1" si="126"/>
        <v>0</v>
      </c>
      <c r="CH56" s="92">
        <f ca="1">IFERROR(__xludf.DUMMYFUNCTION("IMPORTRANGE(""https://docs.google.com/spreadsheets/d/11tr1B-Bhyr79v2bkwVh5h_fR-PStkgjlZtkrZpYurG0/edit?usp=sharing"",""ชลบุรี!J240"")"),0)</f>
        <v>0</v>
      </c>
      <c r="CI56" s="92">
        <f ca="1">IFERROR(__xludf.DUMMYFUNCTION("IMPORTRANGE(""https://docs.google.com/spreadsheets/d/11tr1B-Bhyr79v2bkwVh5h_fR-PStkgjlZtkrZpYurG0/edit?usp=sharing"",""ชลบุรี!J241"")"),0)</f>
        <v>0</v>
      </c>
    </row>
    <row r="57" spans="1:87" ht="21" customHeight="1" x14ac:dyDescent="0.3">
      <c r="A57" s="84">
        <v>5</v>
      </c>
      <c r="B57" s="85" t="s">
        <v>79</v>
      </c>
      <c r="C57" s="174">
        <f t="shared" ca="1" si="77"/>
        <v>98200</v>
      </c>
      <c r="D57" s="175">
        <f t="shared" ca="1" si="176"/>
        <v>98200</v>
      </c>
      <c r="E57" s="176">
        <f ca="1">IFERROR(__xludf.DUMMYFUNCTION("IMPORTRANGE(""https://docs.google.com/spreadsheets/d/1-uDff_7J0KD5mKrp0Vvzr7lt3OU09vwQwhkpOPPYv2Y/edit?usp=sharing"",""งบพรบ!CV57"")"),74700)</f>
        <v>74700</v>
      </c>
      <c r="F57" s="176">
        <f ca="1">IFERROR(__xludf.DUMMYFUNCTION("IMPORTRANGE(""https://docs.google.com/spreadsheets/d/1-uDff_7J0KD5mKrp0Vvzr7lt3OU09vwQwhkpOPPYv2Y/edit?usp=sharing"",""งบพรบ!CW57"")"),23500)</f>
        <v>23500</v>
      </c>
      <c r="G57" s="176">
        <f ca="1">IFERROR(__xludf.DUMMYFUNCTION("IMPORTRANGE(""https://docs.google.com/spreadsheets/d/1-uDff_7J0KD5mKrp0Vvzr7lt3OU09vwQwhkpOPPYv2Y/edit?usp=sharing"",""งบพรบ!CX57"")"),0)</f>
        <v>0</v>
      </c>
      <c r="H57" s="176">
        <f ca="1">IFERROR(__xludf.DUMMYFUNCTION("IMPORTRANGE(""https://docs.google.com/spreadsheets/d/1-uDff_7J0KD5mKrp0Vvzr7lt3OU09vwQwhkpOPPYv2Y/edit?usp=sharing"",""งบพรบ!CZ57"")"),67000)</f>
        <v>67000</v>
      </c>
      <c r="I57" s="176">
        <f ca="1">IFERROR(__xludf.DUMMYFUNCTION("IMPORTRANGE(""https://docs.google.com/spreadsheets/d/1-uDff_7J0KD5mKrp0Vvzr7lt3OU09vwQwhkpOPPYv2Y/edit?usp=sharing"",""งบพรบ!DA57"")"),0)</f>
        <v>0</v>
      </c>
      <c r="J57" s="176">
        <f t="shared" ca="1" si="79"/>
        <v>32660</v>
      </c>
      <c r="K57" s="181">
        <f t="shared" ca="1" si="80"/>
        <v>33.258655804480654</v>
      </c>
      <c r="L57" s="176">
        <f ca="1">IFERROR(__xludf.DUMMYFUNCTION("IMPORTRANGE(""https://docs.google.com/spreadsheets/d/1-uDff_7J0KD5mKrp0Vvzr7lt3OU09vwQwhkpOPPYv2Y/edit?usp=sharing"",""งบพรบ!DB57"")"),32660)</f>
        <v>32660</v>
      </c>
      <c r="M57" s="179">
        <f t="shared" ca="1" si="81"/>
        <v>33.258655804480654</v>
      </c>
      <c r="N57" s="179">
        <f t="shared" ca="1" si="82"/>
        <v>48.746268656716417</v>
      </c>
      <c r="O57" s="180">
        <f ca="1">IFERROR(__xludf.DUMMYFUNCTION("IMPORTRANGE(""https://docs.google.com/spreadsheets/d/1-uDff_7J0KD5mKrp0Vvzr7lt3OU09vwQwhkpOPPYv2Y/edit?usp=sharing"",""งบพรบ!DC57"")"),0)</f>
        <v>0</v>
      </c>
      <c r="P57" s="180">
        <f t="shared" ca="1" si="83"/>
        <v>0</v>
      </c>
      <c r="Q57" s="179">
        <f t="shared" ca="1" si="84"/>
        <v>0</v>
      </c>
      <c r="R57" s="92">
        <f ca="1">IFERROR(__xludf.DUMMYFUNCTION("IMPORTRANGE(""https://docs.google.com/spreadsheets/d/1hh-FVnSX0vozXhGluamEcS54Dw9_zqW0N7qJUWgJ0Sw/edit?usp=sharing"",""ชัยนาท!L196"")"),6000)</f>
        <v>6000</v>
      </c>
      <c r="S57" s="92">
        <f ca="1">IFERROR(__xludf.DUMMYFUNCTION("IMPORTRANGE(""https://docs.google.com/spreadsheets/d/1hh-FVnSX0vozXhGluamEcS54Dw9_zqW0N7qJUWgJ0Sw/edit?usp=sharing"",""ชัยนาท!N196"")"),0)</f>
        <v>0</v>
      </c>
      <c r="T57" s="93">
        <f t="shared" ca="1" si="86"/>
        <v>0</v>
      </c>
      <c r="U57" s="92">
        <f ca="1">IFERROR(__xludf.DUMMYFUNCTION("IMPORTRANGE(""https://docs.google.com/spreadsheets/d/1hh-FVnSX0vozXhGluamEcS54Dw9_zqW0N7qJUWgJ0Sw/edit?usp=sharing"",""ชัยนาท!I198"")"),4)</f>
        <v>4</v>
      </c>
      <c r="V57" s="92">
        <f ca="1">IFERROR(__xludf.DUMMYFUNCTION("IMPORTRANGE(""https://docs.google.com/spreadsheets/d/1hh-FVnSX0vozXhGluamEcS54Dw9_zqW0N7qJUWgJ0Sw/edit?usp=sharing"",""ชัยนาท!J198"")"),0)</f>
        <v>0</v>
      </c>
      <c r="W57" s="93">
        <f t="shared" ca="1" si="88"/>
        <v>0</v>
      </c>
      <c r="X57" s="92">
        <f ca="1">IFERROR(__xludf.DUMMYFUNCTION("IMPORTRANGE(""https://docs.google.com/spreadsheets/d/1hh-FVnSX0vozXhGluamEcS54Dw9_zqW0N7qJUWgJ0Sw/edit?usp=sharing"",""ชัยนาท!J199"")"),0)</f>
        <v>0</v>
      </c>
      <c r="Y57" s="92">
        <f ca="1">IFERROR(__xludf.DUMMYFUNCTION("IMPORTRANGE(""https://docs.google.com/spreadsheets/d/1hh-FVnSX0vozXhGluamEcS54Dw9_zqW0N7qJUWgJ0Sw/edit?usp=sharing"",""ชัยนาท!J200"")"),0)</f>
        <v>0</v>
      </c>
      <c r="Z57" s="92">
        <f ca="1">IFERROR(__xludf.DUMMYFUNCTION("IMPORTRANGE(""https://docs.google.com/spreadsheets/d/1hh-FVnSX0vozXhGluamEcS54Dw9_zqW0N7qJUWgJ0Sw/edit?usp=sharing"",""ชัยนาท!J201"")"),0)</f>
        <v>0</v>
      </c>
      <c r="AA57" s="92">
        <f ca="1">IFERROR(__xludf.DUMMYFUNCTION("IMPORTRANGE(""https://docs.google.com/spreadsheets/d/1hh-FVnSX0vozXhGluamEcS54Dw9_zqW0N7qJUWgJ0Sw/edit?usp=sharing"",""ชัยนาท!L204"")"),1000)</f>
        <v>1000</v>
      </c>
      <c r="AB57" s="92">
        <f ca="1">IFERROR(__xludf.DUMMYFUNCTION("IMPORTRANGE(""https://docs.google.com/spreadsheets/d/1hh-FVnSX0vozXhGluamEcS54Dw9_zqW0N7qJUWgJ0Sw/edit?usp=sharing"",""ชัยนาท!N204"")"),0)</f>
        <v>0</v>
      </c>
      <c r="AC57" s="93">
        <f t="shared" ca="1" si="90"/>
        <v>0</v>
      </c>
      <c r="AD57" s="92">
        <f ca="1">IFERROR(__xludf.DUMMYFUNCTION("IMPORTRANGE(""https://docs.google.com/spreadsheets/d/1hh-FVnSX0vozXhGluamEcS54Dw9_zqW0N7qJUWgJ0Sw/edit?usp=sharing"",""ชัยนาท!L206"")"),8000)</f>
        <v>8000</v>
      </c>
      <c r="AE57" s="92">
        <f ca="1">IFERROR(__xludf.DUMMYFUNCTION("IMPORTRANGE(""https://docs.google.com/spreadsheets/d/1hh-FVnSX0vozXhGluamEcS54Dw9_zqW0N7qJUWgJ0Sw/edit?usp=sharing"",""ชัยนาท!N206"")"),0)</f>
        <v>0</v>
      </c>
      <c r="AF57" s="93">
        <f t="shared" ca="1" si="92"/>
        <v>0</v>
      </c>
      <c r="AG57" s="92">
        <f ca="1">IFERROR(__xludf.DUMMYFUNCTION("IMPORTRANGE(""https://docs.google.com/spreadsheets/d/1hh-FVnSX0vozXhGluamEcS54Dw9_zqW0N7qJUWgJ0Sw/edit?usp=sharing"",""ชัยนาท!L207"")"),4000)</f>
        <v>4000</v>
      </c>
      <c r="AH57" s="92">
        <f ca="1">IFERROR(__xludf.DUMMYFUNCTION("IMPORTRANGE(""https://docs.google.com/spreadsheets/d/1hh-FVnSX0vozXhGluamEcS54Dw9_zqW0N7qJUWgJ0Sw/edit?usp=sharing"",""ชัยนาท!N207"")"),0)</f>
        <v>0</v>
      </c>
      <c r="AI57" s="93">
        <f t="shared" ca="1" si="94"/>
        <v>0</v>
      </c>
      <c r="AJ57" s="92">
        <f ca="1">IFERROR(__xludf.DUMMYFUNCTION("IMPORTRANGE(""https://docs.google.com/spreadsheets/d/1hh-FVnSX0vozXhGluamEcS54Dw9_zqW0N7qJUWgJ0Sw/edit?usp=sharing"",""ชัยนาท!I209"")"),1)</f>
        <v>1</v>
      </c>
      <c r="AK57" s="92">
        <f ca="1">IFERROR(__xludf.DUMMYFUNCTION("IMPORTRANGE(""https://docs.google.com/spreadsheets/d/1hh-FVnSX0vozXhGluamEcS54Dw9_zqW0N7qJUWgJ0Sw/edit?usp=sharing"",""ชัยนาท!J209"")"),0)</f>
        <v>0</v>
      </c>
      <c r="AL57" s="93">
        <f t="shared" ca="1" si="96"/>
        <v>0</v>
      </c>
      <c r="AM57" s="92">
        <f ca="1">IFERROR(__xludf.DUMMYFUNCTION("IMPORTRANGE(""https://docs.google.com/spreadsheets/d/1hh-FVnSX0vozXhGluamEcS54Dw9_zqW0N7qJUWgJ0Sw/edit?usp=sharing"",""ชัยนาท!J211"")"),0)</f>
        <v>0</v>
      </c>
      <c r="AN57" s="92">
        <f ca="1">IFERROR(__xludf.DUMMYFUNCTION("IMPORTRANGE(""https://docs.google.com/spreadsheets/d/1hh-FVnSX0vozXhGluamEcS54Dw9_zqW0N7qJUWgJ0Sw/edit?usp=sharing"",""ชัยนาท!J212"")"),0)</f>
        <v>0</v>
      </c>
      <c r="AO57" s="92">
        <f ca="1">IFERROR(__xludf.DUMMYFUNCTION("IMPORTRANGE(""https://docs.google.com/spreadsheets/d/1hh-FVnSX0vozXhGluamEcS54Dw9_zqW0N7qJUWgJ0Sw/edit?usp=sharing"",""ชัยนาท!L215"")"),0)</f>
        <v>0</v>
      </c>
      <c r="AP57" s="92">
        <f ca="1">IFERROR(__xludf.DUMMYFUNCTION("IMPORTRANGE(""https://docs.google.com/spreadsheets/d/1hh-FVnSX0vozXhGluamEcS54Dw9_zqW0N7qJUWgJ0Sw/edit?usp=sharing"",""ชัยนาท!N215"")"),0)</f>
        <v>0</v>
      </c>
      <c r="AQ57" s="93">
        <f t="shared" ca="1" si="98"/>
        <v>0</v>
      </c>
      <c r="AR57" s="92">
        <f ca="1">IFERROR(__xludf.DUMMYFUNCTION("IMPORTRANGE(""https://docs.google.com/spreadsheets/d/1hh-FVnSX0vozXhGluamEcS54Dw9_zqW0N7qJUWgJ0Sw/edit?usp=sharing"",""ชัยนาท!L216"")"),0)</f>
        <v>0</v>
      </c>
      <c r="AS57" s="92">
        <f ca="1">IFERROR(__xludf.DUMMYFUNCTION("IMPORTRANGE(""https://docs.google.com/spreadsheets/d/1hh-FVnSX0vozXhGluamEcS54Dw9_zqW0N7qJUWgJ0Sw/edit?usp=sharing"",""ชัยนาท!N216"")"),0)</f>
        <v>0</v>
      </c>
      <c r="AT57" s="93">
        <f t="shared" ca="1" si="100"/>
        <v>0</v>
      </c>
      <c r="AU57" s="92">
        <f ca="1">IFERROR(__xludf.DUMMYFUNCTION("IMPORTRANGE(""https://docs.google.com/spreadsheets/d/1hh-FVnSX0vozXhGluamEcS54Dw9_zqW0N7qJUWgJ0Sw/edit?usp=sharing"",""ชัยนาท!L217"")"),0)</f>
        <v>0</v>
      </c>
      <c r="AV57" s="92">
        <f ca="1">IFERROR(__xludf.DUMMYFUNCTION("IMPORTRANGE(""https://docs.google.com/spreadsheets/d/1hh-FVnSX0vozXhGluamEcS54Dw9_zqW0N7qJUWgJ0Sw/edit?usp=sharing"",""ชัยนาท!N217"")"),0)</f>
        <v>0</v>
      </c>
      <c r="AW57" s="93">
        <f t="shared" ca="1" si="102"/>
        <v>0</v>
      </c>
      <c r="AX57" s="92">
        <f ca="1">IFERROR(__xludf.DUMMYFUNCTION("IMPORTRANGE(""https://docs.google.com/spreadsheets/d/1hh-FVnSX0vozXhGluamEcS54Dw9_zqW0N7qJUWgJ0Sw/edit?usp=sharing"",""ชัยนาท!I219"")"),0)</f>
        <v>0</v>
      </c>
      <c r="AY57" s="92">
        <f ca="1">IFERROR(__xludf.DUMMYFUNCTION("IMPORTRANGE(""https://docs.google.com/spreadsheets/d/1hh-FVnSX0vozXhGluamEcS54Dw9_zqW0N7qJUWgJ0Sw/edit?usp=sharing"",""ชัยนาท!J219"")"),0)</f>
        <v>0</v>
      </c>
      <c r="AZ57" s="93">
        <f t="shared" ca="1" si="104"/>
        <v>0</v>
      </c>
      <c r="BA57" s="92">
        <f ca="1">IFERROR(__xludf.DUMMYFUNCTION("IMPORTRANGE(""https://docs.google.com/spreadsheets/d/1hh-FVnSX0vozXhGluamEcS54Dw9_zqW0N7qJUWgJ0Sw/edit?usp=sharing"",""ชัยนาท!I220"")"),0)</f>
        <v>0</v>
      </c>
      <c r="BB57" s="92">
        <f ca="1">IFERROR(__xludf.DUMMYFUNCTION("IMPORTRANGE(""https://docs.google.com/spreadsheets/d/1hh-FVnSX0vozXhGluamEcS54Dw9_zqW0N7qJUWgJ0Sw/edit?usp=sharing"",""ชัยนาท!J220"")"),0)</f>
        <v>0</v>
      </c>
      <c r="BC57" s="93">
        <f t="shared" ca="1" si="106"/>
        <v>0</v>
      </c>
      <c r="BD57" s="92">
        <f ca="1">IFERROR(__xludf.DUMMYFUNCTION("IMPORTRANGE(""https://docs.google.com/spreadsheets/d/1hh-FVnSX0vozXhGluamEcS54Dw9_zqW0N7qJUWgJ0Sw/edit?usp=sharing"",""ชัยนาท!L223"")"),3000)</f>
        <v>3000</v>
      </c>
      <c r="BE57" s="92">
        <f ca="1">IFERROR(__xludf.DUMMYFUNCTION("IMPORTRANGE(""https://docs.google.com/spreadsheets/d/1hh-FVnSX0vozXhGluamEcS54Dw9_zqW0N7qJUWgJ0Sw/edit?usp=sharing"",""ชัยนาท!N223"")"),0)</f>
        <v>0</v>
      </c>
      <c r="BF57" s="93">
        <f t="shared" ca="1" si="108"/>
        <v>0</v>
      </c>
      <c r="BG57" s="92">
        <f ca="1">IFERROR(__xludf.DUMMYFUNCTION("IMPORTRANGE(""https://docs.google.com/spreadsheets/d/1hh-FVnSX0vozXhGluamEcS54Dw9_zqW0N7qJUWgJ0Sw/edit?usp=sharing"",""ชัยนาท!L224"")"),1500)</f>
        <v>1500</v>
      </c>
      <c r="BH57" s="92">
        <f ca="1">IFERROR(__xludf.DUMMYFUNCTION("IMPORTRANGE(""https://docs.google.com/spreadsheets/d/1hh-FVnSX0vozXhGluamEcS54Dw9_zqW0N7qJUWgJ0Sw/edit?usp=sharing"",""ชัยนาท!N224"")"),0)</f>
        <v>0</v>
      </c>
      <c r="BI57" s="93">
        <f t="shared" ca="1" si="110"/>
        <v>0</v>
      </c>
      <c r="BJ57" s="92">
        <f ca="1">IFERROR(__xludf.DUMMYFUNCTION("IMPORTRANGE(""https://docs.google.com/spreadsheets/d/1hh-FVnSX0vozXhGluamEcS54Dw9_zqW0N7qJUWgJ0Sw/edit?usp=sharing"",""ชัยนาท!I228"")"),12800)</f>
        <v>12800</v>
      </c>
      <c r="BK57" s="92">
        <f ca="1">IFERROR(__xludf.DUMMYFUNCTION("IMPORTRANGE(""https://docs.google.com/spreadsheets/d/1hh-FVnSX0vozXhGluamEcS54Dw9_zqW0N7qJUWgJ0Sw/edit?usp=sharing"",""ชัยนาท!J228"")"),0)</f>
        <v>0</v>
      </c>
      <c r="BL57" s="93">
        <f t="shared" ca="1" si="112"/>
        <v>0</v>
      </c>
      <c r="BM57" s="92">
        <f ca="1">IFERROR(__xludf.DUMMYFUNCTION("IMPORTRANGE(""https://docs.google.com/spreadsheets/d/1hh-FVnSX0vozXhGluamEcS54Dw9_zqW0N7qJUWgJ0Sw/edit?usp=sharing"",""ชัยนาท!I229"")"),12800)</f>
        <v>12800</v>
      </c>
      <c r="BN57" s="92">
        <f ca="1">IFERROR(__xludf.DUMMYFUNCTION("IMPORTRANGE(""https://docs.google.com/spreadsheets/d/1hh-FVnSX0vozXhGluamEcS54Dw9_zqW0N7qJUWgJ0Sw/edit?usp=sharing"",""ชัยนาท!J229"")"),0)</f>
        <v>0</v>
      </c>
      <c r="BO57" s="93">
        <f t="shared" ca="1" si="114"/>
        <v>0</v>
      </c>
      <c r="BP57" s="92">
        <f ca="1">IFERROR(__xludf.DUMMYFUNCTION("IMPORTRANGE(""https://docs.google.com/spreadsheets/d/1hh-FVnSX0vozXhGluamEcS54Dw9_zqW0N7qJUWgJ0Sw/edit?usp=sharing"",""ชัยนาท!I230"")"),0)</f>
        <v>0</v>
      </c>
      <c r="BQ57" s="92">
        <f ca="1">IFERROR(__xludf.DUMMYFUNCTION("IMPORTRANGE(""https://docs.google.com/spreadsheets/d/1hh-FVnSX0vozXhGluamEcS54Dw9_zqW0N7qJUWgJ0Sw/edit?usp=sharing"",""ชัยนาท!J230"")"),0)</f>
        <v>0</v>
      </c>
      <c r="BR57" s="93">
        <f t="shared" ca="1" si="116"/>
        <v>0</v>
      </c>
      <c r="BS57" s="92">
        <f ca="1">IFERROR(__xludf.DUMMYFUNCTION("IMPORTRANGE(""https://docs.google.com/spreadsheets/d/1hh-FVnSX0vozXhGluamEcS54Dw9_zqW0N7qJUWgJ0Sw/edit?usp=sharing"",""ชัยนาท!L233"")"),0)</f>
        <v>0</v>
      </c>
      <c r="BT57" s="92">
        <f ca="1">IFERROR(__xludf.DUMMYFUNCTION("IMPORTRANGE(""https://docs.google.com/spreadsheets/d/1hh-FVnSX0vozXhGluamEcS54Dw9_zqW0N7qJUWgJ0Sw/edit?usp=sharing"",""ชัยนาท!N233"")"),0)</f>
        <v>0</v>
      </c>
      <c r="BU57" s="93">
        <f t="shared" ca="1" si="118"/>
        <v>0</v>
      </c>
      <c r="BV57" s="92">
        <f ca="1">IFERROR(__xludf.DUMMYFUNCTION("IMPORTRANGE(""https://docs.google.com/spreadsheets/d/1hh-FVnSX0vozXhGluamEcS54Dw9_zqW0N7qJUWgJ0Sw/edit?usp=sharing"",""ชัยนาท!L234"")"),0)</f>
        <v>0</v>
      </c>
      <c r="BW57" s="92">
        <f ca="1">IFERROR(__xludf.DUMMYFUNCTION("IMPORTRANGE(""https://docs.google.com/spreadsheets/d/1hh-FVnSX0vozXhGluamEcS54Dw9_zqW0N7qJUWgJ0Sw/edit?usp=sharing"",""ชัยนาท!N234"")"),0)</f>
        <v>0</v>
      </c>
      <c r="BX57" s="93">
        <f t="shared" ca="1" si="120"/>
        <v>0</v>
      </c>
      <c r="BY57" s="92">
        <f ca="1">IFERROR(__xludf.DUMMYFUNCTION("IMPORTRANGE(""https://docs.google.com/spreadsheets/d/1hh-FVnSX0vozXhGluamEcS54Dw9_zqW0N7qJUWgJ0Sw/edit?usp=sharing"",""ชัยนาท!L235"")"),0)</f>
        <v>0</v>
      </c>
      <c r="BZ57" s="92">
        <f ca="1">IFERROR(__xludf.DUMMYFUNCTION("IMPORTRANGE(""https://docs.google.com/spreadsheets/d/1hh-FVnSX0vozXhGluamEcS54Dw9_zqW0N7qJUWgJ0Sw/edit?usp=sharing"",""ชัยนาท!N235"")"),0)</f>
        <v>0</v>
      </c>
      <c r="CA57" s="93">
        <f t="shared" ca="1" si="122"/>
        <v>0</v>
      </c>
      <c r="CB57" s="92">
        <f ca="1">IFERROR(__xludf.DUMMYFUNCTION("IMPORTRANGE(""https://docs.google.com/spreadsheets/d/1hh-FVnSX0vozXhGluamEcS54Dw9_zqW0N7qJUWgJ0Sw/edit?usp=sharing"",""ชัยนาท!L236"")"),0)</f>
        <v>0</v>
      </c>
      <c r="CC57" s="92">
        <f ca="1">IFERROR(__xludf.DUMMYFUNCTION("IMPORTRANGE(""https://docs.google.com/spreadsheets/d/1hh-FVnSX0vozXhGluamEcS54Dw9_zqW0N7qJUWgJ0Sw/edit?usp=sharing"",""ชัยนาท!N236"")"),0)</f>
        <v>0</v>
      </c>
      <c r="CD57" s="93">
        <f t="shared" ca="1" si="124"/>
        <v>0</v>
      </c>
      <c r="CE57" s="92">
        <f ca="1">IFERROR(__xludf.DUMMYFUNCTION("IMPORTRANGE(""https://docs.google.com/spreadsheets/d/1hh-FVnSX0vozXhGluamEcS54Dw9_zqW0N7qJUWgJ0Sw/edit?usp=sharing"",""ชัยนาท!I238"")"),0)</f>
        <v>0</v>
      </c>
      <c r="CF57" s="92">
        <f ca="1">IFERROR(__xludf.DUMMYFUNCTION("IMPORTRANGE(""https://docs.google.com/spreadsheets/d/1hh-FVnSX0vozXhGluamEcS54Dw9_zqW0N7qJUWgJ0Sw/edit?usp=sharing"",""ชัยนาท!J238"")"),0)</f>
        <v>0</v>
      </c>
      <c r="CG57" s="93">
        <f t="shared" ca="1" si="126"/>
        <v>0</v>
      </c>
      <c r="CH57" s="92">
        <f ca="1">IFERROR(__xludf.DUMMYFUNCTION("IMPORTRANGE(""https://docs.google.com/spreadsheets/d/1hh-FVnSX0vozXhGluamEcS54Dw9_zqW0N7qJUWgJ0Sw/edit?usp=sharing"",""ชัยนาท!J240"")"),0)</f>
        <v>0</v>
      </c>
      <c r="CI57" s="92">
        <f ca="1">IFERROR(__xludf.DUMMYFUNCTION("IMPORTRANGE(""https://docs.google.com/spreadsheets/d/1hh-FVnSX0vozXhGluamEcS54Dw9_zqW0N7qJUWgJ0Sw/edit?usp=sharing"",""ชัยนาท!J241"")"),0)</f>
        <v>0</v>
      </c>
    </row>
    <row r="58" spans="1:87" ht="21" customHeight="1" x14ac:dyDescent="0.3">
      <c r="A58" s="84">
        <v>6</v>
      </c>
      <c r="B58" s="85" t="s">
        <v>80</v>
      </c>
      <c r="C58" s="174">
        <f t="shared" ca="1" si="77"/>
        <v>111200</v>
      </c>
      <c r="D58" s="175">
        <f t="shared" ca="1" si="176"/>
        <v>111200</v>
      </c>
      <c r="E58" s="176">
        <f ca="1">IFERROR(__xludf.DUMMYFUNCTION("IMPORTRANGE(""https://docs.google.com/spreadsheets/d/1-uDff_7J0KD5mKrp0Vvzr7lt3OU09vwQwhkpOPPYv2Y/edit?usp=sharing"",""งบพรบ!CV58"")"),73700)</f>
        <v>73700</v>
      </c>
      <c r="F58" s="176">
        <f ca="1">IFERROR(__xludf.DUMMYFUNCTION("IMPORTRANGE(""https://docs.google.com/spreadsheets/d/1-uDff_7J0KD5mKrp0Vvzr7lt3OU09vwQwhkpOPPYv2Y/edit?usp=sharing"",""งบพรบ!CW58"")"),37500)</f>
        <v>37500</v>
      </c>
      <c r="G58" s="176">
        <f ca="1">IFERROR(__xludf.DUMMYFUNCTION("IMPORTRANGE(""https://docs.google.com/spreadsheets/d/1-uDff_7J0KD5mKrp0Vvzr7lt3OU09vwQwhkpOPPYv2Y/edit?usp=sharing"",""งบพรบ!CX58"")"),0)</f>
        <v>0</v>
      </c>
      <c r="H58" s="176">
        <f ca="1">IFERROR(__xludf.DUMMYFUNCTION("IMPORTRANGE(""https://docs.google.com/spreadsheets/d/1-uDff_7J0KD5mKrp0Vvzr7lt3OU09vwQwhkpOPPYv2Y/edit?usp=sharing"",""งบพรบ!CZ58"")"),75500)</f>
        <v>75500</v>
      </c>
      <c r="I58" s="176">
        <f ca="1">IFERROR(__xludf.DUMMYFUNCTION("IMPORTRANGE(""https://docs.google.com/spreadsheets/d/1-uDff_7J0KD5mKrp0Vvzr7lt3OU09vwQwhkpOPPYv2Y/edit?usp=sharing"",""งบพรบ!DA58"")"),0)</f>
        <v>0</v>
      </c>
      <c r="J58" s="176">
        <f t="shared" ca="1" si="79"/>
        <v>50720</v>
      </c>
      <c r="K58" s="181">
        <f t="shared" ca="1" si="80"/>
        <v>45.611510791366904</v>
      </c>
      <c r="L58" s="176">
        <f ca="1">IFERROR(__xludf.DUMMYFUNCTION("IMPORTRANGE(""https://docs.google.com/spreadsheets/d/1-uDff_7J0KD5mKrp0Vvzr7lt3OU09vwQwhkpOPPYv2Y/edit?usp=sharing"",""งบพรบ!DB58"")"),50720)</f>
        <v>50720</v>
      </c>
      <c r="M58" s="179">
        <f t="shared" ca="1" si="81"/>
        <v>45.611510791366904</v>
      </c>
      <c r="N58" s="179">
        <f t="shared" ca="1" si="82"/>
        <v>67.178807947019862</v>
      </c>
      <c r="O58" s="180">
        <f ca="1">IFERROR(__xludf.DUMMYFUNCTION("IMPORTRANGE(""https://docs.google.com/spreadsheets/d/1-uDff_7J0KD5mKrp0Vvzr7lt3OU09vwQwhkpOPPYv2Y/edit?usp=sharing"",""งบพรบ!DC58"")"),0)</f>
        <v>0</v>
      </c>
      <c r="P58" s="180">
        <f t="shared" ca="1" si="83"/>
        <v>0</v>
      </c>
      <c r="Q58" s="179">
        <f t="shared" ca="1" si="84"/>
        <v>0</v>
      </c>
      <c r="R58" s="92">
        <f ca="1">IFERROR(__xludf.DUMMYFUNCTION("IMPORTRANGE(""https://docs.google.com/spreadsheets/d/1jkqa6GXxSacMcY1eN8AHjMNJ_7dDXMJVRLDlaFSOdPM/edit?usp=sharing"",""ตราด!L196"")"),6000)</f>
        <v>6000</v>
      </c>
      <c r="S58" s="92">
        <f ca="1">IFERROR(__xludf.DUMMYFUNCTION("IMPORTRANGE(""https://docs.google.com/spreadsheets/d/1jkqa6GXxSacMcY1eN8AHjMNJ_7dDXMJVRLDlaFSOdPM/edit?usp=sharing"",""ตราด!N196"")"),3000)</f>
        <v>3000</v>
      </c>
      <c r="T58" s="93">
        <f t="shared" ca="1" si="86"/>
        <v>50</v>
      </c>
      <c r="U58" s="92">
        <f ca="1">IFERROR(__xludf.DUMMYFUNCTION("IMPORTRANGE(""https://docs.google.com/spreadsheets/d/1jkqa6GXxSacMcY1eN8AHjMNJ_7dDXMJVRLDlaFSOdPM/edit?usp=sharing"",""ตราด!I198"")"),4)</f>
        <v>4</v>
      </c>
      <c r="V58" s="92">
        <f ca="1">IFERROR(__xludf.DUMMYFUNCTION("IMPORTRANGE(""https://docs.google.com/spreadsheets/d/1jkqa6GXxSacMcY1eN8AHjMNJ_7dDXMJVRLDlaFSOdPM/edit?usp=sharing"",""ตราด!J198"")"),1)</f>
        <v>1</v>
      </c>
      <c r="W58" s="93">
        <f t="shared" ca="1" si="88"/>
        <v>25</v>
      </c>
      <c r="X58" s="92">
        <f ca="1">IFERROR(__xludf.DUMMYFUNCTION("IMPORTRANGE(""https://docs.google.com/spreadsheets/d/1jkqa6GXxSacMcY1eN8AHjMNJ_7dDXMJVRLDlaFSOdPM/edit?usp=sharing"",""ตราด!J199"")"),39)</f>
        <v>39</v>
      </c>
      <c r="Y58" s="92">
        <f ca="1">IFERROR(__xludf.DUMMYFUNCTION("IMPORTRANGE(""https://docs.google.com/spreadsheets/d/1jkqa6GXxSacMcY1eN8AHjMNJ_7dDXMJVRLDlaFSOdPM/edit?usp=sharing"",""ตราด!J200"")"),39)</f>
        <v>39</v>
      </c>
      <c r="Z58" s="92">
        <f ca="1">IFERROR(__xludf.DUMMYFUNCTION("IMPORTRANGE(""https://docs.google.com/spreadsheets/d/1jkqa6GXxSacMcY1eN8AHjMNJ_7dDXMJVRLDlaFSOdPM/edit?usp=sharing"",""ตราด!J201"")"),0)</f>
        <v>0</v>
      </c>
      <c r="AA58" s="92">
        <f ca="1">IFERROR(__xludf.DUMMYFUNCTION("IMPORTRANGE(""https://docs.google.com/spreadsheets/d/1jkqa6GXxSacMcY1eN8AHjMNJ_7dDXMJVRLDlaFSOdPM/edit?usp=sharing"",""ตราด!L204"")"),1000)</f>
        <v>1000</v>
      </c>
      <c r="AB58" s="92">
        <f ca="1">IFERROR(__xludf.DUMMYFUNCTION("IMPORTRANGE(""https://docs.google.com/spreadsheets/d/1jkqa6GXxSacMcY1eN8AHjMNJ_7dDXMJVRLDlaFSOdPM/edit?usp=sharing"",""ตราด!N204"")"),0)</f>
        <v>0</v>
      </c>
      <c r="AC58" s="93">
        <f t="shared" ca="1" si="90"/>
        <v>0</v>
      </c>
      <c r="AD58" s="92">
        <f ca="1">IFERROR(__xludf.DUMMYFUNCTION("IMPORTRANGE(""https://docs.google.com/spreadsheets/d/1jkqa6GXxSacMcY1eN8AHjMNJ_7dDXMJVRLDlaFSOdPM/edit?usp=sharing"",""ตราด!L206"")"),8000)</f>
        <v>8000</v>
      </c>
      <c r="AE58" s="92">
        <f ca="1">IFERROR(__xludf.DUMMYFUNCTION("IMPORTRANGE(""https://docs.google.com/spreadsheets/d/1jkqa6GXxSacMcY1eN8AHjMNJ_7dDXMJVRLDlaFSOdPM/edit?usp=sharing"",""ตราด!N206"")"),8000)</f>
        <v>8000</v>
      </c>
      <c r="AF58" s="93">
        <f t="shared" ca="1" si="92"/>
        <v>100</v>
      </c>
      <c r="AG58" s="92">
        <f ca="1">IFERROR(__xludf.DUMMYFUNCTION("IMPORTRANGE(""https://docs.google.com/spreadsheets/d/1jkqa6GXxSacMcY1eN8AHjMNJ_7dDXMJVRLDlaFSOdPM/edit?usp=sharing"",""ตราด!L207"")"),4000)</f>
        <v>4000</v>
      </c>
      <c r="AH58" s="92">
        <f ca="1">IFERROR(__xludf.DUMMYFUNCTION("IMPORTRANGE(""https://docs.google.com/spreadsheets/d/1jkqa6GXxSacMcY1eN8AHjMNJ_7dDXMJVRLDlaFSOdPM/edit?usp=sharing"",""ตราด!N207"")"),0)</f>
        <v>0</v>
      </c>
      <c r="AI58" s="93">
        <f t="shared" ca="1" si="94"/>
        <v>0</v>
      </c>
      <c r="AJ58" s="92">
        <f ca="1">IFERROR(__xludf.DUMMYFUNCTION("IMPORTRANGE(""https://docs.google.com/spreadsheets/d/1jkqa6GXxSacMcY1eN8AHjMNJ_7dDXMJVRLDlaFSOdPM/edit?usp=sharing"",""ตราด!I209"")"),1)</f>
        <v>1</v>
      </c>
      <c r="AK58" s="92">
        <f ca="1">IFERROR(__xludf.DUMMYFUNCTION("IMPORTRANGE(""https://docs.google.com/spreadsheets/d/1jkqa6GXxSacMcY1eN8AHjMNJ_7dDXMJVRLDlaFSOdPM/edit?usp=sharing"",""ตราด!J209"")"),1)</f>
        <v>1</v>
      </c>
      <c r="AL58" s="93">
        <f t="shared" ca="1" si="96"/>
        <v>100</v>
      </c>
      <c r="AM58" s="92">
        <f ca="1">IFERROR(__xludf.DUMMYFUNCTION("IMPORTRANGE(""https://docs.google.com/spreadsheets/d/1jkqa6GXxSacMcY1eN8AHjMNJ_7dDXMJVRLDlaFSOdPM/edit?usp=sharing"",""ตราด!J211"")"),0)</f>
        <v>0</v>
      </c>
      <c r="AN58" s="92">
        <f ca="1">IFERROR(__xludf.DUMMYFUNCTION("IMPORTRANGE(""https://docs.google.com/spreadsheets/d/1jkqa6GXxSacMcY1eN8AHjMNJ_7dDXMJVRLDlaFSOdPM/edit?usp=sharing"",""ตราด!J212"")"),0)</f>
        <v>0</v>
      </c>
      <c r="AO58" s="92">
        <f ca="1">IFERROR(__xludf.DUMMYFUNCTION("IMPORTRANGE(""https://docs.google.com/spreadsheets/d/1jkqa6GXxSacMcY1eN8AHjMNJ_7dDXMJVRLDlaFSOdPM/edit?usp=sharing"",""ตราด!L215"")"),1000)</f>
        <v>1000</v>
      </c>
      <c r="AP58" s="92">
        <f ca="1">IFERROR(__xludf.DUMMYFUNCTION("IMPORTRANGE(""https://docs.google.com/spreadsheets/d/1jkqa6GXxSacMcY1eN8AHjMNJ_7dDXMJVRLDlaFSOdPM/edit?usp=sharing"",""ตราด!N215"")"),240)</f>
        <v>240</v>
      </c>
      <c r="AQ58" s="93">
        <f t="shared" ca="1" si="98"/>
        <v>24</v>
      </c>
      <c r="AR58" s="92">
        <f ca="1">IFERROR(__xludf.DUMMYFUNCTION("IMPORTRANGE(""https://docs.google.com/spreadsheets/d/1jkqa6GXxSacMcY1eN8AHjMNJ_7dDXMJVRLDlaFSOdPM/edit?usp=sharing"",""ตราด!L216"")"),5000)</f>
        <v>5000</v>
      </c>
      <c r="AS58" s="92">
        <f ca="1">IFERROR(__xludf.DUMMYFUNCTION("IMPORTRANGE(""https://docs.google.com/spreadsheets/d/1jkqa6GXxSacMcY1eN8AHjMNJ_7dDXMJVRLDlaFSOdPM/edit?usp=sharing"",""ตราด!N216"")"),0)</f>
        <v>0</v>
      </c>
      <c r="AT58" s="93">
        <f t="shared" ca="1" si="100"/>
        <v>0</v>
      </c>
      <c r="AU58" s="92">
        <f ca="1">IFERROR(__xludf.DUMMYFUNCTION("IMPORTRANGE(""https://docs.google.com/spreadsheets/d/1jkqa6GXxSacMcY1eN8AHjMNJ_7dDXMJVRLDlaFSOdPM/edit?usp=sharing"",""ตราด!L217"")"),8000)</f>
        <v>8000</v>
      </c>
      <c r="AV58" s="92">
        <f ca="1">IFERROR(__xludf.DUMMYFUNCTION("IMPORTRANGE(""https://docs.google.com/spreadsheets/d/1jkqa6GXxSacMcY1eN8AHjMNJ_7dDXMJVRLDlaFSOdPM/edit?usp=sharing"",""ตราด!N217"")"),8000)</f>
        <v>8000</v>
      </c>
      <c r="AW58" s="93">
        <f t="shared" ca="1" si="102"/>
        <v>100</v>
      </c>
      <c r="AX58" s="92">
        <f ca="1">IFERROR(__xludf.DUMMYFUNCTION("IMPORTRANGE(""https://docs.google.com/spreadsheets/d/1jkqa6GXxSacMcY1eN8AHjMNJ_7dDXMJVRLDlaFSOdPM/edit?usp=sharing"",""ตราด!I219"")"),1)</f>
        <v>1</v>
      </c>
      <c r="AY58" s="92">
        <f ca="1">IFERROR(__xludf.DUMMYFUNCTION("IMPORTRANGE(""https://docs.google.com/spreadsheets/d/1jkqa6GXxSacMcY1eN8AHjMNJ_7dDXMJVRLDlaFSOdPM/edit?usp=sharing"",""ตราด!J219"")"),0)</f>
        <v>0</v>
      </c>
      <c r="AZ58" s="93">
        <f t="shared" ca="1" si="104"/>
        <v>0</v>
      </c>
      <c r="BA58" s="92">
        <f ca="1">IFERROR(__xludf.DUMMYFUNCTION("IMPORTRANGE(""https://docs.google.com/spreadsheets/d/1jkqa6GXxSacMcY1eN8AHjMNJ_7dDXMJVRLDlaFSOdPM/edit?usp=sharing"",""ตราด!I220"")"),1)</f>
        <v>1</v>
      </c>
      <c r="BB58" s="92">
        <f ca="1">IFERROR(__xludf.DUMMYFUNCTION("IMPORTRANGE(""https://docs.google.com/spreadsheets/d/1jkqa6GXxSacMcY1eN8AHjMNJ_7dDXMJVRLDlaFSOdPM/edit?usp=sharing"",""ตราด!J220"")"),1)</f>
        <v>1</v>
      </c>
      <c r="BC58" s="93">
        <f t="shared" ca="1" si="106"/>
        <v>100</v>
      </c>
      <c r="BD58" s="92">
        <f ca="1">IFERROR(__xludf.DUMMYFUNCTION("IMPORTRANGE(""https://docs.google.com/spreadsheets/d/1jkqa6GXxSacMcY1eN8AHjMNJ_7dDXMJVRLDlaFSOdPM/edit?usp=sharing"",""ตราด!L223"")"),3000)</f>
        <v>3000</v>
      </c>
      <c r="BE58" s="92">
        <f ca="1">IFERROR(__xludf.DUMMYFUNCTION("IMPORTRANGE(""https://docs.google.com/spreadsheets/d/1jkqa6GXxSacMcY1eN8AHjMNJ_7dDXMJVRLDlaFSOdPM/edit?usp=sharing"",""ตราด!N223"")"),0)</f>
        <v>0</v>
      </c>
      <c r="BF58" s="93">
        <f t="shared" ca="1" si="108"/>
        <v>0</v>
      </c>
      <c r="BG58" s="92">
        <f ca="1">IFERROR(__xludf.DUMMYFUNCTION("IMPORTRANGE(""https://docs.google.com/spreadsheets/d/1jkqa6GXxSacMcY1eN8AHjMNJ_7dDXMJVRLDlaFSOdPM/edit?usp=sharing"",""ตราด!L224"")"),1500)</f>
        <v>1500</v>
      </c>
      <c r="BH58" s="92">
        <f ca="1">IFERROR(__xludf.DUMMYFUNCTION("IMPORTRANGE(""https://docs.google.com/spreadsheets/d/1jkqa6GXxSacMcY1eN8AHjMNJ_7dDXMJVRLDlaFSOdPM/edit?usp=sharing"",""ตราด!N224"")"),0)</f>
        <v>0</v>
      </c>
      <c r="BI58" s="93">
        <f t="shared" ca="1" si="110"/>
        <v>0</v>
      </c>
      <c r="BJ58" s="92">
        <f ca="1">IFERROR(__xludf.DUMMYFUNCTION("IMPORTRANGE(""https://docs.google.com/spreadsheets/d/1jkqa6GXxSacMcY1eN8AHjMNJ_7dDXMJVRLDlaFSOdPM/edit?usp=sharing"",""ตราด!I228"")"),3200)</f>
        <v>3200</v>
      </c>
      <c r="BK58" s="92">
        <f ca="1">IFERROR(__xludf.DUMMYFUNCTION("IMPORTRANGE(""https://docs.google.com/spreadsheets/d/1jkqa6GXxSacMcY1eN8AHjMNJ_7dDXMJVRLDlaFSOdPM/edit?usp=sharing"",""ตราด!J228"")"),0)</f>
        <v>0</v>
      </c>
      <c r="BL58" s="93">
        <f t="shared" ca="1" si="112"/>
        <v>0</v>
      </c>
      <c r="BM58" s="92">
        <f ca="1">IFERROR(__xludf.DUMMYFUNCTION("IMPORTRANGE(""https://docs.google.com/spreadsheets/d/1jkqa6GXxSacMcY1eN8AHjMNJ_7dDXMJVRLDlaFSOdPM/edit?usp=sharing"",""ตราด!I229"")"),3200)</f>
        <v>3200</v>
      </c>
      <c r="BN58" s="92">
        <f ca="1">IFERROR(__xludf.DUMMYFUNCTION("IMPORTRANGE(""https://docs.google.com/spreadsheets/d/1jkqa6GXxSacMcY1eN8AHjMNJ_7dDXMJVRLDlaFSOdPM/edit?usp=sharing"",""ตราด!J229"")"),0)</f>
        <v>0</v>
      </c>
      <c r="BO58" s="93">
        <f t="shared" ca="1" si="114"/>
        <v>0</v>
      </c>
      <c r="BP58" s="92">
        <f ca="1">IFERROR(__xludf.DUMMYFUNCTION("IMPORTRANGE(""https://docs.google.com/spreadsheets/d/1jkqa6GXxSacMcY1eN8AHjMNJ_7dDXMJVRLDlaFSOdPM/edit?usp=sharing"",""ตราด!I230"")"),0)</f>
        <v>0</v>
      </c>
      <c r="BQ58" s="92">
        <f ca="1">IFERROR(__xludf.DUMMYFUNCTION("IMPORTRANGE(""https://docs.google.com/spreadsheets/d/1jkqa6GXxSacMcY1eN8AHjMNJ_7dDXMJVRLDlaFSOdPM/edit?usp=sharing"",""ตราด!J230"")"),0)</f>
        <v>0</v>
      </c>
      <c r="BR58" s="93">
        <f t="shared" ca="1" si="116"/>
        <v>0</v>
      </c>
      <c r="BS58" s="92">
        <f ca="1">IFERROR(__xludf.DUMMYFUNCTION("IMPORTRANGE(""https://docs.google.com/spreadsheets/d/1jkqa6GXxSacMcY1eN8AHjMNJ_7dDXMJVRLDlaFSOdPM/edit?usp=sharing"",""ตราด!L233"")"),0)</f>
        <v>0</v>
      </c>
      <c r="BT58" s="92">
        <f ca="1">IFERROR(__xludf.DUMMYFUNCTION("IMPORTRANGE(""https://docs.google.com/spreadsheets/d/1jkqa6GXxSacMcY1eN8AHjMNJ_7dDXMJVRLDlaFSOdPM/edit?usp=sharing"",""ตราด!N233"")"),0)</f>
        <v>0</v>
      </c>
      <c r="BU58" s="93">
        <f t="shared" ca="1" si="118"/>
        <v>0</v>
      </c>
      <c r="BV58" s="92">
        <f ca="1">IFERROR(__xludf.DUMMYFUNCTION("IMPORTRANGE(""https://docs.google.com/spreadsheets/d/1jkqa6GXxSacMcY1eN8AHjMNJ_7dDXMJVRLDlaFSOdPM/edit?usp=sharing"",""ตราด!L234"")"),0)</f>
        <v>0</v>
      </c>
      <c r="BW58" s="92">
        <f ca="1">IFERROR(__xludf.DUMMYFUNCTION("IMPORTRANGE(""https://docs.google.com/spreadsheets/d/1jkqa6GXxSacMcY1eN8AHjMNJ_7dDXMJVRLDlaFSOdPM/edit?usp=sharing"",""ตราด!N234"")"),0)</f>
        <v>0</v>
      </c>
      <c r="BX58" s="93">
        <f t="shared" ca="1" si="120"/>
        <v>0</v>
      </c>
      <c r="BY58" s="92">
        <f ca="1">IFERROR(__xludf.DUMMYFUNCTION("IMPORTRANGE(""https://docs.google.com/spreadsheets/d/1jkqa6GXxSacMcY1eN8AHjMNJ_7dDXMJVRLDlaFSOdPM/edit?usp=sharing"",""ตราด!L235"")"),0)</f>
        <v>0</v>
      </c>
      <c r="BZ58" s="92">
        <f ca="1">IFERROR(__xludf.DUMMYFUNCTION("IMPORTRANGE(""https://docs.google.com/spreadsheets/d/1jkqa6GXxSacMcY1eN8AHjMNJ_7dDXMJVRLDlaFSOdPM/edit?usp=sharing"",""ตราด!N235"")"),0)</f>
        <v>0</v>
      </c>
      <c r="CA58" s="93">
        <f t="shared" ca="1" si="122"/>
        <v>0</v>
      </c>
      <c r="CB58" s="92">
        <f ca="1">IFERROR(__xludf.DUMMYFUNCTION("IMPORTRANGE(""https://docs.google.com/spreadsheets/d/1jkqa6GXxSacMcY1eN8AHjMNJ_7dDXMJVRLDlaFSOdPM/edit?usp=sharing"",""ตราด!L236"")"),0)</f>
        <v>0</v>
      </c>
      <c r="CC58" s="92">
        <f ca="1">IFERROR(__xludf.DUMMYFUNCTION("IMPORTRANGE(""https://docs.google.com/spreadsheets/d/1jkqa6GXxSacMcY1eN8AHjMNJ_7dDXMJVRLDlaFSOdPM/edit?usp=sharing"",""ตราด!N236"")"),0)</f>
        <v>0</v>
      </c>
      <c r="CD58" s="93">
        <f t="shared" ca="1" si="124"/>
        <v>0</v>
      </c>
      <c r="CE58" s="92">
        <f ca="1">IFERROR(__xludf.DUMMYFUNCTION("IMPORTRANGE(""https://docs.google.com/spreadsheets/d/1jkqa6GXxSacMcY1eN8AHjMNJ_7dDXMJVRLDlaFSOdPM/edit?usp=sharing"",""ตราด!I238"")"),0)</f>
        <v>0</v>
      </c>
      <c r="CF58" s="92">
        <f ca="1">IFERROR(__xludf.DUMMYFUNCTION("IMPORTRANGE(""https://docs.google.com/spreadsheets/d/1jkqa6GXxSacMcY1eN8AHjMNJ_7dDXMJVRLDlaFSOdPM/edit?usp=sharing"",""ตราด!J238"")"),0)</f>
        <v>0</v>
      </c>
      <c r="CG58" s="93">
        <f t="shared" ca="1" si="126"/>
        <v>0</v>
      </c>
      <c r="CH58" s="92">
        <f ca="1">IFERROR(__xludf.DUMMYFUNCTION("IMPORTRANGE(""https://docs.google.com/spreadsheets/d/1jkqa6GXxSacMcY1eN8AHjMNJ_7dDXMJVRLDlaFSOdPM/edit?usp=sharing"",""ตราด!J240"")"),0)</f>
        <v>0</v>
      </c>
      <c r="CI58" s="92">
        <f ca="1">IFERROR(__xludf.DUMMYFUNCTION("IMPORTRANGE(""https://docs.google.com/spreadsheets/d/1jkqa6GXxSacMcY1eN8AHjMNJ_7dDXMJVRLDlaFSOdPM/edit?usp=sharing"",""ตราด!J241"")"),0)</f>
        <v>0</v>
      </c>
    </row>
    <row r="59" spans="1:87" ht="21" customHeight="1" x14ac:dyDescent="0.3">
      <c r="A59" s="84">
        <v>7</v>
      </c>
      <c r="B59" s="85" t="s">
        <v>81</v>
      </c>
      <c r="C59" s="174">
        <f t="shared" ca="1" si="77"/>
        <v>234300</v>
      </c>
      <c r="D59" s="175">
        <f t="shared" ca="1" si="176"/>
        <v>234300</v>
      </c>
      <c r="E59" s="176">
        <f ca="1">IFERROR(__xludf.DUMMYFUNCTION("IMPORTRANGE(""https://docs.google.com/spreadsheets/d/1-uDff_7J0KD5mKrp0Vvzr7lt3OU09vwQwhkpOPPYv2Y/edit?usp=sharing"",""งบพรบ!CV59"")"),167200)</f>
        <v>167200</v>
      </c>
      <c r="F59" s="176">
        <f ca="1">IFERROR(__xludf.DUMMYFUNCTION("IMPORTRANGE(""https://docs.google.com/spreadsheets/d/1-uDff_7J0KD5mKrp0Vvzr7lt3OU09vwQwhkpOPPYv2Y/edit?usp=sharing"",""งบพรบ!CW59"")"),67100)</f>
        <v>67100</v>
      </c>
      <c r="G59" s="176">
        <f ca="1">IFERROR(__xludf.DUMMYFUNCTION("IMPORTRANGE(""https://docs.google.com/spreadsheets/d/1-uDff_7J0KD5mKrp0Vvzr7lt3OU09vwQwhkpOPPYv2Y/edit?usp=sharing"",""งบพรบ!CX59"")"),0)</f>
        <v>0</v>
      </c>
      <c r="H59" s="176">
        <f ca="1">IFERROR(__xludf.DUMMYFUNCTION("IMPORTRANGE(""https://docs.google.com/spreadsheets/d/1-uDff_7J0KD5mKrp0Vvzr7lt3OU09vwQwhkpOPPYv2Y/edit?usp=sharing"",""งบพรบ!CZ59"")"),174600)</f>
        <v>174600</v>
      </c>
      <c r="I59" s="176">
        <f ca="1">IFERROR(__xludf.DUMMYFUNCTION("IMPORTRANGE(""https://docs.google.com/spreadsheets/d/1-uDff_7J0KD5mKrp0Vvzr7lt3OU09vwQwhkpOPPYv2Y/edit?usp=sharing"",""งบพรบ!DA59"")"),0)</f>
        <v>0</v>
      </c>
      <c r="J59" s="176">
        <f t="shared" ca="1" si="79"/>
        <v>62359</v>
      </c>
      <c r="K59" s="181">
        <f t="shared" ca="1" si="80"/>
        <v>26.615023474178404</v>
      </c>
      <c r="L59" s="176">
        <f ca="1">IFERROR(__xludf.DUMMYFUNCTION("IMPORTRANGE(""https://docs.google.com/spreadsheets/d/1-uDff_7J0KD5mKrp0Vvzr7lt3OU09vwQwhkpOPPYv2Y/edit?usp=sharing"",""งบพรบ!DB59"")"),62359)</f>
        <v>62359</v>
      </c>
      <c r="M59" s="179">
        <f t="shared" ca="1" si="81"/>
        <v>26.615023474178404</v>
      </c>
      <c r="N59" s="179">
        <f t="shared" ca="1" si="82"/>
        <v>35.715349369988544</v>
      </c>
      <c r="O59" s="180">
        <f ca="1">IFERROR(__xludf.DUMMYFUNCTION("IMPORTRANGE(""https://docs.google.com/spreadsheets/d/1-uDff_7J0KD5mKrp0Vvzr7lt3OU09vwQwhkpOPPYv2Y/edit?usp=sharing"",""งบพรบ!DC59"")"),0)</f>
        <v>0</v>
      </c>
      <c r="P59" s="180">
        <f t="shared" ca="1" si="83"/>
        <v>0</v>
      </c>
      <c r="Q59" s="179">
        <f t="shared" ca="1" si="84"/>
        <v>0</v>
      </c>
      <c r="R59" s="92">
        <f ca="1">IFERROR(__xludf.DUMMYFUNCTION("IMPORTRANGE(""https://docs.google.com/spreadsheets/d/18hSgUJ3VwClqi_qtULmmW3cLr0oe3OKaSYoKzdpTsYQ/edit?usp=sharing"",""นครนายก!L196"")"),6000)</f>
        <v>6000</v>
      </c>
      <c r="S59" s="92">
        <f ca="1">IFERROR(__xludf.DUMMYFUNCTION("IMPORTRANGE(""https://docs.google.com/spreadsheets/d/18hSgUJ3VwClqi_qtULmmW3cLr0oe3OKaSYoKzdpTsYQ/edit?usp=sharing"",""นครนายก!N196"")"),0)</f>
        <v>0</v>
      </c>
      <c r="T59" s="93">
        <f t="shared" ca="1" si="86"/>
        <v>0</v>
      </c>
      <c r="U59" s="92">
        <f ca="1">IFERROR(__xludf.DUMMYFUNCTION("IMPORTRANGE(""https://docs.google.com/spreadsheets/d/18hSgUJ3VwClqi_qtULmmW3cLr0oe3OKaSYoKzdpTsYQ/edit?usp=sharing"",""นครนายก!I198"")"),4)</f>
        <v>4</v>
      </c>
      <c r="V59" s="92">
        <f ca="1">IFERROR(__xludf.DUMMYFUNCTION("IMPORTRANGE(""https://docs.google.com/spreadsheets/d/18hSgUJ3VwClqi_qtULmmW3cLr0oe3OKaSYoKzdpTsYQ/edit?usp=sharing"",""นครนายก!J198"")"),0)</f>
        <v>0</v>
      </c>
      <c r="W59" s="93">
        <f t="shared" ca="1" si="88"/>
        <v>0</v>
      </c>
      <c r="X59" s="92">
        <f ca="1">IFERROR(__xludf.DUMMYFUNCTION("IMPORTRANGE(""https://docs.google.com/spreadsheets/d/18hSgUJ3VwClqi_qtULmmW3cLr0oe3OKaSYoKzdpTsYQ/edit?usp=sharing"",""นครนายก!J199"")"),0)</f>
        <v>0</v>
      </c>
      <c r="Y59" s="92">
        <f ca="1">IFERROR(__xludf.DUMMYFUNCTION("IMPORTRANGE(""https://docs.google.com/spreadsheets/d/18hSgUJ3VwClqi_qtULmmW3cLr0oe3OKaSYoKzdpTsYQ/edit?usp=sharing"",""นครนายก!J200"")"),0)</f>
        <v>0</v>
      </c>
      <c r="Z59" s="92">
        <f ca="1">IFERROR(__xludf.DUMMYFUNCTION("IMPORTRANGE(""https://docs.google.com/spreadsheets/d/18hSgUJ3VwClqi_qtULmmW3cLr0oe3OKaSYoKzdpTsYQ/edit?usp=sharing"",""นครนายก!J201"")"),0)</f>
        <v>0</v>
      </c>
      <c r="AA59" s="92">
        <f ca="1">IFERROR(__xludf.DUMMYFUNCTION("IMPORTRANGE(""https://docs.google.com/spreadsheets/d/18hSgUJ3VwClqi_qtULmmW3cLr0oe3OKaSYoKzdpTsYQ/edit?usp=sharing"",""นครนายก!L204"")"),1000)</f>
        <v>1000</v>
      </c>
      <c r="AB59" s="92">
        <f ca="1">IFERROR(__xludf.DUMMYFUNCTION("IMPORTRANGE(""https://docs.google.com/spreadsheets/d/18hSgUJ3VwClqi_qtULmmW3cLr0oe3OKaSYoKzdpTsYQ/edit?usp=sharing"",""นครนายก!N204"")"),0)</f>
        <v>0</v>
      </c>
      <c r="AC59" s="93">
        <f t="shared" ca="1" si="90"/>
        <v>0</v>
      </c>
      <c r="AD59" s="92">
        <f ca="1">IFERROR(__xludf.DUMMYFUNCTION("IMPORTRANGE(""https://docs.google.com/spreadsheets/d/18hSgUJ3VwClqi_qtULmmW3cLr0oe3OKaSYoKzdpTsYQ/edit?usp=sharing"",""นครนายก!L206"")"),8000)</f>
        <v>8000</v>
      </c>
      <c r="AE59" s="92">
        <f ca="1">IFERROR(__xludf.DUMMYFUNCTION("IMPORTRANGE(""https://docs.google.com/spreadsheets/d/18hSgUJ3VwClqi_qtULmmW3cLr0oe3OKaSYoKzdpTsYQ/edit?usp=sharing"",""นครนายก!N206"")"),0)</f>
        <v>0</v>
      </c>
      <c r="AF59" s="93">
        <f t="shared" ca="1" si="92"/>
        <v>0</v>
      </c>
      <c r="AG59" s="92">
        <f ca="1">IFERROR(__xludf.DUMMYFUNCTION("IMPORTRANGE(""https://docs.google.com/spreadsheets/d/18hSgUJ3VwClqi_qtULmmW3cLr0oe3OKaSYoKzdpTsYQ/edit?usp=sharing"",""นครนายก!L207"")"),4000)</f>
        <v>4000</v>
      </c>
      <c r="AH59" s="92">
        <f ca="1">IFERROR(__xludf.DUMMYFUNCTION("IMPORTRANGE(""https://docs.google.com/spreadsheets/d/18hSgUJ3VwClqi_qtULmmW3cLr0oe3OKaSYoKzdpTsYQ/edit?usp=sharing"",""นครนายก!N207"")"),0)</f>
        <v>0</v>
      </c>
      <c r="AI59" s="93">
        <f t="shared" ca="1" si="94"/>
        <v>0</v>
      </c>
      <c r="AJ59" s="92">
        <f ca="1">IFERROR(__xludf.DUMMYFUNCTION("IMPORTRANGE(""https://docs.google.com/spreadsheets/d/18hSgUJ3VwClqi_qtULmmW3cLr0oe3OKaSYoKzdpTsYQ/edit?usp=sharing"",""นครนายก!I209"")"),1)</f>
        <v>1</v>
      </c>
      <c r="AK59" s="92">
        <f ca="1">IFERROR(__xludf.DUMMYFUNCTION("IMPORTRANGE(""https://docs.google.com/spreadsheets/d/18hSgUJ3VwClqi_qtULmmW3cLr0oe3OKaSYoKzdpTsYQ/edit?usp=sharing"",""นครนายก!J209"")"),0)</f>
        <v>0</v>
      </c>
      <c r="AL59" s="93">
        <f t="shared" ca="1" si="96"/>
        <v>0</v>
      </c>
      <c r="AM59" s="92">
        <f ca="1">IFERROR(__xludf.DUMMYFUNCTION("IMPORTRANGE(""https://docs.google.com/spreadsheets/d/18hSgUJ3VwClqi_qtULmmW3cLr0oe3OKaSYoKzdpTsYQ/edit?usp=sharing"",""นครนายก!J211"")"),0)</f>
        <v>0</v>
      </c>
      <c r="AN59" s="92">
        <f ca="1">IFERROR(__xludf.DUMMYFUNCTION("IMPORTRANGE(""https://docs.google.com/spreadsheets/d/18hSgUJ3VwClqi_qtULmmW3cLr0oe3OKaSYoKzdpTsYQ/edit?usp=sharing"",""นครนายก!J212"")"),0)</f>
        <v>0</v>
      </c>
      <c r="AO59" s="92">
        <f ca="1">IFERROR(__xludf.DUMMYFUNCTION("IMPORTRANGE(""https://docs.google.com/spreadsheets/d/18hSgUJ3VwClqi_qtULmmW3cLr0oe3OKaSYoKzdpTsYQ/edit?usp=sharing"",""นครนายก!L215"")"),0)</f>
        <v>0</v>
      </c>
      <c r="AP59" s="92">
        <f ca="1">IFERROR(__xludf.DUMMYFUNCTION("IMPORTRANGE(""https://docs.google.com/spreadsheets/d/18hSgUJ3VwClqi_qtULmmW3cLr0oe3OKaSYoKzdpTsYQ/edit?usp=sharing"",""นครนายก!N215"")"),0)</f>
        <v>0</v>
      </c>
      <c r="AQ59" s="93">
        <f t="shared" ca="1" si="98"/>
        <v>0</v>
      </c>
      <c r="AR59" s="92">
        <f ca="1">IFERROR(__xludf.DUMMYFUNCTION("IMPORTRANGE(""https://docs.google.com/spreadsheets/d/18hSgUJ3VwClqi_qtULmmW3cLr0oe3OKaSYoKzdpTsYQ/edit?usp=sharing"",""นครนายก!L216"")"),0)</f>
        <v>0</v>
      </c>
      <c r="AS59" s="92">
        <f ca="1">IFERROR(__xludf.DUMMYFUNCTION("IMPORTRANGE(""https://docs.google.com/spreadsheets/d/18hSgUJ3VwClqi_qtULmmW3cLr0oe3OKaSYoKzdpTsYQ/edit?usp=sharing"",""นครนายก!N216"")"),0)</f>
        <v>0</v>
      </c>
      <c r="AT59" s="93">
        <f t="shared" ca="1" si="100"/>
        <v>0</v>
      </c>
      <c r="AU59" s="92">
        <f ca="1">IFERROR(__xludf.DUMMYFUNCTION("IMPORTRANGE(""https://docs.google.com/spreadsheets/d/18hSgUJ3VwClqi_qtULmmW3cLr0oe3OKaSYoKzdpTsYQ/edit?usp=sharing"",""นครนายก!L217"")"),0)</f>
        <v>0</v>
      </c>
      <c r="AV59" s="92">
        <f ca="1">IFERROR(__xludf.DUMMYFUNCTION("IMPORTRANGE(""https://docs.google.com/spreadsheets/d/18hSgUJ3VwClqi_qtULmmW3cLr0oe3OKaSYoKzdpTsYQ/edit?usp=sharing"",""นครนายก!N217"")"),0)</f>
        <v>0</v>
      </c>
      <c r="AW59" s="93">
        <f t="shared" ca="1" si="102"/>
        <v>0</v>
      </c>
      <c r="AX59" s="92">
        <f ca="1">IFERROR(__xludf.DUMMYFUNCTION("IMPORTRANGE(""https://docs.google.com/spreadsheets/d/18hSgUJ3VwClqi_qtULmmW3cLr0oe3OKaSYoKzdpTsYQ/edit?usp=sharing"",""นครนายก!I219"")"),0)</f>
        <v>0</v>
      </c>
      <c r="AY59" s="92">
        <f ca="1">IFERROR(__xludf.DUMMYFUNCTION("IMPORTRANGE(""https://docs.google.com/spreadsheets/d/18hSgUJ3VwClqi_qtULmmW3cLr0oe3OKaSYoKzdpTsYQ/edit?usp=sharing"",""นครนายก!J219"")"),0)</f>
        <v>0</v>
      </c>
      <c r="AZ59" s="93">
        <f t="shared" ca="1" si="104"/>
        <v>0</v>
      </c>
      <c r="BA59" s="92">
        <f ca="1">IFERROR(__xludf.DUMMYFUNCTION("IMPORTRANGE(""https://docs.google.com/spreadsheets/d/18hSgUJ3VwClqi_qtULmmW3cLr0oe3OKaSYoKzdpTsYQ/edit?usp=sharing"",""นครนายก!I220"")"),0)</f>
        <v>0</v>
      </c>
      <c r="BB59" s="92">
        <f ca="1">IFERROR(__xludf.DUMMYFUNCTION("IMPORTRANGE(""https://docs.google.com/spreadsheets/d/18hSgUJ3VwClqi_qtULmmW3cLr0oe3OKaSYoKzdpTsYQ/edit?usp=sharing"",""นครนายก!J220"")"),0)</f>
        <v>0</v>
      </c>
      <c r="BC59" s="93">
        <f t="shared" ca="1" si="106"/>
        <v>0</v>
      </c>
      <c r="BD59" s="92">
        <f ca="1">IFERROR(__xludf.DUMMYFUNCTION("IMPORTRANGE(""https://docs.google.com/spreadsheets/d/18hSgUJ3VwClqi_qtULmmW3cLr0oe3OKaSYoKzdpTsYQ/edit?usp=sharing"",""นครนายก!L223"")"),5000)</f>
        <v>5000</v>
      </c>
      <c r="BE59" s="92">
        <f ca="1">IFERROR(__xludf.DUMMYFUNCTION("IMPORTRANGE(""https://docs.google.com/spreadsheets/d/18hSgUJ3VwClqi_qtULmmW3cLr0oe3OKaSYoKzdpTsYQ/edit?usp=sharing"",""นครนายก!N223"")"),0)</f>
        <v>0</v>
      </c>
      <c r="BF59" s="93">
        <f t="shared" ca="1" si="108"/>
        <v>0</v>
      </c>
      <c r="BG59" s="92">
        <f ca="1">IFERROR(__xludf.DUMMYFUNCTION("IMPORTRANGE(""https://docs.google.com/spreadsheets/d/18hSgUJ3VwClqi_qtULmmW3cLr0oe3OKaSYoKzdpTsYQ/edit?usp=sharing"",""นครนายก!L224"")"),1500)</f>
        <v>1500</v>
      </c>
      <c r="BH59" s="92">
        <f ca="1">IFERROR(__xludf.DUMMYFUNCTION("IMPORTRANGE(""https://docs.google.com/spreadsheets/d/18hSgUJ3VwClqi_qtULmmW3cLr0oe3OKaSYoKzdpTsYQ/edit?usp=sharing"",""นครนายก!N224"")"),0)</f>
        <v>0</v>
      </c>
      <c r="BI59" s="93">
        <f t="shared" ca="1" si="110"/>
        <v>0</v>
      </c>
      <c r="BJ59" s="92">
        <f ca="1">IFERROR(__xludf.DUMMYFUNCTION("IMPORTRANGE(""https://docs.google.com/spreadsheets/d/18hSgUJ3VwClqi_qtULmmW3cLr0oe3OKaSYoKzdpTsYQ/edit?usp=sharing"",""นครนายก!I228"")"),30000)</f>
        <v>30000</v>
      </c>
      <c r="BK59" s="92">
        <f ca="1">IFERROR(__xludf.DUMMYFUNCTION("IMPORTRANGE(""https://docs.google.com/spreadsheets/d/18hSgUJ3VwClqi_qtULmmW3cLr0oe3OKaSYoKzdpTsYQ/edit?usp=sharing"",""นครนายก!J228"")"),0)</f>
        <v>0</v>
      </c>
      <c r="BL59" s="93">
        <f t="shared" ca="1" si="112"/>
        <v>0</v>
      </c>
      <c r="BM59" s="92">
        <f ca="1">IFERROR(__xludf.DUMMYFUNCTION("IMPORTRANGE(""https://docs.google.com/spreadsheets/d/18hSgUJ3VwClqi_qtULmmW3cLr0oe3OKaSYoKzdpTsYQ/edit?usp=sharing"",""นครนายก!I229"")"),30000)</f>
        <v>30000</v>
      </c>
      <c r="BN59" s="92">
        <f ca="1">IFERROR(__xludf.DUMMYFUNCTION("IMPORTRANGE(""https://docs.google.com/spreadsheets/d/18hSgUJ3VwClqi_qtULmmW3cLr0oe3OKaSYoKzdpTsYQ/edit?usp=sharing"",""นครนายก!J229"")"),0)</f>
        <v>0</v>
      </c>
      <c r="BO59" s="93">
        <f t="shared" ca="1" si="114"/>
        <v>0</v>
      </c>
      <c r="BP59" s="92">
        <f ca="1">IFERROR(__xludf.DUMMYFUNCTION("IMPORTRANGE(""https://docs.google.com/spreadsheets/d/18hSgUJ3VwClqi_qtULmmW3cLr0oe3OKaSYoKzdpTsYQ/edit?usp=sharing"",""นครนายก!I230"")"),0)</f>
        <v>0</v>
      </c>
      <c r="BQ59" s="92">
        <f ca="1">IFERROR(__xludf.DUMMYFUNCTION("IMPORTRANGE(""https://docs.google.com/spreadsheets/d/18hSgUJ3VwClqi_qtULmmW3cLr0oe3OKaSYoKzdpTsYQ/edit?usp=sharing"",""นครนายก!J230"")"),0)</f>
        <v>0</v>
      </c>
      <c r="BR59" s="93">
        <f t="shared" ca="1" si="116"/>
        <v>0</v>
      </c>
      <c r="BS59" s="92">
        <f ca="1">IFERROR(__xludf.DUMMYFUNCTION("IMPORTRANGE(""https://docs.google.com/spreadsheets/d/18hSgUJ3VwClqi_qtULmmW3cLr0oe3OKaSYoKzdpTsYQ/edit?usp=sharing"",""นครนายก!L233"")"),8000)</f>
        <v>8000</v>
      </c>
      <c r="BT59" s="92">
        <f ca="1">IFERROR(__xludf.DUMMYFUNCTION("IMPORTRANGE(""https://docs.google.com/spreadsheets/d/18hSgUJ3VwClqi_qtULmmW3cLr0oe3OKaSYoKzdpTsYQ/edit?usp=sharing"",""นครนายก!N233"")"),0)</f>
        <v>0</v>
      </c>
      <c r="BU59" s="93">
        <f t="shared" ca="1" si="118"/>
        <v>0</v>
      </c>
      <c r="BV59" s="92">
        <f ca="1">IFERROR(__xludf.DUMMYFUNCTION("IMPORTRANGE(""https://docs.google.com/spreadsheets/d/18hSgUJ3VwClqi_qtULmmW3cLr0oe3OKaSYoKzdpTsYQ/edit?usp=sharing"",""นครนายก!L234"")"),2000)</f>
        <v>2000</v>
      </c>
      <c r="BW59" s="92">
        <f ca="1">IFERROR(__xludf.DUMMYFUNCTION("IMPORTRANGE(""https://docs.google.com/spreadsheets/d/18hSgUJ3VwClqi_qtULmmW3cLr0oe3OKaSYoKzdpTsYQ/edit?usp=sharing"",""นครนายก!N234"")"),0)</f>
        <v>0</v>
      </c>
      <c r="BX59" s="93">
        <f t="shared" ca="1" si="120"/>
        <v>0</v>
      </c>
      <c r="BY59" s="92">
        <f ca="1">IFERROR(__xludf.DUMMYFUNCTION("IMPORTRANGE(""https://docs.google.com/spreadsheets/d/18hSgUJ3VwClqi_qtULmmW3cLr0oe3OKaSYoKzdpTsYQ/edit?usp=sharing"",""นครนายก!L235"")"),12600)</f>
        <v>12600</v>
      </c>
      <c r="BZ59" s="92">
        <f ca="1">IFERROR(__xludf.DUMMYFUNCTION("IMPORTRANGE(""https://docs.google.com/spreadsheets/d/18hSgUJ3VwClqi_qtULmmW3cLr0oe3OKaSYoKzdpTsYQ/edit?usp=sharing"",""นครนายก!N235"")"),0)</f>
        <v>0</v>
      </c>
      <c r="CA59" s="93">
        <f t="shared" ca="1" si="122"/>
        <v>0</v>
      </c>
      <c r="CB59" s="92">
        <f ca="1">IFERROR(__xludf.DUMMYFUNCTION("IMPORTRANGE(""https://docs.google.com/spreadsheets/d/18hSgUJ3VwClqi_qtULmmW3cLr0oe3OKaSYoKzdpTsYQ/edit?usp=sharing"",""นครนายก!L236"")"),19000)</f>
        <v>19000</v>
      </c>
      <c r="CC59" s="92">
        <f ca="1">IFERROR(__xludf.DUMMYFUNCTION("IMPORTRANGE(""https://docs.google.com/spreadsheets/d/18hSgUJ3VwClqi_qtULmmW3cLr0oe3OKaSYoKzdpTsYQ/edit?usp=sharing"",""นครนายก!N236"")"),0)</f>
        <v>0</v>
      </c>
      <c r="CD59" s="93">
        <f t="shared" ca="1" si="124"/>
        <v>0</v>
      </c>
      <c r="CE59" s="92">
        <f ca="1">IFERROR(__xludf.DUMMYFUNCTION("IMPORTRANGE(""https://docs.google.com/spreadsheets/d/18hSgUJ3VwClqi_qtULmmW3cLr0oe3OKaSYoKzdpTsYQ/edit?usp=sharing"",""นครนายก!I238"")"),20)</f>
        <v>20</v>
      </c>
      <c r="CF59" s="92">
        <f ca="1">IFERROR(__xludf.DUMMYFUNCTION("IMPORTRANGE(""https://docs.google.com/spreadsheets/d/18hSgUJ3VwClqi_qtULmmW3cLr0oe3OKaSYoKzdpTsYQ/edit?usp=sharing"",""นครนายก!J238"")"),0)</f>
        <v>0</v>
      </c>
      <c r="CG59" s="93">
        <f t="shared" ca="1" si="126"/>
        <v>0</v>
      </c>
      <c r="CH59" s="92">
        <f ca="1">IFERROR(__xludf.DUMMYFUNCTION("IMPORTRANGE(""https://docs.google.com/spreadsheets/d/18hSgUJ3VwClqi_qtULmmW3cLr0oe3OKaSYoKzdpTsYQ/edit?usp=sharing"",""นครนายก!J240"")"),0)</f>
        <v>0</v>
      </c>
      <c r="CI59" s="92">
        <f ca="1">IFERROR(__xludf.DUMMYFUNCTION("IMPORTRANGE(""https://docs.google.com/spreadsheets/d/18hSgUJ3VwClqi_qtULmmW3cLr0oe3OKaSYoKzdpTsYQ/edit?usp=sharing"",""นครนายก!J241"")"),0)</f>
        <v>0</v>
      </c>
    </row>
    <row r="60" spans="1:87" ht="21" customHeight="1" x14ac:dyDescent="0.3">
      <c r="A60" s="84">
        <v>8</v>
      </c>
      <c r="B60" s="85" t="s">
        <v>82</v>
      </c>
      <c r="C60" s="174">
        <f t="shared" ca="1" si="77"/>
        <v>226700</v>
      </c>
      <c r="D60" s="175">
        <f t="shared" ca="1" si="176"/>
        <v>226700</v>
      </c>
      <c r="E60" s="176">
        <f ca="1">IFERROR(__xludf.DUMMYFUNCTION("IMPORTRANGE(""https://docs.google.com/spreadsheets/d/1-uDff_7J0KD5mKrp0Vvzr7lt3OU09vwQwhkpOPPYv2Y/edit?usp=sharing"",""งบพรบ!CV60"")"),169700)</f>
        <v>169700</v>
      </c>
      <c r="F60" s="176">
        <f ca="1">IFERROR(__xludf.DUMMYFUNCTION("IMPORTRANGE(""https://docs.google.com/spreadsheets/d/1-uDff_7J0KD5mKrp0Vvzr7lt3OU09vwQwhkpOPPYv2Y/edit?usp=sharing"",""งบพรบ!CW60"")"),57000)</f>
        <v>57000</v>
      </c>
      <c r="G60" s="176">
        <f ca="1">IFERROR(__xludf.DUMMYFUNCTION("IMPORTRANGE(""https://docs.google.com/spreadsheets/d/1-uDff_7J0KD5mKrp0Vvzr7lt3OU09vwQwhkpOPPYv2Y/edit?usp=sharing"",""งบพรบ!CX60"")"),0)</f>
        <v>0</v>
      </c>
      <c r="H60" s="176">
        <f ca="1">IFERROR(__xludf.DUMMYFUNCTION("IMPORTRANGE(""https://docs.google.com/spreadsheets/d/1-uDff_7J0KD5mKrp0Vvzr7lt3OU09vwQwhkpOPPYv2Y/edit?usp=sharing"",""งบพรบ!CZ60"")"),172500)</f>
        <v>172500</v>
      </c>
      <c r="I60" s="176">
        <f ca="1">IFERROR(__xludf.DUMMYFUNCTION("IMPORTRANGE(""https://docs.google.com/spreadsheets/d/1-uDff_7J0KD5mKrp0Vvzr7lt3OU09vwQwhkpOPPYv2Y/edit?usp=sharing"",""งบพรบ!DA60"")"),0)</f>
        <v>0</v>
      </c>
      <c r="J60" s="176">
        <f t="shared" ca="1" si="79"/>
        <v>8230</v>
      </c>
      <c r="K60" s="181">
        <f t="shared" ca="1" si="80"/>
        <v>3.6303484781649757</v>
      </c>
      <c r="L60" s="176">
        <f ca="1">IFERROR(__xludf.DUMMYFUNCTION("IMPORTRANGE(""https://docs.google.com/spreadsheets/d/1-uDff_7J0KD5mKrp0Vvzr7lt3OU09vwQwhkpOPPYv2Y/edit?usp=sharing"",""งบพรบ!DB60"")"),8230)</f>
        <v>8230</v>
      </c>
      <c r="M60" s="179">
        <f t="shared" ca="1" si="81"/>
        <v>3.6303484781649757</v>
      </c>
      <c r="N60" s="179">
        <f t="shared" ca="1" si="82"/>
        <v>4.7710144927536229</v>
      </c>
      <c r="O60" s="180">
        <f ca="1">IFERROR(__xludf.DUMMYFUNCTION("IMPORTRANGE(""https://docs.google.com/spreadsheets/d/1-uDff_7J0KD5mKrp0Vvzr7lt3OU09vwQwhkpOPPYv2Y/edit?usp=sharing"",""งบพรบ!DC60"")"),0)</f>
        <v>0</v>
      </c>
      <c r="P60" s="180">
        <f t="shared" ca="1" si="83"/>
        <v>0</v>
      </c>
      <c r="Q60" s="179">
        <f t="shared" ca="1" si="84"/>
        <v>0</v>
      </c>
      <c r="R60" s="92">
        <f ca="1">IFERROR(__xludf.DUMMYFUNCTION("IMPORTRANGE(""https://docs.google.com/spreadsheets/d/1YTZo6WM2dQ6Ix6FSdnL5P7uVnVKu40sxZu975tgG10E/edit?usp=sharing"",""นครปฐม!L196"")"),6000)</f>
        <v>6000</v>
      </c>
      <c r="S60" s="92">
        <f ca="1">IFERROR(__xludf.DUMMYFUNCTION("IMPORTRANGE(""https://docs.google.com/spreadsheets/d/1YTZo6WM2dQ6Ix6FSdnL5P7uVnVKu40sxZu975tgG10E/edit?usp=sharing"",""นครปฐม!N196"")"),0)</f>
        <v>0</v>
      </c>
      <c r="T60" s="93">
        <f t="shared" ca="1" si="86"/>
        <v>0</v>
      </c>
      <c r="U60" s="92">
        <f ca="1">IFERROR(__xludf.DUMMYFUNCTION("IMPORTRANGE(""https://docs.google.com/spreadsheets/d/1YTZo6WM2dQ6Ix6FSdnL5P7uVnVKu40sxZu975tgG10E/edit?usp=sharing"",""นครปฐม!I198"")"),4)</f>
        <v>4</v>
      </c>
      <c r="V60" s="92">
        <f ca="1">IFERROR(__xludf.DUMMYFUNCTION("IMPORTRANGE(""https://docs.google.com/spreadsheets/d/1YTZo6WM2dQ6Ix6FSdnL5P7uVnVKu40sxZu975tgG10E/edit?usp=sharing"",""นครปฐม!J198"")"),0)</f>
        <v>0</v>
      </c>
      <c r="W60" s="93">
        <f t="shared" ca="1" si="88"/>
        <v>0</v>
      </c>
      <c r="X60" s="92">
        <f ca="1">IFERROR(__xludf.DUMMYFUNCTION("IMPORTRANGE(""https://docs.google.com/spreadsheets/d/1YTZo6WM2dQ6Ix6FSdnL5P7uVnVKu40sxZu975tgG10E/edit?usp=sharing"",""นครปฐม!J199"")"),0)</f>
        <v>0</v>
      </c>
      <c r="Y60" s="92">
        <f ca="1">IFERROR(__xludf.DUMMYFUNCTION("IMPORTRANGE(""https://docs.google.com/spreadsheets/d/1YTZo6WM2dQ6Ix6FSdnL5P7uVnVKu40sxZu975tgG10E/edit?usp=sharing"",""นครปฐม!J200"")"),0)</f>
        <v>0</v>
      </c>
      <c r="Z60" s="92">
        <f ca="1">IFERROR(__xludf.DUMMYFUNCTION("IMPORTRANGE(""https://docs.google.com/spreadsheets/d/1YTZo6WM2dQ6Ix6FSdnL5P7uVnVKu40sxZu975tgG10E/edit?usp=sharing"",""นครปฐม!J201"")"),0)</f>
        <v>0</v>
      </c>
      <c r="AA60" s="92">
        <f ca="1">IFERROR(__xludf.DUMMYFUNCTION("IMPORTRANGE(""https://docs.google.com/spreadsheets/d/1YTZo6WM2dQ6Ix6FSdnL5P7uVnVKu40sxZu975tgG10E/edit?usp=sharing"",""นครปฐม!L204"")"),0)</f>
        <v>0</v>
      </c>
      <c r="AB60" s="92">
        <f ca="1">IFERROR(__xludf.DUMMYFUNCTION("IMPORTRANGE(""https://docs.google.com/spreadsheets/d/1YTZo6WM2dQ6Ix6FSdnL5P7uVnVKu40sxZu975tgG10E/edit?usp=sharing"",""นครปฐม!N204"")"),0)</f>
        <v>0</v>
      </c>
      <c r="AC60" s="93">
        <f t="shared" ca="1" si="90"/>
        <v>0</v>
      </c>
      <c r="AD60" s="92">
        <f ca="1">IFERROR(__xludf.DUMMYFUNCTION("IMPORTRANGE(""https://docs.google.com/spreadsheets/d/1YTZo6WM2dQ6Ix6FSdnL5P7uVnVKu40sxZu975tgG10E/edit?usp=sharing"",""นครปฐม!L206"")"),0)</f>
        <v>0</v>
      </c>
      <c r="AE60" s="92">
        <f ca="1">IFERROR(__xludf.DUMMYFUNCTION("IMPORTRANGE(""https://docs.google.com/spreadsheets/d/1YTZo6WM2dQ6Ix6FSdnL5P7uVnVKu40sxZu975tgG10E/edit?usp=sharing"",""นครปฐม!N206"")"),0)</f>
        <v>0</v>
      </c>
      <c r="AF60" s="93">
        <f t="shared" ca="1" si="92"/>
        <v>0</v>
      </c>
      <c r="AG60" s="92" t="str">
        <f ca="1">IFERROR(__xludf.DUMMYFUNCTION("IMPORTRANGE(""https://docs.google.com/spreadsheets/d/1YTZo6WM2dQ6Ix6FSdnL5P7uVnVKu40sxZu975tgG10E/edit?usp=sharing"",""นครปฐม!L207"")"),"")</f>
        <v/>
      </c>
      <c r="AH60" s="92" t="str">
        <f ca="1">IFERROR(__xludf.DUMMYFUNCTION("IMPORTRANGE(""https://docs.google.com/spreadsheets/d/1YTZo6WM2dQ6Ix6FSdnL5P7uVnVKu40sxZu975tgG10E/edit?usp=sharing"",""นครปฐม!N207"")"),"")</f>
        <v/>
      </c>
      <c r="AI60" s="93" t="e">
        <f t="shared" ca="1" si="94"/>
        <v>#VALUE!</v>
      </c>
      <c r="AJ60" s="92">
        <f ca="1">IFERROR(__xludf.DUMMYFUNCTION("IMPORTRANGE(""https://docs.google.com/spreadsheets/d/1YTZo6WM2dQ6Ix6FSdnL5P7uVnVKu40sxZu975tgG10E/edit?usp=sharing"",""นครปฐม!I209"")"),0)</f>
        <v>0</v>
      </c>
      <c r="AK60" s="92">
        <f ca="1">IFERROR(__xludf.DUMMYFUNCTION("IMPORTRANGE(""https://docs.google.com/spreadsheets/d/1YTZo6WM2dQ6Ix6FSdnL5P7uVnVKu40sxZu975tgG10E/edit?usp=sharing"",""นครปฐม!J209"")"),0)</f>
        <v>0</v>
      </c>
      <c r="AL60" s="93">
        <f t="shared" ca="1" si="96"/>
        <v>0</v>
      </c>
      <c r="AM60" s="92">
        <f ca="1">IFERROR(__xludf.DUMMYFUNCTION("IMPORTRANGE(""https://docs.google.com/spreadsheets/d/1YTZo6WM2dQ6Ix6FSdnL5P7uVnVKu40sxZu975tgG10E/edit?usp=sharing"",""นครปฐม!J211"")"),0)</f>
        <v>0</v>
      </c>
      <c r="AN60" s="92">
        <f ca="1">IFERROR(__xludf.DUMMYFUNCTION("IMPORTRANGE(""https://docs.google.com/spreadsheets/d/1YTZo6WM2dQ6Ix6FSdnL5P7uVnVKu40sxZu975tgG10E/edit?usp=sharing"",""นครปฐม!J212"")"),0)</f>
        <v>0</v>
      </c>
      <c r="AO60" s="92">
        <f ca="1">IFERROR(__xludf.DUMMYFUNCTION("IMPORTRANGE(""https://docs.google.com/spreadsheets/d/1YTZo6WM2dQ6Ix6FSdnL5P7uVnVKu40sxZu975tgG10E/edit?usp=sharing"",""นครปฐม!L215"")"),0)</f>
        <v>0</v>
      </c>
      <c r="AP60" s="92">
        <f ca="1">IFERROR(__xludf.DUMMYFUNCTION("IMPORTRANGE(""https://docs.google.com/spreadsheets/d/1YTZo6WM2dQ6Ix6FSdnL5P7uVnVKu40sxZu975tgG10E/edit?usp=sharing"",""นครปฐม!N215"")"),0)</f>
        <v>0</v>
      </c>
      <c r="AQ60" s="93">
        <f t="shared" ca="1" si="98"/>
        <v>0</v>
      </c>
      <c r="AR60" s="92">
        <f ca="1">IFERROR(__xludf.DUMMYFUNCTION("IMPORTRANGE(""https://docs.google.com/spreadsheets/d/1YTZo6WM2dQ6Ix6FSdnL5P7uVnVKu40sxZu975tgG10E/edit?usp=sharing"",""นครปฐม!L216"")"),0)</f>
        <v>0</v>
      </c>
      <c r="AS60" s="92">
        <f ca="1">IFERROR(__xludf.DUMMYFUNCTION("IMPORTRANGE(""https://docs.google.com/spreadsheets/d/1YTZo6WM2dQ6Ix6FSdnL5P7uVnVKu40sxZu975tgG10E/edit?usp=sharing"",""นครปฐม!N216"")"),0)</f>
        <v>0</v>
      </c>
      <c r="AT60" s="93">
        <f t="shared" ca="1" si="100"/>
        <v>0</v>
      </c>
      <c r="AU60" s="92">
        <f ca="1">IFERROR(__xludf.DUMMYFUNCTION("IMPORTRANGE(""https://docs.google.com/spreadsheets/d/1YTZo6WM2dQ6Ix6FSdnL5P7uVnVKu40sxZu975tgG10E/edit?usp=sharing"",""นครปฐม!L217"")"),0)</f>
        <v>0</v>
      </c>
      <c r="AV60" s="92">
        <f ca="1">IFERROR(__xludf.DUMMYFUNCTION("IMPORTRANGE(""https://docs.google.com/spreadsheets/d/1YTZo6WM2dQ6Ix6FSdnL5P7uVnVKu40sxZu975tgG10E/edit?usp=sharing"",""นครปฐม!N217"")"),0)</f>
        <v>0</v>
      </c>
      <c r="AW60" s="93">
        <f t="shared" ca="1" si="102"/>
        <v>0</v>
      </c>
      <c r="AX60" s="92">
        <f ca="1">IFERROR(__xludf.DUMMYFUNCTION("IMPORTRANGE(""https://docs.google.com/spreadsheets/d/1YTZo6WM2dQ6Ix6FSdnL5P7uVnVKu40sxZu975tgG10E/edit?usp=sharing"",""นครปฐม!I219"")"),0)</f>
        <v>0</v>
      </c>
      <c r="AY60" s="92">
        <f ca="1">IFERROR(__xludf.DUMMYFUNCTION("IMPORTRANGE(""https://docs.google.com/spreadsheets/d/1YTZo6WM2dQ6Ix6FSdnL5P7uVnVKu40sxZu975tgG10E/edit?usp=sharing"",""นครปฐม!J219"")"),0)</f>
        <v>0</v>
      </c>
      <c r="AZ60" s="93">
        <f t="shared" ca="1" si="104"/>
        <v>0</v>
      </c>
      <c r="BA60" s="92">
        <f ca="1">IFERROR(__xludf.DUMMYFUNCTION("IMPORTRANGE(""https://docs.google.com/spreadsheets/d/1YTZo6WM2dQ6Ix6FSdnL5P7uVnVKu40sxZu975tgG10E/edit?usp=sharing"",""นครปฐม!I220"")"),0)</f>
        <v>0</v>
      </c>
      <c r="BB60" s="92">
        <f ca="1">IFERROR(__xludf.DUMMYFUNCTION("IMPORTRANGE(""https://docs.google.com/spreadsheets/d/1YTZo6WM2dQ6Ix6FSdnL5P7uVnVKu40sxZu975tgG10E/edit?usp=sharing"",""นครปฐม!J220"")"),0)</f>
        <v>0</v>
      </c>
      <c r="BC60" s="93">
        <f t="shared" ca="1" si="106"/>
        <v>0</v>
      </c>
      <c r="BD60" s="92">
        <f ca="1">IFERROR(__xludf.DUMMYFUNCTION("IMPORTRANGE(""https://docs.google.com/spreadsheets/d/1YTZo6WM2dQ6Ix6FSdnL5P7uVnVKu40sxZu975tgG10E/edit?usp=sharing"",""นครปฐม!L223"")"),3000)</f>
        <v>3000</v>
      </c>
      <c r="BE60" s="92">
        <f ca="1">IFERROR(__xludf.DUMMYFUNCTION("IMPORTRANGE(""https://docs.google.com/spreadsheets/d/1YTZo6WM2dQ6Ix6FSdnL5P7uVnVKu40sxZu975tgG10E/edit?usp=sharing"",""นครปฐม!N223"")"),0)</f>
        <v>0</v>
      </c>
      <c r="BF60" s="93">
        <f t="shared" ca="1" si="108"/>
        <v>0</v>
      </c>
      <c r="BG60" s="92">
        <f ca="1">IFERROR(__xludf.DUMMYFUNCTION("IMPORTRANGE(""https://docs.google.com/spreadsheets/d/1YTZo6WM2dQ6Ix6FSdnL5P7uVnVKu40sxZu975tgG10E/edit?usp=sharing"",""นครปฐม!L224"")"),1500)</f>
        <v>1500</v>
      </c>
      <c r="BH60" s="92">
        <f ca="1">IFERROR(__xludf.DUMMYFUNCTION("IMPORTRANGE(""https://docs.google.com/spreadsheets/d/1YTZo6WM2dQ6Ix6FSdnL5P7uVnVKu40sxZu975tgG10E/edit?usp=sharing"",""นครปฐม!N224"")"),0)</f>
        <v>0</v>
      </c>
      <c r="BI60" s="93">
        <f t="shared" ca="1" si="110"/>
        <v>0</v>
      </c>
      <c r="BJ60" s="92">
        <f ca="1">IFERROR(__xludf.DUMMYFUNCTION("IMPORTRANGE(""https://docs.google.com/spreadsheets/d/1YTZo6WM2dQ6Ix6FSdnL5P7uVnVKu40sxZu975tgG10E/edit?usp=sharing"",""นครปฐม!I228"")"),5000)</f>
        <v>5000</v>
      </c>
      <c r="BK60" s="92">
        <f ca="1">IFERROR(__xludf.DUMMYFUNCTION("IMPORTRANGE(""https://docs.google.com/spreadsheets/d/1YTZo6WM2dQ6Ix6FSdnL5P7uVnVKu40sxZu975tgG10E/edit?usp=sharing"",""นครปฐม!J228"")"),0)</f>
        <v>0</v>
      </c>
      <c r="BL60" s="93">
        <f t="shared" ca="1" si="112"/>
        <v>0</v>
      </c>
      <c r="BM60" s="92">
        <f ca="1">IFERROR(__xludf.DUMMYFUNCTION("IMPORTRANGE(""https://docs.google.com/spreadsheets/d/1YTZo6WM2dQ6Ix6FSdnL5P7uVnVKu40sxZu975tgG10E/edit?usp=sharing"",""นครปฐม!I229"")"),5000)</f>
        <v>5000</v>
      </c>
      <c r="BN60" s="92">
        <f ca="1">IFERROR(__xludf.DUMMYFUNCTION("IMPORTRANGE(""https://docs.google.com/spreadsheets/d/1YTZo6WM2dQ6Ix6FSdnL5P7uVnVKu40sxZu975tgG10E/edit?usp=sharing"",""นครปฐม!J229"")"),0)</f>
        <v>0</v>
      </c>
      <c r="BO60" s="93">
        <f t="shared" ca="1" si="114"/>
        <v>0</v>
      </c>
      <c r="BP60" s="92">
        <f ca="1">IFERROR(__xludf.DUMMYFUNCTION("IMPORTRANGE(""https://docs.google.com/spreadsheets/d/1YTZo6WM2dQ6Ix6FSdnL5P7uVnVKu40sxZu975tgG10E/edit?usp=sharing"",""นครปฐม!I230"")"),0)</f>
        <v>0</v>
      </c>
      <c r="BQ60" s="92">
        <f ca="1">IFERROR(__xludf.DUMMYFUNCTION("IMPORTRANGE(""https://docs.google.com/spreadsheets/d/1YTZo6WM2dQ6Ix6FSdnL5P7uVnVKu40sxZu975tgG10E/edit?usp=sharing"",""นครปฐม!J230"")"),0)</f>
        <v>0</v>
      </c>
      <c r="BR60" s="93">
        <f t="shared" ca="1" si="116"/>
        <v>0</v>
      </c>
      <c r="BS60" s="92">
        <f ca="1">IFERROR(__xludf.DUMMYFUNCTION("IMPORTRANGE(""https://docs.google.com/spreadsheets/d/1YTZo6WM2dQ6Ix6FSdnL5P7uVnVKu40sxZu975tgG10E/edit?usp=sharing"",""นครปฐม!L233"")"),8000)</f>
        <v>8000</v>
      </c>
      <c r="BT60" s="92">
        <f ca="1">IFERROR(__xludf.DUMMYFUNCTION("IMPORTRANGE(""https://docs.google.com/spreadsheets/d/1YTZo6WM2dQ6Ix6FSdnL5P7uVnVKu40sxZu975tgG10E/edit?usp=sharing"",""นครปฐม!N233"")"),0)</f>
        <v>0</v>
      </c>
      <c r="BU60" s="93">
        <f t="shared" ca="1" si="118"/>
        <v>0</v>
      </c>
      <c r="BV60" s="92">
        <f ca="1">IFERROR(__xludf.DUMMYFUNCTION("IMPORTRANGE(""https://docs.google.com/spreadsheets/d/1YTZo6WM2dQ6Ix6FSdnL5P7uVnVKu40sxZu975tgG10E/edit?usp=sharing"",""นครปฐม!L234"")"),2000)</f>
        <v>2000</v>
      </c>
      <c r="BW60" s="92">
        <f ca="1">IFERROR(__xludf.DUMMYFUNCTION("IMPORTRANGE(""https://docs.google.com/spreadsheets/d/1YTZo6WM2dQ6Ix6FSdnL5P7uVnVKu40sxZu975tgG10E/edit?usp=sharing"",""นครปฐม!N234"")"),0)</f>
        <v>0</v>
      </c>
      <c r="BX60" s="93">
        <f t="shared" ca="1" si="120"/>
        <v>0</v>
      </c>
      <c r="BY60" s="92">
        <f ca="1">IFERROR(__xludf.DUMMYFUNCTION("IMPORTRANGE(""https://docs.google.com/spreadsheets/d/1YTZo6WM2dQ6Ix6FSdnL5P7uVnVKu40sxZu975tgG10E/edit?usp=sharing"",""นครปฐม!L235"")"),21000)</f>
        <v>21000</v>
      </c>
      <c r="BZ60" s="92">
        <f ca="1">IFERROR(__xludf.DUMMYFUNCTION("IMPORTRANGE(""https://docs.google.com/spreadsheets/d/1YTZo6WM2dQ6Ix6FSdnL5P7uVnVKu40sxZu975tgG10E/edit?usp=sharing"",""นครปฐม!N235"")"),0)</f>
        <v>0</v>
      </c>
      <c r="CA60" s="93">
        <f t="shared" ca="1" si="122"/>
        <v>0</v>
      </c>
      <c r="CB60" s="92">
        <f ca="1">IFERROR(__xludf.DUMMYFUNCTION("IMPORTRANGE(""https://docs.google.com/spreadsheets/d/1YTZo6WM2dQ6Ix6FSdnL5P7uVnVKu40sxZu975tgG10E/edit?usp=sharing"",""นครปฐม!L236"")"),15500)</f>
        <v>15500</v>
      </c>
      <c r="CC60" s="92">
        <f ca="1">IFERROR(__xludf.DUMMYFUNCTION("IMPORTRANGE(""https://docs.google.com/spreadsheets/d/1YTZo6WM2dQ6Ix6FSdnL5P7uVnVKu40sxZu975tgG10E/edit?usp=sharing"",""นครปฐม!N236"")"),0)</f>
        <v>0</v>
      </c>
      <c r="CD60" s="93">
        <f t="shared" ca="1" si="124"/>
        <v>0</v>
      </c>
      <c r="CE60" s="92">
        <f ca="1">IFERROR(__xludf.DUMMYFUNCTION("IMPORTRANGE(""https://docs.google.com/spreadsheets/d/1YTZo6WM2dQ6Ix6FSdnL5P7uVnVKu40sxZu975tgG10E/edit?usp=sharing"",""นครปฐม!I238"")"),15)</f>
        <v>15</v>
      </c>
      <c r="CF60" s="92">
        <f ca="1">IFERROR(__xludf.DUMMYFUNCTION("IMPORTRANGE(""https://docs.google.com/spreadsheets/d/1YTZo6WM2dQ6Ix6FSdnL5P7uVnVKu40sxZu975tgG10E/edit?usp=sharing"",""นครปฐม!J238"")"),0)</f>
        <v>0</v>
      </c>
      <c r="CG60" s="93">
        <f t="shared" ca="1" si="126"/>
        <v>0</v>
      </c>
      <c r="CH60" s="92">
        <f ca="1">IFERROR(__xludf.DUMMYFUNCTION("IMPORTRANGE(""https://docs.google.com/spreadsheets/d/1YTZo6WM2dQ6Ix6FSdnL5P7uVnVKu40sxZu975tgG10E/edit?usp=sharing"",""นครปฐม!J240"")"),0)</f>
        <v>0</v>
      </c>
      <c r="CI60" s="92">
        <f ca="1">IFERROR(__xludf.DUMMYFUNCTION("IMPORTRANGE(""https://docs.google.com/spreadsheets/d/1YTZo6WM2dQ6Ix6FSdnL5P7uVnVKu40sxZu975tgG10E/edit?usp=sharing"",""นครปฐม!J241"")"),0)</f>
        <v>0</v>
      </c>
    </row>
    <row r="61" spans="1:87" ht="21" customHeight="1" x14ac:dyDescent="0.3">
      <c r="A61" s="84">
        <v>9</v>
      </c>
      <c r="B61" s="85" t="s">
        <v>83</v>
      </c>
      <c r="C61" s="174">
        <f t="shared" ca="1" si="77"/>
        <v>391600</v>
      </c>
      <c r="D61" s="175">
        <f t="shared" ca="1" si="176"/>
        <v>391600</v>
      </c>
      <c r="E61" s="176">
        <f ca="1">IFERROR(__xludf.DUMMYFUNCTION("IMPORTRANGE(""https://docs.google.com/spreadsheets/d/1-uDff_7J0KD5mKrp0Vvzr7lt3OU09vwQwhkpOPPYv2Y/edit?usp=sharing"",""งบพรบ!CV61"")"),263200)</f>
        <v>263200</v>
      </c>
      <c r="F61" s="176">
        <f ca="1">IFERROR(__xludf.DUMMYFUNCTION("IMPORTRANGE(""https://docs.google.com/spreadsheets/d/1-uDff_7J0KD5mKrp0Vvzr7lt3OU09vwQwhkpOPPYv2Y/edit?usp=sharing"",""งบพรบ!CW61"")"),128400)</f>
        <v>128400</v>
      </c>
      <c r="G61" s="176">
        <f ca="1">IFERROR(__xludf.DUMMYFUNCTION("IMPORTRANGE(""https://docs.google.com/spreadsheets/d/1-uDff_7J0KD5mKrp0Vvzr7lt3OU09vwQwhkpOPPYv2Y/edit?usp=sharing"",""งบพรบ!CX61"")"),0)</f>
        <v>0</v>
      </c>
      <c r="H61" s="176">
        <f ca="1">IFERROR(__xludf.DUMMYFUNCTION("IMPORTRANGE(""https://docs.google.com/spreadsheets/d/1-uDff_7J0KD5mKrp0Vvzr7lt3OU09vwQwhkpOPPYv2Y/edit?usp=sharing"",""งบพรบ!CZ61"")"),306400)</f>
        <v>306400</v>
      </c>
      <c r="I61" s="176">
        <f ca="1">IFERROR(__xludf.DUMMYFUNCTION("IMPORTRANGE(""https://docs.google.com/spreadsheets/d/1-uDff_7J0KD5mKrp0Vvzr7lt3OU09vwQwhkpOPPYv2Y/edit?usp=sharing"",""งบพรบ!DA61"")"),0)</f>
        <v>0</v>
      </c>
      <c r="J61" s="176">
        <f t="shared" ca="1" si="79"/>
        <v>109064.76</v>
      </c>
      <c r="K61" s="181">
        <f t="shared" ca="1" si="80"/>
        <v>27.851062308478038</v>
      </c>
      <c r="L61" s="176">
        <f ca="1">IFERROR(__xludf.DUMMYFUNCTION("IMPORTRANGE(""https://docs.google.com/spreadsheets/d/1-uDff_7J0KD5mKrp0Vvzr7lt3OU09vwQwhkpOPPYv2Y/edit?usp=sharing"",""งบพรบ!DB61"")"),109064.76)</f>
        <v>109064.76</v>
      </c>
      <c r="M61" s="179">
        <f t="shared" ca="1" si="81"/>
        <v>27.851062308478038</v>
      </c>
      <c r="N61" s="179">
        <f t="shared" ca="1" si="82"/>
        <v>35.595548302872061</v>
      </c>
      <c r="O61" s="180">
        <f ca="1">IFERROR(__xludf.DUMMYFUNCTION("IMPORTRANGE(""https://docs.google.com/spreadsheets/d/1-uDff_7J0KD5mKrp0Vvzr7lt3OU09vwQwhkpOPPYv2Y/edit?usp=sharing"",""งบพรบ!DC61"")"),0)</f>
        <v>0</v>
      </c>
      <c r="P61" s="180">
        <f t="shared" ca="1" si="83"/>
        <v>0</v>
      </c>
      <c r="Q61" s="179">
        <f t="shared" ca="1" si="84"/>
        <v>0</v>
      </c>
      <c r="R61" s="92">
        <f ca="1">IFERROR(__xludf.DUMMYFUNCTION("IMPORTRANGE(""https://docs.google.com/spreadsheets/d/1OYoGg4WDg5RIzwGeB10padOxJF9E_Vljuvvct_M7RDo/edit?usp=sharing"",""ปทุมธานี!L196"")"),6000)</f>
        <v>6000</v>
      </c>
      <c r="S61" s="92">
        <f ca="1">IFERROR(__xludf.DUMMYFUNCTION("IMPORTRANGE(""https://docs.google.com/spreadsheets/d/1OYoGg4WDg5RIzwGeB10padOxJF9E_Vljuvvct_M7RDo/edit?usp=sharing"",""ปทุมธานี!N196"")"),0)</f>
        <v>0</v>
      </c>
      <c r="T61" s="93">
        <f t="shared" ca="1" si="86"/>
        <v>0</v>
      </c>
      <c r="U61" s="92">
        <f ca="1">IFERROR(__xludf.DUMMYFUNCTION("IMPORTRANGE(""https://docs.google.com/spreadsheets/d/1OYoGg4WDg5RIzwGeB10padOxJF9E_Vljuvvct_M7RDo/edit?usp=sharing"",""ปทุมธานี!I198"")"),4)</f>
        <v>4</v>
      </c>
      <c r="V61" s="92">
        <f ca="1">IFERROR(__xludf.DUMMYFUNCTION("IMPORTRANGE(""https://docs.google.com/spreadsheets/d/1OYoGg4WDg5RIzwGeB10padOxJF9E_Vljuvvct_M7RDo/edit?usp=sharing"",""ปทุมธานี!J198"")"),0)</f>
        <v>0</v>
      </c>
      <c r="W61" s="93">
        <f t="shared" ca="1" si="88"/>
        <v>0</v>
      </c>
      <c r="X61" s="92">
        <f ca="1">IFERROR(__xludf.DUMMYFUNCTION("IMPORTRANGE(""https://docs.google.com/spreadsheets/d/1OYoGg4WDg5RIzwGeB10padOxJF9E_Vljuvvct_M7RDo/edit?usp=sharing"",""ปทุมธานี!J199"")"),0)</f>
        <v>0</v>
      </c>
      <c r="Y61" s="92">
        <f ca="1">IFERROR(__xludf.DUMMYFUNCTION("IMPORTRANGE(""https://docs.google.com/spreadsheets/d/1OYoGg4WDg5RIzwGeB10padOxJF9E_Vljuvvct_M7RDo/edit?usp=sharing"",""ปทุมธานี!J200"")"),0)</f>
        <v>0</v>
      </c>
      <c r="Z61" s="92">
        <f ca="1">IFERROR(__xludf.DUMMYFUNCTION("IMPORTRANGE(""https://docs.google.com/spreadsheets/d/1OYoGg4WDg5RIzwGeB10padOxJF9E_Vljuvvct_M7RDo/edit?usp=sharing"",""ปทุมธานี!J201"")"),0)</f>
        <v>0</v>
      </c>
      <c r="AA61" s="92">
        <f ca="1">IFERROR(__xludf.DUMMYFUNCTION("IMPORTRANGE(""https://docs.google.com/spreadsheets/d/1OYoGg4WDg5RIzwGeB10padOxJF9E_Vljuvvct_M7RDo/edit?usp=sharing"",""ปทุมธานี!L204"")"),1000)</f>
        <v>1000</v>
      </c>
      <c r="AB61" s="92">
        <f ca="1">IFERROR(__xludf.DUMMYFUNCTION("IMPORTRANGE(""https://docs.google.com/spreadsheets/d/1OYoGg4WDg5RIzwGeB10padOxJF9E_Vljuvvct_M7RDo/edit?usp=sharing"",""ปทุมธานี!N204"")"),0)</f>
        <v>0</v>
      </c>
      <c r="AC61" s="93">
        <f t="shared" ca="1" si="90"/>
        <v>0</v>
      </c>
      <c r="AD61" s="92">
        <f ca="1">IFERROR(__xludf.DUMMYFUNCTION("IMPORTRANGE(""https://docs.google.com/spreadsheets/d/1OYoGg4WDg5RIzwGeB10padOxJF9E_Vljuvvct_M7RDo/edit?usp=sharing"",""ปทุมธานี!L206"")"),8000)</f>
        <v>8000</v>
      </c>
      <c r="AE61" s="92">
        <f ca="1">IFERROR(__xludf.DUMMYFUNCTION("IMPORTRANGE(""https://docs.google.com/spreadsheets/d/1OYoGg4WDg5RIzwGeB10padOxJF9E_Vljuvvct_M7RDo/edit?usp=sharing"",""ปทุมธานี!N206"")"),8585)</f>
        <v>8585</v>
      </c>
      <c r="AF61" s="93">
        <f t="shared" ca="1" si="92"/>
        <v>107.3125</v>
      </c>
      <c r="AG61" s="92">
        <f ca="1">IFERROR(__xludf.DUMMYFUNCTION("IMPORTRANGE(""https://docs.google.com/spreadsheets/d/1OYoGg4WDg5RIzwGeB10padOxJF9E_Vljuvvct_M7RDo/edit?usp=sharing"",""ปทุมธานี!L207"")"),4000)</f>
        <v>4000</v>
      </c>
      <c r="AH61" s="92">
        <f ca="1">IFERROR(__xludf.DUMMYFUNCTION("IMPORTRANGE(""https://docs.google.com/spreadsheets/d/1OYoGg4WDg5RIzwGeB10padOxJF9E_Vljuvvct_M7RDo/edit?usp=sharing"",""ปทุมธานี!N207"")"),0)</f>
        <v>0</v>
      </c>
      <c r="AI61" s="93">
        <f t="shared" ca="1" si="94"/>
        <v>0</v>
      </c>
      <c r="AJ61" s="92">
        <f ca="1">IFERROR(__xludf.DUMMYFUNCTION("IMPORTRANGE(""https://docs.google.com/spreadsheets/d/1OYoGg4WDg5RIzwGeB10padOxJF9E_Vljuvvct_M7RDo/edit?usp=sharing"",""ปทุมธานี!I209"")"),1)</f>
        <v>1</v>
      </c>
      <c r="AK61" s="92">
        <f ca="1">IFERROR(__xludf.DUMMYFUNCTION("IMPORTRANGE(""https://docs.google.com/spreadsheets/d/1OYoGg4WDg5RIzwGeB10padOxJF9E_Vljuvvct_M7RDo/edit?usp=sharing"",""ปทุมธานี!J209"")"),1)</f>
        <v>1</v>
      </c>
      <c r="AL61" s="93">
        <f t="shared" ca="1" si="96"/>
        <v>100</v>
      </c>
      <c r="AM61" s="92">
        <f ca="1">IFERROR(__xludf.DUMMYFUNCTION("IMPORTRANGE(""https://docs.google.com/spreadsheets/d/1OYoGg4WDg5RIzwGeB10padOxJF9E_Vljuvvct_M7RDo/edit?usp=sharing"",""ปทุมธานี!J211"")"),0)</f>
        <v>0</v>
      </c>
      <c r="AN61" s="92">
        <f ca="1">IFERROR(__xludf.DUMMYFUNCTION("IMPORTRANGE(""https://docs.google.com/spreadsheets/d/1OYoGg4WDg5RIzwGeB10padOxJF9E_Vljuvvct_M7RDo/edit?usp=sharing"",""ปทุมธานี!J212"")"),0)</f>
        <v>0</v>
      </c>
      <c r="AO61" s="92">
        <f ca="1">IFERROR(__xludf.DUMMYFUNCTION("IMPORTRANGE(""https://docs.google.com/spreadsheets/d/1OYoGg4WDg5RIzwGeB10padOxJF9E_Vljuvvct_M7RDo/edit?usp=sharing"",""ปทุมธานี!L215"")"),0)</f>
        <v>0</v>
      </c>
      <c r="AP61" s="92">
        <f ca="1">IFERROR(__xludf.DUMMYFUNCTION("IMPORTRANGE(""https://docs.google.com/spreadsheets/d/1OYoGg4WDg5RIzwGeB10padOxJF9E_Vljuvvct_M7RDo/edit?usp=sharing"",""ปทุมธานี!N215"")"),0)</f>
        <v>0</v>
      </c>
      <c r="AQ61" s="93">
        <f t="shared" ca="1" si="98"/>
        <v>0</v>
      </c>
      <c r="AR61" s="92">
        <f ca="1">IFERROR(__xludf.DUMMYFUNCTION("IMPORTRANGE(""https://docs.google.com/spreadsheets/d/1OYoGg4WDg5RIzwGeB10padOxJF9E_Vljuvvct_M7RDo/edit?usp=sharing"",""ปทุมธานี!L216"")"),0)</f>
        <v>0</v>
      </c>
      <c r="AS61" s="92">
        <f ca="1">IFERROR(__xludf.DUMMYFUNCTION("IMPORTRANGE(""https://docs.google.com/spreadsheets/d/1OYoGg4WDg5RIzwGeB10padOxJF9E_Vljuvvct_M7RDo/edit?usp=sharing"",""ปทุมธานี!N216"")"),0)</f>
        <v>0</v>
      </c>
      <c r="AT61" s="93">
        <f t="shared" ca="1" si="100"/>
        <v>0</v>
      </c>
      <c r="AU61" s="92">
        <f ca="1">IFERROR(__xludf.DUMMYFUNCTION("IMPORTRANGE(""https://docs.google.com/spreadsheets/d/1OYoGg4WDg5RIzwGeB10padOxJF9E_Vljuvvct_M7RDo/edit?usp=sharing"",""ปทุมธานี!L217"")"),0)</f>
        <v>0</v>
      </c>
      <c r="AV61" s="92">
        <f ca="1">IFERROR(__xludf.DUMMYFUNCTION("IMPORTRANGE(""https://docs.google.com/spreadsheets/d/1OYoGg4WDg5RIzwGeB10padOxJF9E_Vljuvvct_M7RDo/edit?usp=sharing"",""ปทุมธานี!N217"")"),0)</f>
        <v>0</v>
      </c>
      <c r="AW61" s="93">
        <f t="shared" ca="1" si="102"/>
        <v>0</v>
      </c>
      <c r="AX61" s="92">
        <f ca="1">IFERROR(__xludf.DUMMYFUNCTION("IMPORTRANGE(""https://docs.google.com/spreadsheets/d/1OYoGg4WDg5RIzwGeB10padOxJF9E_Vljuvvct_M7RDo/edit?usp=sharing"",""ปทุมธานี!I219"")"),0)</f>
        <v>0</v>
      </c>
      <c r="AY61" s="92">
        <f ca="1">IFERROR(__xludf.DUMMYFUNCTION("IMPORTRANGE(""https://docs.google.com/spreadsheets/d/1OYoGg4WDg5RIzwGeB10padOxJF9E_Vljuvvct_M7RDo/edit?usp=sharing"",""ปทุมธานี!J219"")"),0)</f>
        <v>0</v>
      </c>
      <c r="AZ61" s="93">
        <f t="shared" ca="1" si="104"/>
        <v>0</v>
      </c>
      <c r="BA61" s="92">
        <f ca="1">IFERROR(__xludf.DUMMYFUNCTION("IMPORTRANGE(""https://docs.google.com/spreadsheets/d/1OYoGg4WDg5RIzwGeB10padOxJF9E_Vljuvvct_M7RDo/edit?usp=sharing"",""ปทุมธานี!I220"")"),0)</f>
        <v>0</v>
      </c>
      <c r="BB61" s="92">
        <f ca="1">IFERROR(__xludf.DUMMYFUNCTION("IMPORTRANGE(""https://docs.google.com/spreadsheets/d/1OYoGg4WDg5RIzwGeB10padOxJF9E_Vljuvvct_M7RDo/edit?usp=sharing"",""ปทุมธานี!J220"")"),0)</f>
        <v>0</v>
      </c>
      <c r="BC61" s="93">
        <f t="shared" ca="1" si="106"/>
        <v>0</v>
      </c>
      <c r="BD61" s="92">
        <f ca="1">IFERROR(__xludf.DUMMYFUNCTION("IMPORTRANGE(""https://docs.google.com/spreadsheets/d/1OYoGg4WDg5RIzwGeB10padOxJF9E_Vljuvvct_M7RDo/edit?usp=sharing"",""ปทุมธานี!L223"")"),3000)</f>
        <v>3000</v>
      </c>
      <c r="BE61" s="92">
        <f ca="1">IFERROR(__xludf.DUMMYFUNCTION("IMPORTRANGE(""https://docs.google.com/spreadsheets/d/1OYoGg4WDg5RIzwGeB10padOxJF9E_Vljuvvct_M7RDo/edit?usp=sharing"",""ปทุมธานี!N223"")"),0)</f>
        <v>0</v>
      </c>
      <c r="BF61" s="93">
        <f t="shared" ca="1" si="108"/>
        <v>0</v>
      </c>
      <c r="BG61" s="92">
        <f ca="1">IFERROR(__xludf.DUMMYFUNCTION("IMPORTRANGE(""https://docs.google.com/spreadsheets/d/1OYoGg4WDg5RIzwGeB10padOxJF9E_Vljuvvct_M7RDo/edit?usp=sharing"",""ปทุมธานี!L224"")"),1500)</f>
        <v>1500</v>
      </c>
      <c r="BH61" s="92">
        <f ca="1">IFERROR(__xludf.DUMMYFUNCTION("IMPORTRANGE(""https://docs.google.com/spreadsheets/d/1OYoGg4WDg5RIzwGeB10padOxJF9E_Vljuvvct_M7RDo/edit?usp=sharing"",""ปทุมธานี!N224"")"),0)</f>
        <v>0</v>
      </c>
      <c r="BI61" s="93">
        <f t="shared" ca="1" si="110"/>
        <v>0</v>
      </c>
      <c r="BJ61" s="92">
        <f ca="1">IFERROR(__xludf.DUMMYFUNCTION("IMPORTRANGE(""https://docs.google.com/spreadsheets/d/1OYoGg4WDg5RIzwGeB10padOxJF9E_Vljuvvct_M7RDo/edit?usp=sharing"",""ปทุมธานี!I228"")"),20000)</f>
        <v>20000</v>
      </c>
      <c r="BK61" s="92">
        <f ca="1">IFERROR(__xludf.DUMMYFUNCTION("IMPORTRANGE(""https://docs.google.com/spreadsheets/d/1OYoGg4WDg5RIzwGeB10padOxJF9E_Vljuvvct_M7RDo/edit?usp=sharing"",""ปทุมธานี!J228"")"),0)</f>
        <v>0</v>
      </c>
      <c r="BL61" s="93">
        <f t="shared" ca="1" si="112"/>
        <v>0</v>
      </c>
      <c r="BM61" s="92">
        <f ca="1">IFERROR(__xludf.DUMMYFUNCTION("IMPORTRANGE(""https://docs.google.com/spreadsheets/d/1OYoGg4WDg5RIzwGeB10padOxJF9E_Vljuvvct_M7RDo/edit?usp=sharing"",""ปทุมธานี!I229"")"),20000)</f>
        <v>20000</v>
      </c>
      <c r="BN61" s="92">
        <f ca="1">IFERROR(__xludf.DUMMYFUNCTION("IMPORTRANGE(""https://docs.google.com/spreadsheets/d/1OYoGg4WDg5RIzwGeB10padOxJF9E_Vljuvvct_M7RDo/edit?usp=sharing"",""ปทุมธานี!J229"")"),0)</f>
        <v>0</v>
      </c>
      <c r="BO61" s="93">
        <f t="shared" ca="1" si="114"/>
        <v>0</v>
      </c>
      <c r="BP61" s="92">
        <f ca="1">IFERROR(__xludf.DUMMYFUNCTION("IMPORTRANGE(""https://docs.google.com/spreadsheets/d/1OYoGg4WDg5RIzwGeB10padOxJF9E_Vljuvvct_M7RDo/edit?usp=sharing"",""ปทุมธานี!I230"")"),0)</f>
        <v>0</v>
      </c>
      <c r="BQ61" s="92">
        <f ca="1">IFERROR(__xludf.DUMMYFUNCTION("IMPORTRANGE(""https://docs.google.com/spreadsheets/d/1OYoGg4WDg5RIzwGeB10padOxJF9E_Vljuvvct_M7RDo/edit?usp=sharing"",""ปทุมธานี!J230"")"),0)</f>
        <v>0</v>
      </c>
      <c r="BR61" s="93">
        <f t="shared" ca="1" si="116"/>
        <v>0</v>
      </c>
      <c r="BS61" s="92">
        <f ca="1">IFERROR(__xludf.DUMMYFUNCTION("IMPORTRANGE(""https://docs.google.com/spreadsheets/d/1OYoGg4WDg5RIzwGeB10padOxJF9E_Vljuvvct_M7RDo/edit?usp=sharing"",""ปทุมธานี!L233"")"),8000)</f>
        <v>8000</v>
      </c>
      <c r="BT61" s="92">
        <f ca="1">IFERROR(__xludf.DUMMYFUNCTION("IMPORTRANGE(""https://docs.google.com/spreadsheets/d/1OYoGg4WDg5RIzwGeB10padOxJF9E_Vljuvvct_M7RDo/edit?usp=sharing"",""ปทุมธานี!N233"")"),0)</f>
        <v>0</v>
      </c>
      <c r="BU61" s="93">
        <f t="shared" ca="1" si="118"/>
        <v>0</v>
      </c>
      <c r="BV61" s="92">
        <f ca="1">IFERROR(__xludf.DUMMYFUNCTION("IMPORTRANGE(""https://docs.google.com/spreadsheets/d/1OYoGg4WDg5RIzwGeB10padOxJF9E_Vljuvvct_M7RDo/edit?usp=sharing"",""ปทุมธานี!L234"")"),3000)</f>
        <v>3000</v>
      </c>
      <c r="BW61" s="92">
        <f ca="1">IFERROR(__xludf.DUMMYFUNCTION("IMPORTRANGE(""https://docs.google.com/spreadsheets/d/1OYoGg4WDg5RIzwGeB10padOxJF9E_Vljuvvct_M7RDo/edit?usp=sharing"",""ปทุมธานี!N234"")"),20800)</f>
        <v>20800</v>
      </c>
      <c r="BX61" s="93">
        <f t="shared" ca="1" si="120"/>
        <v>693.33333333333337</v>
      </c>
      <c r="BY61" s="92">
        <f ca="1">IFERROR(__xludf.DUMMYFUNCTION("IMPORTRANGE(""https://docs.google.com/spreadsheets/d/1OYoGg4WDg5RIzwGeB10padOxJF9E_Vljuvvct_M7RDo/edit?usp=sharing"",""ปทุมธานี!L235"")"),46900)</f>
        <v>46900</v>
      </c>
      <c r="BZ61" s="92">
        <f ca="1">IFERROR(__xludf.DUMMYFUNCTION("IMPORTRANGE(""https://docs.google.com/spreadsheets/d/1OYoGg4WDg5RIzwGeB10padOxJF9E_Vljuvvct_M7RDo/edit?usp=sharing"",""ปทุมธานี!N235"")"),0)</f>
        <v>0</v>
      </c>
      <c r="CA61" s="93">
        <f t="shared" ca="1" si="122"/>
        <v>0</v>
      </c>
      <c r="CB61" s="92">
        <f ca="1">IFERROR(__xludf.DUMMYFUNCTION("IMPORTRANGE(""https://docs.google.com/spreadsheets/d/1OYoGg4WDg5RIzwGeB10padOxJF9E_Vljuvvct_M7RDo/edit?usp=sharing"",""ปทุมธานี!L236"")"),47000)</f>
        <v>47000</v>
      </c>
      <c r="CC61" s="92">
        <f ca="1">IFERROR(__xludf.DUMMYFUNCTION("IMPORTRANGE(""https://docs.google.com/spreadsheets/d/1OYoGg4WDg5RIzwGeB10padOxJF9E_Vljuvvct_M7RDo/edit?usp=sharing"",""ปทุมธานี!N236"")"),0)</f>
        <v>0</v>
      </c>
      <c r="CD61" s="93">
        <f t="shared" ca="1" si="124"/>
        <v>0</v>
      </c>
      <c r="CE61" s="92">
        <f ca="1">IFERROR(__xludf.DUMMYFUNCTION("IMPORTRANGE(""https://docs.google.com/spreadsheets/d/1OYoGg4WDg5RIzwGeB10padOxJF9E_Vljuvvct_M7RDo/edit?usp=sharing"",""ปทุมธานี!I238"")"),60)</f>
        <v>60</v>
      </c>
      <c r="CF61" s="92">
        <f ca="1">IFERROR(__xludf.DUMMYFUNCTION("IMPORTRANGE(""https://docs.google.com/spreadsheets/d/1OYoGg4WDg5RIzwGeB10padOxJF9E_Vljuvvct_M7RDo/edit?usp=sharing"",""ปทุมธานี!J238"")"),30)</f>
        <v>30</v>
      </c>
      <c r="CG61" s="93">
        <f t="shared" ca="1" si="126"/>
        <v>50</v>
      </c>
      <c r="CH61" s="92">
        <f ca="1">IFERROR(__xludf.DUMMYFUNCTION("IMPORTRANGE(""https://docs.google.com/spreadsheets/d/1OYoGg4WDg5RIzwGeB10padOxJF9E_Vljuvvct_M7RDo/edit?usp=sharing"",""ปทุมธานี!J240"")"),0)</f>
        <v>0</v>
      </c>
      <c r="CI61" s="92">
        <f ca="1">IFERROR(__xludf.DUMMYFUNCTION("IMPORTRANGE(""https://docs.google.com/spreadsheets/d/1OYoGg4WDg5RIzwGeB10padOxJF9E_Vljuvvct_M7RDo/edit?usp=sharing"",""ปทุมธานี!J241"")"),0)</f>
        <v>0</v>
      </c>
    </row>
    <row r="62" spans="1:87" ht="21" customHeight="1" x14ac:dyDescent="0.3">
      <c r="A62" s="84">
        <v>10</v>
      </c>
      <c r="B62" s="85" t="s">
        <v>84</v>
      </c>
      <c r="C62" s="174">
        <f t="shared" ca="1" si="77"/>
        <v>115200</v>
      </c>
      <c r="D62" s="175">
        <f t="shared" ca="1" si="176"/>
        <v>115200</v>
      </c>
      <c r="E62" s="176">
        <f ca="1">IFERROR(__xludf.DUMMYFUNCTION("IMPORTRANGE(""https://docs.google.com/spreadsheets/d/1-uDff_7J0KD5mKrp0Vvzr7lt3OU09vwQwhkpOPPYv2Y/edit?usp=sharing"",""งบพรบ!CV62"")"),78700)</f>
        <v>78700</v>
      </c>
      <c r="F62" s="176">
        <f ca="1">IFERROR(__xludf.DUMMYFUNCTION("IMPORTRANGE(""https://docs.google.com/spreadsheets/d/1-uDff_7J0KD5mKrp0Vvzr7lt3OU09vwQwhkpOPPYv2Y/edit?usp=sharing"",""งบพรบ!CW62"")"),36500)</f>
        <v>36500</v>
      </c>
      <c r="G62" s="176">
        <f ca="1">IFERROR(__xludf.DUMMYFUNCTION("IMPORTRANGE(""https://docs.google.com/spreadsheets/d/1-uDff_7J0KD5mKrp0Vvzr7lt3OU09vwQwhkpOPPYv2Y/edit?usp=sharing"",""งบพรบ!CX62"")"),0)</f>
        <v>0</v>
      </c>
      <c r="H62" s="176">
        <f ca="1">IFERROR(__xludf.DUMMYFUNCTION("IMPORTRANGE(""https://docs.google.com/spreadsheets/d/1-uDff_7J0KD5mKrp0Vvzr7lt3OU09vwQwhkpOPPYv2Y/edit?usp=sharing"",""งบพรบ!CZ62"")"),79000)</f>
        <v>79000</v>
      </c>
      <c r="I62" s="176">
        <f ca="1">IFERROR(__xludf.DUMMYFUNCTION("IMPORTRANGE(""https://docs.google.com/spreadsheets/d/1-uDff_7J0KD5mKrp0Vvzr7lt3OU09vwQwhkpOPPYv2Y/edit?usp=sharing"",""งบพรบ!DA62"")"),0)</f>
        <v>0</v>
      </c>
      <c r="J62" s="176">
        <f t="shared" ca="1" si="79"/>
        <v>6470</v>
      </c>
      <c r="K62" s="181">
        <f t="shared" ca="1" si="80"/>
        <v>5.6163194444444446</v>
      </c>
      <c r="L62" s="176">
        <f ca="1">IFERROR(__xludf.DUMMYFUNCTION("IMPORTRANGE(""https://docs.google.com/spreadsheets/d/1-uDff_7J0KD5mKrp0Vvzr7lt3OU09vwQwhkpOPPYv2Y/edit?usp=sharing"",""งบพรบ!DB62"")"),6470)</f>
        <v>6470</v>
      </c>
      <c r="M62" s="179">
        <f t="shared" ca="1" si="81"/>
        <v>5.6163194444444446</v>
      </c>
      <c r="N62" s="179">
        <f t="shared" ca="1" si="82"/>
        <v>8.1898734177215182</v>
      </c>
      <c r="O62" s="180">
        <f ca="1">IFERROR(__xludf.DUMMYFUNCTION("IMPORTRANGE(""https://docs.google.com/spreadsheets/d/1-uDff_7J0KD5mKrp0Vvzr7lt3OU09vwQwhkpOPPYv2Y/edit?usp=sharing"",""งบพรบ!DC62"")"),0)</f>
        <v>0</v>
      </c>
      <c r="P62" s="180">
        <f t="shared" ca="1" si="83"/>
        <v>0</v>
      </c>
      <c r="Q62" s="179">
        <f t="shared" ca="1" si="84"/>
        <v>0</v>
      </c>
      <c r="R62" s="92">
        <f ca="1">IFERROR(__xludf.DUMMYFUNCTION("IMPORTRANGE(""https://docs.google.com/spreadsheets/d/1GbCIE4D4wk9FUozzqk7SxfDMxDVBwVmI5zcaVUSzKAc/edit?usp=sharing"",""ประจวบคีรีขันธ์!L196"")"),6000)</f>
        <v>6000</v>
      </c>
      <c r="S62" s="92">
        <f ca="1">IFERROR(__xludf.DUMMYFUNCTION("IMPORTRANGE(""https://docs.google.com/spreadsheets/d/1GbCIE4D4wk9FUozzqk7SxfDMxDVBwVmI5zcaVUSzKAc/edit?usp=sharing"",""ประจวบคีรีขันธ์!N196"")"),0)</f>
        <v>0</v>
      </c>
      <c r="T62" s="93">
        <f t="shared" ca="1" si="86"/>
        <v>0</v>
      </c>
      <c r="U62" s="92">
        <f ca="1">IFERROR(__xludf.DUMMYFUNCTION("IMPORTRANGE(""https://docs.google.com/spreadsheets/d/1GbCIE4D4wk9FUozzqk7SxfDMxDVBwVmI5zcaVUSzKAc/edit?usp=sharing"",""ประจวบคีรีขันธ์!I198"")"),4)</f>
        <v>4</v>
      </c>
      <c r="V62" s="92">
        <f ca="1">IFERROR(__xludf.DUMMYFUNCTION("IMPORTRANGE(""https://docs.google.com/spreadsheets/d/1GbCIE4D4wk9FUozzqk7SxfDMxDVBwVmI5zcaVUSzKAc/edit?usp=sharing"",""ประจวบคีรีขันธ์!J198"")"),1)</f>
        <v>1</v>
      </c>
      <c r="W62" s="93">
        <f t="shared" ca="1" si="88"/>
        <v>25</v>
      </c>
      <c r="X62" s="92">
        <f ca="1">IFERROR(__xludf.DUMMYFUNCTION("IMPORTRANGE(""https://docs.google.com/spreadsheets/d/1GbCIE4D4wk9FUozzqk7SxfDMxDVBwVmI5zcaVUSzKAc/edit?usp=sharing"",""ประจวบคีรีขันธ์!J199"")"),39)</f>
        <v>39</v>
      </c>
      <c r="Y62" s="92">
        <f ca="1">IFERROR(__xludf.DUMMYFUNCTION("IMPORTRANGE(""https://docs.google.com/spreadsheets/d/1GbCIE4D4wk9FUozzqk7SxfDMxDVBwVmI5zcaVUSzKAc/edit?usp=sharing"",""ประจวบคีรีขันธ์!J200"")"),39)</f>
        <v>39</v>
      </c>
      <c r="Z62" s="92">
        <f ca="1">IFERROR(__xludf.DUMMYFUNCTION("IMPORTRANGE(""https://docs.google.com/spreadsheets/d/1GbCIE4D4wk9FUozzqk7SxfDMxDVBwVmI5zcaVUSzKAc/edit?usp=sharing"",""ประจวบคีรีขันธ์!J201"")"),0)</f>
        <v>0</v>
      </c>
      <c r="AA62" s="92">
        <f ca="1">IFERROR(__xludf.DUMMYFUNCTION("IMPORTRANGE(""https://docs.google.com/spreadsheets/d/1GbCIE4D4wk9FUozzqk7SxfDMxDVBwVmI5zcaVUSzKAc/edit?usp=sharing"",""ประจวบคีรีขันธ์!L204"")"),2000)</f>
        <v>2000</v>
      </c>
      <c r="AB62" s="92">
        <f ca="1">IFERROR(__xludf.DUMMYFUNCTION("IMPORTRANGE(""https://docs.google.com/spreadsheets/d/1GbCIE4D4wk9FUozzqk7SxfDMxDVBwVmI5zcaVUSzKAc/edit?usp=sharing"",""ประจวบคีรีขันธ์!N204"")"),0)</f>
        <v>0</v>
      </c>
      <c r="AC62" s="93">
        <f t="shared" ca="1" si="90"/>
        <v>0</v>
      </c>
      <c r="AD62" s="92">
        <f ca="1">IFERROR(__xludf.DUMMYFUNCTION("IMPORTRANGE(""https://docs.google.com/spreadsheets/d/1GbCIE4D4wk9FUozzqk7SxfDMxDVBwVmI5zcaVUSzKAc/edit?usp=sharing"",""ประจวบคีรีขันธ์!L206"")"),16000)</f>
        <v>16000</v>
      </c>
      <c r="AE62" s="92">
        <f ca="1">IFERROR(__xludf.DUMMYFUNCTION("IMPORTRANGE(""https://docs.google.com/spreadsheets/d/1GbCIE4D4wk9FUozzqk7SxfDMxDVBwVmI5zcaVUSzKAc/edit?usp=sharing"",""ประจวบคีรีขันธ์!N206"")"),0)</f>
        <v>0</v>
      </c>
      <c r="AF62" s="93">
        <f t="shared" ca="1" si="92"/>
        <v>0</v>
      </c>
      <c r="AG62" s="92">
        <f ca="1">IFERROR(__xludf.DUMMYFUNCTION("IMPORTRANGE(""https://docs.google.com/spreadsheets/d/1GbCIE4D4wk9FUozzqk7SxfDMxDVBwVmI5zcaVUSzKAc/edit?usp=sharing"",""ประจวบคีรีขันธ์!L207"")"),8000)</f>
        <v>8000</v>
      </c>
      <c r="AH62" s="92">
        <f ca="1">IFERROR(__xludf.DUMMYFUNCTION("IMPORTRANGE(""https://docs.google.com/spreadsheets/d/1GbCIE4D4wk9FUozzqk7SxfDMxDVBwVmI5zcaVUSzKAc/edit?usp=sharing"",""ประจวบคีรีขันธ์!N207"")"),0)</f>
        <v>0</v>
      </c>
      <c r="AI62" s="93">
        <f t="shared" ca="1" si="94"/>
        <v>0</v>
      </c>
      <c r="AJ62" s="92">
        <f ca="1">IFERROR(__xludf.DUMMYFUNCTION("IMPORTRANGE(""https://docs.google.com/spreadsheets/d/1GbCIE4D4wk9FUozzqk7SxfDMxDVBwVmI5zcaVUSzKAc/edit?usp=sharing"",""ประจวบคีรีขันธ์!I209"")"),2)</f>
        <v>2</v>
      </c>
      <c r="AK62" s="92">
        <f ca="1">IFERROR(__xludf.DUMMYFUNCTION("IMPORTRANGE(""https://docs.google.com/spreadsheets/d/1GbCIE4D4wk9FUozzqk7SxfDMxDVBwVmI5zcaVUSzKAc/edit?usp=sharing"",""ประจวบคีรีขันธ์!J209"")"),0)</f>
        <v>0</v>
      </c>
      <c r="AL62" s="93">
        <f t="shared" ca="1" si="96"/>
        <v>0</v>
      </c>
      <c r="AM62" s="92">
        <f ca="1">IFERROR(__xludf.DUMMYFUNCTION("IMPORTRANGE(""https://docs.google.com/spreadsheets/d/1GbCIE4D4wk9FUozzqk7SxfDMxDVBwVmI5zcaVUSzKAc/edit?usp=sharing"",""ประจวบคีรีขันธ์!J211"")"),0)</f>
        <v>0</v>
      </c>
      <c r="AN62" s="92">
        <f ca="1">IFERROR(__xludf.DUMMYFUNCTION("IMPORTRANGE(""https://docs.google.com/spreadsheets/d/1GbCIE4D4wk9FUozzqk7SxfDMxDVBwVmI5zcaVUSzKAc/edit?usp=sharing"",""ประจวบคีรีขันธ์!J212"")"),0)</f>
        <v>0</v>
      </c>
      <c r="AO62" s="92">
        <f ca="1">IFERROR(__xludf.DUMMYFUNCTION("IMPORTRANGE(""https://docs.google.com/spreadsheets/d/1GbCIE4D4wk9FUozzqk7SxfDMxDVBwVmI5zcaVUSzKAc/edit?usp=sharing"",""ประจวบคีรีขันธ์!L215"")"),0)</f>
        <v>0</v>
      </c>
      <c r="AP62" s="92">
        <f ca="1">IFERROR(__xludf.DUMMYFUNCTION("IMPORTRANGE(""https://docs.google.com/spreadsheets/d/1GbCIE4D4wk9FUozzqk7SxfDMxDVBwVmI5zcaVUSzKAc/edit?usp=sharing"",""ประจวบคีรีขันธ์!N215"")"),0)</f>
        <v>0</v>
      </c>
      <c r="AQ62" s="93">
        <f t="shared" ca="1" si="98"/>
        <v>0</v>
      </c>
      <c r="AR62" s="92">
        <f ca="1">IFERROR(__xludf.DUMMYFUNCTION("IMPORTRANGE(""https://docs.google.com/spreadsheets/d/1GbCIE4D4wk9FUozzqk7SxfDMxDVBwVmI5zcaVUSzKAc/edit?usp=sharing"",""ประจวบคีรีขันธ์!L216"")"),0)</f>
        <v>0</v>
      </c>
      <c r="AS62" s="92">
        <f ca="1">IFERROR(__xludf.DUMMYFUNCTION("IMPORTRANGE(""https://docs.google.com/spreadsheets/d/1GbCIE4D4wk9FUozzqk7SxfDMxDVBwVmI5zcaVUSzKAc/edit?usp=sharing"",""ประจวบคีรีขันธ์!N216"")"),0)</f>
        <v>0</v>
      </c>
      <c r="AT62" s="93">
        <f t="shared" ca="1" si="100"/>
        <v>0</v>
      </c>
      <c r="AU62" s="92">
        <f ca="1">IFERROR(__xludf.DUMMYFUNCTION("IMPORTRANGE(""https://docs.google.com/spreadsheets/d/1GbCIE4D4wk9FUozzqk7SxfDMxDVBwVmI5zcaVUSzKAc/edit?usp=sharing"",""ประจวบคีรีขันธ์!L217"")"),0)</f>
        <v>0</v>
      </c>
      <c r="AV62" s="92">
        <f ca="1">IFERROR(__xludf.DUMMYFUNCTION("IMPORTRANGE(""https://docs.google.com/spreadsheets/d/1GbCIE4D4wk9FUozzqk7SxfDMxDVBwVmI5zcaVUSzKAc/edit?usp=sharing"",""ประจวบคีรีขันธ์!N217"")"),0)</f>
        <v>0</v>
      </c>
      <c r="AW62" s="93">
        <f t="shared" ca="1" si="102"/>
        <v>0</v>
      </c>
      <c r="AX62" s="92">
        <f ca="1">IFERROR(__xludf.DUMMYFUNCTION("IMPORTRANGE(""https://docs.google.com/spreadsheets/d/1GbCIE4D4wk9FUozzqk7SxfDMxDVBwVmI5zcaVUSzKAc/edit?usp=sharing"",""ประจวบคีรีขันธ์!I219"")"),0)</f>
        <v>0</v>
      </c>
      <c r="AY62" s="92">
        <f ca="1">IFERROR(__xludf.DUMMYFUNCTION("IMPORTRANGE(""https://docs.google.com/spreadsheets/d/1GbCIE4D4wk9FUozzqk7SxfDMxDVBwVmI5zcaVUSzKAc/edit?usp=sharing"",""ประจวบคีรีขันธ์!J219"")"),0)</f>
        <v>0</v>
      </c>
      <c r="AZ62" s="93">
        <f t="shared" ca="1" si="104"/>
        <v>0</v>
      </c>
      <c r="BA62" s="92">
        <f ca="1">IFERROR(__xludf.DUMMYFUNCTION("IMPORTRANGE(""https://docs.google.com/spreadsheets/d/1GbCIE4D4wk9FUozzqk7SxfDMxDVBwVmI5zcaVUSzKAc/edit?usp=sharing"",""ประจวบคีรีขันธ์!I220"")"),0)</f>
        <v>0</v>
      </c>
      <c r="BB62" s="92">
        <f ca="1">IFERROR(__xludf.DUMMYFUNCTION("IMPORTRANGE(""https://docs.google.com/spreadsheets/d/1GbCIE4D4wk9FUozzqk7SxfDMxDVBwVmI5zcaVUSzKAc/edit?usp=sharing"",""ประจวบคีรีขันธ์!J220"")"),0)</f>
        <v>0</v>
      </c>
      <c r="BC62" s="93">
        <f t="shared" ca="1" si="106"/>
        <v>0</v>
      </c>
      <c r="BD62" s="92">
        <f ca="1">IFERROR(__xludf.DUMMYFUNCTION("IMPORTRANGE(""https://docs.google.com/spreadsheets/d/1GbCIE4D4wk9FUozzqk7SxfDMxDVBwVmI5zcaVUSzKAc/edit?usp=sharing"",""ประจวบคีรีขันธ์!L223"")"),3000)</f>
        <v>3000</v>
      </c>
      <c r="BE62" s="92">
        <f ca="1">IFERROR(__xludf.DUMMYFUNCTION("IMPORTRANGE(""https://docs.google.com/spreadsheets/d/1GbCIE4D4wk9FUozzqk7SxfDMxDVBwVmI5zcaVUSzKAc/edit?usp=sharing"",""ประจวบคีรีขันธ์!N223"")"),0)</f>
        <v>0</v>
      </c>
      <c r="BF62" s="93">
        <f t="shared" ca="1" si="108"/>
        <v>0</v>
      </c>
      <c r="BG62" s="92">
        <f ca="1">IFERROR(__xludf.DUMMYFUNCTION("IMPORTRANGE(""https://docs.google.com/spreadsheets/d/1GbCIE4D4wk9FUozzqk7SxfDMxDVBwVmI5zcaVUSzKAc/edit?usp=sharing"",""ประจวบคีรีขันธ์!L224"")"),1500)</f>
        <v>1500</v>
      </c>
      <c r="BH62" s="92">
        <f ca="1">IFERROR(__xludf.DUMMYFUNCTION("IMPORTRANGE(""https://docs.google.com/spreadsheets/d/1GbCIE4D4wk9FUozzqk7SxfDMxDVBwVmI5zcaVUSzKAc/edit?usp=sharing"",""ประจวบคีรีขันธ์!N224"")"),0)</f>
        <v>0</v>
      </c>
      <c r="BI62" s="93">
        <f t="shared" ca="1" si="110"/>
        <v>0</v>
      </c>
      <c r="BJ62" s="92">
        <f ca="1">IFERROR(__xludf.DUMMYFUNCTION("IMPORTRANGE(""https://docs.google.com/spreadsheets/d/1GbCIE4D4wk9FUozzqk7SxfDMxDVBwVmI5zcaVUSzKAc/edit?usp=sharing"",""ประจวบคีรีขันธ์!I228"")"),20000)</f>
        <v>20000</v>
      </c>
      <c r="BK62" s="92">
        <f ca="1">IFERROR(__xludf.DUMMYFUNCTION("IMPORTRANGE(""https://docs.google.com/spreadsheets/d/1GbCIE4D4wk9FUozzqk7SxfDMxDVBwVmI5zcaVUSzKAc/edit?usp=sharing"",""ประจวบคีรีขันธ์!J228"")"),0)</f>
        <v>0</v>
      </c>
      <c r="BL62" s="93">
        <f t="shared" ca="1" si="112"/>
        <v>0</v>
      </c>
      <c r="BM62" s="92">
        <f ca="1">IFERROR(__xludf.DUMMYFUNCTION("IMPORTRANGE(""https://docs.google.com/spreadsheets/d/1GbCIE4D4wk9FUozzqk7SxfDMxDVBwVmI5zcaVUSzKAc/edit?usp=sharing"",""ประจวบคีรีขันธ์!I229"")"),20000)</f>
        <v>20000</v>
      </c>
      <c r="BN62" s="92">
        <f ca="1">IFERROR(__xludf.DUMMYFUNCTION("IMPORTRANGE(""https://docs.google.com/spreadsheets/d/1GbCIE4D4wk9FUozzqk7SxfDMxDVBwVmI5zcaVUSzKAc/edit?usp=sharing"",""ประจวบคีรีขันธ์!J229"")"),0)</f>
        <v>0</v>
      </c>
      <c r="BO62" s="93">
        <f t="shared" ca="1" si="114"/>
        <v>0</v>
      </c>
      <c r="BP62" s="92">
        <f ca="1">IFERROR(__xludf.DUMMYFUNCTION("IMPORTRANGE(""https://docs.google.com/spreadsheets/d/1GbCIE4D4wk9FUozzqk7SxfDMxDVBwVmI5zcaVUSzKAc/edit?usp=sharing"",""ประจวบคีรีขันธ์!I230"")"),0)</f>
        <v>0</v>
      </c>
      <c r="BQ62" s="92">
        <f ca="1">IFERROR(__xludf.DUMMYFUNCTION("IMPORTRANGE(""https://docs.google.com/spreadsheets/d/1GbCIE4D4wk9FUozzqk7SxfDMxDVBwVmI5zcaVUSzKAc/edit?usp=sharing"",""ประจวบคีรีขันธ์!J230"")"),0)</f>
        <v>0</v>
      </c>
      <c r="BR62" s="93">
        <f t="shared" ca="1" si="116"/>
        <v>0</v>
      </c>
      <c r="BS62" s="92">
        <f ca="1">IFERROR(__xludf.DUMMYFUNCTION("IMPORTRANGE(""https://docs.google.com/spreadsheets/d/1GbCIE4D4wk9FUozzqk7SxfDMxDVBwVmI5zcaVUSzKAc/edit?usp=sharing"",""ประจวบคีรีขันธ์!L233"")"),0)</f>
        <v>0</v>
      </c>
      <c r="BT62" s="92">
        <f ca="1">IFERROR(__xludf.DUMMYFUNCTION("IMPORTRANGE(""https://docs.google.com/spreadsheets/d/1GbCIE4D4wk9FUozzqk7SxfDMxDVBwVmI5zcaVUSzKAc/edit?usp=sharing"",""ประจวบคีรีขันธ์!N233"")"),0)</f>
        <v>0</v>
      </c>
      <c r="BU62" s="93">
        <f t="shared" ca="1" si="118"/>
        <v>0</v>
      </c>
      <c r="BV62" s="92">
        <f ca="1">IFERROR(__xludf.DUMMYFUNCTION("IMPORTRANGE(""https://docs.google.com/spreadsheets/d/1GbCIE4D4wk9FUozzqk7SxfDMxDVBwVmI5zcaVUSzKAc/edit?usp=sharing"",""ประจวบคีรีขันธ์!L234"")"),0)</f>
        <v>0</v>
      </c>
      <c r="BW62" s="92">
        <f ca="1">IFERROR(__xludf.DUMMYFUNCTION("IMPORTRANGE(""https://docs.google.com/spreadsheets/d/1GbCIE4D4wk9FUozzqk7SxfDMxDVBwVmI5zcaVUSzKAc/edit?usp=sharing"",""ประจวบคีรีขันธ์!N234"")"),0)</f>
        <v>0</v>
      </c>
      <c r="BX62" s="93">
        <f t="shared" ca="1" si="120"/>
        <v>0</v>
      </c>
      <c r="BY62" s="92">
        <f ca="1">IFERROR(__xludf.DUMMYFUNCTION("IMPORTRANGE(""https://docs.google.com/spreadsheets/d/1GbCIE4D4wk9FUozzqk7SxfDMxDVBwVmI5zcaVUSzKAc/edit?usp=sharing"",""ประจวบคีรีขันธ์!L235"")"),0)</f>
        <v>0</v>
      </c>
      <c r="BZ62" s="92">
        <f ca="1">IFERROR(__xludf.DUMMYFUNCTION("IMPORTRANGE(""https://docs.google.com/spreadsheets/d/1GbCIE4D4wk9FUozzqk7SxfDMxDVBwVmI5zcaVUSzKAc/edit?usp=sharing"",""ประจวบคีรีขันธ์!N235"")"),0)</f>
        <v>0</v>
      </c>
      <c r="CA62" s="93">
        <f t="shared" ca="1" si="122"/>
        <v>0</v>
      </c>
      <c r="CB62" s="92">
        <f ca="1">IFERROR(__xludf.DUMMYFUNCTION("IMPORTRANGE(""https://docs.google.com/spreadsheets/d/1GbCIE4D4wk9FUozzqk7SxfDMxDVBwVmI5zcaVUSzKAc/edit?usp=sharing"",""ประจวบคีรีขันธ์!L236"")"),0)</f>
        <v>0</v>
      </c>
      <c r="CC62" s="92">
        <f ca="1">IFERROR(__xludf.DUMMYFUNCTION("IMPORTRANGE(""https://docs.google.com/spreadsheets/d/1GbCIE4D4wk9FUozzqk7SxfDMxDVBwVmI5zcaVUSzKAc/edit?usp=sharing"",""ประจวบคีรีขันธ์!N236"")"),0)</f>
        <v>0</v>
      </c>
      <c r="CD62" s="93">
        <f t="shared" ca="1" si="124"/>
        <v>0</v>
      </c>
      <c r="CE62" s="92">
        <f ca="1">IFERROR(__xludf.DUMMYFUNCTION("IMPORTRANGE(""https://docs.google.com/spreadsheets/d/1GbCIE4D4wk9FUozzqk7SxfDMxDVBwVmI5zcaVUSzKAc/edit?usp=sharing"",""ประจวบคีรีขันธ์!I238"")"),0)</f>
        <v>0</v>
      </c>
      <c r="CF62" s="92">
        <f ca="1">IFERROR(__xludf.DUMMYFUNCTION("IMPORTRANGE(""https://docs.google.com/spreadsheets/d/1GbCIE4D4wk9FUozzqk7SxfDMxDVBwVmI5zcaVUSzKAc/edit?usp=sharing"",""ประจวบคีรีขันธ์!J238"")"),0)</f>
        <v>0</v>
      </c>
      <c r="CG62" s="93">
        <f t="shared" ca="1" si="126"/>
        <v>0</v>
      </c>
      <c r="CH62" s="92">
        <f ca="1">IFERROR(__xludf.DUMMYFUNCTION("IMPORTRANGE(""https://docs.google.com/spreadsheets/d/1GbCIE4D4wk9FUozzqk7SxfDMxDVBwVmI5zcaVUSzKAc/edit?usp=sharing"",""ประจวบคีรีขันธ์!J240"")"),0)</f>
        <v>0</v>
      </c>
      <c r="CI62" s="92">
        <f ca="1">IFERROR(__xludf.DUMMYFUNCTION("IMPORTRANGE(""https://docs.google.com/spreadsheets/d/1GbCIE4D4wk9FUozzqk7SxfDMxDVBwVmI5zcaVUSzKAc/edit?usp=sharing"",""ประจวบคีรีขันธ์!J241"")"),0)</f>
        <v>0</v>
      </c>
    </row>
    <row r="63" spans="1:87" ht="21" customHeight="1" x14ac:dyDescent="0.3">
      <c r="A63" s="84">
        <v>11</v>
      </c>
      <c r="B63" s="85" t="s">
        <v>85</v>
      </c>
      <c r="C63" s="174">
        <f t="shared" ca="1" si="77"/>
        <v>78100</v>
      </c>
      <c r="D63" s="175">
        <f t="shared" ca="1" si="176"/>
        <v>78100</v>
      </c>
      <c r="E63" s="176">
        <f ca="1">IFERROR(__xludf.DUMMYFUNCTION("IMPORTRANGE(""https://docs.google.com/spreadsheets/d/1-uDff_7J0KD5mKrp0Vvzr7lt3OU09vwQwhkpOPPYv2Y/edit?usp=sharing"",""งบพรบ!CV63"")"),0)</f>
        <v>0</v>
      </c>
      <c r="F63" s="176">
        <f ca="1">IFERROR(__xludf.DUMMYFUNCTION("IMPORTRANGE(""https://docs.google.com/spreadsheets/d/1-uDff_7J0KD5mKrp0Vvzr7lt3OU09vwQwhkpOPPYv2Y/edit?usp=sharing"",""งบพรบ!CW63"")"),78100)</f>
        <v>78100</v>
      </c>
      <c r="G63" s="176">
        <f ca="1">IFERROR(__xludf.DUMMYFUNCTION("IMPORTRANGE(""https://docs.google.com/spreadsheets/d/1-uDff_7J0KD5mKrp0Vvzr7lt3OU09vwQwhkpOPPYv2Y/edit?usp=sharing"",""งบพรบ!CX63"")"),0)</f>
        <v>0</v>
      </c>
      <c r="H63" s="176">
        <f ca="1">IFERROR(__xludf.DUMMYFUNCTION("IMPORTRANGE(""https://docs.google.com/spreadsheets/d/1-uDff_7J0KD5mKrp0Vvzr7lt3OU09vwQwhkpOPPYv2Y/edit?usp=sharing"",""งบพรบ!CZ63"")"),64100)</f>
        <v>64100</v>
      </c>
      <c r="I63" s="176">
        <f ca="1">IFERROR(__xludf.DUMMYFUNCTION("IMPORTRANGE(""https://docs.google.com/spreadsheets/d/1-uDff_7J0KD5mKrp0Vvzr7lt3OU09vwQwhkpOPPYv2Y/edit?usp=sharing"",""งบพรบ!DA63"")"),0)</f>
        <v>0</v>
      </c>
      <c r="J63" s="176">
        <f t="shared" ca="1" si="79"/>
        <v>20360</v>
      </c>
      <c r="K63" s="181">
        <f t="shared" ca="1" si="80"/>
        <v>26.069142125480155</v>
      </c>
      <c r="L63" s="176">
        <f ca="1">IFERROR(__xludf.DUMMYFUNCTION("IMPORTRANGE(""https://docs.google.com/spreadsheets/d/1-uDff_7J0KD5mKrp0Vvzr7lt3OU09vwQwhkpOPPYv2Y/edit?usp=sharing"",""งบพรบ!DB63"")"),20360)</f>
        <v>20360</v>
      </c>
      <c r="M63" s="179">
        <f t="shared" ca="1" si="81"/>
        <v>26.069142125480155</v>
      </c>
      <c r="N63" s="179">
        <f t="shared" ca="1" si="82"/>
        <v>31.762870514820595</v>
      </c>
      <c r="O63" s="180">
        <f ca="1">IFERROR(__xludf.DUMMYFUNCTION("IMPORTRANGE(""https://docs.google.com/spreadsheets/d/1-uDff_7J0KD5mKrp0Vvzr7lt3OU09vwQwhkpOPPYv2Y/edit?usp=sharing"",""งบพรบ!DC63"")"),0)</f>
        <v>0</v>
      </c>
      <c r="P63" s="180">
        <f t="shared" ca="1" si="83"/>
        <v>0</v>
      </c>
      <c r="Q63" s="179">
        <f t="shared" ca="1" si="84"/>
        <v>0</v>
      </c>
      <c r="R63" s="92">
        <f ca="1">IFERROR(__xludf.DUMMYFUNCTION("IMPORTRANGE(""https://docs.google.com/spreadsheets/d/1vVf6wykvW_lAyu7Yo9L4hUTqHqIeP_qcVuxCtosJEbg/edit?usp=sharing"",""ปราจีนบุรี!L196"")"),6000)</f>
        <v>6000</v>
      </c>
      <c r="S63" s="92">
        <f ca="1">IFERROR(__xludf.DUMMYFUNCTION("IMPORTRANGE(""https://docs.google.com/spreadsheets/d/1vVf6wykvW_lAyu7Yo9L4hUTqHqIeP_qcVuxCtosJEbg/edit?usp=sharing"",""ปราจีนบุรี!N196"")"),0)</f>
        <v>0</v>
      </c>
      <c r="T63" s="93">
        <f t="shared" ca="1" si="86"/>
        <v>0</v>
      </c>
      <c r="U63" s="92">
        <f ca="1">IFERROR(__xludf.DUMMYFUNCTION("IMPORTRANGE(""https://docs.google.com/spreadsheets/d/1vVf6wykvW_lAyu7Yo9L4hUTqHqIeP_qcVuxCtosJEbg/edit?usp=sharing"",""ปราจีนบุรี!I198"")"),4)</f>
        <v>4</v>
      </c>
      <c r="V63" s="92">
        <f ca="1">IFERROR(__xludf.DUMMYFUNCTION("IMPORTRANGE(""https://docs.google.com/spreadsheets/d/1vVf6wykvW_lAyu7Yo9L4hUTqHqIeP_qcVuxCtosJEbg/edit?usp=sharing"",""ปราจีนบุรี!J198"")"),0)</f>
        <v>0</v>
      </c>
      <c r="W63" s="93">
        <f t="shared" ca="1" si="88"/>
        <v>0</v>
      </c>
      <c r="X63" s="92">
        <f ca="1">IFERROR(__xludf.DUMMYFUNCTION("IMPORTRANGE(""https://docs.google.com/spreadsheets/d/1vVf6wykvW_lAyu7Yo9L4hUTqHqIeP_qcVuxCtosJEbg/edit?usp=sharing"",""ปราจีนบุรี!J199"")"),0)</f>
        <v>0</v>
      </c>
      <c r="Y63" s="92">
        <f ca="1">IFERROR(__xludf.DUMMYFUNCTION("IMPORTRANGE(""https://docs.google.com/spreadsheets/d/1vVf6wykvW_lAyu7Yo9L4hUTqHqIeP_qcVuxCtosJEbg/edit?usp=sharing"",""ปราจีนบุรี!J200"")"),0)</f>
        <v>0</v>
      </c>
      <c r="Z63" s="92">
        <f ca="1">IFERROR(__xludf.DUMMYFUNCTION("IMPORTRANGE(""https://docs.google.com/spreadsheets/d/1vVf6wykvW_lAyu7Yo9L4hUTqHqIeP_qcVuxCtosJEbg/edit?usp=sharing"",""ปราจีนบุรี!J201"")"),0)</f>
        <v>0</v>
      </c>
      <c r="AA63" s="92">
        <f ca="1">IFERROR(__xludf.DUMMYFUNCTION("IMPORTRANGE(""https://docs.google.com/spreadsheets/d/1vVf6wykvW_lAyu7Yo9L4hUTqHqIeP_qcVuxCtosJEbg/edit?usp=sharing"",""ปราจีนบุรี!L204"")"),2000)</f>
        <v>2000</v>
      </c>
      <c r="AB63" s="92">
        <f ca="1">IFERROR(__xludf.DUMMYFUNCTION("IMPORTRANGE(""https://docs.google.com/spreadsheets/d/1vVf6wykvW_lAyu7Yo9L4hUTqHqIeP_qcVuxCtosJEbg/edit?usp=sharing"",""ปราจีนบุรี!N204"")"),0)</f>
        <v>0</v>
      </c>
      <c r="AC63" s="93">
        <f t="shared" ca="1" si="90"/>
        <v>0</v>
      </c>
      <c r="AD63" s="92">
        <f ca="1">IFERROR(__xludf.DUMMYFUNCTION("IMPORTRANGE(""https://docs.google.com/spreadsheets/d/1vVf6wykvW_lAyu7Yo9L4hUTqHqIeP_qcVuxCtosJEbg/edit?usp=sharing"",""ปราจีนบุรี!L206"")"),16000)</f>
        <v>16000</v>
      </c>
      <c r="AE63" s="92">
        <f ca="1">IFERROR(__xludf.DUMMYFUNCTION("IMPORTRANGE(""https://docs.google.com/spreadsheets/d/1vVf6wykvW_lAyu7Yo9L4hUTqHqIeP_qcVuxCtosJEbg/edit?usp=sharing"",""ปราจีนบุรี!N206"")"),0)</f>
        <v>0</v>
      </c>
      <c r="AF63" s="93">
        <f t="shared" ca="1" si="92"/>
        <v>0</v>
      </c>
      <c r="AG63" s="92">
        <f ca="1">IFERROR(__xludf.DUMMYFUNCTION("IMPORTRANGE(""https://docs.google.com/spreadsheets/d/1vVf6wykvW_lAyu7Yo9L4hUTqHqIeP_qcVuxCtosJEbg/edit?usp=sharing"",""ปราจีนบุรี!L207"")"),8000)</f>
        <v>8000</v>
      </c>
      <c r="AH63" s="92">
        <f ca="1">IFERROR(__xludf.DUMMYFUNCTION("IMPORTRANGE(""https://docs.google.com/spreadsheets/d/1vVf6wykvW_lAyu7Yo9L4hUTqHqIeP_qcVuxCtosJEbg/edit?usp=sharing"",""ปราจีนบุรี!N207"")"),0)</f>
        <v>0</v>
      </c>
      <c r="AI63" s="93">
        <f t="shared" ca="1" si="94"/>
        <v>0</v>
      </c>
      <c r="AJ63" s="92">
        <f ca="1">IFERROR(__xludf.DUMMYFUNCTION("IMPORTRANGE(""https://docs.google.com/spreadsheets/d/1vVf6wykvW_lAyu7Yo9L4hUTqHqIeP_qcVuxCtosJEbg/edit?usp=sharing"",""ปราจีนบุรี!I209"")"),2)</f>
        <v>2</v>
      </c>
      <c r="AK63" s="92">
        <f ca="1">IFERROR(__xludf.DUMMYFUNCTION("IMPORTRANGE(""https://docs.google.com/spreadsheets/d/1vVf6wykvW_lAyu7Yo9L4hUTqHqIeP_qcVuxCtosJEbg/edit?usp=sharing"",""ปราจีนบุรี!J209"")"),0)</f>
        <v>0</v>
      </c>
      <c r="AL63" s="93">
        <f t="shared" ca="1" si="96"/>
        <v>0</v>
      </c>
      <c r="AM63" s="92">
        <f ca="1">IFERROR(__xludf.DUMMYFUNCTION("IMPORTRANGE(""https://docs.google.com/spreadsheets/d/1vVf6wykvW_lAyu7Yo9L4hUTqHqIeP_qcVuxCtosJEbg/edit?usp=sharing"",""ปราจีนบุรี!J211"")"),0)</f>
        <v>0</v>
      </c>
      <c r="AN63" s="92">
        <f ca="1">IFERROR(__xludf.DUMMYFUNCTION("IMPORTRANGE(""https://docs.google.com/spreadsheets/d/1vVf6wykvW_lAyu7Yo9L4hUTqHqIeP_qcVuxCtosJEbg/edit?usp=sharing"",""ปราจีนบุรี!J212"")"),0)</f>
        <v>0</v>
      </c>
      <c r="AO63" s="92">
        <f ca="1">IFERROR(__xludf.DUMMYFUNCTION("IMPORTRANGE(""https://docs.google.com/spreadsheets/d/1vVf6wykvW_lAyu7Yo9L4hUTqHqIeP_qcVuxCtosJEbg/edit?usp=sharing"",""ปราจีนบุรี!L215"")"),0)</f>
        <v>0</v>
      </c>
      <c r="AP63" s="92">
        <f ca="1">IFERROR(__xludf.DUMMYFUNCTION("IMPORTRANGE(""https://docs.google.com/spreadsheets/d/1vVf6wykvW_lAyu7Yo9L4hUTqHqIeP_qcVuxCtosJEbg/edit?usp=sharing"",""ปราจีนบุรี!N215"")"),0)</f>
        <v>0</v>
      </c>
      <c r="AQ63" s="93">
        <f t="shared" ca="1" si="98"/>
        <v>0</v>
      </c>
      <c r="AR63" s="92">
        <f ca="1">IFERROR(__xludf.DUMMYFUNCTION("IMPORTRANGE(""https://docs.google.com/spreadsheets/d/1vVf6wykvW_lAyu7Yo9L4hUTqHqIeP_qcVuxCtosJEbg/edit?usp=sharing"",""ปราจีนบุรี!L216"")"),0)</f>
        <v>0</v>
      </c>
      <c r="AS63" s="92">
        <f ca="1">IFERROR(__xludf.DUMMYFUNCTION("IMPORTRANGE(""https://docs.google.com/spreadsheets/d/1vVf6wykvW_lAyu7Yo9L4hUTqHqIeP_qcVuxCtosJEbg/edit?usp=sharing"",""ปราจีนบุรี!N216"")"),0)</f>
        <v>0</v>
      </c>
      <c r="AT63" s="93">
        <f t="shared" ca="1" si="100"/>
        <v>0</v>
      </c>
      <c r="AU63" s="92">
        <f ca="1">IFERROR(__xludf.DUMMYFUNCTION("IMPORTRANGE(""https://docs.google.com/spreadsheets/d/1vVf6wykvW_lAyu7Yo9L4hUTqHqIeP_qcVuxCtosJEbg/edit?usp=sharing"",""ปราจีนบุรี!L217"")"),0)</f>
        <v>0</v>
      </c>
      <c r="AV63" s="92">
        <f ca="1">IFERROR(__xludf.DUMMYFUNCTION("IMPORTRANGE(""https://docs.google.com/spreadsheets/d/1vVf6wykvW_lAyu7Yo9L4hUTqHqIeP_qcVuxCtosJEbg/edit?usp=sharing"",""ปราจีนบุรี!N217"")"),0)</f>
        <v>0</v>
      </c>
      <c r="AW63" s="93">
        <f t="shared" ca="1" si="102"/>
        <v>0</v>
      </c>
      <c r="AX63" s="92">
        <f ca="1">IFERROR(__xludf.DUMMYFUNCTION("IMPORTRANGE(""https://docs.google.com/spreadsheets/d/1vVf6wykvW_lAyu7Yo9L4hUTqHqIeP_qcVuxCtosJEbg/edit?usp=sharing"",""ปราจีนบุรี!I219"")"),0)</f>
        <v>0</v>
      </c>
      <c r="AY63" s="92">
        <f ca="1">IFERROR(__xludf.DUMMYFUNCTION("IMPORTRANGE(""https://docs.google.com/spreadsheets/d/1vVf6wykvW_lAyu7Yo9L4hUTqHqIeP_qcVuxCtosJEbg/edit?usp=sharing"",""ปราจีนบุรี!J219"")"),0)</f>
        <v>0</v>
      </c>
      <c r="AZ63" s="93">
        <f t="shared" ca="1" si="104"/>
        <v>0</v>
      </c>
      <c r="BA63" s="92">
        <f ca="1">IFERROR(__xludf.DUMMYFUNCTION("IMPORTRANGE(""https://docs.google.com/spreadsheets/d/1vVf6wykvW_lAyu7Yo9L4hUTqHqIeP_qcVuxCtosJEbg/edit?usp=sharing"",""ปราจีนบุรี!I220"")"),0)</f>
        <v>0</v>
      </c>
      <c r="BB63" s="92">
        <f ca="1">IFERROR(__xludf.DUMMYFUNCTION("IMPORTRANGE(""https://docs.google.com/spreadsheets/d/1vVf6wykvW_lAyu7Yo9L4hUTqHqIeP_qcVuxCtosJEbg/edit?usp=sharing"",""ปราจีนบุรี!J220"")"),0)</f>
        <v>0</v>
      </c>
      <c r="BC63" s="93">
        <f t="shared" ca="1" si="106"/>
        <v>0</v>
      </c>
      <c r="BD63" s="92">
        <f ca="1">IFERROR(__xludf.DUMMYFUNCTION("IMPORTRANGE(""https://docs.google.com/spreadsheets/d/1vVf6wykvW_lAyu7Yo9L4hUTqHqIeP_qcVuxCtosJEbg/edit?usp=sharing"",""ปราจีนบุรี!L223"")"),3000)</f>
        <v>3000</v>
      </c>
      <c r="BE63" s="92">
        <f ca="1">IFERROR(__xludf.DUMMYFUNCTION("IMPORTRANGE(""https://docs.google.com/spreadsheets/d/1vVf6wykvW_lAyu7Yo9L4hUTqHqIeP_qcVuxCtosJEbg/edit?usp=sharing"",""ปราจีนบุรี!N223"")"),0)</f>
        <v>0</v>
      </c>
      <c r="BF63" s="93">
        <f t="shared" ca="1" si="108"/>
        <v>0</v>
      </c>
      <c r="BG63" s="92">
        <f ca="1">IFERROR(__xludf.DUMMYFUNCTION("IMPORTRANGE(""https://docs.google.com/spreadsheets/d/1vVf6wykvW_lAyu7Yo9L4hUTqHqIeP_qcVuxCtosJEbg/edit?usp=sharing"",""ปราจีนบุรี!L224"")"),1500)</f>
        <v>1500</v>
      </c>
      <c r="BH63" s="92">
        <f ca="1">IFERROR(__xludf.DUMMYFUNCTION("IMPORTRANGE(""https://docs.google.com/spreadsheets/d/1vVf6wykvW_lAyu7Yo9L4hUTqHqIeP_qcVuxCtosJEbg/edit?usp=sharing"",""ปราจีนบุรี!N224"")"),0)</f>
        <v>0</v>
      </c>
      <c r="BI63" s="93">
        <f t="shared" ca="1" si="110"/>
        <v>0</v>
      </c>
      <c r="BJ63" s="92">
        <f ca="1">IFERROR(__xludf.DUMMYFUNCTION("IMPORTRANGE(""https://docs.google.com/spreadsheets/d/1vVf6wykvW_lAyu7Yo9L4hUTqHqIeP_qcVuxCtosJEbg/edit?usp=sharing"",""ปราจีนบุรี!I228"")"),20000)</f>
        <v>20000</v>
      </c>
      <c r="BK63" s="92">
        <f ca="1">IFERROR(__xludf.DUMMYFUNCTION("IMPORTRANGE(""https://docs.google.com/spreadsheets/d/1vVf6wykvW_lAyu7Yo9L4hUTqHqIeP_qcVuxCtosJEbg/edit?usp=sharing"",""ปราจีนบุรี!J228"")"),0)</f>
        <v>0</v>
      </c>
      <c r="BL63" s="93">
        <f t="shared" ca="1" si="112"/>
        <v>0</v>
      </c>
      <c r="BM63" s="92">
        <f ca="1">IFERROR(__xludf.DUMMYFUNCTION("IMPORTRANGE(""https://docs.google.com/spreadsheets/d/1vVf6wykvW_lAyu7Yo9L4hUTqHqIeP_qcVuxCtosJEbg/edit?usp=sharing"",""ปราจีนบุรี!I229"")"),20000)</f>
        <v>20000</v>
      </c>
      <c r="BN63" s="92">
        <f ca="1">IFERROR(__xludf.DUMMYFUNCTION("IMPORTRANGE(""https://docs.google.com/spreadsheets/d/1vVf6wykvW_lAyu7Yo9L4hUTqHqIeP_qcVuxCtosJEbg/edit?usp=sharing"",""ปราจีนบุรี!J229"")"),0)</f>
        <v>0</v>
      </c>
      <c r="BO63" s="93">
        <f t="shared" ca="1" si="114"/>
        <v>0</v>
      </c>
      <c r="BP63" s="92">
        <f ca="1">IFERROR(__xludf.DUMMYFUNCTION("IMPORTRANGE(""https://docs.google.com/spreadsheets/d/1vVf6wykvW_lAyu7Yo9L4hUTqHqIeP_qcVuxCtosJEbg/edit?usp=sharing"",""ปราจีนบุรี!I230"")"),0)</f>
        <v>0</v>
      </c>
      <c r="BQ63" s="92">
        <f ca="1">IFERROR(__xludf.DUMMYFUNCTION("IMPORTRANGE(""https://docs.google.com/spreadsheets/d/1vVf6wykvW_lAyu7Yo9L4hUTqHqIeP_qcVuxCtosJEbg/edit?usp=sharing"",""ปราจีนบุรี!J230"")"),0)</f>
        <v>0</v>
      </c>
      <c r="BR63" s="93">
        <f t="shared" ca="1" si="116"/>
        <v>0</v>
      </c>
      <c r="BS63" s="92">
        <f ca="1">IFERROR(__xludf.DUMMYFUNCTION("IMPORTRANGE(""https://docs.google.com/spreadsheets/d/1vVf6wykvW_lAyu7Yo9L4hUTqHqIeP_qcVuxCtosJEbg/edit?usp=sharing"",""ปราจีนบุรี!L233"")"),5000)</f>
        <v>5000</v>
      </c>
      <c r="BT63" s="92">
        <f ca="1">IFERROR(__xludf.DUMMYFUNCTION("IMPORTRANGE(""https://docs.google.com/spreadsheets/d/1vVf6wykvW_lAyu7Yo9L4hUTqHqIeP_qcVuxCtosJEbg/edit?usp=sharing"",""ปราจีนบุรี!N233"")"),0)</f>
        <v>0</v>
      </c>
      <c r="BU63" s="93">
        <f t="shared" ca="1" si="118"/>
        <v>0</v>
      </c>
      <c r="BV63" s="92">
        <f ca="1">IFERROR(__xludf.DUMMYFUNCTION("IMPORTRANGE(""https://docs.google.com/spreadsheets/d/1vVf6wykvW_lAyu7Yo9L4hUTqHqIeP_qcVuxCtosJEbg/edit?usp=sharing"",""ปราจีนบุรี!L234"")"),2000)</f>
        <v>2000</v>
      </c>
      <c r="BW63" s="92">
        <f ca="1">IFERROR(__xludf.DUMMYFUNCTION("IMPORTRANGE(""https://docs.google.com/spreadsheets/d/1vVf6wykvW_lAyu7Yo9L4hUTqHqIeP_qcVuxCtosJEbg/edit?usp=sharing"",""ปราจีนบุรี!N234"")"),0)</f>
        <v>0</v>
      </c>
      <c r="BX63" s="93">
        <f t="shared" ca="1" si="120"/>
        <v>0</v>
      </c>
      <c r="BY63" s="92">
        <f ca="1">IFERROR(__xludf.DUMMYFUNCTION("IMPORTRANGE(""https://docs.google.com/spreadsheets/d/1vVf6wykvW_lAyu7Yo9L4hUTqHqIeP_qcVuxCtosJEbg/edit?usp=sharing"",""ปราจีนบุรี!L235"")"),15600)</f>
        <v>15600</v>
      </c>
      <c r="BZ63" s="92">
        <f ca="1">IFERROR(__xludf.DUMMYFUNCTION("IMPORTRANGE(""https://docs.google.com/spreadsheets/d/1vVf6wykvW_lAyu7Yo9L4hUTqHqIeP_qcVuxCtosJEbg/edit?usp=sharing"",""ปราจีนบุรี!N235"")"),0)</f>
        <v>0</v>
      </c>
      <c r="CA63" s="93">
        <f t="shared" ca="1" si="122"/>
        <v>0</v>
      </c>
      <c r="CB63" s="92">
        <f ca="1">IFERROR(__xludf.DUMMYFUNCTION("IMPORTRANGE(""https://docs.google.com/spreadsheets/d/1vVf6wykvW_lAyu7Yo9L4hUTqHqIeP_qcVuxCtosJEbg/edit?usp=sharing"",""ปราจีนบุรี!L236"")"),19000)</f>
        <v>19000</v>
      </c>
      <c r="CC63" s="92">
        <f ca="1">IFERROR(__xludf.DUMMYFUNCTION("IMPORTRANGE(""https://docs.google.com/spreadsheets/d/1vVf6wykvW_lAyu7Yo9L4hUTqHqIeP_qcVuxCtosJEbg/edit?usp=sharing"",""ปราจีนบุรี!N236"")"),0)</f>
        <v>0</v>
      </c>
      <c r="CD63" s="93">
        <f t="shared" ca="1" si="124"/>
        <v>0</v>
      </c>
      <c r="CE63" s="92">
        <f ca="1">IFERROR(__xludf.DUMMYFUNCTION("IMPORTRANGE(""https://docs.google.com/spreadsheets/d/1vVf6wykvW_lAyu7Yo9L4hUTqHqIeP_qcVuxCtosJEbg/edit?usp=sharing"",""ปราจีนบุรี!I238"")"),20)</f>
        <v>20</v>
      </c>
      <c r="CF63" s="92">
        <f ca="1">IFERROR(__xludf.DUMMYFUNCTION("IMPORTRANGE(""https://docs.google.com/spreadsheets/d/1vVf6wykvW_lAyu7Yo9L4hUTqHqIeP_qcVuxCtosJEbg/edit?usp=sharing"",""ปราจีนบุรี!J238"")"),0)</f>
        <v>0</v>
      </c>
      <c r="CG63" s="93">
        <f t="shared" ca="1" si="126"/>
        <v>0</v>
      </c>
      <c r="CH63" s="92">
        <f ca="1">IFERROR(__xludf.DUMMYFUNCTION("IMPORTRANGE(""https://docs.google.com/spreadsheets/d/1vVf6wykvW_lAyu7Yo9L4hUTqHqIeP_qcVuxCtosJEbg/edit?usp=sharing"",""ปราจีนบุรี!J240"")"),0)</f>
        <v>0</v>
      </c>
      <c r="CI63" s="92">
        <f ca="1">IFERROR(__xludf.DUMMYFUNCTION("IMPORTRANGE(""https://docs.google.com/spreadsheets/d/1vVf6wykvW_lAyu7Yo9L4hUTqHqIeP_qcVuxCtosJEbg/edit?usp=sharing"",""ปราจีนบุรี!J241"")"),0)</f>
        <v>0</v>
      </c>
    </row>
    <row r="64" spans="1:87" ht="21" customHeight="1" x14ac:dyDescent="0.3">
      <c r="A64" s="84">
        <v>12</v>
      </c>
      <c r="B64" s="85" t="s">
        <v>86</v>
      </c>
      <c r="C64" s="174">
        <f t="shared" ca="1" si="77"/>
        <v>513700</v>
      </c>
      <c r="D64" s="175">
        <f t="shared" ca="1" si="176"/>
        <v>513700</v>
      </c>
      <c r="E64" s="176">
        <f ca="1">IFERROR(__xludf.DUMMYFUNCTION("IMPORTRANGE(""https://docs.google.com/spreadsheets/d/1-uDff_7J0KD5mKrp0Vvzr7lt3OU09vwQwhkpOPPYv2Y/edit?usp=sharing"",""งบพรบ!CV64"")"),263600)</f>
        <v>263600</v>
      </c>
      <c r="F64" s="176">
        <f ca="1">IFERROR(__xludf.DUMMYFUNCTION("IMPORTRANGE(""https://docs.google.com/spreadsheets/d/1-uDff_7J0KD5mKrp0Vvzr7lt3OU09vwQwhkpOPPYv2Y/edit?usp=sharing"",""งบพรบ!CW64"")"),250100)</f>
        <v>250100</v>
      </c>
      <c r="G64" s="176">
        <f ca="1">IFERROR(__xludf.DUMMYFUNCTION("IMPORTRANGE(""https://docs.google.com/spreadsheets/d/1-uDff_7J0KD5mKrp0Vvzr7lt3OU09vwQwhkpOPPYv2Y/edit?usp=sharing"",""งบพรบ!CX64"")"),0)</f>
        <v>0</v>
      </c>
      <c r="H64" s="176">
        <f ca="1">IFERROR(__xludf.DUMMYFUNCTION("IMPORTRANGE(""https://docs.google.com/spreadsheets/d/1-uDff_7J0KD5mKrp0Vvzr7lt3OU09vwQwhkpOPPYv2Y/edit?usp=sharing"",""งบพรบ!CZ64"")"),546925)</f>
        <v>546925</v>
      </c>
      <c r="I64" s="176">
        <f ca="1">IFERROR(__xludf.DUMMYFUNCTION("IMPORTRANGE(""https://docs.google.com/spreadsheets/d/1-uDff_7J0KD5mKrp0Vvzr7lt3OU09vwQwhkpOPPYv2Y/edit?usp=sharing"",""งบพรบ!DA64"")"),0)</f>
        <v>0</v>
      </c>
      <c r="J64" s="176">
        <f t="shared" ca="1" si="79"/>
        <v>245917.76</v>
      </c>
      <c r="K64" s="181">
        <f t="shared" ca="1" si="80"/>
        <v>47.871862955032121</v>
      </c>
      <c r="L64" s="176">
        <f ca="1">IFERROR(__xludf.DUMMYFUNCTION("IMPORTRANGE(""https://docs.google.com/spreadsheets/d/1-uDff_7J0KD5mKrp0Vvzr7lt3OU09vwQwhkpOPPYv2Y/edit?usp=sharing"",""งบพรบ!DB64"")"),245917.76)</f>
        <v>245917.76</v>
      </c>
      <c r="M64" s="179">
        <f t="shared" ca="1" si="81"/>
        <v>47.871862955032121</v>
      </c>
      <c r="N64" s="179">
        <f t="shared" ca="1" si="82"/>
        <v>44.963708003839649</v>
      </c>
      <c r="O64" s="180">
        <f ca="1">IFERROR(__xludf.DUMMYFUNCTION("IMPORTRANGE(""https://docs.google.com/spreadsheets/d/1-uDff_7J0KD5mKrp0Vvzr7lt3OU09vwQwhkpOPPYv2Y/edit?usp=sharing"",""งบพรบ!DC64"")"),0)</f>
        <v>0</v>
      </c>
      <c r="P64" s="180">
        <f t="shared" ca="1" si="83"/>
        <v>0</v>
      </c>
      <c r="Q64" s="179">
        <f t="shared" ca="1" si="84"/>
        <v>0</v>
      </c>
      <c r="R64" s="92">
        <f ca="1">IFERROR(__xludf.DUMMYFUNCTION("IMPORTRANGE(""https://docs.google.com/spreadsheets/d/1BIDqLLg5jk3v59G8NlR8rk5xfQDKne0sAvZHSj7TI6I/edit?usp=sharing"",""พระนครศรีอยุธยา!L196"")"),6000)</f>
        <v>6000</v>
      </c>
      <c r="S64" s="92">
        <f ca="1">IFERROR(__xludf.DUMMYFUNCTION("IMPORTRANGE(""https://docs.google.com/spreadsheets/d/1BIDqLLg5jk3v59G8NlR8rk5xfQDKne0sAvZHSj7TI6I/edit?usp=sharing"",""พระนครศรีอยุธยา!N196"")"),0)</f>
        <v>0</v>
      </c>
      <c r="T64" s="93">
        <f t="shared" ca="1" si="86"/>
        <v>0</v>
      </c>
      <c r="U64" s="92">
        <f ca="1">IFERROR(__xludf.DUMMYFUNCTION("IMPORTRANGE(""https://docs.google.com/spreadsheets/d/1BIDqLLg5jk3v59G8NlR8rk5xfQDKne0sAvZHSj7TI6I/edit?usp=sharing"",""พระนครศรีอยุธยา!I198"")"),4)</f>
        <v>4</v>
      </c>
      <c r="V64" s="92">
        <f ca="1">IFERROR(__xludf.DUMMYFUNCTION("IMPORTRANGE(""https://docs.google.com/spreadsheets/d/1BIDqLLg5jk3v59G8NlR8rk5xfQDKne0sAvZHSj7TI6I/edit?usp=sharing"",""พระนครศรีอยุธยา!J198"")"),0)</f>
        <v>0</v>
      </c>
      <c r="W64" s="93">
        <f t="shared" ca="1" si="88"/>
        <v>0</v>
      </c>
      <c r="X64" s="92">
        <f ca="1">IFERROR(__xludf.DUMMYFUNCTION("IMPORTRANGE(""https://docs.google.com/spreadsheets/d/1BIDqLLg5jk3v59G8NlR8rk5xfQDKne0sAvZHSj7TI6I/edit?usp=sharing"",""พระนครศรีอยุธยา!J199"")"),0)</f>
        <v>0</v>
      </c>
      <c r="Y64" s="92">
        <f ca="1">IFERROR(__xludf.DUMMYFUNCTION("IMPORTRANGE(""https://docs.google.com/spreadsheets/d/1BIDqLLg5jk3v59G8NlR8rk5xfQDKne0sAvZHSj7TI6I/edit?usp=sharing"",""พระนครศรีอยุธยา!J200"")"),0)</f>
        <v>0</v>
      </c>
      <c r="Z64" s="92">
        <f ca="1">IFERROR(__xludf.DUMMYFUNCTION("IMPORTRANGE(""https://docs.google.com/spreadsheets/d/1BIDqLLg5jk3v59G8NlR8rk5xfQDKne0sAvZHSj7TI6I/edit?usp=sharing"",""พระนครศรีอยุธยา!J201"")"),0)</f>
        <v>0</v>
      </c>
      <c r="AA64" s="92">
        <f ca="1">IFERROR(__xludf.DUMMYFUNCTION("IMPORTRANGE(""https://docs.google.com/spreadsheets/d/1BIDqLLg5jk3v59G8NlR8rk5xfQDKne0sAvZHSj7TI6I/edit?usp=sharing"",""พระนครศรีอยุธยา!L204"")"),2000)</f>
        <v>2000</v>
      </c>
      <c r="AB64" s="92">
        <f ca="1">IFERROR(__xludf.DUMMYFUNCTION("IMPORTRANGE(""https://docs.google.com/spreadsheets/d/1BIDqLLg5jk3v59G8NlR8rk5xfQDKne0sAvZHSj7TI6I/edit?usp=sharing"",""พระนครศรีอยุธยา!N204"")"),0)</f>
        <v>0</v>
      </c>
      <c r="AC64" s="93">
        <f t="shared" ca="1" si="90"/>
        <v>0</v>
      </c>
      <c r="AD64" s="92">
        <f ca="1">IFERROR(__xludf.DUMMYFUNCTION("IMPORTRANGE(""https://docs.google.com/spreadsheets/d/1BIDqLLg5jk3v59G8NlR8rk5xfQDKne0sAvZHSj7TI6I/edit?usp=sharing"",""พระนครศรีอยุธยา!L206"")"),16000)</f>
        <v>16000</v>
      </c>
      <c r="AE64" s="92">
        <f ca="1">IFERROR(__xludf.DUMMYFUNCTION("IMPORTRANGE(""https://docs.google.com/spreadsheets/d/1BIDqLLg5jk3v59G8NlR8rk5xfQDKne0sAvZHSj7TI6I/edit?usp=sharing"",""พระนครศรีอยุธยา!N206"")"),0)</f>
        <v>0</v>
      </c>
      <c r="AF64" s="93">
        <f t="shared" ca="1" si="92"/>
        <v>0</v>
      </c>
      <c r="AG64" s="92">
        <f ca="1">IFERROR(__xludf.DUMMYFUNCTION("IMPORTRANGE(""https://docs.google.com/spreadsheets/d/1BIDqLLg5jk3v59G8NlR8rk5xfQDKne0sAvZHSj7TI6I/edit?usp=sharing"",""พระนครศรีอยุธยา!L207"")"),8000)</f>
        <v>8000</v>
      </c>
      <c r="AH64" s="92">
        <f ca="1">IFERROR(__xludf.DUMMYFUNCTION("IMPORTRANGE(""https://docs.google.com/spreadsheets/d/1BIDqLLg5jk3v59G8NlR8rk5xfQDKne0sAvZHSj7TI6I/edit?usp=sharing"",""พระนครศรีอยุธยา!N207"")"),0)</f>
        <v>0</v>
      </c>
      <c r="AI64" s="93">
        <f t="shared" ca="1" si="94"/>
        <v>0</v>
      </c>
      <c r="AJ64" s="92">
        <f ca="1">IFERROR(__xludf.DUMMYFUNCTION("IMPORTRANGE(""https://docs.google.com/spreadsheets/d/1BIDqLLg5jk3v59G8NlR8rk5xfQDKne0sAvZHSj7TI6I/edit?usp=sharing"",""พระนครศรีอยุธยา!I209"")"),2)</f>
        <v>2</v>
      </c>
      <c r="AK64" s="92">
        <f ca="1">IFERROR(__xludf.DUMMYFUNCTION("IMPORTRANGE(""https://docs.google.com/spreadsheets/d/1BIDqLLg5jk3v59G8NlR8rk5xfQDKne0sAvZHSj7TI6I/edit?usp=sharing"",""พระนครศรีอยุธยา!J209"")"),0)</f>
        <v>0</v>
      </c>
      <c r="AL64" s="93">
        <f t="shared" ca="1" si="96"/>
        <v>0</v>
      </c>
      <c r="AM64" s="92">
        <f ca="1">IFERROR(__xludf.DUMMYFUNCTION("IMPORTRANGE(""https://docs.google.com/spreadsheets/d/1BIDqLLg5jk3v59G8NlR8rk5xfQDKne0sAvZHSj7TI6I/edit?usp=sharing"",""พระนครศรีอยุธยา!J211"")"),0)</f>
        <v>0</v>
      </c>
      <c r="AN64" s="92">
        <f ca="1">IFERROR(__xludf.DUMMYFUNCTION("IMPORTRANGE(""https://docs.google.com/spreadsheets/d/1BIDqLLg5jk3v59G8NlR8rk5xfQDKne0sAvZHSj7TI6I/edit?usp=sharing"",""พระนครศรีอยุธยา!J212"")"),0)</f>
        <v>0</v>
      </c>
      <c r="AO64" s="92">
        <f ca="1">IFERROR(__xludf.DUMMYFUNCTION("IMPORTRANGE(""https://docs.google.com/spreadsheets/d/1BIDqLLg5jk3v59G8NlR8rk5xfQDKne0sAvZHSj7TI6I/edit?usp=sharing"",""พระนครศรีอยุธยา!L215"")"),0)</f>
        <v>0</v>
      </c>
      <c r="AP64" s="92">
        <f ca="1">IFERROR(__xludf.DUMMYFUNCTION("IMPORTRANGE(""https://docs.google.com/spreadsheets/d/1BIDqLLg5jk3v59G8NlR8rk5xfQDKne0sAvZHSj7TI6I/edit?usp=sharing"",""พระนครศรีอยุธยา!N215"")"),0)</f>
        <v>0</v>
      </c>
      <c r="AQ64" s="93">
        <f t="shared" ca="1" si="98"/>
        <v>0</v>
      </c>
      <c r="AR64" s="92">
        <f ca="1">IFERROR(__xludf.DUMMYFUNCTION("IMPORTRANGE(""https://docs.google.com/spreadsheets/d/1BIDqLLg5jk3v59G8NlR8rk5xfQDKne0sAvZHSj7TI6I/edit?usp=sharing"",""พระนครศรีอยุธยา!L216"")"),0)</f>
        <v>0</v>
      </c>
      <c r="AS64" s="92">
        <f ca="1">IFERROR(__xludf.DUMMYFUNCTION("IMPORTRANGE(""https://docs.google.com/spreadsheets/d/1BIDqLLg5jk3v59G8NlR8rk5xfQDKne0sAvZHSj7TI6I/edit?usp=sharing"",""พระนครศรีอยุธยา!N216"")"),0)</f>
        <v>0</v>
      </c>
      <c r="AT64" s="93">
        <f t="shared" ca="1" si="100"/>
        <v>0</v>
      </c>
      <c r="AU64" s="92">
        <f ca="1">IFERROR(__xludf.DUMMYFUNCTION("IMPORTRANGE(""https://docs.google.com/spreadsheets/d/1BIDqLLg5jk3v59G8NlR8rk5xfQDKne0sAvZHSj7TI6I/edit?usp=sharing"",""พระนครศรีอยุธยา!L217"")"),0)</f>
        <v>0</v>
      </c>
      <c r="AV64" s="92">
        <f ca="1">IFERROR(__xludf.DUMMYFUNCTION("IMPORTRANGE(""https://docs.google.com/spreadsheets/d/1BIDqLLg5jk3v59G8NlR8rk5xfQDKne0sAvZHSj7TI6I/edit?usp=sharing"",""พระนครศรีอยุธยา!N217"")"),0)</f>
        <v>0</v>
      </c>
      <c r="AW64" s="93">
        <f t="shared" ca="1" si="102"/>
        <v>0</v>
      </c>
      <c r="AX64" s="92">
        <f ca="1">IFERROR(__xludf.DUMMYFUNCTION("IMPORTRANGE(""https://docs.google.com/spreadsheets/d/1BIDqLLg5jk3v59G8NlR8rk5xfQDKne0sAvZHSj7TI6I/edit?usp=sharing"",""พระนครศรีอยุธยา!I219"")"),0)</f>
        <v>0</v>
      </c>
      <c r="AY64" s="92">
        <f ca="1">IFERROR(__xludf.DUMMYFUNCTION("IMPORTRANGE(""https://docs.google.com/spreadsheets/d/1BIDqLLg5jk3v59G8NlR8rk5xfQDKne0sAvZHSj7TI6I/edit?usp=sharing"",""พระนครศรีอยุธยา!J219"")"),0)</f>
        <v>0</v>
      </c>
      <c r="AZ64" s="93">
        <f t="shared" ca="1" si="104"/>
        <v>0</v>
      </c>
      <c r="BA64" s="92">
        <f ca="1">IFERROR(__xludf.DUMMYFUNCTION("IMPORTRANGE(""https://docs.google.com/spreadsheets/d/1BIDqLLg5jk3v59G8NlR8rk5xfQDKne0sAvZHSj7TI6I/edit?usp=sharing"",""พระนครศรีอยุธยา!I220"")"),0)</f>
        <v>0</v>
      </c>
      <c r="BB64" s="92">
        <f ca="1">IFERROR(__xludf.DUMMYFUNCTION("IMPORTRANGE(""https://docs.google.com/spreadsheets/d/1BIDqLLg5jk3v59G8NlR8rk5xfQDKne0sAvZHSj7TI6I/edit?usp=sharing"",""พระนครศรีอยุธยา!J220"")"),0)</f>
        <v>0</v>
      </c>
      <c r="BC64" s="93">
        <f t="shared" ca="1" si="106"/>
        <v>0</v>
      </c>
      <c r="BD64" s="92">
        <f ca="1">IFERROR(__xludf.DUMMYFUNCTION("IMPORTRANGE(""https://docs.google.com/spreadsheets/d/1BIDqLLg5jk3v59G8NlR8rk5xfQDKne0sAvZHSj7TI6I/edit?usp=sharing"",""พระนครศรีอยุธยา!L223"")"),3000)</f>
        <v>3000</v>
      </c>
      <c r="BE64" s="92">
        <f ca="1">IFERROR(__xludf.DUMMYFUNCTION("IMPORTRANGE(""https://docs.google.com/spreadsheets/d/1BIDqLLg5jk3v59G8NlR8rk5xfQDKne0sAvZHSj7TI6I/edit?usp=sharing"",""พระนครศรีอยุธยา!N223"")"),0)</f>
        <v>0</v>
      </c>
      <c r="BF64" s="93">
        <f t="shared" ca="1" si="108"/>
        <v>0</v>
      </c>
      <c r="BG64" s="92">
        <f ca="1">IFERROR(__xludf.DUMMYFUNCTION("IMPORTRANGE(""https://docs.google.com/spreadsheets/d/1BIDqLLg5jk3v59G8NlR8rk5xfQDKne0sAvZHSj7TI6I/edit?usp=sharing"",""พระนครศรีอยุธยา!L224"")"),1500)</f>
        <v>1500</v>
      </c>
      <c r="BH64" s="92">
        <f ca="1">IFERROR(__xludf.DUMMYFUNCTION("IMPORTRANGE(""https://docs.google.com/spreadsheets/d/1BIDqLLg5jk3v59G8NlR8rk5xfQDKne0sAvZHSj7TI6I/edit?usp=sharing"",""พระนครศรีอยุธยา!N224"")"),0)</f>
        <v>0</v>
      </c>
      <c r="BI64" s="93">
        <f t="shared" ca="1" si="110"/>
        <v>0</v>
      </c>
      <c r="BJ64" s="92">
        <f ca="1">IFERROR(__xludf.DUMMYFUNCTION("IMPORTRANGE(""https://docs.google.com/spreadsheets/d/1BIDqLLg5jk3v59G8NlR8rk5xfQDKne0sAvZHSj7TI6I/edit?usp=sharing"",""พระนครศรีอยุธยา!I228"")"),20000)</f>
        <v>20000</v>
      </c>
      <c r="BK64" s="92">
        <f ca="1">IFERROR(__xludf.DUMMYFUNCTION("IMPORTRANGE(""https://docs.google.com/spreadsheets/d/1BIDqLLg5jk3v59G8NlR8rk5xfQDKne0sAvZHSj7TI6I/edit?usp=sharing"",""พระนครศรีอยุธยา!J228"")"),0)</f>
        <v>0</v>
      </c>
      <c r="BL64" s="93">
        <f t="shared" ca="1" si="112"/>
        <v>0</v>
      </c>
      <c r="BM64" s="92">
        <f ca="1">IFERROR(__xludf.DUMMYFUNCTION("IMPORTRANGE(""https://docs.google.com/spreadsheets/d/1BIDqLLg5jk3v59G8NlR8rk5xfQDKne0sAvZHSj7TI6I/edit?usp=sharing"",""พระนครศรีอยุธยา!I229"")"),20000)</f>
        <v>20000</v>
      </c>
      <c r="BN64" s="92">
        <f ca="1">IFERROR(__xludf.DUMMYFUNCTION("IMPORTRANGE(""https://docs.google.com/spreadsheets/d/1BIDqLLg5jk3v59G8NlR8rk5xfQDKne0sAvZHSj7TI6I/edit?usp=sharing"",""พระนครศรีอยุธยา!J229"")"),0)</f>
        <v>0</v>
      </c>
      <c r="BO64" s="93">
        <f t="shared" ca="1" si="114"/>
        <v>0</v>
      </c>
      <c r="BP64" s="92">
        <f ca="1">IFERROR(__xludf.DUMMYFUNCTION("IMPORTRANGE(""https://docs.google.com/spreadsheets/d/1BIDqLLg5jk3v59G8NlR8rk5xfQDKne0sAvZHSj7TI6I/edit?usp=sharing"",""พระนครศรีอยุธยา!I230"")"),0)</f>
        <v>0</v>
      </c>
      <c r="BQ64" s="92">
        <f ca="1">IFERROR(__xludf.DUMMYFUNCTION("IMPORTRANGE(""https://docs.google.com/spreadsheets/d/1BIDqLLg5jk3v59G8NlR8rk5xfQDKne0sAvZHSj7TI6I/edit?usp=sharing"",""พระนครศรีอยุธยา!J230"")"),0)</f>
        <v>0</v>
      </c>
      <c r="BR64" s="93">
        <f t="shared" ca="1" si="116"/>
        <v>0</v>
      </c>
      <c r="BS64" s="92">
        <f ca="1">IFERROR(__xludf.DUMMYFUNCTION("IMPORTRANGE(""https://docs.google.com/spreadsheets/d/1BIDqLLg5jk3v59G8NlR8rk5xfQDKne0sAvZHSj7TI6I/edit?usp=sharing"",""พระนครศรีอยุธยา!L233"")"),99000)</f>
        <v>99000</v>
      </c>
      <c r="BT64" s="92">
        <f ca="1">IFERROR(__xludf.DUMMYFUNCTION("IMPORTRANGE(""https://docs.google.com/spreadsheets/d/1BIDqLLg5jk3v59G8NlR8rk5xfQDKne0sAvZHSj7TI6I/edit?usp=sharing"",""พระนครศรีอยุธยา!N233"")"),15500)</f>
        <v>15500</v>
      </c>
      <c r="BU64" s="93">
        <f t="shared" ca="1" si="118"/>
        <v>15.656565656565656</v>
      </c>
      <c r="BV64" s="92">
        <f ca="1">IFERROR(__xludf.DUMMYFUNCTION("IMPORTRANGE(""https://docs.google.com/spreadsheets/d/1BIDqLLg5jk3v59G8NlR8rk5xfQDKne0sAvZHSj7TI6I/edit?usp=sharing"",""พระนครศรีอยุธยา!L234"")"),3000)</f>
        <v>3000</v>
      </c>
      <c r="BW64" s="92">
        <f ca="1">IFERROR(__xludf.DUMMYFUNCTION("IMPORTRANGE(""https://docs.google.com/spreadsheets/d/1BIDqLLg5jk3v59G8NlR8rk5xfQDKne0sAvZHSj7TI6I/edit?usp=sharing"",""พระนครศรีอยุธยา!N234"")"),1410)</f>
        <v>1410</v>
      </c>
      <c r="BX64" s="93">
        <f t="shared" ca="1" si="120"/>
        <v>47</v>
      </c>
      <c r="BY64" s="92">
        <f ca="1">IFERROR(__xludf.DUMMYFUNCTION("IMPORTRANGE(""https://docs.google.com/spreadsheets/d/1BIDqLLg5jk3v59G8NlR8rk5xfQDKne0sAvZHSj7TI6I/edit?usp=sharing"",""พระนครศรีอยุธยา!L235"")"),78600)</f>
        <v>78600</v>
      </c>
      <c r="BZ64" s="92">
        <f ca="1">IFERROR(__xludf.DUMMYFUNCTION("IMPORTRANGE(""https://docs.google.com/spreadsheets/d/1BIDqLLg5jk3v59G8NlR8rk5xfQDKne0sAvZHSj7TI6I/edit?usp=sharing"",""พระนครศรีอยุธยา!N235"")"),0)</f>
        <v>0</v>
      </c>
      <c r="CA64" s="93">
        <f t="shared" ca="1" si="122"/>
        <v>0</v>
      </c>
      <c r="CB64" s="92">
        <f ca="1">IFERROR(__xludf.DUMMYFUNCTION("IMPORTRANGE(""https://docs.google.com/spreadsheets/d/1BIDqLLg5jk3v59G8NlR8rk5xfQDKne0sAvZHSj7TI6I/edit?usp=sharing"",""พระนครศรีอยุธยา!L236"")"),33000)</f>
        <v>33000</v>
      </c>
      <c r="CC64" s="92">
        <f ca="1">IFERROR(__xludf.DUMMYFUNCTION("IMPORTRANGE(""https://docs.google.com/spreadsheets/d/1BIDqLLg5jk3v59G8NlR8rk5xfQDKne0sAvZHSj7TI6I/edit?usp=sharing"",""พระนครศรีอยุธยา!N236"")"),0)</f>
        <v>0</v>
      </c>
      <c r="CD64" s="93">
        <f t="shared" ca="1" si="124"/>
        <v>0</v>
      </c>
      <c r="CE64" s="92">
        <f ca="1">IFERROR(__xludf.DUMMYFUNCTION("IMPORTRANGE(""https://docs.google.com/spreadsheets/d/1BIDqLLg5jk3v59G8NlR8rk5xfQDKne0sAvZHSj7TI6I/edit?usp=sharing"",""พระนครศรีอยุธยา!I238"")"),40)</f>
        <v>40</v>
      </c>
      <c r="CF64" s="92">
        <f ca="1">IFERROR(__xludf.DUMMYFUNCTION("IMPORTRANGE(""https://docs.google.com/spreadsheets/d/1BIDqLLg5jk3v59G8NlR8rk5xfQDKne0sAvZHSj7TI6I/edit?usp=sharing"",""พระนครศรีอยุธยา!J238"")"),0)</f>
        <v>0</v>
      </c>
      <c r="CG64" s="93">
        <f t="shared" ca="1" si="126"/>
        <v>0</v>
      </c>
      <c r="CH64" s="92">
        <f ca="1">IFERROR(__xludf.DUMMYFUNCTION("IMPORTRANGE(""https://docs.google.com/spreadsheets/d/1BIDqLLg5jk3v59G8NlR8rk5xfQDKne0sAvZHSj7TI6I/edit?usp=sharing"",""พระนครศรีอยุธยา!J240"")"),0)</f>
        <v>0</v>
      </c>
      <c r="CI64" s="92">
        <f ca="1">IFERROR(__xludf.DUMMYFUNCTION("IMPORTRANGE(""https://docs.google.com/spreadsheets/d/1BIDqLLg5jk3v59G8NlR8rk5xfQDKne0sAvZHSj7TI6I/edit?usp=sharing"",""พระนครศรีอยุธยา!J241"")"),0)</f>
        <v>0</v>
      </c>
    </row>
    <row r="65" spans="1:87" ht="21" customHeight="1" x14ac:dyDescent="0.3">
      <c r="A65" s="84">
        <v>13</v>
      </c>
      <c r="B65" s="85" t="s">
        <v>87</v>
      </c>
      <c r="C65" s="174">
        <f t="shared" ca="1" si="77"/>
        <v>38500</v>
      </c>
      <c r="D65" s="175">
        <f t="shared" ca="1" si="176"/>
        <v>38500</v>
      </c>
      <c r="E65" s="176">
        <f ca="1">IFERROR(__xludf.DUMMYFUNCTION("IMPORTRANGE(""https://docs.google.com/spreadsheets/d/1-uDff_7J0KD5mKrp0Vvzr7lt3OU09vwQwhkpOPPYv2Y/edit?usp=sharing"",""งบพรบ!CV65"")"),0)</f>
        <v>0</v>
      </c>
      <c r="F65" s="176">
        <f ca="1">IFERROR(__xludf.DUMMYFUNCTION("IMPORTRANGE(""https://docs.google.com/spreadsheets/d/1-uDff_7J0KD5mKrp0Vvzr7lt3OU09vwQwhkpOPPYv2Y/edit?usp=sharing"",""งบพรบ!CW65"")"),38500)</f>
        <v>38500</v>
      </c>
      <c r="G65" s="176">
        <f ca="1">IFERROR(__xludf.DUMMYFUNCTION("IMPORTRANGE(""https://docs.google.com/spreadsheets/d/1-uDff_7J0KD5mKrp0Vvzr7lt3OU09vwQwhkpOPPYv2Y/edit?usp=sharing"",""งบพรบ!CX65"")"),0)</f>
        <v>0</v>
      </c>
      <c r="H65" s="176">
        <f ca="1">IFERROR(__xludf.DUMMYFUNCTION("IMPORTRANGE(""https://docs.google.com/spreadsheets/d/1-uDff_7J0KD5mKrp0Vvzr7lt3OU09vwQwhkpOPPYv2Y/edit?usp=sharing"",""งบพรบ!CZ65"")"),22500)</f>
        <v>22500</v>
      </c>
      <c r="I65" s="176">
        <f ca="1">IFERROR(__xludf.DUMMYFUNCTION("IMPORTRANGE(""https://docs.google.com/spreadsheets/d/1-uDff_7J0KD5mKrp0Vvzr7lt3OU09vwQwhkpOPPYv2Y/edit?usp=sharing"",""งบพรบ!DA65"")"),0)</f>
        <v>0</v>
      </c>
      <c r="J65" s="176">
        <f t="shared" ca="1" si="79"/>
        <v>0</v>
      </c>
      <c r="K65" s="181">
        <f t="shared" ca="1" si="80"/>
        <v>0</v>
      </c>
      <c r="L65" s="176">
        <f ca="1">IFERROR(__xludf.DUMMYFUNCTION("IMPORTRANGE(""https://docs.google.com/spreadsheets/d/1-uDff_7J0KD5mKrp0Vvzr7lt3OU09vwQwhkpOPPYv2Y/edit?usp=sharing"",""งบพรบ!DB65"")"),0)</f>
        <v>0</v>
      </c>
      <c r="M65" s="179">
        <f t="shared" ca="1" si="81"/>
        <v>0</v>
      </c>
      <c r="N65" s="179">
        <f t="shared" ca="1" si="82"/>
        <v>0</v>
      </c>
      <c r="O65" s="180">
        <f ca="1">IFERROR(__xludf.DUMMYFUNCTION("IMPORTRANGE(""https://docs.google.com/spreadsheets/d/1-uDff_7J0KD5mKrp0Vvzr7lt3OU09vwQwhkpOPPYv2Y/edit?usp=sharing"",""งบพรบ!DC65"")"),0)</f>
        <v>0</v>
      </c>
      <c r="P65" s="180">
        <f t="shared" ca="1" si="83"/>
        <v>0</v>
      </c>
      <c r="Q65" s="179">
        <f t="shared" ca="1" si="84"/>
        <v>0</v>
      </c>
      <c r="R65" s="92">
        <f ca="1">IFERROR(__xludf.DUMMYFUNCTION("IMPORTRANGE(""https://docs.google.com/spreadsheets/d/1YXvxf8Yu6_rV4hTBrwMqAcAnv6DfhUxh5emyM3CJp_w/edit?usp=sharing"",""เพชรบุรี!L196"")"),6000)</f>
        <v>6000</v>
      </c>
      <c r="S65" s="92">
        <f ca="1">IFERROR(__xludf.DUMMYFUNCTION("IMPORTRANGE(""https://docs.google.com/spreadsheets/d/1YXvxf8Yu6_rV4hTBrwMqAcAnv6DfhUxh5emyM3CJp_w/edit?usp=sharing"",""เพชรบุรี!N196"")"),0)</f>
        <v>0</v>
      </c>
      <c r="T65" s="93">
        <f t="shared" ca="1" si="86"/>
        <v>0</v>
      </c>
      <c r="U65" s="92">
        <f ca="1">IFERROR(__xludf.DUMMYFUNCTION("IMPORTRANGE(""https://docs.google.com/spreadsheets/d/1YXvxf8Yu6_rV4hTBrwMqAcAnv6DfhUxh5emyM3CJp_w/edit?usp=sharing"",""เพชรบุรี!I198"")"),4)</f>
        <v>4</v>
      </c>
      <c r="V65" s="92">
        <f ca="1">IFERROR(__xludf.DUMMYFUNCTION("IMPORTRANGE(""https://docs.google.com/spreadsheets/d/1YXvxf8Yu6_rV4hTBrwMqAcAnv6DfhUxh5emyM3CJp_w/edit?usp=sharing"",""เพชรบุรี!J198"")"),0)</f>
        <v>0</v>
      </c>
      <c r="W65" s="93">
        <f t="shared" ca="1" si="88"/>
        <v>0</v>
      </c>
      <c r="X65" s="92">
        <f ca="1">IFERROR(__xludf.DUMMYFUNCTION("IMPORTRANGE(""https://docs.google.com/spreadsheets/d/1YXvxf8Yu6_rV4hTBrwMqAcAnv6DfhUxh5emyM3CJp_w/edit?usp=sharing"",""เพชรบุรี!J199"")"),0)</f>
        <v>0</v>
      </c>
      <c r="Y65" s="92">
        <f ca="1">IFERROR(__xludf.DUMMYFUNCTION("IMPORTRANGE(""https://docs.google.com/spreadsheets/d/1YXvxf8Yu6_rV4hTBrwMqAcAnv6DfhUxh5emyM3CJp_w/edit?usp=sharing"",""เพชรบุรี!J200"")"),0)</f>
        <v>0</v>
      </c>
      <c r="Z65" s="92">
        <f ca="1">IFERROR(__xludf.DUMMYFUNCTION("IMPORTRANGE(""https://docs.google.com/spreadsheets/d/1YXvxf8Yu6_rV4hTBrwMqAcAnv6DfhUxh5emyM3CJp_w/edit?usp=sharing"",""เพชรบุรี!J201"")"),0)</f>
        <v>0</v>
      </c>
      <c r="AA65" s="92">
        <f ca="1">IFERROR(__xludf.DUMMYFUNCTION("IMPORTRANGE(""https://docs.google.com/spreadsheets/d/1YXvxf8Yu6_rV4hTBrwMqAcAnv6DfhUxh5emyM3CJp_w/edit?usp=sharing"",""เพชรบุรี!L204"")"),2000)</f>
        <v>2000</v>
      </c>
      <c r="AB65" s="92">
        <f ca="1">IFERROR(__xludf.DUMMYFUNCTION("IMPORTRANGE(""https://docs.google.com/spreadsheets/d/1YXvxf8Yu6_rV4hTBrwMqAcAnv6DfhUxh5emyM3CJp_w/edit?usp=sharing"",""เพชรบุรี!N204"")"),0)</f>
        <v>0</v>
      </c>
      <c r="AC65" s="93">
        <f t="shared" ca="1" si="90"/>
        <v>0</v>
      </c>
      <c r="AD65" s="92">
        <f ca="1">IFERROR(__xludf.DUMMYFUNCTION("IMPORTRANGE(""https://docs.google.com/spreadsheets/d/1YXvxf8Yu6_rV4hTBrwMqAcAnv6DfhUxh5emyM3CJp_w/edit?usp=sharing"",""เพชรบุรี!L206"")"),16000)</f>
        <v>16000</v>
      </c>
      <c r="AE65" s="92">
        <f ca="1">IFERROR(__xludf.DUMMYFUNCTION("IMPORTRANGE(""https://docs.google.com/spreadsheets/d/1YXvxf8Yu6_rV4hTBrwMqAcAnv6DfhUxh5emyM3CJp_w/edit?usp=sharing"",""เพชรบุรี!N206"")"),0)</f>
        <v>0</v>
      </c>
      <c r="AF65" s="93">
        <f t="shared" ca="1" si="92"/>
        <v>0</v>
      </c>
      <c r="AG65" s="92">
        <f ca="1">IFERROR(__xludf.DUMMYFUNCTION("IMPORTRANGE(""https://docs.google.com/spreadsheets/d/1YXvxf8Yu6_rV4hTBrwMqAcAnv6DfhUxh5emyM3CJp_w/edit?usp=sharing"",""เพชรบุรี!L207"")"),8000)</f>
        <v>8000</v>
      </c>
      <c r="AH65" s="92">
        <f ca="1">IFERROR(__xludf.DUMMYFUNCTION("IMPORTRANGE(""https://docs.google.com/spreadsheets/d/1YXvxf8Yu6_rV4hTBrwMqAcAnv6DfhUxh5emyM3CJp_w/edit?usp=sharing"",""เพชรบุรี!N207"")"),0)</f>
        <v>0</v>
      </c>
      <c r="AI65" s="93">
        <f t="shared" ca="1" si="94"/>
        <v>0</v>
      </c>
      <c r="AJ65" s="92">
        <f ca="1">IFERROR(__xludf.DUMMYFUNCTION("IMPORTRANGE(""https://docs.google.com/spreadsheets/d/1YXvxf8Yu6_rV4hTBrwMqAcAnv6DfhUxh5emyM3CJp_w/edit?usp=sharing"",""เพชรบุรี!I209"")"),2)</f>
        <v>2</v>
      </c>
      <c r="AK65" s="92">
        <f ca="1">IFERROR(__xludf.DUMMYFUNCTION("IMPORTRANGE(""https://docs.google.com/spreadsheets/d/1YXvxf8Yu6_rV4hTBrwMqAcAnv6DfhUxh5emyM3CJp_w/edit?usp=sharing"",""เพชรบุรี!J209"")"),0)</f>
        <v>0</v>
      </c>
      <c r="AL65" s="93">
        <f t="shared" ca="1" si="96"/>
        <v>0</v>
      </c>
      <c r="AM65" s="92">
        <f ca="1">IFERROR(__xludf.DUMMYFUNCTION("IMPORTRANGE(""https://docs.google.com/spreadsheets/d/1YXvxf8Yu6_rV4hTBrwMqAcAnv6DfhUxh5emyM3CJp_w/edit?usp=sharing"",""เพชรบุรี!J211"")"),0)</f>
        <v>0</v>
      </c>
      <c r="AN65" s="92">
        <f ca="1">IFERROR(__xludf.DUMMYFUNCTION("IMPORTRANGE(""https://docs.google.com/spreadsheets/d/1YXvxf8Yu6_rV4hTBrwMqAcAnv6DfhUxh5emyM3CJp_w/edit?usp=sharing"",""เพชรบุรี!J212"")"),0)</f>
        <v>0</v>
      </c>
      <c r="AO65" s="92">
        <f ca="1">IFERROR(__xludf.DUMMYFUNCTION("IMPORTRANGE(""https://docs.google.com/spreadsheets/d/1YXvxf8Yu6_rV4hTBrwMqAcAnv6DfhUxh5emyM3CJp_w/edit?usp=sharing"",""เพชรบุรี!L215"")"),0)</f>
        <v>0</v>
      </c>
      <c r="AP65" s="92">
        <f ca="1">IFERROR(__xludf.DUMMYFUNCTION("IMPORTRANGE(""https://docs.google.com/spreadsheets/d/1YXvxf8Yu6_rV4hTBrwMqAcAnv6DfhUxh5emyM3CJp_w/edit?usp=sharing"",""เพชรบุรี!N215"")"),0)</f>
        <v>0</v>
      </c>
      <c r="AQ65" s="93">
        <f t="shared" ca="1" si="98"/>
        <v>0</v>
      </c>
      <c r="AR65" s="92">
        <f ca="1">IFERROR(__xludf.DUMMYFUNCTION("IMPORTRANGE(""https://docs.google.com/spreadsheets/d/1YXvxf8Yu6_rV4hTBrwMqAcAnv6DfhUxh5emyM3CJp_w/edit?usp=sharing"",""เพชรบุรี!L216"")"),0)</f>
        <v>0</v>
      </c>
      <c r="AS65" s="92">
        <f ca="1">IFERROR(__xludf.DUMMYFUNCTION("IMPORTRANGE(""https://docs.google.com/spreadsheets/d/1YXvxf8Yu6_rV4hTBrwMqAcAnv6DfhUxh5emyM3CJp_w/edit?usp=sharing"",""เพชรบุรี!N216"")"),0)</f>
        <v>0</v>
      </c>
      <c r="AT65" s="93">
        <f t="shared" ca="1" si="100"/>
        <v>0</v>
      </c>
      <c r="AU65" s="92">
        <f ca="1">IFERROR(__xludf.DUMMYFUNCTION("IMPORTRANGE(""https://docs.google.com/spreadsheets/d/1YXvxf8Yu6_rV4hTBrwMqAcAnv6DfhUxh5emyM3CJp_w/edit?usp=sharing"",""เพชรบุรี!L217"")"),0)</f>
        <v>0</v>
      </c>
      <c r="AV65" s="92">
        <f ca="1">IFERROR(__xludf.DUMMYFUNCTION("IMPORTRANGE(""https://docs.google.com/spreadsheets/d/1YXvxf8Yu6_rV4hTBrwMqAcAnv6DfhUxh5emyM3CJp_w/edit?usp=sharing"",""เพชรบุรี!N217"")"),0)</f>
        <v>0</v>
      </c>
      <c r="AW65" s="93">
        <f t="shared" ca="1" si="102"/>
        <v>0</v>
      </c>
      <c r="AX65" s="92">
        <f ca="1">IFERROR(__xludf.DUMMYFUNCTION("IMPORTRANGE(""https://docs.google.com/spreadsheets/d/1YXvxf8Yu6_rV4hTBrwMqAcAnv6DfhUxh5emyM3CJp_w/edit?usp=sharing"",""เพชรบุรี!I219"")"),0)</f>
        <v>0</v>
      </c>
      <c r="AY65" s="92">
        <f ca="1">IFERROR(__xludf.DUMMYFUNCTION("IMPORTRANGE(""https://docs.google.com/spreadsheets/d/1YXvxf8Yu6_rV4hTBrwMqAcAnv6DfhUxh5emyM3CJp_w/edit?usp=sharing"",""เพชรบุรี!J219"")"),0)</f>
        <v>0</v>
      </c>
      <c r="AZ65" s="93">
        <f t="shared" ca="1" si="104"/>
        <v>0</v>
      </c>
      <c r="BA65" s="92">
        <f ca="1">IFERROR(__xludf.DUMMYFUNCTION("IMPORTRANGE(""https://docs.google.com/spreadsheets/d/1YXvxf8Yu6_rV4hTBrwMqAcAnv6DfhUxh5emyM3CJp_w/edit?usp=sharing"",""เพชรบุรี!I220"")"),0)</f>
        <v>0</v>
      </c>
      <c r="BB65" s="92">
        <f ca="1">IFERROR(__xludf.DUMMYFUNCTION("IMPORTRANGE(""https://docs.google.com/spreadsheets/d/1YXvxf8Yu6_rV4hTBrwMqAcAnv6DfhUxh5emyM3CJp_w/edit?usp=sharing"",""เพชรบุรี!J220"")"),0)</f>
        <v>0</v>
      </c>
      <c r="BC65" s="93">
        <f t="shared" ca="1" si="106"/>
        <v>0</v>
      </c>
      <c r="BD65" s="92">
        <f ca="1">IFERROR(__xludf.DUMMYFUNCTION("IMPORTRANGE(""https://docs.google.com/spreadsheets/d/1YXvxf8Yu6_rV4hTBrwMqAcAnv6DfhUxh5emyM3CJp_w/edit?usp=sharing"",""เพชรบุรี!L223"")"),5000)</f>
        <v>5000</v>
      </c>
      <c r="BE65" s="92">
        <f ca="1">IFERROR(__xludf.DUMMYFUNCTION("IMPORTRANGE(""https://docs.google.com/spreadsheets/d/1YXvxf8Yu6_rV4hTBrwMqAcAnv6DfhUxh5emyM3CJp_w/edit?usp=sharing"",""เพชรบุรี!N223"")"),0)</f>
        <v>0</v>
      </c>
      <c r="BF65" s="93">
        <f t="shared" ca="1" si="108"/>
        <v>0</v>
      </c>
      <c r="BG65" s="92">
        <f ca="1">IFERROR(__xludf.DUMMYFUNCTION("IMPORTRANGE(""https://docs.google.com/spreadsheets/d/1YXvxf8Yu6_rV4hTBrwMqAcAnv6DfhUxh5emyM3CJp_w/edit?usp=sharing"",""เพชรบุรี!L224"")"),1500)</f>
        <v>1500</v>
      </c>
      <c r="BH65" s="92">
        <f ca="1">IFERROR(__xludf.DUMMYFUNCTION("IMPORTRANGE(""https://docs.google.com/spreadsheets/d/1YXvxf8Yu6_rV4hTBrwMqAcAnv6DfhUxh5emyM3CJp_w/edit?usp=sharing"",""เพชรบุรี!N224"")"),0)</f>
        <v>0</v>
      </c>
      <c r="BI65" s="93">
        <f t="shared" ca="1" si="110"/>
        <v>0</v>
      </c>
      <c r="BJ65" s="92">
        <f ca="1">IFERROR(__xludf.DUMMYFUNCTION("IMPORTRANGE(""https://docs.google.com/spreadsheets/d/1YXvxf8Yu6_rV4hTBrwMqAcAnv6DfhUxh5emyM3CJp_w/edit?usp=sharing"",""เพชรบุรี!I228"")"),30000)</f>
        <v>30000</v>
      </c>
      <c r="BK65" s="92">
        <f ca="1">IFERROR(__xludf.DUMMYFUNCTION("IMPORTRANGE(""https://docs.google.com/spreadsheets/d/1YXvxf8Yu6_rV4hTBrwMqAcAnv6DfhUxh5emyM3CJp_w/edit?usp=sharing"",""เพชรบุรี!J228"")"),0)</f>
        <v>0</v>
      </c>
      <c r="BL65" s="93">
        <f t="shared" ca="1" si="112"/>
        <v>0</v>
      </c>
      <c r="BM65" s="92">
        <f ca="1">IFERROR(__xludf.DUMMYFUNCTION("IMPORTRANGE(""https://docs.google.com/spreadsheets/d/1YXvxf8Yu6_rV4hTBrwMqAcAnv6DfhUxh5emyM3CJp_w/edit?usp=sharing"",""เพชรบุรี!I229"")"),30000)</f>
        <v>30000</v>
      </c>
      <c r="BN65" s="92">
        <f ca="1">IFERROR(__xludf.DUMMYFUNCTION("IMPORTRANGE(""https://docs.google.com/spreadsheets/d/1YXvxf8Yu6_rV4hTBrwMqAcAnv6DfhUxh5emyM3CJp_w/edit?usp=sharing"",""เพชรบุรี!J229"")"),0)</f>
        <v>0</v>
      </c>
      <c r="BO65" s="93">
        <f t="shared" ca="1" si="114"/>
        <v>0</v>
      </c>
      <c r="BP65" s="92">
        <f ca="1">IFERROR(__xludf.DUMMYFUNCTION("IMPORTRANGE(""https://docs.google.com/spreadsheets/d/1YXvxf8Yu6_rV4hTBrwMqAcAnv6DfhUxh5emyM3CJp_w/edit?usp=sharing"",""เพชรบุรี!I230"")"),0)</f>
        <v>0</v>
      </c>
      <c r="BQ65" s="92">
        <f ca="1">IFERROR(__xludf.DUMMYFUNCTION("IMPORTRANGE(""https://docs.google.com/spreadsheets/d/1YXvxf8Yu6_rV4hTBrwMqAcAnv6DfhUxh5emyM3CJp_w/edit?usp=sharing"",""เพชรบุรี!J230"")"),0)</f>
        <v>0</v>
      </c>
      <c r="BR65" s="93">
        <f t="shared" ca="1" si="116"/>
        <v>0</v>
      </c>
      <c r="BS65" s="92">
        <f ca="1">IFERROR(__xludf.DUMMYFUNCTION("IMPORTRANGE(""https://docs.google.com/spreadsheets/d/1YXvxf8Yu6_rV4hTBrwMqAcAnv6DfhUxh5emyM3CJp_w/edit?usp=sharing"",""เพชรบุรี!L233"")"),0)</f>
        <v>0</v>
      </c>
      <c r="BT65" s="92">
        <f ca="1">IFERROR(__xludf.DUMMYFUNCTION("IMPORTRANGE(""https://docs.google.com/spreadsheets/d/1YXvxf8Yu6_rV4hTBrwMqAcAnv6DfhUxh5emyM3CJp_w/edit?usp=sharing"",""เพชรบุรี!N233"")"),0)</f>
        <v>0</v>
      </c>
      <c r="BU65" s="93">
        <f t="shared" ca="1" si="118"/>
        <v>0</v>
      </c>
      <c r="BV65" s="92">
        <f ca="1">IFERROR(__xludf.DUMMYFUNCTION("IMPORTRANGE(""https://docs.google.com/spreadsheets/d/1YXvxf8Yu6_rV4hTBrwMqAcAnv6DfhUxh5emyM3CJp_w/edit?usp=sharing"",""เพชรบุรี!L234"")"),0)</f>
        <v>0</v>
      </c>
      <c r="BW65" s="92">
        <f ca="1">IFERROR(__xludf.DUMMYFUNCTION("IMPORTRANGE(""https://docs.google.com/spreadsheets/d/1YXvxf8Yu6_rV4hTBrwMqAcAnv6DfhUxh5emyM3CJp_w/edit?usp=sharing"",""เพชรบุรี!N234"")"),0)</f>
        <v>0</v>
      </c>
      <c r="BX65" s="93">
        <f t="shared" ca="1" si="120"/>
        <v>0</v>
      </c>
      <c r="BY65" s="92">
        <f ca="1">IFERROR(__xludf.DUMMYFUNCTION("IMPORTRANGE(""https://docs.google.com/spreadsheets/d/1YXvxf8Yu6_rV4hTBrwMqAcAnv6DfhUxh5emyM3CJp_w/edit?usp=sharing"",""เพชรบุรี!L235"")"),0)</f>
        <v>0</v>
      </c>
      <c r="BZ65" s="92">
        <f ca="1">IFERROR(__xludf.DUMMYFUNCTION("IMPORTRANGE(""https://docs.google.com/spreadsheets/d/1YXvxf8Yu6_rV4hTBrwMqAcAnv6DfhUxh5emyM3CJp_w/edit?usp=sharing"",""เพชรบุรี!N235"")"),0)</f>
        <v>0</v>
      </c>
      <c r="CA65" s="93">
        <f t="shared" ca="1" si="122"/>
        <v>0</v>
      </c>
      <c r="CB65" s="92">
        <f ca="1">IFERROR(__xludf.DUMMYFUNCTION("IMPORTRANGE(""https://docs.google.com/spreadsheets/d/1YXvxf8Yu6_rV4hTBrwMqAcAnv6DfhUxh5emyM3CJp_w/edit?usp=sharing"",""เพชรบุรี!L236"")"),0)</f>
        <v>0</v>
      </c>
      <c r="CC65" s="92">
        <f ca="1">IFERROR(__xludf.DUMMYFUNCTION("IMPORTRANGE(""https://docs.google.com/spreadsheets/d/1YXvxf8Yu6_rV4hTBrwMqAcAnv6DfhUxh5emyM3CJp_w/edit?usp=sharing"",""เพชรบุรี!N236"")"),0)</f>
        <v>0</v>
      </c>
      <c r="CD65" s="93">
        <f t="shared" ca="1" si="124"/>
        <v>0</v>
      </c>
      <c r="CE65" s="92">
        <f ca="1">IFERROR(__xludf.DUMMYFUNCTION("IMPORTRANGE(""https://docs.google.com/spreadsheets/d/1YXvxf8Yu6_rV4hTBrwMqAcAnv6DfhUxh5emyM3CJp_w/edit?usp=sharing"",""เพชรบุรี!I238"")"),0)</f>
        <v>0</v>
      </c>
      <c r="CF65" s="92">
        <f ca="1">IFERROR(__xludf.DUMMYFUNCTION("IMPORTRANGE(""https://docs.google.com/spreadsheets/d/1YXvxf8Yu6_rV4hTBrwMqAcAnv6DfhUxh5emyM3CJp_w/edit?usp=sharing"",""เพชรบุรี!J238"")"),0)</f>
        <v>0</v>
      </c>
      <c r="CG65" s="93">
        <f t="shared" ca="1" si="126"/>
        <v>0</v>
      </c>
      <c r="CH65" s="92">
        <f ca="1">IFERROR(__xludf.DUMMYFUNCTION("IMPORTRANGE(""https://docs.google.com/spreadsheets/d/1YXvxf8Yu6_rV4hTBrwMqAcAnv6DfhUxh5emyM3CJp_w/edit?usp=sharing"",""เพชรบุรี!J240"")"),0)</f>
        <v>0</v>
      </c>
      <c r="CI65" s="92">
        <f ca="1">IFERROR(__xludf.DUMMYFUNCTION("IMPORTRANGE(""https://docs.google.com/spreadsheets/d/1YXvxf8Yu6_rV4hTBrwMqAcAnv6DfhUxh5emyM3CJp_w/edit?usp=sharing"",""เพชรบุรี!J241"")"),0)</f>
        <v>0</v>
      </c>
    </row>
    <row r="66" spans="1:87" ht="21" customHeight="1" x14ac:dyDescent="0.3">
      <c r="A66" s="84">
        <v>14</v>
      </c>
      <c r="B66" s="85" t="s">
        <v>88</v>
      </c>
      <c r="C66" s="174">
        <f t="shared" ca="1" si="77"/>
        <v>150200</v>
      </c>
      <c r="D66" s="175">
        <f t="shared" ca="1" si="176"/>
        <v>150200</v>
      </c>
      <c r="E66" s="176">
        <f ca="1">IFERROR(__xludf.DUMMYFUNCTION("IMPORTRANGE(""https://docs.google.com/spreadsheets/d/1-uDff_7J0KD5mKrp0Vvzr7lt3OU09vwQwhkpOPPYv2Y/edit?usp=sharing"",""งบพรบ!CV66"")"),77200)</f>
        <v>77200</v>
      </c>
      <c r="F66" s="176">
        <f ca="1">IFERROR(__xludf.DUMMYFUNCTION("IMPORTRANGE(""https://docs.google.com/spreadsheets/d/1-uDff_7J0KD5mKrp0Vvzr7lt3OU09vwQwhkpOPPYv2Y/edit?usp=sharing"",""งบพรบ!CW66"")"),73000)</f>
        <v>73000</v>
      </c>
      <c r="G66" s="176">
        <f ca="1">IFERROR(__xludf.DUMMYFUNCTION("IMPORTRANGE(""https://docs.google.com/spreadsheets/d/1-uDff_7J0KD5mKrp0Vvzr7lt3OU09vwQwhkpOPPYv2Y/edit?usp=sharing"",""งบพรบ!CX66"")"),0)</f>
        <v>0</v>
      </c>
      <c r="H66" s="176">
        <f ca="1">IFERROR(__xludf.DUMMYFUNCTION("IMPORTRANGE(""https://docs.google.com/spreadsheets/d/1-uDff_7J0KD5mKrp0Vvzr7lt3OU09vwQwhkpOPPYv2Y/edit?usp=sharing"",""งบพรบ!CZ66"")"),118500)</f>
        <v>118500</v>
      </c>
      <c r="I66" s="176">
        <f ca="1">IFERROR(__xludf.DUMMYFUNCTION("IMPORTRANGE(""https://docs.google.com/spreadsheets/d/1-uDff_7J0KD5mKrp0Vvzr7lt3OU09vwQwhkpOPPYv2Y/edit?usp=sharing"",""งบพรบ!DA66"")"),0)</f>
        <v>0</v>
      </c>
      <c r="J66" s="176">
        <f t="shared" ca="1" si="79"/>
        <v>41091.599999999999</v>
      </c>
      <c r="K66" s="181">
        <f t="shared" ca="1" si="80"/>
        <v>27.357922769640478</v>
      </c>
      <c r="L66" s="176">
        <f ca="1">IFERROR(__xludf.DUMMYFUNCTION("IMPORTRANGE(""https://docs.google.com/spreadsheets/d/1-uDff_7J0KD5mKrp0Vvzr7lt3OU09vwQwhkpOPPYv2Y/edit?usp=sharing"",""งบพรบ!DB66"")"),41091.6)</f>
        <v>41091.599999999999</v>
      </c>
      <c r="M66" s="179">
        <f t="shared" ca="1" si="81"/>
        <v>27.357922769640478</v>
      </c>
      <c r="N66" s="179">
        <f t="shared" ca="1" si="82"/>
        <v>34.676455696202531</v>
      </c>
      <c r="O66" s="180">
        <f ca="1">IFERROR(__xludf.DUMMYFUNCTION("IMPORTRANGE(""https://docs.google.com/spreadsheets/d/1-uDff_7J0KD5mKrp0Vvzr7lt3OU09vwQwhkpOPPYv2Y/edit?usp=sharing"",""งบพรบ!DC66"")"),0)</f>
        <v>0</v>
      </c>
      <c r="P66" s="180">
        <f t="shared" ca="1" si="83"/>
        <v>0</v>
      </c>
      <c r="Q66" s="179">
        <f t="shared" ca="1" si="84"/>
        <v>0</v>
      </c>
      <c r="R66" s="92">
        <f ca="1">IFERROR(__xludf.DUMMYFUNCTION("IMPORTRANGE(""https://docs.google.com/spreadsheets/d/19KBlQQs7uwvsao6t2n-KvW3Ax8J8uRRfZPq1zPbXgKc/edit?usp=sharing"",""ระยอง!L196"")"),6000)</f>
        <v>6000</v>
      </c>
      <c r="S66" s="92">
        <f ca="1">IFERROR(__xludf.DUMMYFUNCTION("IMPORTRANGE(""https://docs.google.com/spreadsheets/d/19KBlQQs7uwvsao6t2n-KvW3Ax8J8uRRfZPq1zPbXgKc/edit?usp=sharing"",""ระยอง!N196"")"),0)</f>
        <v>0</v>
      </c>
      <c r="T66" s="93">
        <f t="shared" ca="1" si="86"/>
        <v>0</v>
      </c>
      <c r="U66" s="92">
        <f ca="1">IFERROR(__xludf.DUMMYFUNCTION("IMPORTRANGE(""https://docs.google.com/spreadsheets/d/19KBlQQs7uwvsao6t2n-KvW3Ax8J8uRRfZPq1zPbXgKc/edit?usp=sharing"",""ระยอง!I198"")"),4)</f>
        <v>4</v>
      </c>
      <c r="V66" s="92">
        <f ca="1">IFERROR(__xludf.DUMMYFUNCTION("IMPORTRANGE(""https://docs.google.com/spreadsheets/d/19KBlQQs7uwvsao6t2n-KvW3Ax8J8uRRfZPq1zPbXgKc/edit?usp=sharing"",""ระยอง!J198"")"),0)</f>
        <v>0</v>
      </c>
      <c r="W66" s="93">
        <f t="shared" ca="1" si="88"/>
        <v>0</v>
      </c>
      <c r="X66" s="92">
        <f ca="1">IFERROR(__xludf.DUMMYFUNCTION("IMPORTRANGE(""https://docs.google.com/spreadsheets/d/19KBlQQs7uwvsao6t2n-KvW3Ax8J8uRRfZPq1zPbXgKc/edit?usp=sharing"",""ระยอง!J199"")"),0)</f>
        <v>0</v>
      </c>
      <c r="Y66" s="92">
        <f ca="1">IFERROR(__xludf.DUMMYFUNCTION("IMPORTRANGE(""https://docs.google.com/spreadsheets/d/19KBlQQs7uwvsao6t2n-KvW3Ax8J8uRRfZPq1zPbXgKc/edit?usp=sharing"",""ระยอง!J200"")"),0)</f>
        <v>0</v>
      </c>
      <c r="Z66" s="92">
        <f ca="1">IFERROR(__xludf.DUMMYFUNCTION("IMPORTRANGE(""https://docs.google.com/spreadsheets/d/19KBlQQs7uwvsao6t2n-KvW3Ax8J8uRRfZPq1zPbXgKc/edit?usp=sharing"",""ระยอง!J201"")"),0)</f>
        <v>0</v>
      </c>
      <c r="AA66" s="92">
        <f ca="1">IFERROR(__xludf.DUMMYFUNCTION("IMPORTRANGE(""https://docs.google.com/spreadsheets/d/19KBlQQs7uwvsao6t2n-KvW3Ax8J8uRRfZPq1zPbXgKc/edit?usp=sharing"",""ระยอง!L204"")"),1000)</f>
        <v>1000</v>
      </c>
      <c r="AB66" s="92">
        <f ca="1">IFERROR(__xludf.DUMMYFUNCTION("IMPORTRANGE(""https://docs.google.com/spreadsheets/d/19KBlQQs7uwvsao6t2n-KvW3Ax8J8uRRfZPq1zPbXgKc/edit?usp=sharing"",""ระยอง!N204"")"),0)</f>
        <v>0</v>
      </c>
      <c r="AC66" s="93">
        <f t="shared" ca="1" si="90"/>
        <v>0</v>
      </c>
      <c r="AD66" s="92">
        <f ca="1">IFERROR(__xludf.DUMMYFUNCTION("IMPORTRANGE(""https://docs.google.com/spreadsheets/d/19KBlQQs7uwvsao6t2n-KvW3Ax8J8uRRfZPq1zPbXgKc/edit?usp=sharing"",""ระยอง!L206"")"),8000)</f>
        <v>8000</v>
      </c>
      <c r="AE66" s="92">
        <f ca="1">IFERROR(__xludf.DUMMYFUNCTION("IMPORTRANGE(""https://docs.google.com/spreadsheets/d/19KBlQQs7uwvsao6t2n-KvW3Ax8J8uRRfZPq1zPbXgKc/edit?usp=sharing"",""ระยอง!N206"")"),0)</f>
        <v>0</v>
      </c>
      <c r="AF66" s="93">
        <f t="shared" ca="1" si="92"/>
        <v>0</v>
      </c>
      <c r="AG66" s="92">
        <f ca="1">IFERROR(__xludf.DUMMYFUNCTION("IMPORTRANGE(""https://docs.google.com/spreadsheets/d/19KBlQQs7uwvsao6t2n-KvW3Ax8J8uRRfZPq1zPbXgKc/edit?usp=sharing"",""ระยอง!L207"")"),4000)</f>
        <v>4000</v>
      </c>
      <c r="AH66" s="92">
        <f ca="1">IFERROR(__xludf.DUMMYFUNCTION("IMPORTRANGE(""https://docs.google.com/spreadsheets/d/19KBlQQs7uwvsao6t2n-KvW3Ax8J8uRRfZPq1zPbXgKc/edit?usp=sharing"",""ระยอง!N207"")"),0)</f>
        <v>0</v>
      </c>
      <c r="AI66" s="93">
        <f t="shared" ca="1" si="94"/>
        <v>0</v>
      </c>
      <c r="AJ66" s="92">
        <f ca="1">IFERROR(__xludf.DUMMYFUNCTION("IMPORTRANGE(""https://docs.google.com/spreadsheets/d/19KBlQQs7uwvsao6t2n-KvW3Ax8J8uRRfZPq1zPbXgKc/edit?usp=sharing"",""ระยอง!I209"")"),1)</f>
        <v>1</v>
      </c>
      <c r="AK66" s="92">
        <f ca="1">IFERROR(__xludf.DUMMYFUNCTION("IMPORTRANGE(""https://docs.google.com/spreadsheets/d/19KBlQQs7uwvsao6t2n-KvW3Ax8J8uRRfZPq1zPbXgKc/edit?usp=sharing"",""ระยอง!J209"")"),0)</f>
        <v>0</v>
      </c>
      <c r="AL66" s="93">
        <f t="shared" ca="1" si="96"/>
        <v>0</v>
      </c>
      <c r="AM66" s="92">
        <f ca="1">IFERROR(__xludf.DUMMYFUNCTION("IMPORTRANGE(""https://docs.google.com/spreadsheets/d/19KBlQQs7uwvsao6t2n-KvW3Ax8J8uRRfZPq1zPbXgKc/edit?usp=sharing"",""ระยอง!J211"")"),0)</f>
        <v>0</v>
      </c>
      <c r="AN66" s="92">
        <f ca="1">IFERROR(__xludf.DUMMYFUNCTION("IMPORTRANGE(""https://docs.google.com/spreadsheets/d/19KBlQQs7uwvsao6t2n-KvW3Ax8J8uRRfZPq1zPbXgKc/edit?usp=sharing"",""ระยอง!J212"")"),0)</f>
        <v>0</v>
      </c>
      <c r="AO66" s="92">
        <f ca="1">IFERROR(__xludf.DUMMYFUNCTION("IMPORTRANGE(""https://docs.google.com/spreadsheets/d/19KBlQQs7uwvsao6t2n-KvW3Ax8J8uRRfZPq1zPbXgKc/edit?usp=sharing"",""ระยอง!L215"")"),0)</f>
        <v>0</v>
      </c>
      <c r="AP66" s="92">
        <f ca="1">IFERROR(__xludf.DUMMYFUNCTION("IMPORTRANGE(""https://docs.google.com/spreadsheets/d/19KBlQQs7uwvsao6t2n-KvW3Ax8J8uRRfZPq1zPbXgKc/edit?usp=sharing"",""ระยอง!N215"")"),0)</f>
        <v>0</v>
      </c>
      <c r="AQ66" s="93">
        <f t="shared" ca="1" si="98"/>
        <v>0</v>
      </c>
      <c r="AR66" s="92">
        <f ca="1">IFERROR(__xludf.DUMMYFUNCTION("IMPORTRANGE(""https://docs.google.com/spreadsheets/d/19KBlQQs7uwvsao6t2n-KvW3Ax8J8uRRfZPq1zPbXgKc/edit?usp=sharing"",""ระยอง!L216"")"),0)</f>
        <v>0</v>
      </c>
      <c r="AS66" s="92">
        <f ca="1">IFERROR(__xludf.DUMMYFUNCTION("IMPORTRANGE(""https://docs.google.com/spreadsheets/d/19KBlQQs7uwvsao6t2n-KvW3Ax8J8uRRfZPq1zPbXgKc/edit?usp=sharing"",""ระยอง!N216"")"),0)</f>
        <v>0</v>
      </c>
      <c r="AT66" s="93">
        <f t="shared" ca="1" si="100"/>
        <v>0</v>
      </c>
      <c r="AU66" s="92">
        <f ca="1">IFERROR(__xludf.DUMMYFUNCTION("IMPORTRANGE(""https://docs.google.com/spreadsheets/d/19KBlQQs7uwvsao6t2n-KvW3Ax8J8uRRfZPq1zPbXgKc/edit?usp=sharing"",""ระยอง!L217"")"),0)</f>
        <v>0</v>
      </c>
      <c r="AV66" s="92">
        <f ca="1">IFERROR(__xludf.DUMMYFUNCTION("IMPORTRANGE(""https://docs.google.com/spreadsheets/d/19KBlQQs7uwvsao6t2n-KvW3Ax8J8uRRfZPq1zPbXgKc/edit?usp=sharing"",""ระยอง!N217"")"),0)</f>
        <v>0</v>
      </c>
      <c r="AW66" s="93">
        <f t="shared" ca="1" si="102"/>
        <v>0</v>
      </c>
      <c r="AX66" s="92">
        <f ca="1">IFERROR(__xludf.DUMMYFUNCTION("IMPORTRANGE(""https://docs.google.com/spreadsheets/d/19KBlQQs7uwvsao6t2n-KvW3Ax8J8uRRfZPq1zPbXgKc/edit?usp=sharing"",""ระยอง!I219"")"),0)</f>
        <v>0</v>
      </c>
      <c r="AY66" s="92">
        <f ca="1">IFERROR(__xludf.DUMMYFUNCTION("IMPORTRANGE(""https://docs.google.com/spreadsheets/d/19KBlQQs7uwvsao6t2n-KvW3Ax8J8uRRfZPq1zPbXgKc/edit?usp=sharing"",""ระยอง!J219"")"),0)</f>
        <v>0</v>
      </c>
      <c r="AZ66" s="93">
        <f t="shared" ca="1" si="104"/>
        <v>0</v>
      </c>
      <c r="BA66" s="92">
        <f ca="1">IFERROR(__xludf.DUMMYFUNCTION("IMPORTRANGE(""https://docs.google.com/spreadsheets/d/19KBlQQs7uwvsao6t2n-KvW3Ax8J8uRRfZPq1zPbXgKc/edit?usp=sharing"",""ระยอง!I220"")"),0)</f>
        <v>0</v>
      </c>
      <c r="BB66" s="92">
        <f ca="1">IFERROR(__xludf.DUMMYFUNCTION("IMPORTRANGE(""https://docs.google.com/spreadsheets/d/19KBlQQs7uwvsao6t2n-KvW3Ax8J8uRRfZPq1zPbXgKc/edit?usp=sharing"",""ระยอง!J220"")"),0)</f>
        <v>0</v>
      </c>
      <c r="BC66" s="93">
        <f t="shared" ca="1" si="106"/>
        <v>0</v>
      </c>
      <c r="BD66" s="92">
        <f ca="1">IFERROR(__xludf.DUMMYFUNCTION("IMPORTRANGE(""https://docs.google.com/spreadsheets/d/19KBlQQs7uwvsao6t2n-KvW3Ax8J8uRRfZPq1zPbXgKc/edit?usp=sharing"",""ระยอง!L223"")"),3000)</f>
        <v>3000</v>
      </c>
      <c r="BE66" s="92">
        <f ca="1">IFERROR(__xludf.DUMMYFUNCTION("IMPORTRANGE(""https://docs.google.com/spreadsheets/d/19KBlQQs7uwvsao6t2n-KvW3Ax8J8uRRfZPq1zPbXgKc/edit?usp=sharing"",""ระยอง!N223"")"),0)</f>
        <v>0</v>
      </c>
      <c r="BF66" s="93">
        <f t="shared" ca="1" si="108"/>
        <v>0</v>
      </c>
      <c r="BG66" s="92">
        <f ca="1">IFERROR(__xludf.DUMMYFUNCTION("IMPORTRANGE(""https://docs.google.com/spreadsheets/d/19KBlQQs7uwvsao6t2n-KvW3Ax8J8uRRfZPq1zPbXgKc/edit?usp=sharing"",""ระยอง!L224"")"),1500)</f>
        <v>1500</v>
      </c>
      <c r="BH66" s="92">
        <f ca="1">IFERROR(__xludf.DUMMYFUNCTION("IMPORTRANGE(""https://docs.google.com/spreadsheets/d/19KBlQQs7uwvsao6t2n-KvW3Ax8J8uRRfZPq1zPbXgKc/edit?usp=sharing"",""ระยอง!N224"")"),0)</f>
        <v>0</v>
      </c>
      <c r="BI66" s="93">
        <f t="shared" ca="1" si="110"/>
        <v>0</v>
      </c>
      <c r="BJ66" s="92">
        <f ca="1">IFERROR(__xludf.DUMMYFUNCTION("IMPORTRANGE(""https://docs.google.com/spreadsheets/d/19KBlQQs7uwvsao6t2n-KvW3Ax8J8uRRfZPq1zPbXgKc/edit?usp=sharing"",""ระยอง!I228"")"),6400)</f>
        <v>6400</v>
      </c>
      <c r="BK66" s="92">
        <f ca="1">IFERROR(__xludf.DUMMYFUNCTION("IMPORTRANGE(""https://docs.google.com/spreadsheets/d/19KBlQQs7uwvsao6t2n-KvW3Ax8J8uRRfZPq1zPbXgKc/edit?usp=sharing"",""ระยอง!J228"")"),0)</f>
        <v>0</v>
      </c>
      <c r="BL66" s="93">
        <f t="shared" ca="1" si="112"/>
        <v>0</v>
      </c>
      <c r="BM66" s="92">
        <f ca="1">IFERROR(__xludf.DUMMYFUNCTION("IMPORTRANGE(""https://docs.google.com/spreadsheets/d/19KBlQQs7uwvsao6t2n-KvW3Ax8J8uRRfZPq1zPbXgKc/edit?usp=sharing"",""ระยอง!I229"")"),6400)</f>
        <v>6400</v>
      </c>
      <c r="BN66" s="92">
        <f ca="1">IFERROR(__xludf.DUMMYFUNCTION("IMPORTRANGE(""https://docs.google.com/spreadsheets/d/19KBlQQs7uwvsao6t2n-KvW3Ax8J8uRRfZPq1zPbXgKc/edit?usp=sharing"",""ระยอง!J229"")"),0)</f>
        <v>0</v>
      </c>
      <c r="BO66" s="93">
        <f t="shared" ca="1" si="114"/>
        <v>0</v>
      </c>
      <c r="BP66" s="92">
        <f ca="1">IFERROR(__xludf.DUMMYFUNCTION("IMPORTRANGE(""https://docs.google.com/spreadsheets/d/19KBlQQs7uwvsao6t2n-KvW3Ax8J8uRRfZPq1zPbXgKc/edit?usp=sharing"",""ระยอง!I230"")"),0)</f>
        <v>0</v>
      </c>
      <c r="BQ66" s="92">
        <f ca="1">IFERROR(__xludf.DUMMYFUNCTION("IMPORTRANGE(""https://docs.google.com/spreadsheets/d/19KBlQQs7uwvsao6t2n-KvW3Ax8J8uRRfZPq1zPbXgKc/edit?usp=sharing"",""ระยอง!J230"")"),0)</f>
        <v>0</v>
      </c>
      <c r="BR66" s="93">
        <f t="shared" ca="1" si="116"/>
        <v>0</v>
      </c>
      <c r="BS66" s="92">
        <f ca="1">IFERROR(__xludf.DUMMYFUNCTION("IMPORTRANGE(""https://docs.google.com/spreadsheets/d/19KBlQQs7uwvsao6t2n-KvW3Ax8J8uRRfZPq1zPbXgKc/edit?usp=sharing"",""ระยอง!L233"")"),8000)</f>
        <v>8000</v>
      </c>
      <c r="BT66" s="92">
        <f ca="1">IFERROR(__xludf.DUMMYFUNCTION("IMPORTRANGE(""https://docs.google.com/spreadsheets/d/19KBlQQs7uwvsao6t2n-KvW3Ax8J8uRRfZPq1zPbXgKc/edit?usp=sharing"",""ระยอง!N233"")"),0)</f>
        <v>0</v>
      </c>
      <c r="BU66" s="93">
        <f t="shared" ca="1" si="118"/>
        <v>0</v>
      </c>
      <c r="BV66" s="92">
        <f ca="1">IFERROR(__xludf.DUMMYFUNCTION("IMPORTRANGE(""https://docs.google.com/spreadsheets/d/19KBlQQs7uwvsao6t2n-KvW3Ax8J8uRRfZPq1zPbXgKc/edit?usp=sharing"",""ระยอง!L234"")"),2000)</f>
        <v>2000</v>
      </c>
      <c r="BW66" s="92">
        <f ca="1">IFERROR(__xludf.DUMMYFUNCTION("IMPORTRANGE(""https://docs.google.com/spreadsheets/d/19KBlQQs7uwvsao6t2n-KvW3Ax8J8uRRfZPq1zPbXgKc/edit?usp=sharing"",""ระยอง!N234"")"),0)</f>
        <v>0</v>
      </c>
      <c r="BX66" s="93">
        <f t="shared" ca="1" si="120"/>
        <v>0</v>
      </c>
      <c r="BY66" s="92">
        <f ca="1">IFERROR(__xludf.DUMMYFUNCTION("IMPORTRANGE(""https://docs.google.com/spreadsheets/d/19KBlQQs7uwvsao6t2n-KvW3Ax8J8uRRfZPq1zPbXgKc/edit?usp=sharing"",""ระยอง!L235"")"),24000)</f>
        <v>24000</v>
      </c>
      <c r="BZ66" s="92">
        <f ca="1">IFERROR(__xludf.DUMMYFUNCTION("IMPORTRANGE(""https://docs.google.com/spreadsheets/d/19KBlQQs7uwvsao6t2n-KvW3Ax8J8uRRfZPq1zPbXgKc/edit?usp=sharing"",""ระยอง!N235"")"),0)</f>
        <v>0</v>
      </c>
      <c r="CA66" s="93">
        <f t="shared" ca="1" si="122"/>
        <v>0</v>
      </c>
      <c r="CB66" s="92">
        <f ca="1">IFERROR(__xludf.DUMMYFUNCTION("IMPORTRANGE(""https://docs.google.com/spreadsheets/d/19KBlQQs7uwvsao6t2n-KvW3Ax8J8uRRfZPq1zPbXgKc/edit?usp=sharing"",""ระยอง!L236"")"),15500)</f>
        <v>15500</v>
      </c>
      <c r="CC66" s="92">
        <f ca="1">IFERROR(__xludf.DUMMYFUNCTION("IMPORTRANGE(""https://docs.google.com/spreadsheets/d/19KBlQQs7uwvsao6t2n-KvW3Ax8J8uRRfZPq1zPbXgKc/edit?usp=sharing"",""ระยอง!N236"")"),0)</f>
        <v>0</v>
      </c>
      <c r="CD66" s="93">
        <f t="shared" ca="1" si="124"/>
        <v>0</v>
      </c>
      <c r="CE66" s="92">
        <f ca="1">IFERROR(__xludf.DUMMYFUNCTION("IMPORTRANGE(""https://docs.google.com/spreadsheets/d/19KBlQQs7uwvsao6t2n-KvW3Ax8J8uRRfZPq1zPbXgKc/edit?usp=sharing"",""ระยอง!I238"")"),15)</f>
        <v>15</v>
      </c>
      <c r="CF66" s="92">
        <f ca="1">IFERROR(__xludf.DUMMYFUNCTION("IMPORTRANGE(""https://docs.google.com/spreadsheets/d/19KBlQQs7uwvsao6t2n-KvW3Ax8J8uRRfZPq1zPbXgKc/edit?usp=sharing"",""ระยอง!J238"")"),0)</f>
        <v>0</v>
      </c>
      <c r="CG66" s="93">
        <f t="shared" ca="1" si="126"/>
        <v>0</v>
      </c>
      <c r="CH66" s="92">
        <f ca="1">IFERROR(__xludf.DUMMYFUNCTION("IMPORTRANGE(""https://docs.google.com/spreadsheets/d/19KBlQQs7uwvsao6t2n-KvW3Ax8J8uRRfZPq1zPbXgKc/edit?usp=sharing"",""ระยอง!J240"")"),0)</f>
        <v>0</v>
      </c>
      <c r="CI66" s="92">
        <f ca="1">IFERROR(__xludf.DUMMYFUNCTION("IMPORTRANGE(""https://docs.google.com/spreadsheets/d/19KBlQQs7uwvsao6t2n-KvW3Ax8J8uRRfZPq1zPbXgKc/edit?usp=sharing"",""ระยอง!J241"")"),0)</f>
        <v>0</v>
      </c>
    </row>
    <row r="67" spans="1:87" ht="21" customHeight="1" x14ac:dyDescent="0.3">
      <c r="A67" s="84">
        <v>15</v>
      </c>
      <c r="B67" s="85" t="s">
        <v>89</v>
      </c>
      <c r="C67" s="174">
        <f t="shared" ca="1" si="77"/>
        <v>36500</v>
      </c>
      <c r="D67" s="175">
        <f t="shared" ca="1" si="176"/>
        <v>36500</v>
      </c>
      <c r="E67" s="176">
        <f ca="1">IFERROR(__xludf.DUMMYFUNCTION("IMPORTRANGE(""https://docs.google.com/spreadsheets/d/1-uDff_7J0KD5mKrp0Vvzr7lt3OU09vwQwhkpOPPYv2Y/edit?usp=sharing"",""งบพรบ!CV67"")"),0)</f>
        <v>0</v>
      </c>
      <c r="F67" s="176">
        <f ca="1">IFERROR(__xludf.DUMMYFUNCTION("IMPORTRANGE(""https://docs.google.com/spreadsheets/d/1-uDff_7J0KD5mKrp0Vvzr7lt3OU09vwQwhkpOPPYv2Y/edit?usp=sharing"",""งบพรบ!CW67"")"),36500)</f>
        <v>36500</v>
      </c>
      <c r="G67" s="176">
        <f ca="1">IFERROR(__xludf.DUMMYFUNCTION("IMPORTRANGE(""https://docs.google.com/spreadsheets/d/1-uDff_7J0KD5mKrp0Vvzr7lt3OU09vwQwhkpOPPYv2Y/edit?usp=sharing"",""งบพรบ!CX67"")"),0)</f>
        <v>0</v>
      </c>
      <c r="H67" s="176">
        <f ca="1">IFERROR(__xludf.DUMMYFUNCTION("IMPORTRANGE(""https://docs.google.com/spreadsheets/d/1-uDff_7J0KD5mKrp0Vvzr7lt3OU09vwQwhkpOPPYv2Y/edit?usp=sharing"",""งบพรบ!CZ67"")"),22500)</f>
        <v>22500</v>
      </c>
      <c r="I67" s="176">
        <f ca="1">IFERROR(__xludf.DUMMYFUNCTION("IMPORTRANGE(""https://docs.google.com/spreadsheets/d/1-uDff_7J0KD5mKrp0Vvzr7lt3OU09vwQwhkpOPPYv2Y/edit?usp=sharing"",""งบพรบ!DA67"")"),0)</f>
        <v>0</v>
      </c>
      <c r="J67" s="176">
        <f t="shared" ca="1" si="79"/>
        <v>350</v>
      </c>
      <c r="K67" s="181">
        <f t="shared" ca="1" si="80"/>
        <v>0.95890410958904104</v>
      </c>
      <c r="L67" s="176">
        <f ca="1">IFERROR(__xludf.DUMMYFUNCTION("IMPORTRANGE(""https://docs.google.com/spreadsheets/d/1-uDff_7J0KD5mKrp0Vvzr7lt3OU09vwQwhkpOPPYv2Y/edit?usp=sharing"",""งบพรบ!DB67"")"),350)</f>
        <v>350</v>
      </c>
      <c r="M67" s="179">
        <f t="shared" ca="1" si="81"/>
        <v>0.95890410958904104</v>
      </c>
      <c r="N67" s="179">
        <f t="shared" ca="1" si="82"/>
        <v>1.5555555555555556</v>
      </c>
      <c r="O67" s="180">
        <f ca="1">IFERROR(__xludf.DUMMYFUNCTION("IMPORTRANGE(""https://docs.google.com/spreadsheets/d/1-uDff_7J0KD5mKrp0Vvzr7lt3OU09vwQwhkpOPPYv2Y/edit?usp=sharing"",""งบพรบ!DC67"")"),0)</f>
        <v>0</v>
      </c>
      <c r="P67" s="180">
        <f t="shared" ca="1" si="83"/>
        <v>0</v>
      </c>
      <c r="Q67" s="179">
        <f t="shared" ca="1" si="84"/>
        <v>0</v>
      </c>
      <c r="R67" s="92">
        <f ca="1">IFERROR(__xludf.DUMMYFUNCTION("IMPORTRANGE(""https://docs.google.com/spreadsheets/d/1jQ6P4QcrGM89YfqcC_PxOHGCMq5ezhucwJd8ci-NHng/edit?usp=sharing"",""ราชบุรี!L196"")"),6000)</f>
        <v>6000</v>
      </c>
      <c r="S67" s="92">
        <f ca="1">IFERROR(__xludf.DUMMYFUNCTION("IMPORTRANGE(""https://docs.google.com/spreadsheets/d/1jQ6P4QcrGM89YfqcC_PxOHGCMq5ezhucwJd8ci-NHng/edit?usp=sharing"",""ราชบุรี!N196"")"),350)</f>
        <v>350</v>
      </c>
      <c r="T67" s="93">
        <f t="shared" ca="1" si="86"/>
        <v>5.833333333333333</v>
      </c>
      <c r="U67" s="92">
        <f ca="1">IFERROR(__xludf.DUMMYFUNCTION("IMPORTRANGE(""https://docs.google.com/spreadsheets/d/1jQ6P4QcrGM89YfqcC_PxOHGCMq5ezhucwJd8ci-NHng/edit?usp=sharing"",""ราชบุรี!I198"")"),4)</f>
        <v>4</v>
      </c>
      <c r="V67" s="92">
        <f ca="1">IFERROR(__xludf.DUMMYFUNCTION("IMPORTRANGE(""https://docs.google.com/spreadsheets/d/1jQ6P4QcrGM89YfqcC_PxOHGCMq5ezhucwJd8ci-NHng/edit?usp=sharing"",""ราชบุรี!J198"")"),1)</f>
        <v>1</v>
      </c>
      <c r="W67" s="93">
        <f t="shared" ca="1" si="88"/>
        <v>25</v>
      </c>
      <c r="X67" s="92">
        <f ca="1">IFERROR(__xludf.DUMMYFUNCTION("IMPORTRANGE(""https://docs.google.com/spreadsheets/d/1jQ6P4QcrGM89YfqcC_PxOHGCMq5ezhucwJd8ci-NHng/edit?usp=sharing"",""ราชบุรี!J199"")"),55)</f>
        <v>55</v>
      </c>
      <c r="Y67" s="92">
        <f ca="1">IFERROR(__xludf.DUMMYFUNCTION("IMPORTRANGE(""https://docs.google.com/spreadsheets/d/1jQ6P4QcrGM89YfqcC_PxOHGCMq5ezhucwJd8ci-NHng/edit?usp=sharing"",""ราชบุรี!J200"")"),55)</f>
        <v>55</v>
      </c>
      <c r="Z67" s="92">
        <f ca="1">IFERROR(__xludf.DUMMYFUNCTION("IMPORTRANGE(""https://docs.google.com/spreadsheets/d/1jQ6P4QcrGM89YfqcC_PxOHGCMq5ezhucwJd8ci-NHng/edit?usp=sharing"",""ราชบุรี!J201"")"),0)</f>
        <v>0</v>
      </c>
      <c r="AA67" s="92">
        <f ca="1">IFERROR(__xludf.DUMMYFUNCTION("IMPORTRANGE(""https://docs.google.com/spreadsheets/d/1jQ6P4QcrGM89YfqcC_PxOHGCMq5ezhucwJd8ci-NHng/edit?usp=sharing"",""ราชบุรี!L204"")"),2000)</f>
        <v>2000</v>
      </c>
      <c r="AB67" s="92">
        <f ca="1">IFERROR(__xludf.DUMMYFUNCTION("IMPORTRANGE(""https://docs.google.com/spreadsheets/d/1jQ6P4QcrGM89YfqcC_PxOHGCMq5ezhucwJd8ci-NHng/edit?usp=sharing"",""ราชบุรี!N204"")"),0)</f>
        <v>0</v>
      </c>
      <c r="AC67" s="93">
        <f t="shared" ca="1" si="90"/>
        <v>0</v>
      </c>
      <c r="AD67" s="92">
        <f ca="1">IFERROR(__xludf.DUMMYFUNCTION("IMPORTRANGE(""https://docs.google.com/spreadsheets/d/1jQ6P4QcrGM89YfqcC_PxOHGCMq5ezhucwJd8ci-NHng/edit?usp=sharing"",""ราชบุรี!L206"")"),16000)</f>
        <v>16000</v>
      </c>
      <c r="AE67" s="92">
        <f ca="1">IFERROR(__xludf.DUMMYFUNCTION("IMPORTRANGE(""https://docs.google.com/spreadsheets/d/1jQ6P4QcrGM89YfqcC_PxOHGCMq5ezhucwJd8ci-NHng/edit?usp=sharing"",""ราชบุรี!N206"")"),0)</f>
        <v>0</v>
      </c>
      <c r="AF67" s="93">
        <f t="shared" ca="1" si="92"/>
        <v>0</v>
      </c>
      <c r="AG67" s="92">
        <f ca="1">IFERROR(__xludf.DUMMYFUNCTION("IMPORTRANGE(""https://docs.google.com/spreadsheets/d/1jQ6P4QcrGM89YfqcC_PxOHGCMq5ezhucwJd8ci-NHng/edit?usp=sharing"",""ราชบุรี!L207"")"),8000)</f>
        <v>8000</v>
      </c>
      <c r="AH67" s="92">
        <f ca="1">IFERROR(__xludf.DUMMYFUNCTION("IMPORTRANGE(""https://docs.google.com/spreadsheets/d/1jQ6P4QcrGM89YfqcC_PxOHGCMq5ezhucwJd8ci-NHng/edit?usp=sharing"",""ราชบุรี!N207"")"),0)</f>
        <v>0</v>
      </c>
      <c r="AI67" s="93">
        <f t="shared" ca="1" si="94"/>
        <v>0</v>
      </c>
      <c r="AJ67" s="92">
        <f ca="1">IFERROR(__xludf.DUMMYFUNCTION("IMPORTRANGE(""https://docs.google.com/spreadsheets/d/1jQ6P4QcrGM89YfqcC_PxOHGCMq5ezhucwJd8ci-NHng/edit?usp=sharing"",""ราชบุรี!I209"")"),2)</f>
        <v>2</v>
      </c>
      <c r="AK67" s="92">
        <f ca="1">IFERROR(__xludf.DUMMYFUNCTION("IMPORTRANGE(""https://docs.google.com/spreadsheets/d/1jQ6P4QcrGM89YfqcC_PxOHGCMq5ezhucwJd8ci-NHng/edit?usp=sharing"",""ราชบุรี!J209"")"),0)</f>
        <v>0</v>
      </c>
      <c r="AL67" s="93">
        <f t="shared" ca="1" si="96"/>
        <v>0</v>
      </c>
      <c r="AM67" s="92">
        <f ca="1">IFERROR(__xludf.DUMMYFUNCTION("IMPORTRANGE(""https://docs.google.com/spreadsheets/d/1jQ6P4QcrGM89YfqcC_PxOHGCMq5ezhucwJd8ci-NHng/edit?usp=sharing"",""ราชบุรี!J211"")"),0)</f>
        <v>0</v>
      </c>
      <c r="AN67" s="92">
        <f ca="1">IFERROR(__xludf.DUMMYFUNCTION("IMPORTRANGE(""https://docs.google.com/spreadsheets/d/1jQ6P4QcrGM89YfqcC_PxOHGCMq5ezhucwJd8ci-NHng/edit?usp=sharing"",""ราชบุรี!J212"")"),0)</f>
        <v>0</v>
      </c>
      <c r="AO67" s="92">
        <f ca="1">IFERROR(__xludf.DUMMYFUNCTION("IMPORTRANGE(""https://docs.google.com/spreadsheets/d/1jQ6P4QcrGM89YfqcC_PxOHGCMq5ezhucwJd8ci-NHng/edit?usp=sharing"",""ราชบุรี!L215"")"),0)</f>
        <v>0</v>
      </c>
      <c r="AP67" s="92">
        <f ca="1">IFERROR(__xludf.DUMMYFUNCTION("IMPORTRANGE(""https://docs.google.com/spreadsheets/d/1jQ6P4QcrGM89YfqcC_PxOHGCMq5ezhucwJd8ci-NHng/edit?usp=sharing"",""ราชบุรี!N215"")"),0)</f>
        <v>0</v>
      </c>
      <c r="AQ67" s="93">
        <f t="shared" ca="1" si="98"/>
        <v>0</v>
      </c>
      <c r="AR67" s="92">
        <f ca="1">IFERROR(__xludf.DUMMYFUNCTION("IMPORTRANGE(""https://docs.google.com/spreadsheets/d/1jQ6P4QcrGM89YfqcC_PxOHGCMq5ezhucwJd8ci-NHng/edit?usp=sharing"",""ราชบุรี!L216"")"),0)</f>
        <v>0</v>
      </c>
      <c r="AS67" s="92">
        <f ca="1">IFERROR(__xludf.DUMMYFUNCTION("IMPORTRANGE(""https://docs.google.com/spreadsheets/d/1jQ6P4QcrGM89YfqcC_PxOHGCMq5ezhucwJd8ci-NHng/edit?usp=sharing"",""ราชบุรี!N216"")"),0)</f>
        <v>0</v>
      </c>
      <c r="AT67" s="93">
        <f t="shared" ca="1" si="100"/>
        <v>0</v>
      </c>
      <c r="AU67" s="92">
        <f ca="1">IFERROR(__xludf.DUMMYFUNCTION("IMPORTRANGE(""https://docs.google.com/spreadsheets/d/1jQ6P4QcrGM89YfqcC_PxOHGCMq5ezhucwJd8ci-NHng/edit?usp=sharing"",""ราชบุรี!L217"")"),0)</f>
        <v>0</v>
      </c>
      <c r="AV67" s="92">
        <f ca="1">IFERROR(__xludf.DUMMYFUNCTION("IMPORTRANGE(""https://docs.google.com/spreadsheets/d/1jQ6P4QcrGM89YfqcC_PxOHGCMq5ezhucwJd8ci-NHng/edit?usp=sharing"",""ราชบุรี!N217"")"),0)</f>
        <v>0</v>
      </c>
      <c r="AW67" s="93">
        <f t="shared" ca="1" si="102"/>
        <v>0</v>
      </c>
      <c r="AX67" s="92">
        <f ca="1">IFERROR(__xludf.DUMMYFUNCTION("IMPORTRANGE(""https://docs.google.com/spreadsheets/d/1jQ6P4QcrGM89YfqcC_PxOHGCMq5ezhucwJd8ci-NHng/edit?usp=sharing"",""ราชบุรี!I219"")"),0)</f>
        <v>0</v>
      </c>
      <c r="AY67" s="92">
        <f ca="1">IFERROR(__xludf.DUMMYFUNCTION("IMPORTRANGE(""https://docs.google.com/spreadsheets/d/1jQ6P4QcrGM89YfqcC_PxOHGCMq5ezhucwJd8ci-NHng/edit?usp=sharing"",""ราชบุรี!J219"")"),0)</f>
        <v>0</v>
      </c>
      <c r="AZ67" s="93">
        <f t="shared" ca="1" si="104"/>
        <v>0</v>
      </c>
      <c r="BA67" s="92">
        <f ca="1">IFERROR(__xludf.DUMMYFUNCTION("IMPORTRANGE(""https://docs.google.com/spreadsheets/d/1jQ6P4QcrGM89YfqcC_PxOHGCMq5ezhucwJd8ci-NHng/edit?usp=sharing"",""ราชบุรี!I220"")"),0)</f>
        <v>0</v>
      </c>
      <c r="BB67" s="92">
        <f ca="1">IFERROR(__xludf.DUMMYFUNCTION("IMPORTRANGE(""https://docs.google.com/spreadsheets/d/1jQ6P4QcrGM89YfqcC_PxOHGCMq5ezhucwJd8ci-NHng/edit?usp=sharing"",""ราชบุรี!J220"")"),0)</f>
        <v>0</v>
      </c>
      <c r="BC67" s="93">
        <f t="shared" ca="1" si="106"/>
        <v>0</v>
      </c>
      <c r="BD67" s="92">
        <f ca="1">IFERROR(__xludf.DUMMYFUNCTION("IMPORTRANGE(""https://docs.google.com/spreadsheets/d/1jQ6P4QcrGM89YfqcC_PxOHGCMq5ezhucwJd8ci-NHng/edit?usp=sharing"",""ราชบุรี!L223"")"),3000)</f>
        <v>3000</v>
      </c>
      <c r="BE67" s="92">
        <f ca="1">IFERROR(__xludf.DUMMYFUNCTION("IMPORTRANGE(""https://docs.google.com/spreadsheets/d/1jQ6P4QcrGM89YfqcC_PxOHGCMq5ezhucwJd8ci-NHng/edit?usp=sharing"",""ราชบุรี!N223"")"),0)</f>
        <v>0</v>
      </c>
      <c r="BF67" s="93">
        <f t="shared" ca="1" si="108"/>
        <v>0</v>
      </c>
      <c r="BG67" s="92">
        <f ca="1">IFERROR(__xludf.DUMMYFUNCTION("IMPORTRANGE(""https://docs.google.com/spreadsheets/d/1jQ6P4QcrGM89YfqcC_PxOHGCMq5ezhucwJd8ci-NHng/edit?usp=sharing"",""ราชบุรี!L224"")"),1500)</f>
        <v>1500</v>
      </c>
      <c r="BH67" s="92">
        <f ca="1">IFERROR(__xludf.DUMMYFUNCTION("IMPORTRANGE(""https://docs.google.com/spreadsheets/d/1jQ6P4QcrGM89YfqcC_PxOHGCMq5ezhucwJd8ci-NHng/edit?usp=sharing"",""ราชบุรี!N224"")"),0)</f>
        <v>0</v>
      </c>
      <c r="BI67" s="93">
        <f t="shared" ca="1" si="110"/>
        <v>0</v>
      </c>
      <c r="BJ67" s="92">
        <f ca="1">IFERROR(__xludf.DUMMYFUNCTION("IMPORTRANGE(""https://docs.google.com/spreadsheets/d/1jQ6P4QcrGM89YfqcC_PxOHGCMq5ezhucwJd8ci-NHng/edit?usp=sharing"",""ราชบุรี!I228"")"),20000)</f>
        <v>20000</v>
      </c>
      <c r="BK67" s="92">
        <f ca="1">IFERROR(__xludf.DUMMYFUNCTION("IMPORTRANGE(""https://docs.google.com/spreadsheets/d/1jQ6P4QcrGM89YfqcC_PxOHGCMq5ezhucwJd8ci-NHng/edit?usp=sharing"",""ราชบุรี!J228"")"),0)</f>
        <v>0</v>
      </c>
      <c r="BL67" s="93">
        <f t="shared" ca="1" si="112"/>
        <v>0</v>
      </c>
      <c r="BM67" s="92">
        <f ca="1">IFERROR(__xludf.DUMMYFUNCTION("IMPORTRANGE(""https://docs.google.com/spreadsheets/d/1jQ6P4QcrGM89YfqcC_PxOHGCMq5ezhucwJd8ci-NHng/edit?usp=sharing"",""ราชบุรี!I229"")"),20000)</f>
        <v>20000</v>
      </c>
      <c r="BN67" s="92">
        <f ca="1">IFERROR(__xludf.DUMMYFUNCTION("IMPORTRANGE(""https://docs.google.com/spreadsheets/d/1jQ6P4QcrGM89YfqcC_PxOHGCMq5ezhucwJd8ci-NHng/edit?usp=sharing"",""ราชบุรี!J229"")"),0)</f>
        <v>0</v>
      </c>
      <c r="BO67" s="93">
        <f t="shared" ca="1" si="114"/>
        <v>0</v>
      </c>
      <c r="BP67" s="92">
        <f ca="1">IFERROR(__xludf.DUMMYFUNCTION("IMPORTRANGE(""https://docs.google.com/spreadsheets/d/1jQ6P4QcrGM89YfqcC_PxOHGCMq5ezhucwJd8ci-NHng/edit?usp=sharing"",""ราชบุรี!I230"")"),0)</f>
        <v>0</v>
      </c>
      <c r="BQ67" s="92">
        <f ca="1">IFERROR(__xludf.DUMMYFUNCTION("IMPORTRANGE(""https://docs.google.com/spreadsheets/d/1jQ6P4QcrGM89YfqcC_PxOHGCMq5ezhucwJd8ci-NHng/edit?usp=sharing"",""ราชบุรี!J230"")"),0)</f>
        <v>0</v>
      </c>
      <c r="BR67" s="93">
        <f t="shared" ca="1" si="116"/>
        <v>0</v>
      </c>
      <c r="BS67" s="92">
        <f ca="1">IFERROR(__xludf.DUMMYFUNCTION("IMPORTRANGE(""https://docs.google.com/spreadsheets/d/1jQ6P4QcrGM89YfqcC_PxOHGCMq5ezhucwJd8ci-NHng/edit?usp=sharing"",""ราชบุรี!L233"")"),0)</f>
        <v>0</v>
      </c>
      <c r="BT67" s="92">
        <f ca="1">IFERROR(__xludf.DUMMYFUNCTION("IMPORTRANGE(""https://docs.google.com/spreadsheets/d/1jQ6P4QcrGM89YfqcC_PxOHGCMq5ezhucwJd8ci-NHng/edit?usp=sharing"",""ราชบุรี!N233"")"),0)</f>
        <v>0</v>
      </c>
      <c r="BU67" s="93">
        <f t="shared" ca="1" si="118"/>
        <v>0</v>
      </c>
      <c r="BV67" s="92">
        <f ca="1">IFERROR(__xludf.DUMMYFUNCTION("IMPORTRANGE(""https://docs.google.com/spreadsheets/d/1jQ6P4QcrGM89YfqcC_PxOHGCMq5ezhucwJd8ci-NHng/edit?usp=sharing"",""ราชบุรี!L234"")"),0)</f>
        <v>0</v>
      </c>
      <c r="BW67" s="92">
        <f ca="1">IFERROR(__xludf.DUMMYFUNCTION("IMPORTRANGE(""https://docs.google.com/spreadsheets/d/1jQ6P4QcrGM89YfqcC_PxOHGCMq5ezhucwJd8ci-NHng/edit?usp=sharing"",""ราชบุรี!N234"")"),0)</f>
        <v>0</v>
      </c>
      <c r="BX67" s="93">
        <f t="shared" ca="1" si="120"/>
        <v>0</v>
      </c>
      <c r="BY67" s="92">
        <f ca="1">IFERROR(__xludf.DUMMYFUNCTION("IMPORTRANGE(""https://docs.google.com/spreadsheets/d/1jQ6P4QcrGM89YfqcC_PxOHGCMq5ezhucwJd8ci-NHng/edit?usp=sharing"",""ราชบุรี!L235"")"),0)</f>
        <v>0</v>
      </c>
      <c r="BZ67" s="92">
        <f ca="1">IFERROR(__xludf.DUMMYFUNCTION("IMPORTRANGE(""https://docs.google.com/spreadsheets/d/1jQ6P4QcrGM89YfqcC_PxOHGCMq5ezhucwJd8ci-NHng/edit?usp=sharing"",""ราชบุรี!N235"")"),0)</f>
        <v>0</v>
      </c>
      <c r="CA67" s="93">
        <f t="shared" ca="1" si="122"/>
        <v>0</v>
      </c>
      <c r="CB67" s="92">
        <f ca="1">IFERROR(__xludf.DUMMYFUNCTION("IMPORTRANGE(""https://docs.google.com/spreadsheets/d/1jQ6P4QcrGM89YfqcC_PxOHGCMq5ezhucwJd8ci-NHng/edit?usp=sharing"",""ราชบุรี!L236"")"),0)</f>
        <v>0</v>
      </c>
      <c r="CC67" s="92">
        <f ca="1">IFERROR(__xludf.DUMMYFUNCTION("IMPORTRANGE(""https://docs.google.com/spreadsheets/d/1jQ6P4QcrGM89YfqcC_PxOHGCMq5ezhucwJd8ci-NHng/edit?usp=sharing"",""ราชบุรี!N236"")"),0)</f>
        <v>0</v>
      </c>
      <c r="CD67" s="93">
        <f t="shared" ca="1" si="124"/>
        <v>0</v>
      </c>
      <c r="CE67" s="92">
        <f ca="1">IFERROR(__xludf.DUMMYFUNCTION("IMPORTRANGE(""https://docs.google.com/spreadsheets/d/1jQ6P4QcrGM89YfqcC_PxOHGCMq5ezhucwJd8ci-NHng/edit?usp=sharing"",""ราชบุรี!I238"")"),0)</f>
        <v>0</v>
      </c>
      <c r="CF67" s="92">
        <f ca="1">IFERROR(__xludf.DUMMYFUNCTION("IMPORTRANGE(""https://docs.google.com/spreadsheets/d/1jQ6P4QcrGM89YfqcC_PxOHGCMq5ezhucwJd8ci-NHng/edit?usp=sharing"",""ราชบุรี!J238"")"),0)</f>
        <v>0</v>
      </c>
      <c r="CG67" s="93">
        <f t="shared" ca="1" si="126"/>
        <v>0</v>
      </c>
      <c r="CH67" s="92">
        <f ca="1">IFERROR(__xludf.DUMMYFUNCTION("IMPORTRANGE(""https://docs.google.com/spreadsheets/d/1jQ6P4QcrGM89YfqcC_PxOHGCMq5ezhucwJd8ci-NHng/edit?usp=sharing"",""ราชบุรี!J240"")"),0)</f>
        <v>0</v>
      </c>
      <c r="CI67" s="92">
        <f ca="1">IFERROR(__xludf.DUMMYFUNCTION("IMPORTRANGE(""https://docs.google.com/spreadsheets/d/1jQ6P4QcrGM89YfqcC_PxOHGCMq5ezhucwJd8ci-NHng/edit?usp=sharing"",""ราชบุรี!J241"")"),0)</f>
        <v>0</v>
      </c>
    </row>
    <row r="68" spans="1:87" ht="24" customHeight="1" x14ac:dyDescent="0.3">
      <c r="A68" s="84">
        <v>16</v>
      </c>
      <c r="B68" s="85" t="s">
        <v>90</v>
      </c>
      <c r="C68" s="174">
        <f t="shared" ca="1" si="77"/>
        <v>49500</v>
      </c>
      <c r="D68" s="175">
        <f t="shared" ca="1" si="176"/>
        <v>49500</v>
      </c>
      <c r="E68" s="176">
        <f ca="1">IFERROR(__xludf.DUMMYFUNCTION("IMPORTRANGE(""https://docs.google.com/spreadsheets/d/1-uDff_7J0KD5mKrp0Vvzr7lt3OU09vwQwhkpOPPYv2Y/edit?usp=sharing"",""งบพรบ!CV68"")"),0)</f>
        <v>0</v>
      </c>
      <c r="F68" s="176">
        <f ca="1">IFERROR(__xludf.DUMMYFUNCTION("IMPORTRANGE(""https://docs.google.com/spreadsheets/d/1-uDff_7J0KD5mKrp0Vvzr7lt3OU09vwQwhkpOPPYv2Y/edit?usp=sharing"",""งบพรบ!CW68"")"),49500)</f>
        <v>49500</v>
      </c>
      <c r="G68" s="176">
        <f ca="1">IFERROR(__xludf.DUMMYFUNCTION("IMPORTRANGE(""https://docs.google.com/spreadsheets/d/1-uDff_7J0KD5mKrp0Vvzr7lt3OU09vwQwhkpOPPYv2Y/edit?usp=sharing"",""งบพรบ!CX68"")"),0)</f>
        <v>0</v>
      </c>
      <c r="H68" s="176">
        <f ca="1">IFERROR(__xludf.DUMMYFUNCTION("IMPORTRANGE(""https://docs.google.com/spreadsheets/d/1-uDff_7J0KD5mKrp0Vvzr7lt3OU09vwQwhkpOPPYv2Y/edit?usp=sharing"",""งบพรบ!CZ68"")"),22500)</f>
        <v>22500</v>
      </c>
      <c r="I68" s="176">
        <f ca="1">IFERROR(__xludf.DUMMYFUNCTION("IMPORTRANGE(""https://docs.google.com/spreadsheets/d/1-uDff_7J0KD5mKrp0Vvzr7lt3OU09vwQwhkpOPPYv2Y/edit?usp=sharing"",""งบพรบ!DA68"")"),0)</f>
        <v>0</v>
      </c>
      <c r="J68" s="176">
        <f t="shared" ca="1" si="79"/>
        <v>0</v>
      </c>
      <c r="K68" s="181">
        <f t="shared" ca="1" si="80"/>
        <v>0</v>
      </c>
      <c r="L68" s="176">
        <f ca="1">IFERROR(__xludf.DUMMYFUNCTION("IMPORTRANGE(""https://docs.google.com/spreadsheets/d/1-uDff_7J0KD5mKrp0Vvzr7lt3OU09vwQwhkpOPPYv2Y/edit?usp=sharing"",""งบพรบ!DB68"")"),0)</f>
        <v>0</v>
      </c>
      <c r="M68" s="179">
        <f t="shared" ca="1" si="81"/>
        <v>0</v>
      </c>
      <c r="N68" s="179">
        <f t="shared" ca="1" si="82"/>
        <v>0</v>
      </c>
      <c r="O68" s="180">
        <f ca="1">IFERROR(__xludf.DUMMYFUNCTION("IMPORTRANGE(""https://docs.google.com/spreadsheets/d/1-uDff_7J0KD5mKrp0Vvzr7lt3OU09vwQwhkpOPPYv2Y/edit?usp=sharing"",""งบพรบ!DC68"")"),0)</f>
        <v>0</v>
      </c>
      <c r="P68" s="180">
        <f t="shared" ca="1" si="83"/>
        <v>0</v>
      </c>
      <c r="Q68" s="179">
        <f t="shared" ca="1" si="84"/>
        <v>0</v>
      </c>
      <c r="R68" s="92">
        <f ca="1">IFERROR(__xludf.DUMMYFUNCTION("IMPORTRANGE(""https://docs.google.com/spreadsheets/d/1lufeA2cfFqM-elVq2hznhDzC6Pr7wkJ9ZG_sYNGCMCU/edit?usp=sharing"",""ลพบุรี!L196"")"),6000)</f>
        <v>6000</v>
      </c>
      <c r="S68" s="92">
        <f ca="1">IFERROR(__xludf.DUMMYFUNCTION("IMPORTRANGE(""https://docs.google.com/spreadsheets/d/1lufeA2cfFqM-elVq2hznhDzC6Pr7wkJ9ZG_sYNGCMCU/edit?usp=sharing"",""ลพบุรี!N196"")"),0)</f>
        <v>0</v>
      </c>
      <c r="T68" s="93">
        <f t="shared" ca="1" si="86"/>
        <v>0</v>
      </c>
      <c r="U68" s="92">
        <f ca="1">IFERROR(__xludf.DUMMYFUNCTION("IMPORTRANGE(""https://docs.google.com/spreadsheets/d/1lufeA2cfFqM-elVq2hznhDzC6Pr7wkJ9ZG_sYNGCMCU/edit?usp=sharing"",""ลพบุรี!I198"")"),4)</f>
        <v>4</v>
      </c>
      <c r="V68" s="92">
        <f ca="1">IFERROR(__xludf.DUMMYFUNCTION("IMPORTRANGE(""https://docs.google.com/spreadsheets/d/1lufeA2cfFqM-elVq2hznhDzC6Pr7wkJ9ZG_sYNGCMCU/edit?usp=sharing"",""ลพบุรี!J198"")"),0)</f>
        <v>0</v>
      </c>
      <c r="W68" s="93">
        <f t="shared" ca="1" si="88"/>
        <v>0</v>
      </c>
      <c r="X68" s="92">
        <f ca="1">IFERROR(__xludf.DUMMYFUNCTION("IMPORTRANGE(""https://docs.google.com/spreadsheets/d/1lufeA2cfFqM-elVq2hznhDzC6Pr7wkJ9ZG_sYNGCMCU/edit?usp=sharing"",""ลพบุรี!J199"")"),0)</f>
        <v>0</v>
      </c>
      <c r="Y68" s="92">
        <f ca="1">IFERROR(__xludf.DUMMYFUNCTION("IMPORTRANGE(""https://docs.google.com/spreadsheets/d/1lufeA2cfFqM-elVq2hznhDzC6Pr7wkJ9ZG_sYNGCMCU/edit?usp=sharing"",""ลพบุรี!J200"")"),0)</f>
        <v>0</v>
      </c>
      <c r="Z68" s="92">
        <f ca="1">IFERROR(__xludf.DUMMYFUNCTION("IMPORTRANGE(""https://docs.google.com/spreadsheets/d/1lufeA2cfFqM-elVq2hznhDzC6Pr7wkJ9ZG_sYNGCMCU/edit?usp=sharing"",""ลพบุรี!J201"")"),0)</f>
        <v>0</v>
      </c>
      <c r="AA68" s="92">
        <f ca="1">IFERROR(__xludf.DUMMYFUNCTION("IMPORTRANGE(""https://docs.google.com/spreadsheets/d/1lufeA2cfFqM-elVq2hznhDzC6Pr7wkJ9ZG_sYNGCMCU/edit?usp=sharing"",""ลพบุรี!L204"")"),2000)</f>
        <v>2000</v>
      </c>
      <c r="AB68" s="92">
        <f ca="1">IFERROR(__xludf.DUMMYFUNCTION("IMPORTRANGE(""https://docs.google.com/spreadsheets/d/1lufeA2cfFqM-elVq2hznhDzC6Pr7wkJ9ZG_sYNGCMCU/edit?usp=sharing"",""ลพบุรี!N204"")"),0)</f>
        <v>0</v>
      </c>
      <c r="AC68" s="93">
        <f t="shared" ca="1" si="90"/>
        <v>0</v>
      </c>
      <c r="AD68" s="92">
        <f ca="1">IFERROR(__xludf.DUMMYFUNCTION("IMPORTRANGE(""https://docs.google.com/spreadsheets/d/1lufeA2cfFqM-elVq2hznhDzC6Pr7wkJ9ZG_sYNGCMCU/edit?usp=sharing"",""ลพบุรี!L206"")"),16000)</f>
        <v>16000</v>
      </c>
      <c r="AE68" s="92">
        <f ca="1">IFERROR(__xludf.DUMMYFUNCTION("IMPORTRANGE(""https://docs.google.com/spreadsheets/d/1lufeA2cfFqM-elVq2hznhDzC6Pr7wkJ9ZG_sYNGCMCU/edit?usp=sharing"",""ลพบุรี!N206"")"),0)</f>
        <v>0</v>
      </c>
      <c r="AF68" s="93">
        <f t="shared" ca="1" si="92"/>
        <v>0</v>
      </c>
      <c r="AG68" s="92">
        <f ca="1">IFERROR(__xludf.DUMMYFUNCTION("IMPORTRANGE(""https://docs.google.com/spreadsheets/d/1lufeA2cfFqM-elVq2hznhDzC6Pr7wkJ9ZG_sYNGCMCU/edit?usp=sharing"",""ลพบุรี!L207"")"),13000)</f>
        <v>13000</v>
      </c>
      <c r="AH68" s="92">
        <f ca="1">IFERROR(__xludf.DUMMYFUNCTION("IMPORTRANGE(""https://docs.google.com/spreadsheets/d/1lufeA2cfFqM-elVq2hznhDzC6Pr7wkJ9ZG_sYNGCMCU/edit?usp=sharing"",""ลพบุรี!N207"")"),0)</f>
        <v>0</v>
      </c>
      <c r="AI68" s="93">
        <f t="shared" ca="1" si="94"/>
        <v>0</v>
      </c>
      <c r="AJ68" s="92">
        <f ca="1">IFERROR(__xludf.DUMMYFUNCTION("IMPORTRANGE(""https://docs.google.com/spreadsheets/d/1lufeA2cfFqM-elVq2hznhDzC6Pr7wkJ9ZG_sYNGCMCU/edit?usp=sharing"",""ลพบุรี!I209"")"),2)</f>
        <v>2</v>
      </c>
      <c r="AK68" s="92">
        <f ca="1">IFERROR(__xludf.DUMMYFUNCTION("IMPORTRANGE(""https://docs.google.com/spreadsheets/d/1lufeA2cfFqM-elVq2hznhDzC6Pr7wkJ9ZG_sYNGCMCU/edit?usp=sharing"",""ลพบุรี!J209"")"),0)</f>
        <v>0</v>
      </c>
      <c r="AL68" s="93">
        <f t="shared" ca="1" si="96"/>
        <v>0</v>
      </c>
      <c r="AM68" s="92">
        <f ca="1">IFERROR(__xludf.DUMMYFUNCTION("IMPORTRANGE(""https://docs.google.com/spreadsheets/d/1lufeA2cfFqM-elVq2hznhDzC6Pr7wkJ9ZG_sYNGCMCU/edit?usp=sharing"",""ลพบุรี!J211"")"),0)</f>
        <v>0</v>
      </c>
      <c r="AN68" s="92">
        <f ca="1">IFERROR(__xludf.DUMMYFUNCTION("IMPORTRANGE(""https://docs.google.com/spreadsheets/d/1lufeA2cfFqM-elVq2hznhDzC6Pr7wkJ9ZG_sYNGCMCU/edit?usp=sharing"",""ลพบุรี!J212"")"),0)</f>
        <v>0</v>
      </c>
      <c r="AO68" s="92">
        <f ca="1">IFERROR(__xludf.DUMMYFUNCTION("IMPORTRANGE(""https://docs.google.com/spreadsheets/d/1lufeA2cfFqM-elVq2hznhDzC6Pr7wkJ9ZG_sYNGCMCU/edit?usp=sharing"",""ลพบุรี!L215"")"),0)</f>
        <v>0</v>
      </c>
      <c r="AP68" s="92">
        <f ca="1">IFERROR(__xludf.DUMMYFUNCTION("IMPORTRANGE(""https://docs.google.com/spreadsheets/d/1lufeA2cfFqM-elVq2hznhDzC6Pr7wkJ9ZG_sYNGCMCU/edit?usp=sharing"",""ลพบุรี!N215"")"),0)</f>
        <v>0</v>
      </c>
      <c r="AQ68" s="93">
        <f t="shared" ca="1" si="98"/>
        <v>0</v>
      </c>
      <c r="AR68" s="92">
        <f ca="1">IFERROR(__xludf.DUMMYFUNCTION("IMPORTRANGE(""https://docs.google.com/spreadsheets/d/1lufeA2cfFqM-elVq2hznhDzC6Pr7wkJ9ZG_sYNGCMCU/edit?usp=sharing"",""ลพบุรี!L216"")"),0)</f>
        <v>0</v>
      </c>
      <c r="AS68" s="92">
        <f ca="1">IFERROR(__xludf.DUMMYFUNCTION("IMPORTRANGE(""https://docs.google.com/spreadsheets/d/1lufeA2cfFqM-elVq2hznhDzC6Pr7wkJ9ZG_sYNGCMCU/edit?usp=sharing"",""ลพบุรี!N216"")"),0)</f>
        <v>0</v>
      </c>
      <c r="AT68" s="93">
        <f t="shared" ca="1" si="100"/>
        <v>0</v>
      </c>
      <c r="AU68" s="92">
        <f ca="1">IFERROR(__xludf.DUMMYFUNCTION("IMPORTRANGE(""https://docs.google.com/spreadsheets/d/1lufeA2cfFqM-elVq2hznhDzC6Pr7wkJ9ZG_sYNGCMCU/edit?usp=sharing"",""ลพบุรี!L217"")"),0)</f>
        <v>0</v>
      </c>
      <c r="AV68" s="92">
        <f ca="1">IFERROR(__xludf.DUMMYFUNCTION("IMPORTRANGE(""https://docs.google.com/spreadsheets/d/1lufeA2cfFqM-elVq2hznhDzC6Pr7wkJ9ZG_sYNGCMCU/edit?usp=sharing"",""ลพบุรี!N217"")"),0)</f>
        <v>0</v>
      </c>
      <c r="AW68" s="93">
        <f t="shared" ca="1" si="102"/>
        <v>0</v>
      </c>
      <c r="AX68" s="92">
        <f ca="1">IFERROR(__xludf.DUMMYFUNCTION("IMPORTRANGE(""https://docs.google.com/spreadsheets/d/1lufeA2cfFqM-elVq2hznhDzC6Pr7wkJ9ZG_sYNGCMCU/edit?usp=sharing"",""ลพบุรี!I219"")"),0)</f>
        <v>0</v>
      </c>
      <c r="AY68" s="92">
        <f ca="1">IFERROR(__xludf.DUMMYFUNCTION("IMPORTRANGE(""https://docs.google.com/spreadsheets/d/1lufeA2cfFqM-elVq2hznhDzC6Pr7wkJ9ZG_sYNGCMCU/edit?usp=sharing"",""ลพบุรี!J219"")"),0)</f>
        <v>0</v>
      </c>
      <c r="AZ68" s="93">
        <f t="shared" ca="1" si="104"/>
        <v>0</v>
      </c>
      <c r="BA68" s="92">
        <f ca="1">IFERROR(__xludf.DUMMYFUNCTION("IMPORTRANGE(""https://docs.google.com/spreadsheets/d/1lufeA2cfFqM-elVq2hznhDzC6Pr7wkJ9ZG_sYNGCMCU/edit?usp=sharing"",""ลพบุรี!I220"")"),0)</f>
        <v>0</v>
      </c>
      <c r="BB68" s="92">
        <f ca="1">IFERROR(__xludf.DUMMYFUNCTION("IMPORTRANGE(""https://docs.google.com/spreadsheets/d/1lufeA2cfFqM-elVq2hznhDzC6Pr7wkJ9ZG_sYNGCMCU/edit?usp=sharing"",""ลพบุรี!J220"")"),0)</f>
        <v>0</v>
      </c>
      <c r="BC68" s="93">
        <f t="shared" ca="1" si="106"/>
        <v>0</v>
      </c>
      <c r="BD68" s="92">
        <f ca="1">IFERROR(__xludf.DUMMYFUNCTION("IMPORTRANGE(""https://docs.google.com/spreadsheets/d/1lufeA2cfFqM-elVq2hznhDzC6Pr7wkJ9ZG_sYNGCMCU/edit?usp=sharing"",""ลพบุรี!L223"")"),11000)</f>
        <v>11000</v>
      </c>
      <c r="BE68" s="92">
        <f ca="1">IFERROR(__xludf.DUMMYFUNCTION("IMPORTRANGE(""https://docs.google.com/spreadsheets/d/1lufeA2cfFqM-elVq2hznhDzC6Pr7wkJ9ZG_sYNGCMCU/edit?usp=sharing"",""ลพบุรี!N223"")"),0)</f>
        <v>0</v>
      </c>
      <c r="BF68" s="93">
        <f t="shared" ca="1" si="108"/>
        <v>0</v>
      </c>
      <c r="BG68" s="92">
        <f ca="1">IFERROR(__xludf.DUMMYFUNCTION("IMPORTRANGE(""https://docs.google.com/spreadsheets/d/1lufeA2cfFqM-elVq2hznhDzC6Pr7wkJ9ZG_sYNGCMCU/edit?usp=sharing"",""ลพบุรี!L224"")"),1500)</f>
        <v>1500</v>
      </c>
      <c r="BH68" s="92">
        <f ca="1">IFERROR(__xludf.DUMMYFUNCTION("IMPORTRANGE(""https://docs.google.com/spreadsheets/d/1lufeA2cfFqM-elVq2hznhDzC6Pr7wkJ9ZG_sYNGCMCU/edit?usp=sharing"",""ลพบุรี!N224"")"),0)</f>
        <v>0</v>
      </c>
      <c r="BI68" s="93">
        <f t="shared" ca="1" si="110"/>
        <v>0</v>
      </c>
      <c r="BJ68" s="92">
        <f ca="1">IFERROR(__xludf.DUMMYFUNCTION("IMPORTRANGE(""https://docs.google.com/spreadsheets/d/1lufeA2cfFqM-elVq2hznhDzC6Pr7wkJ9ZG_sYNGCMCU/edit?usp=sharing"",""ลพบุรี!I228"")"),100000)</f>
        <v>100000</v>
      </c>
      <c r="BK68" s="92">
        <f ca="1">IFERROR(__xludf.DUMMYFUNCTION("IMPORTRANGE(""https://docs.google.com/spreadsheets/d/1lufeA2cfFqM-elVq2hznhDzC6Pr7wkJ9ZG_sYNGCMCU/edit?usp=sharing"",""ลพบุรี!J228"")"),0)</f>
        <v>0</v>
      </c>
      <c r="BL68" s="93">
        <f t="shared" ca="1" si="112"/>
        <v>0</v>
      </c>
      <c r="BM68" s="92">
        <f ca="1">IFERROR(__xludf.DUMMYFUNCTION("IMPORTRANGE(""https://docs.google.com/spreadsheets/d/1lufeA2cfFqM-elVq2hznhDzC6Pr7wkJ9ZG_sYNGCMCU/edit?usp=sharing"",""ลพบุรี!I229"")"),100000)</f>
        <v>100000</v>
      </c>
      <c r="BN68" s="92">
        <f ca="1">IFERROR(__xludf.DUMMYFUNCTION("IMPORTRANGE(""https://docs.google.com/spreadsheets/d/1lufeA2cfFqM-elVq2hznhDzC6Pr7wkJ9ZG_sYNGCMCU/edit?usp=sharing"",""ลพบุรี!J229"")"),0)</f>
        <v>0</v>
      </c>
      <c r="BO68" s="93">
        <f t="shared" ca="1" si="114"/>
        <v>0</v>
      </c>
      <c r="BP68" s="92">
        <f ca="1">IFERROR(__xludf.DUMMYFUNCTION("IMPORTRANGE(""https://docs.google.com/spreadsheets/d/1lufeA2cfFqM-elVq2hznhDzC6Pr7wkJ9ZG_sYNGCMCU/edit?usp=sharing"",""ลพบุรี!I230"")"),0)</f>
        <v>0</v>
      </c>
      <c r="BQ68" s="92">
        <f ca="1">IFERROR(__xludf.DUMMYFUNCTION("IMPORTRANGE(""https://docs.google.com/spreadsheets/d/1lufeA2cfFqM-elVq2hznhDzC6Pr7wkJ9ZG_sYNGCMCU/edit?usp=sharing"",""ลพบุรี!J230"")"),0)</f>
        <v>0</v>
      </c>
      <c r="BR68" s="93">
        <f t="shared" ca="1" si="116"/>
        <v>0</v>
      </c>
      <c r="BS68" s="92">
        <f ca="1">IFERROR(__xludf.DUMMYFUNCTION("IMPORTRANGE(""https://docs.google.com/spreadsheets/d/1lufeA2cfFqM-elVq2hznhDzC6Pr7wkJ9ZG_sYNGCMCU/edit?usp=sharing"",""ลพบุรี!L233"")"),0)</f>
        <v>0</v>
      </c>
      <c r="BT68" s="92">
        <f ca="1">IFERROR(__xludf.DUMMYFUNCTION("IMPORTRANGE(""https://docs.google.com/spreadsheets/d/1lufeA2cfFqM-elVq2hznhDzC6Pr7wkJ9ZG_sYNGCMCU/edit?usp=sharing"",""ลพบุรี!N233"")"),0)</f>
        <v>0</v>
      </c>
      <c r="BU68" s="93">
        <f t="shared" ca="1" si="118"/>
        <v>0</v>
      </c>
      <c r="BV68" s="92">
        <f ca="1">IFERROR(__xludf.DUMMYFUNCTION("IMPORTRANGE(""https://docs.google.com/spreadsheets/d/1lufeA2cfFqM-elVq2hznhDzC6Pr7wkJ9ZG_sYNGCMCU/edit?usp=sharing"",""ลพบุรี!L234"")"),0)</f>
        <v>0</v>
      </c>
      <c r="BW68" s="92">
        <f ca="1">IFERROR(__xludf.DUMMYFUNCTION("IMPORTRANGE(""https://docs.google.com/spreadsheets/d/1lufeA2cfFqM-elVq2hznhDzC6Pr7wkJ9ZG_sYNGCMCU/edit?usp=sharing"",""ลพบุรี!N234"")"),0)</f>
        <v>0</v>
      </c>
      <c r="BX68" s="93">
        <f t="shared" ca="1" si="120"/>
        <v>0</v>
      </c>
      <c r="BY68" s="92">
        <f ca="1">IFERROR(__xludf.DUMMYFUNCTION("IMPORTRANGE(""https://docs.google.com/spreadsheets/d/1lufeA2cfFqM-elVq2hznhDzC6Pr7wkJ9ZG_sYNGCMCU/edit?usp=sharing"",""ลพบุรี!L235"")"),0)</f>
        <v>0</v>
      </c>
      <c r="BZ68" s="92">
        <f ca="1">IFERROR(__xludf.DUMMYFUNCTION("IMPORTRANGE(""https://docs.google.com/spreadsheets/d/1lufeA2cfFqM-elVq2hznhDzC6Pr7wkJ9ZG_sYNGCMCU/edit?usp=sharing"",""ลพบุรี!N235"")"),0)</f>
        <v>0</v>
      </c>
      <c r="CA68" s="93">
        <f t="shared" ca="1" si="122"/>
        <v>0</v>
      </c>
      <c r="CB68" s="92">
        <f ca="1">IFERROR(__xludf.DUMMYFUNCTION("IMPORTRANGE(""https://docs.google.com/spreadsheets/d/1lufeA2cfFqM-elVq2hznhDzC6Pr7wkJ9ZG_sYNGCMCU/edit?usp=sharing"",""ลพบุรี!L236"")"),0)</f>
        <v>0</v>
      </c>
      <c r="CC68" s="92">
        <f ca="1">IFERROR(__xludf.DUMMYFUNCTION("IMPORTRANGE(""https://docs.google.com/spreadsheets/d/1lufeA2cfFqM-elVq2hznhDzC6Pr7wkJ9ZG_sYNGCMCU/edit?usp=sharing"",""ลพบุรี!N236"")"),0)</f>
        <v>0</v>
      </c>
      <c r="CD68" s="93">
        <f t="shared" ca="1" si="124"/>
        <v>0</v>
      </c>
      <c r="CE68" s="92">
        <f ca="1">IFERROR(__xludf.DUMMYFUNCTION("IMPORTRANGE(""https://docs.google.com/spreadsheets/d/1lufeA2cfFqM-elVq2hznhDzC6Pr7wkJ9ZG_sYNGCMCU/edit?usp=sharing"",""ลพบุรี!I238"")"),0)</f>
        <v>0</v>
      </c>
      <c r="CF68" s="92">
        <f ca="1">IFERROR(__xludf.DUMMYFUNCTION("IMPORTRANGE(""https://docs.google.com/spreadsheets/d/1lufeA2cfFqM-elVq2hznhDzC6Pr7wkJ9ZG_sYNGCMCU/edit?usp=sharing"",""ลพบุรี!J238"")"),0)</f>
        <v>0</v>
      </c>
      <c r="CG68" s="93">
        <f t="shared" ca="1" si="126"/>
        <v>0</v>
      </c>
      <c r="CH68" s="92">
        <f ca="1">IFERROR(__xludf.DUMMYFUNCTION("IMPORTRANGE(""https://docs.google.com/spreadsheets/d/1lufeA2cfFqM-elVq2hznhDzC6Pr7wkJ9ZG_sYNGCMCU/edit?usp=sharing"",""ลพบุรี!J240"")"),0)</f>
        <v>0</v>
      </c>
      <c r="CI68" s="92">
        <f ca="1">IFERROR(__xludf.DUMMYFUNCTION("IMPORTRANGE(""https://docs.google.com/spreadsheets/d/1lufeA2cfFqM-elVq2hznhDzC6Pr7wkJ9ZG_sYNGCMCU/edit?usp=sharing"",""ลพบุรี!J241"")"),0)</f>
        <v>0</v>
      </c>
    </row>
    <row r="69" spans="1:87" ht="21" customHeight="1" x14ac:dyDescent="0.3">
      <c r="A69" s="84">
        <v>17</v>
      </c>
      <c r="B69" s="85" t="s">
        <v>91</v>
      </c>
      <c r="C69" s="174">
        <f t="shared" ca="1" si="77"/>
        <v>269300</v>
      </c>
      <c r="D69" s="175">
        <f t="shared" ca="1" si="176"/>
        <v>269300</v>
      </c>
      <c r="E69" s="176">
        <f ca="1">IFERROR(__xludf.DUMMYFUNCTION("IMPORTRANGE(""https://docs.google.com/spreadsheets/d/1-uDff_7J0KD5mKrp0Vvzr7lt3OU09vwQwhkpOPPYv2Y/edit?usp=sharing"",""งบพรบ!CV69"")"),0)</f>
        <v>0</v>
      </c>
      <c r="F69" s="176">
        <f ca="1">IFERROR(__xludf.DUMMYFUNCTION("IMPORTRANGE(""https://docs.google.com/spreadsheets/d/1-uDff_7J0KD5mKrp0Vvzr7lt3OU09vwQwhkpOPPYv2Y/edit?usp=sharing"",""งบพรบ!CW69"")"),269300)</f>
        <v>269300</v>
      </c>
      <c r="G69" s="176">
        <f ca="1">IFERROR(__xludf.DUMMYFUNCTION("IMPORTRANGE(""https://docs.google.com/spreadsheets/d/1-uDff_7J0KD5mKrp0Vvzr7lt3OU09vwQwhkpOPPYv2Y/edit?usp=sharing"",""งบพรบ!CX69"")"),0)</f>
        <v>0</v>
      </c>
      <c r="H69" s="176">
        <f ca="1">IFERROR(__xludf.DUMMYFUNCTION("IMPORTRANGE(""https://docs.google.com/spreadsheets/d/1-uDff_7J0KD5mKrp0Vvzr7lt3OU09vwQwhkpOPPYv2Y/edit?usp=sharing"",""งบพรบ!CZ69"")"),219300)</f>
        <v>219300</v>
      </c>
      <c r="I69" s="176">
        <f ca="1">IFERROR(__xludf.DUMMYFUNCTION("IMPORTRANGE(""https://docs.google.com/spreadsheets/d/1-uDff_7J0KD5mKrp0Vvzr7lt3OU09vwQwhkpOPPYv2Y/edit?usp=sharing"",""งบพรบ!DA69"")"),0)</f>
        <v>0</v>
      </c>
      <c r="J69" s="176">
        <f t="shared" ca="1" si="79"/>
        <v>0</v>
      </c>
      <c r="K69" s="181">
        <f t="shared" ca="1" si="80"/>
        <v>0</v>
      </c>
      <c r="L69" s="176">
        <f ca="1">IFERROR(__xludf.DUMMYFUNCTION("IMPORTRANGE(""https://docs.google.com/spreadsheets/d/1-uDff_7J0KD5mKrp0Vvzr7lt3OU09vwQwhkpOPPYv2Y/edit?usp=sharing"",""งบพรบ!DB69"")"),0)</f>
        <v>0</v>
      </c>
      <c r="M69" s="179">
        <f t="shared" ca="1" si="81"/>
        <v>0</v>
      </c>
      <c r="N69" s="179">
        <f t="shared" ca="1" si="82"/>
        <v>0</v>
      </c>
      <c r="O69" s="180">
        <f ca="1">IFERROR(__xludf.DUMMYFUNCTION("IMPORTRANGE(""https://docs.google.com/spreadsheets/d/1-uDff_7J0KD5mKrp0Vvzr7lt3OU09vwQwhkpOPPYv2Y/edit?usp=sharing"",""งบพรบ!DC69"")"),0)</f>
        <v>0</v>
      </c>
      <c r="P69" s="180">
        <f t="shared" ca="1" si="83"/>
        <v>0</v>
      </c>
      <c r="Q69" s="179">
        <f t="shared" ca="1" si="84"/>
        <v>0</v>
      </c>
      <c r="R69" s="92">
        <f ca="1">IFERROR(__xludf.DUMMYFUNCTION("IMPORTRANGE(""https://docs.google.com/spreadsheets/d/10oOiF7loTyfsTkbd4MpaIm0HQ9SwB7IYHdIUvt-U1Uc/edit?usp=sharing"",""สระแก้ว!L196"")"),6000)</f>
        <v>6000</v>
      </c>
      <c r="S69" s="92">
        <f ca="1">IFERROR(__xludf.DUMMYFUNCTION("IMPORTRANGE(""https://docs.google.com/spreadsheets/d/10oOiF7loTyfsTkbd4MpaIm0HQ9SwB7IYHdIUvt-U1Uc/edit?usp=sharing"",""สระแก้ว!N196"")"),0)</f>
        <v>0</v>
      </c>
      <c r="T69" s="93">
        <f t="shared" ca="1" si="86"/>
        <v>0</v>
      </c>
      <c r="U69" s="92">
        <f ca="1">IFERROR(__xludf.DUMMYFUNCTION("IMPORTRANGE(""https://docs.google.com/spreadsheets/d/10oOiF7loTyfsTkbd4MpaIm0HQ9SwB7IYHdIUvt-U1Uc/edit?usp=sharing"",""สระแก้ว!I198"")"),4)</f>
        <v>4</v>
      </c>
      <c r="V69" s="92">
        <f ca="1">IFERROR(__xludf.DUMMYFUNCTION("IMPORTRANGE(""https://docs.google.com/spreadsheets/d/10oOiF7loTyfsTkbd4MpaIm0HQ9SwB7IYHdIUvt-U1Uc/edit?usp=sharing"",""สระแก้ว!J198"")"),0)</f>
        <v>0</v>
      </c>
      <c r="W69" s="93">
        <f t="shared" ca="1" si="88"/>
        <v>0</v>
      </c>
      <c r="X69" s="92">
        <f ca="1">IFERROR(__xludf.DUMMYFUNCTION("IMPORTRANGE(""https://docs.google.com/spreadsheets/d/10oOiF7loTyfsTkbd4MpaIm0HQ9SwB7IYHdIUvt-U1Uc/edit?usp=sharing"",""สระแก้ว!J199"")"),0)</f>
        <v>0</v>
      </c>
      <c r="Y69" s="92">
        <f ca="1">IFERROR(__xludf.DUMMYFUNCTION("IMPORTRANGE(""https://docs.google.com/spreadsheets/d/10oOiF7loTyfsTkbd4MpaIm0HQ9SwB7IYHdIUvt-U1Uc/edit?usp=sharing"",""สระแก้ว!J200"")"),0)</f>
        <v>0</v>
      </c>
      <c r="Z69" s="92">
        <f ca="1">IFERROR(__xludf.DUMMYFUNCTION("IMPORTRANGE(""https://docs.google.com/spreadsheets/d/10oOiF7loTyfsTkbd4MpaIm0HQ9SwB7IYHdIUvt-U1Uc/edit?usp=sharing"",""สระแก้ว!J201"")"),0)</f>
        <v>0</v>
      </c>
      <c r="AA69" s="92">
        <f ca="1">IFERROR(__xludf.DUMMYFUNCTION("IMPORTRANGE(""https://docs.google.com/spreadsheets/d/10oOiF7loTyfsTkbd4MpaIm0HQ9SwB7IYHdIUvt-U1Uc/edit?usp=sharing"",""สระแก้ว!L204"")"),3000)</f>
        <v>3000</v>
      </c>
      <c r="AB69" s="92">
        <f ca="1">IFERROR(__xludf.DUMMYFUNCTION("IMPORTRANGE(""https://docs.google.com/spreadsheets/d/10oOiF7loTyfsTkbd4MpaIm0HQ9SwB7IYHdIUvt-U1Uc/edit?usp=sharing"",""สระแก้ว!N204"")"),0)</f>
        <v>0</v>
      </c>
      <c r="AC69" s="93">
        <f t="shared" ca="1" si="90"/>
        <v>0</v>
      </c>
      <c r="AD69" s="92">
        <f ca="1">IFERROR(__xludf.DUMMYFUNCTION("IMPORTRANGE(""https://docs.google.com/spreadsheets/d/10oOiF7loTyfsTkbd4MpaIm0HQ9SwB7IYHdIUvt-U1Uc/edit?usp=sharing"",""สระแก้ว!L206"")"),24000)</f>
        <v>24000</v>
      </c>
      <c r="AE69" s="92">
        <f ca="1">IFERROR(__xludf.DUMMYFUNCTION("IMPORTRANGE(""https://docs.google.com/spreadsheets/d/10oOiF7loTyfsTkbd4MpaIm0HQ9SwB7IYHdIUvt-U1Uc/edit?usp=sharing"",""สระแก้ว!N206"")"),0)</f>
        <v>0</v>
      </c>
      <c r="AF69" s="93">
        <f t="shared" ca="1" si="92"/>
        <v>0</v>
      </c>
      <c r="AG69" s="92">
        <f ca="1">IFERROR(__xludf.DUMMYFUNCTION("IMPORTRANGE(""https://docs.google.com/spreadsheets/d/10oOiF7loTyfsTkbd4MpaIm0HQ9SwB7IYHdIUvt-U1Uc/edit?usp=sharing"",""สระแก้ว!L207"")"),12000)</f>
        <v>12000</v>
      </c>
      <c r="AH69" s="92">
        <f ca="1">IFERROR(__xludf.DUMMYFUNCTION("IMPORTRANGE(""https://docs.google.com/spreadsheets/d/10oOiF7loTyfsTkbd4MpaIm0HQ9SwB7IYHdIUvt-U1Uc/edit?usp=sharing"",""สระแก้ว!N207"")"),0)</f>
        <v>0</v>
      </c>
      <c r="AI69" s="93">
        <f t="shared" ca="1" si="94"/>
        <v>0</v>
      </c>
      <c r="AJ69" s="92">
        <f ca="1">IFERROR(__xludf.DUMMYFUNCTION("IMPORTRANGE(""https://docs.google.com/spreadsheets/d/10oOiF7loTyfsTkbd4MpaIm0HQ9SwB7IYHdIUvt-U1Uc/edit?usp=sharing"",""สระแก้ว!I209"")"),3)</f>
        <v>3</v>
      </c>
      <c r="AK69" s="92">
        <f ca="1">IFERROR(__xludf.DUMMYFUNCTION("IMPORTRANGE(""https://docs.google.com/spreadsheets/d/10oOiF7loTyfsTkbd4MpaIm0HQ9SwB7IYHdIUvt-U1Uc/edit?usp=sharing"",""สระแก้ว!J209"")"),0)</f>
        <v>0</v>
      </c>
      <c r="AL69" s="93">
        <f t="shared" ca="1" si="96"/>
        <v>0</v>
      </c>
      <c r="AM69" s="92">
        <f ca="1">IFERROR(__xludf.DUMMYFUNCTION("IMPORTRANGE(""https://docs.google.com/spreadsheets/d/10oOiF7loTyfsTkbd4MpaIm0HQ9SwB7IYHdIUvt-U1Uc/edit?usp=sharing"",""สระแก้ว!J211"")"),0)</f>
        <v>0</v>
      </c>
      <c r="AN69" s="92">
        <f ca="1">IFERROR(__xludf.DUMMYFUNCTION("IMPORTRANGE(""https://docs.google.com/spreadsheets/d/10oOiF7loTyfsTkbd4MpaIm0HQ9SwB7IYHdIUvt-U1Uc/edit?usp=sharing"",""สระแก้ว!J212"")"),0)</f>
        <v>0</v>
      </c>
      <c r="AO69" s="92">
        <f ca="1">IFERROR(__xludf.DUMMYFUNCTION("IMPORTRANGE(""https://docs.google.com/spreadsheets/d/10oOiF7loTyfsTkbd4MpaIm0HQ9SwB7IYHdIUvt-U1Uc/edit?usp=sharing"",""สระแก้ว!L215"")"),6000)</f>
        <v>6000</v>
      </c>
      <c r="AP69" s="92">
        <f ca="1">IFERROR(__xludf.DUMMYFUNCTION("IMPORTRANGE(""https://docs.google.com/spreadsheets/d/10oOiF7loTyfsTkbd4MpaIm0HQ9SwB7IYHdIUvt-U1Uc/edit?usp=sharing"",""สระแก้ว!N215"")"),0)</f>
        <v>0</v>
      </c>
      <c r="AQ69" s="93">
        <f t="shared" ca="1" si="98"/>
        <v>0</v>
      </c>
      <c r="AR69" s="92">
        <f ca="1">IFERROR(__xludf.DUMMYFUNCTION("IMPORTRANGE(""https://docs.google.com/spreadsheets/d/10oOiF7loTyfsTkbd4MpaIm0HQ9SwB7IYHdIUvt-U1Uc/edit?usp=sharing"",""สระแก้ว!L216"")"),30000)</f>
        <v>30000</v>
      </c>
      <c r="AS69" s="92">
        <f ca="1">IFERROR(__xludf.DUMMYFUNCTION("IMPORTRANGE(""https://docs.google.com/spreadsheets/d/10oOiF7loTyfsTkbd4MpaIm0HQ9SwB7IYHdIUvt-U1Uc/edit?usp=sharing"",""สระแก้ว!N216"")"),0)</f>
        <v>0</v>
      </c>
      <c r="AT69" s="93">
        <f t="shared" ca="1" si="100"/>
        <v>0</v>
      </c>
      <c r="AU69" s="92">
        <f ca="1">IFERROR(__xludf.DUMMYFUNCTION("IMPORTRANGE(""https://docs.google.com/spreadsheets/d/10oOiF7loTyfsTkbd4MpaIm0HQ9SwB7IYHdIUvt-U1Uc/edit?usp=sharing"",""สระแก้ว!L217"")"),48000)</f>
        <v>48000</v>
      </c>
      <c r="AV69" s="92">
        <f ca="1">IFERROR(__xludf.DUMMYFUNCTION("IMPORTRANGE(""https://docs.google.com/spreadsheets/d/10oOiF7loTyfsTkbd4MpaIm0HQ9SwB7IYHdIUvt-U1Uc/edit?usp=sharing"",""สระแก้ว!N217"")"),0)</f>
        <v>0</v>
      </c>
      <c r="AW69" s="93">
        <f t="shared" ca="1" si="102"/>
        <v>0</v>
      </c>
      <c r="AX69" s="92">
        <f ca="1">IFERROR(__xludf.DUMMYFUNCTION("IMPORTRANGE(""https://docs.google.com/spreadsheets/d/10oOiF7loTyfsTkbd4MpaIm0HQ9SwB7IYHdIUvt-U1Uc/edit?usp=sharing"",""สระแก้ว!I219"")"),6)</f>
        <v>6</v>
      </c>
      <c r="AY69" s="92">
        <f ca="1">IFERROR(__xludf.DUMMYFUNCTION("IMPORTRANGE(""https://docs.google.com/spreadsheets/d/10oOiF7loTyfsTkbd4MpaIm0HQ9SwB7IYHdIUvt-U1Uc/edit?usp=sharing"",""สระแก้ว!J219"")"),0)</f>
        <v>0</v>
      </c>
      <c r="AZ69" s="93">
        <f t="shared" ca="1" si="104"/>
        <v>0</v>
      </c>
      <c r="BA69" s="92">
        <f ca="1">IFERROR(__xludf.DUMMYFUNCTION("IMPORTRANGE(""https://docs.google.com/spreadsheets/d/10oOiF7loTyfsTkbd4MpaIm0HQ9SwB7IYHdIUvt-U1Uc/edit?usp=sharing"",""สระแก้ว!I220"")"),6)</f>
        <v>6</v>
      </c>
      <c r="BB69" s="92">
        <f ca="1">IFERROR(__xludf.DUMMYFUNCTION("IMPORTRANGE(""https://docs.google.com/spreadsheets/d/10oOiF7loTyfsTkbd4MpaIm0HQ9SwB7IYHdIUvt-U1Uc/edit?usp=sharing"",""สระแก้ว!J220"")"),0)</f>
        <v>0</v>
      </c>
      <c r="BC69" s="93">
        <f t="shared" ca="1" si="106"/>
        <v>0</v>
      </c>
      <c r="BD69" s="92">
        <f ca="1">IFERROR(__xludf.DUMMYFUNCTION("IMPORTRANGE(""https://docs.google.com/spreadsheets/d/10oOiF7loTyfsTkbd4MpaIm0HQ9SwB7IYHdIUvt-U1Uc/edit?usp=sharing"",""สระแก้ว!L223"")"),5000)</f>
        <v>5000</v>
      </c>
      <c r="BE69" s="92">
        <f ca="1">IFERROR(__xludf.DUMMYFUNCTION("IMPORTRANGE(""https://docs.google.com/spreadsheets/d/10oOiF7loTyfsTkbd4MpaIm0HQ9SwB7IYHdIUvt-U1Uc/edit?usp=sharing"",""สระแก้ว!N223"")"),0)</f>
        <v>0</v>
      </c>
      <c r="BF69" s="93">
        <f t="shared" ca="1" si="108"/>
        <v>0</v>
      </c>
      <c r="BG69" s="92">
        <f ca="1">IFERROR(__xludf.DUMMYFUNCTION("IMPORTRANGE(""https://docs.google.com/spreadsheets/d/10oOiF7loTyfsTkbd4MpaIm0HQ9SwB7IYHdIUvt-U1Uc/edit?usp=sharing"",""สระแก้ว!L224"")"),1500)</f>
        <v>1500</v>
      </c>
      <c r="BH69" s="92">
        <f ca="1">IFERROR(__xludf.DUMMYFUNCTION("IMPORTRANGE(""https://docs.google.com/spreadsheets/d/10oOiF7loTyfsTkbd4MpaIm0HQ9SwB7IYHdIUvt-U1Uc/edit?usp=sharing"",""สระแก้ว!N224"")"),0)</f>
        <v>0</v>
      </c>
      <c r="BI69" s="93">
        <f t="shared" ca="1" si="110"/>
        <v>0</v>
      </c>
      <c r="BJ69" s="92">
        <f ca="1">IFERROR(__xludf.DUMMYFUNCTION("IMPORTRANGE(""https://docs.google.com/spreadsheets/d/10oOiF7loTyfsTkbd4MpaIm0HQ9SwB7IYHdIUvt-U1Uc/edit?usp=sharing"",""สระแก้ว!I228"")"),40000)</f>
        <v>40000</v>
      </c>
      <c r="BK69" s="92">
        <f ca="1">IFERROR(__xludf.DUMMYFUNCTION("IMPORTRANGE(""https://docs.google.com/spreadsheets/d/10oOiF7loTyfsTkbd4MpaIm0HQ9SwB7IYHdIUvt-U1Uc/edit?usp=sharing"",""สระแก้ว!J228"")"),0)</f>
        <v>0</v>
      </c>
      <c r="BL69" s="93">
        <f t="shared" ca="1" si="112"/>
        <v>0</v>
      </c>
      <c r="BM69" s="92">
        <f ca="1">IFERROR(__xludf.DUMMYFUNCTION("IMPORTRANGE(""https://docs.google.com/spreadsheets/d/10oOiF7loTyfsTkbd4MpaIm0HQ9SwB7IYHdIUvt-U1Uc/edit?usp=sharing"",""สระแก้ว!I229"")"),40000)</f>
        <v>40000</v>
      </c>
      <c r="BN69" s="92">
        <f ca="1">IFERROR(__xludf.DUMMYFUNCTION("IMPORTRANGE(""https://docs.google.com/spreadsheets/d/10oOiF7loTyfsTkbd4MpaIm0HQ9SwB7IYHdIUvt-U1Uc/edit?usp=sharing"",""สระแก้ว!J229"")"),0)</f>
        <v>0</v>
      </c>
      <c r="BO69" s="93">
        <f t="shared" ca="1" si="114"/>
        <v>0</v>
      </c>
      <c r="BP69" s="92">
        <f ca="1">IFERROR(__xludf.DUMMYFUNCTION("IMPORTRANGE(""https://docs.google.com/spreadsheets/d/10oOiF7loTyfsTkbd4MpaIm0HQ9SwB7IYHdIUvt-U1Uc/edit?usp=sharing"",""สระแก้ว!I230"")"),0)</f>
        <v>0</v>
      </c>
      <c r="BQ69" s="92">
        <f ca="1">IFERROR(__xludf.DUMMYFUNCTION("IMPORTRANGE(""https://docs.google.com/spreadsheets/d/10oOiF7loTyfsTkbd4MpaIm0HQ9SwB7IYHdIUvt-U1Uc/edit?usp=sharing"",""สระแก้ว!J230"")"),0)</f>
        <v>0</v>
      </c>
      <c r="BR69" s="93">
        <f t="shared" ca="1" si="116"/>
        <v>0</v>
      </c>
      <c r="BS69" s="92">
        <f ca="1">IFERROR(__xludf.DUMMYFUNCTION("IMPORTRANGE(""https://docs.google.com/spreadsheets/d/10oOiF7loTyfsTkbd4MpaIm0HQ9SwB7IYHdIUvt-U1Uc/edit?usp=sharing"",""สระแก้ว!L233"")"),13000)</f>
        <v>13000</v>
      </c>
      <c r="BT69" s="92">
        <f ca="1">IFERROR(__xludf.DUMMYFUNCTION("IMPORTRANGE(""https://docs.google.com/spreadsheets/d/10oOiF7loTyfsTkbd4MpaIm0HQ9SwB7IYHdIUvt-U1Uc/edit?usp=sharing"",""สระแก้ว!N233"")"),0)</f>
        <v>0</v>
      </c>
      <c r="BU69" s="93">
        <f t="shared" ca="1" si="118"/>
        <v>0</v>
      </c>
      <c r="BV69" s="92">
        <f ca="1">IFERROR(__xludf.DUMMYFUNCTION("IMPORTRANGE(""https://docs.google.com/spreadsheets/d/10oOiF7loTyfsTkbd4MpaIm0HQ9SwB7IYHdIUvt-U1Uc/edit?usp=sharing"",""สระแก้ว!L234"")"),5000)</f>
        <v>5000</v>
      </c>
      <c r="BW69" s="92">
        <f ca="1">IFERROR(__xludf.DUMMYFUNCTION("IMPORTRANGE(""https://docs.google.com/spreadsheets/d/10oOiF7loTyfsTkbd4MpaIm0HQ9SwB7IYHdIUvt-U1Uc/edit?usp=sharing"",""สระแก้ว!N234"")"),0)</f>
        <v>0</v>
      </c>
      <c r="BX69" s="93">
        <f t="shared" ca="1" si="120"/>
        <v>0</v>
      </c>
      <c r="BY69" s="92">
        <f ca="1">IFERROR(__xludf.DUMMYFUNCTION("IMPORTRANGE(""https://docs.google.com/spreadsheets/d/10oOiF7loTyfsTkbd4MpaIm0HQ9SwB7IYHdIUvt-U1Uc/edit?usp=sharing"",""สระแก้ว!L235"")"),47800)</f>
        <v>47800</v>
      </c>
      <c r="BZ69" s="92">
        <f ca="1">IFERROR(__xludf.DUMMYFUNCTION("IMPORTRANGE(""https://docs.google.com/spreadsheets/d/10oOiF7loTyfsTkbd4MpaIm0HQ9SwB7IYHdIUvt-U1Uc/edit?usp=sharing"",""สระแก้ว!N235"")"),0)</f>
        <v>0</v>
      </c>
      <c r="CA69" s="93">
        <f t="shared" ca="1" si="122"/>
        <v>0</v>
      </c>
      <c r="CB69" s="92">
        <f ca="1">IFERROR(__xludf.DUMMYFUNCTION("IMPORTRANGE(""https://docs.google.com/spreadsheets/d/10oOiF7loTyfsTkbd4MpaIm0HQ9SwB7IYHdIUvt-U1Uc/edit?usp=sharing"",""สระแก้ว!L236"")"),68000)</f>
        <v>68000</v>
      </c>
      <c r="CC69" s="92">
        <f ca="1">IFERROR(__xludf.DUMMYFUNCTION("IMPORTRANGE(""https://docs.google.com/spreadsheets/d/10oOiF7loTyfsTkbd4MpaIm0HQ9SwB7IYHdIUvt-U1Uc/edit?usp=sharing"",""สระแก้ว!N236"")"),0)</f>
        <v>0</v>
      </c>
      <c r="CD69" s="93">
        <f t="shared" ca="1" si="124"/>
        <v>0</v>
      </c>
      <c r="CE69" s="92">
        <f ca="1">IFERROR(__xludf.DUMMYFUNCTION("IMPORTRANGE(""https://docs.google.com/spreadsheets/d/10oOiF7loTyfsTkbd4MpaIm0HQ9SwB7IYHdIUvt-U1Uc/edit?usp=sharing"",""สระแก้ว!I238"")"),60)</f>
        <v>60</v>
      </c>
      <c r="CF69" s="92">
        <f ca="1">IFERROR(__xludf.DUMMYFUNCTION("IMPORTRANGE(""https://docs.google.com/spreadsheets/d/10oOiF7loTyfsTkbd4MpaIm0HQ9SwB7IYHdIUvt-U1Uc/edit?usp=sharing"",""สระแก้ว!J238"")"),0)</f>
        <v>0</v>
      </c>
      <c r="CG69" s="93">
        <f t="shared" ca="1" si="126"/>
        <v>0</v>
      </c>
      <c r="CH69" s="92">
        <f ca="1">IFERROR(__xludf.DUMMYFUNCTION("IMPORTRANGE(""https://docs.google.com/spreadsheets/d/10oOiF7loTyfsTkbd4MpaIm0HQ9SwB7IYHdIUvt-U1Uc/edit?usp=sharing"",""สระแก้ว!J240"")"),0)</f>
        <v>0</v>
      </c>
      <c r="CI69" s="92">
        <f ca="1">IFERROR(__xludf.DUMMYFUNCTION("IMPORTRANGE(""https://docs.google.com/spreadsheets/d/10oOiF7loTyfsTkbd4MpaIm0HQ9SwB7IYHdIUvt-U1Uc/edit?usp=sharing"",""สระแก้ว!J241"")"),0)</f>
        <v>0</v>
      </c>
    </row>
    <row r="70" spans="1:87" ht="21" customHeight="1" x14ac:dyDescent="0.3">
      <c r="A70" s="84">
        <v>18</v>
      </c>
      <c r="B70" s="85" t="s">
        <v>92</v>
      </c>
      <c r="C70" s="174">
        <f t="shared" ca="1" si="77"/>
        <v>49500</v>
      </c>
      <c r="D70" s="175">
        <f t="shared" ca="1" si="176"/>
        <v>49500</v>
      </c>
      <c r="E70" s="176">
        <f ca="1">IFERROR(__xludf.DUMMYFUNCTION("IMPORTRANGE(""https://docs.google.com/spreadsheets/d/1-uDff_7J0KD5mKrp0Vvzr7lt3OU09vwQwhkpOPPYv2Y/edit?usp=sharing"",""งบพรบ!CV70"")"),0)</f>
        <v>0</v>
      </c>
      <c r="F70" s="176">
        <f ca="1">IFERROR(__xludf.DUMMYFUNCTION("IMPORTRANGE(""https://docs.google.com/spreadsheets/d/1-uDff_7J0KD5mKrp0Vvzr7lt3OU09vwQwhkpOPPYv2Y/edit?usp=sharing"",""งบพรบ!CW70"")"),49500)</f>
        <v>49500</v>
      </c>
      <c r="G70" s="176">
        <f ca="1">IFERROR(__xludf.DUMMYFUNCTION("IMPORTRANGE(""https://docs.google.com/spreadsheets/d/1-uDff_7J0KD5mKrp0Vvzr7lt3OU09vwQwhkpOPPYv2Y/edit?usp=sharing"",""งบพรบ!CX70"")"),0)</f>
        <v>0</v>
      </c>
      <c r="H70" s="176">
        <f ca="1">IFERROR(__xludf.DUMMYFUNCTION("IMPORTRANGE(""https://docs.google.com/spreadsheets/d/1-uDff_7J0KD5mKrp0Vvzr7lt3OU09vwQwhkpOPPYv2Y/edit?usp=sharing"",""งบพรบ!CZ70"")"),31500)</f>
        <v>31500</v>
      </c>
      <c r="I70" s="176">
        <f ca="1">IFERROR(__xludf.DUMMYFUNCTION("IMPORTRANGE(""https://docs.google.com/spreadsheets/d/1-uDff_7J0KD5mKrp0Vvzr7lt3OU09vwQwhkpOPPYv2Y/edit?usp=sharing"",""งบพรบ!DA70"")"),0)</f>
        <v>0</v>
      </c>
      <c r="J70" s="176">
        <f t="shared" ca="1" si="79"/>
        <v>0</v>
      </c>
      <c r="K70" s="181">
        <f t="shared" ca="1" si="80"/>
        <v>0</v>
      </c>
      <c r="L70" s="176">
        <f ca="1">IFERROR(__xludf.DUMMYFUNCTION("IMPORTRANGE(""https://docs.google.com/spreadsheets/d/1-uDff_7J0KD5mKrp0Vvzr7lt3OU09vwQwhkpOPPYv2Y/edit?usp=sharing"",""งบพรบ!DB70"")"),0)</f>
        <v>0</v>
      </c>
      <c r="M70" s="179">
        <f t="shared" ca="1" si="81"/>
        <v>0</v>
      </c>
      <c r="N70" s="179">
        <f t="shared" ca="1" si="82"/>
        <v>0</v>
      </c>
      <c r="O70" s="180">
        <f ca="1">IFERROR(__xludf.DUMMYFUNCTION("IMPORTRANGE(""https://docs.google.com/spreadsheets/d/1-uDff_7J0KD5mKrp0Vvzr7lt3OU09vwQwhkpOPPYv2Y/edit?usp=sharing"",""งบพรบ!DC70"")"),0)</f>
        <v>0</v>
      </c>
      <c r="P70" s="180">
        <f t="shared" ca="1" si="83"/>
        <v>0</v>
      </c>
      <c r="Q70" s="179">
        <f t="shared" ca="1" si="84"/>
        <v>0</v>
      </c>
      <c r="R70" s="92">
        <f ca="1">IFERROR(__xludf.DUMMYFUNCTION("IMPORTRANGE(""https://docs.google.com/spreadsheets/d/1xmPlrr1QbdSIKvl1dWUl9K4PjAfSL9oeMr_37QVzcxc/edit?usp=sharing"",""สระบุรี!L196"")"),6000)</f>
        <v>6000</v>
      </c>
      <c r="S70" s="92">
        <f ca="1">IFERROR(__xludf.DUMMYFUNCTION("IMPORTRANGE(""https://docs.google.com/spreadsheets/d/1xmPlrr1QbdSIKvl1dWUl9K4PjAfSL9oeMr_37QVzcxc/edit?usp=sharing"",""สระบุรี!N196"")"),0)</f>
        <v>0</v>
      </c>
      <c r="T70" s="93">
        <f t="shared" ca="1" si="86"/>
        <v>0</v>
      </c>
      <c r="U70" s="92">
        <f ca="1">IFERROR(__xludf.DUMMYFUNCTION("IMPORTRANGE(""https://docs.google.com/spreadsheets/d/1xmPlrr1QbdSIKvl1dWUl9K4PjAfSL9oeMr_37QVzcxc/edit?usp=sharing"",""สระบุรี!I198"")"),4)</f>
        <v>4</v>
      </c>
      <c r="V70" s="92">
        <f ca="1">IFERROR(__xludf.DUMMYFUNCTION("IMPORTRANGE(""https://docs.google.com/spreadsheets/d/1xmPlrr1QbdSIKvl1dWUl9K4PjAfSL9oeMr_37QVzcxc/edit?usp=sharing"",""สระบุรี!J198"")"),1)</f>
        <v>1</v>
      </c>
      <c r="W70" s="93">
        <f t="shared" ca="1" si="88"/>
        <v>25</v>
      </c>
      <c r="X70" s="92">
        <f ca="1">IFERROR(__xludf.DUMMYFUNCTION("IMPORTRANGE(""https://docs.google.com/spreadsheets/d/1xmPlrr1QbdSIKvl1dWUl9K4PjAfSL9oeMr_37QVzcxc/edit?usp=sharing"",""สระบุรี!J199"")"),0)</f>
        <v>0</v>
      </c>
      <c r="Y70" s="92">
        <f ca="1">IFERROR(__xludf.DUMMYFUNCTION("IMPORTRANGE(""https://docs.google.com/spreadsheets/d/1xmPlrr1QbdSIKvl1dWUl9K4PjAfSL9oeMr_37QVzcxc/edit?usp=sharing"",""สระบุรี!J200"")"),0)</f>
        <v>0</v>
      </c>
      <c r="Z70" s="92">
        <f ca="1">IFERROR(__xludf.DUMMYFUNCTION("IMPORTRANGE(""https://docs.google.com/spreadsheets/d/1xmPlrr1QbdSIKvl1dWUl9K4PjAfSL9oeMr_37QVzcxc/edit?usp=sharing"",""สระบุรี!J201"")"),0)</f>
        <v>0</v>
      </c>
      <c r="AA70" s="92">
        <f ca="1">IFERROR(__xludf.DUMMYFUNCTION("IMPORTRANGE(""https://docs.google.com/spreadsheets/d/1xmPlrr1QbdSIKvl1dWUl9K4PjAfSL9oeMr_37QVzcxc/edit?usp=sharing"",""สระบุรี!L204"")"),3000)</f>
        <v>3000</v>
      </c>
      <c r="AB70" s="92">
        <f ca="1">IFERROR(__xludf.DUMMYFUNCTION("IMPORTRANGE(""https://docs.google.com/spreadsheets/d/1xmPlrr1QbdSIKvl1dWUl9K4PjAfSL9oeMr_37QVzcxc/edit?usp=sharing"",""สระบุรี!N204"")"),0)</f>
        <v>0</v>
      </c>
      <c r="AC70" s="93">
        <f t="shared" ca="1" si="90"/>
        <v>0</v>
      </c>
      <c r="AD70" s="92">
        <f ca="1">IFERROR(__xludf.DUMMYFUNCTION("IMPORTRANGE(""https://docs.google.com/spreadsheets/d/1xmPlrr1QbdSIKvl1dWUl9K4PjAfSL9oeMr_37QVzcxc/edit?usp=sharing"",""สระบุรี!L206"")"),24000)</f>
        <v>24000</v>
      </c>
      <c r="AE70" s="92">
        <f ca="1">IFERROR(__xludf.DUMMYFUNCTION("IMPORTRANGE(""https://docs.google.com/spreadsheets/d/1xmPlrr1QbdSIKvl1dWUl9K4PjAfSL9oeMr_37QVzcxc/edit?usp=sharing"",""สระบุรี!N206"")"),0)</f>
        <v>0</v>
      </c>
      <c r="AF70" s="93">
        <f t="shared" ca="1" si="92"/>
        <v>0</v>
      </c>
      <c r="AG70" s="92">
        <f ca="1">IFERROR(__xludf.DUMMYFUNCTION("IMPORTRANGE(""https://docs.google.com/spreadsheets/d/1xmPlrr1QbdSIKvl1dWUl9K4PjAfSL9oeMr_37QVzcxc/edit?usp=sharing"",""สระบุรี!L207"")"),12000)</f>
        <v>12000</v>
      </c>
      <c r="AH70" s="92">
        <f ca="1">IFERROR(__xludf.DUMMYFUNCTION("IMPORTRANGE(""https://docs.google.com/spreadsheets/d/1xmPlrr1QbdSIKvl1dWUl9K4PjAfSL9oeMr_37QVzcxc/edit?usp=sharing"",""สระบุรี!N207"")"),0)</f>
        <v>0</v>
      </c>
      <c r="AI70" s="93">
        <f t="shared" ca="1" si="94"/>
        <v>0</v>
      </c>
      <c r="AJ70" s="92">
        <f ca="1">IFERROR(__xludf.DUMMYFUNCTION("IMPORTRANGE(""https://docs.google.com/spreadsheets/d/1xmPlrr1QbdSIKvl1dWUl9K4PjAfSL9oeMr_37QVzcxc/edit?usp=sharing"",""สระบุรี!I209"")"),3)</f>
        <v>3</v>
      </c>
      <c r="AK70" s="92">
        <f ca="1">IFERROR(__xludf.DUMMYFUNCTION("IMPORTRANGE(""https://docs.google.com/spreadsheets/d/1xmPlrr1QbdSIKvl1dWUl9K4PjAfSL9oeMr_37QVzcxc/edit?usp=sharing"",""สระบุรี!J209"")"),0)</f>
        <v>0</v>
      </c>
      <c r="AL70" s="93">
        <f t="shared" ca="1" si="96"/>
        <v>0</v>
      </c>
      <c r="AM70" s="92">
        <f ca="1">IFERROR(__xludf.DUMMYFUNCTION("IMPORTRANGE(""https://docs.google.com/spreadsheets/d/1xmPlrr1QbdSIKvl1dWUl9K4PjAfSL9oeMr_37QVzcxc/edit?usp=sharing"",""สระบุรี!J211"")"),0)</f>
        <v>0</v>
      </c>
      <c r="AN70" s="92">
        <f ca="1">IFERROR(__xludf.DUMMYFUNCTION("IMPORTRANGE(""https://docs.google.com/spreadsheets/d/1xmPlrr1QbdSIKvl1dWUl9K4PjAfSL9oeMr_37QVzcxc/edit?usp=sharing"",""สระบุรี!J212"")"),0)</f>
        <v>0</v>
      </c>
      <c r="AO70" s="92">
        <f ca="1">IFERROR(__xludf.DUMMYFUNCTION("IMPORTRANGE(""https://docs.google.com/spreadsheets/d/1xmPlrr1QbdSIKvl1dWUl9K4PjAfSL9oeMr_37QVzcxc/edit?usp=sharing"",""สระบุรี!L215"")"),0)</f>
        <v>0</v>
      </c>
      <c r="AP70" s="92">
        <f ca="1">IFERROR(__xludf.DUMMYFUNCTION("IMPORTRANGE(""https://docs.google.com/spreadsheets/d/1xmPlrr1QbdSIKvl1dWUl9K4PjAfSL9oeMr_37QVzcxc/edit?usp=sharing"",""สระบุรี!N215"")"),0)</f>
        <v>0</v>
      </c>
      <c r="AQ70" s="93">
        <f t="shared" ca="1" si="98"/>
        <v>0</v>
      </c>
      <c r="AR70" s="92">
        <f ca="1">IFERROR(__xludf.DUMMYFUNCTION("IMPORTRANGE(""https://docs.google.com/spreadsheets/d/1xmPlrr1QbdSIKvl1dWUl9K4PjAfSL9oeMr_37QVzcxc/edit?usp=sharing"",""สระบุรี!L216"")"),0)</f>
        <v>0</v>
      </c>
      <c r="AS70" s="92">
        <f ca="1">IFERROR(__xludf.DUMMYFUNCTION("IMPORTRANGE(""https://docs.google.com/spreadsheets/d/1xmPlrr1QbdSIKvl1dWUl9K4PjAfSL9oeMr_37QVzcxc/edit?usp=sharing"",""สระบุรี!N216"")"),0)</f>
        <v>0</v>
      </c>
      <c r="AT70" s="93">
        <f t="shared" ca="1" si="100"/>
        <v>0</v>
      </c>
      <c r="AU70" s="92">
        <f ca="1">IFERROR(__xludf.DUMMYFUNCTION("IMPORTRANGE(""https://docs.google.com/spreadsheets/d/1xmPlrr1QbdSIKvl1dWUl9K4PjAfSL9oeMr_37QVzcxc/edit?usp=sharing"",""สระบุรี!L217"")"),0)</f>
        <v>0</v>
      </c>
      <c r="AV70" s="92">
        <f ca="1">IFERROR(__xludf.DUMMYFUNCTION("IMPORTRANGE(""https://docs.google.com/spreadsheets/d/1xmPlrr1QbdSIKvl1dWUl9K4PjAfSL9oeMr_37QVzcxc/edit?usp=sharing"",""สระบุรี!N217"")"),0)</f>
        <v>0</v>
      </c>
      <c r="AW70" s="93">
        <f t="shared" ca="1" si="102"/>
        <v>0</v>
      </c>
      <c r="AX70" s="92">
        <f ca="1">IFERROR(__xludf.DUMMYFUNCTION("IMPORTRANGE(""https://docs.google.com/spreadsheets/d/1xmPlrr1QbdSIKvl1dWUl9K4PjAfSL9oeMr_37QVzcxc/edit?usp=sharing"",""สระบุรี!I219"")"),0)</f>
        <v>0</v>
      </c>
      <c r="AY70" s="92">
        <f ca="1">IFERROR(__xludf.DUMMYFUNCTION("IMPORTRANGE(""https://docs.google.com/spreadsheets/d/1xmPlrr1QbdSIKvl1dWUl9K4PjAfSL9oeMr_37QVzcxc/edit?usp=sharing"",""สระบุรี!J219"")"),0)</f>
        <v>0</v>
      </c>
      <c r="AZ70" s="93">
        <f t="shared" ca="1" si="104"/>
        <v>0</v>
      </c>
      <c r="BA70" s="92">
        <f ca="1">IFERROR(__xludf.DUMMYFUNCTION("IMPORTRANGE(""https://docs.google.com/spreadsheets/d/1xmPlrr1QbdSIKvl1dWUl9K4PjAfSL9oeMr_37QVzcxc/edit?usp=sharing"",""สระบุรี!I220"")"),0)</f>
        <v>0</v>
      </c>
      <c r="BB70" s="92">
        <f ca="1">IFERROR(__xludf.DUMMYFUNCTION("IMPORTRANGE(""https://docs.google.com/spreadsheets/d/1xmPlrr1QbdSIKvl1dWUl9K4PjAfSL9oeMr_37QVzcxc/edit?usp=sharing"",""สระบุรี!J220"")"),0)</f>
        <v>0</v>
      </c>
      <c r="BC70" s="93">
        <f t="shared" ca="1" si="106"/>
        <v>0</v>
      </c>
      <c r="BD70" s="92">
        <f ca="1">IFERROR(__xludf.DUMMYFUNCTION("IMPORTRANGE(""https://docs.google.com/spreadsheets/d/1xmPlrr1QbdSIKvl1dWUl9K4PjAfSL9oeMr_37QVzcxc/edit?usp=sharing"",""สระบุรี!L223"")"),3000)</f>
        <v>3000</v>
      </c>
      <c r="BE70" s="92">
        <f ca="1">IFERROR(__xludf.DUMMYFUNCTION("IMPORTRANGE(""https://docs.google.com/spreadsheets/d/1xmPlrr1QbdSIKvl1dWUl9K4PjAfSL9oeMr_37QVzcxc/edit?usp=sharing"",""สระบุรี!N223"")"),0)</f>
        <v>0</v>
      </c>
      <c r="BF70" s="93">
        <f t="shared" ca="1" si="108"/>
        <v>0</v>
      </c>
      <c r="BG70" s="92">
        <f ca="1">IFERROR(__xludf.DUMMYFUNCTION("IMPORTRANGE(""https://docs.google.com/spreadsheets/d/1xmPlrr1QbdSIKvl1dWUl9K4PjAfSL9oeMr_37QVzcxc/edit?usp=sharing"",""สระบุรี!L224"")"),1500)</f>
        <v>1500</v>
      </c>
      <c r="BH70" s="92">
        <f ca="1">IFERROR(__xludf.DUMMYFUNCTION("IMPORTRANGE(""https://docs.google.com/spreadsheets/d/1xmPlrr1QbdSIKvl1dWUl9K4PjAfSL9oeMr_37QVzcxc/edit?usp=sharing"",""สระบุรี!N224"")"),0)</f>
        <v>0</v>
      </c>
      <c r="BI70" s="93">
        <f t="shared" ca="1" si="110"/>
        <v>0</v>
      </c>
      <c r="BJ70" s="92">
        <f ca="1">IFERROR(__xludf.DUMMYFUNCTION("IMPORTRANGE(""https://docs.google.com/spreadsheets/d/1xmPlrr1QbdSIKvl1dWUl9K4PjAfSL9oeMr_37QVzcxc/edit?usp=sharing"",""สระบุรี!I228"")"),20000)</f>
        <v>20000</v>
      </c>
      <c r="BK70" s="92">
        <f ca="1">IFERROR(__xludf.DUMMYFUNCTION("IMPORTRANGE(""https://docs.google.com/spreadsheets/d/1xmPlrr1QbdSIKvl1dWUl9K4PjAfSL9oeMr_37QVzcxc/edit?usp=sharing"",""สระบุรี!J228"")"),0)</f>
        <v>0</v>
      </c>
      <c r="BL70" s="93">
        <f t="shared" ca="1" si="112"/>
        <v>0</v>
      </c>
      <c r="BM70" s="92">
        <f ca="1">IFERROR(__xludf.DUMMYFUNCTION("IMPORTRANGE(""https://docs.google.com/spreadsheets/d/1xmPlrr1QbdSIKvl1dWUl9K4PjAfSL9oeMr_37QVzcxc/edit?usp=sharing"",""สระบุรี!I229"")"),20000)</f>
        <v>20000</v>
      </c>
      <c r="BN70" s="92">
        <f ca="1">IFERROR(__xludf.DUMMYFUNCTION("IMPORTRANGE(""https://docs.google.com/spreadsheets/d/1xmPlrr1QbdSIKvl1dWUl9K4PjAfSL9oeMr_37QVzcxc/edit?usp=sharing"",""สระบุรี!J229"")"),0)</f>
        <v>0</v>
      </c>
      <c r="BO70" s="93">
        <f t="shared" ca="1" si="114"/>
        <v>0</v>
      </c>
      <c r="BP70" s="92">
        <f ca="1">IFERROR(__xludf.DUMMYFUNCTION("IMPORTRANGE(""https://docs.google.com/spreadsheets/d/1xmPlrr1QbdSIKvl1dWUl9K4PjAfSL9oeMr_37QVzcxc/edit?usp=sharing"",""สระบุรี!I230"")"),0)</f>
        <v>0</v>
      </c>
      <c r="BQ70" s="92">
        <f ca="1">IFERROR(__xludf.DUMMYFUNCTION("IMPORTRANGE(""https://docs.google.com/spreadsheets/d/1xmPlrr1QbdSIKvl1dWUl9K4PjAfSL9oeMr_37QVzcxc/edit?usp=sharing"",""สระบุรี!J230"")"),0)</f>
        <v>0</v>
      </c>
      <c r="BR70" s="93">
        <f t="shared" ca="1" si="116"/>
        <v>0</v>
      </c>
      <c r="BS70" s="92">
        <f ca="1">IFERROR(__xludf.DUMMYFUNCTION("IMPORTRANGE(""https://docs.google.com/spreadsheets/d/1xmPlrr1QbdSIKvl1dWUl9K4PjAfSL9oeMr_37QVzcxc/edit?usp=sharing"",""สระบุรี!L233"")"),0)</f>
        <v>0</v>
      </c>
      <c r="BT70" s="92">
        <f ca="1">IFERROR(__xludf.DUMMYFUNCTION("IMPORTRANGE(""https://docs.google.com/spreadsheets/d/1xmPlrr1QbdSIKvl1dWUl9K4PjAfSL9oeMr_37QVzcxc/edit?usp=sharing"",""สระบุรี!N233"")"),0)</f>
        <v>0</v>
      </c>
      <c r="BU70" s="93">
        <f t="shared" ca="1" si="118"/>
        <v>0</v>
      </c>
      <c r="BV70" s="92">
        <f ca="1">IFERROR(__xludf.DUMMYFUNCTION("IMPORTRANGE(""https://docs.google.com/spreadsheets/d/1xmPlrr1QbdSIKvl1dWUl9K4PjAfSL9oeMr_37QVzcxc/edit?usp=sharing"",""สระบุรี!L234"")"),0)</f>
        <v>0</v>
      </c>
      <c r="BW70" s="92">
        <f ca="1">IFERROR(__xludf.DUMMYFUNCTION("IMPORTRANGE(""https://docs.google.com/spreadsheets/d/1xmPlrr1QbdSIKvl1dWUl9K4PjAfSL9oeMr_37QVzcxc/edit?usp=sharing"",""สระบุรี!N234"")"),0)</f>
        <v>0</v>
      </c>
      <c r="BX70" s="93">
        <f t="shared" ca="1" si="120"/>
        <v>0</v>
      </c>
      <c r="BY70" s="92">
        <f ca="1">IFERROR(__xludf.DUMMYFUNCTION("IMPORTRANGE(""https://docs.google.com/spreadsheets/d/1xmPlrr1QbdSIKvl1dWUl9K4PjAfSL9oeMr_37QVzcxc/edit?usp=sharing"",""สระบุรี!L235"")"),0)</f>
        <v>0</v>
      </c>
      <c r="BZ70" s="92">
        <f ca="1">IFERROR(__xludf.DUMMYFUNCTION("IMPORTRANGE(""https://docs.google.com/spreadsheets/d/1xmPlrr1QbdSIKvl1dWUl9K4PjAfSL9oeMr_37QVzcxc/edit?usp=sharing"",""สระบุรี!N235"")"),0)</f>
        <v>0</v>
      </c>
      <c r="CA70" s="93">
        <f t="shared" ca="1" si="122"/>
        <v>0</v>
      </c>
      <c r="CB70" s="92">
        <f ca="1">IFERROR(__xludf.DUMMYFUNCTION("IMPORTRANGE(""https://docs.google.com/spreadsheets/d/1xmPlrr1QbdSIKvl1dWUl9K4PjAfSL9oeMr_37QVzcxc/edit?usp=sharing"",""สระบุรี!L236"")"),0)</f>
        <v>0</v>
      </c>
      <c r="CC70" s="92">
        <f ca="1">IFERROR(__xludf.DUMMYFUNCTION("IMPORTRANGE(""https://docs.google.com/spreadsheets/d/1xmPlrr1QbdSIKvl1dWUl9K4PjAfSL9oeMr_37QVzcxc/edit?usp=sharing"",""สระบุรี!N236"")"),0)</f>
        <v>0</v>
      </c>
      <c r="CD70" s="93">
        <f t="shared" ca="1" si="124"/>
        <v>0</v>
      </c>
      <c r="CE70" s="92">
        <f ca="1">IFERROR(__xludf.DUMMYFUNCTION("IMPORTRANGE(""https://docs.google.com/spreadsheets/d/1xmPlrr1QbdSIKvl1dWUl9K4PjAfSL9oeMr_37QVzcxc/edit?usp=sharing"",""สระบุรี!I238"")"),0)</f>
        <v>0</v>
      </c>
      <c r="CF70" s="92">
        <f ca="1">IFERROR(__xludf.DUMMYFUNCTION("IMPORTRANGE(""https://docs.google.com/spreadsheets/d/1xmPlrr1QbdSIKvl1dWUl9K4PjAfSL9oeMr_37QVzcxc/edit?usp=sharing"",""สระบุรี!J238"")"),0)</f>
        <v>0</v>
      </c>
      <c r="CG70" s="93">
        <f t="shared" ca="1" si="126"/>
        <v>0</v>
      </c>
      <c r="CH70" s="92">
        <f ca="1">IFERROR(__xludf.DUMMYFUNCTION("IMPORTRANGE(""https://docs.google.com/spreadsheets/d/1xmPlrr1QbdSIKvl1dWUl9K4PjAfSL9oeMr_37QVzcxc/edit?usp=sharing"",""สระบุรี!J240"")"),0)</f>
        <v>0</v>
      </c>
      <c r="CI70" s="92">
        <f ca="1">IFERROR(__xludf.DUMMYFUNCTION("IMPORTRANGE(""https://docs.google.com/spreadsheets/d/1xmPlrr1QbdSIKvl1dWUl9K4PjAfSL9oeMr_37QVzcxc/edit?usp=sharing"",""สระบุรี!J241"")"),0)</f>
        <v>0</v>
      </c>
    </row>
    <row r="71" spans="1:87" ht="21" customHeight="1" x14ac:dyDescent="0.3">
      <c r="A71" s="84">
        <v>19</v>
      </c>
      <c r="B71" s="85" t="s">
        <v>93</v>
      </c>
      <c r="C71" s="174">
        <f t="shared" ca="1" si="77"/>
        <v>84200</v>
      </c>
      <c r="D71" s="175">
        <f t="shared" ca="1" si="176"/>
        <v>84200</v>
      </c>
      <c r="E71" s="176">
        <f ca="1">IFERROR(__xludf.DUMMYFUNCTION("IMPORTRANGE(""https://docs.google.com/spreadsheets/d/1-uDff_7J0KD5mKrp0Vvzr7lt3OU09vwQwhkpOPPYv2Y/edit?usp=sharing"",""งบพรบ!CV71"")"),73700)</f>
        <v>73700</v>
      </c>
      <c r="F71" s="176">
        <f ca="1">IFERROR(__xludf.DUMMYFUNCTION("IMPORTRANGE(""https://docs.google.com/spreadsheets/d/1-uDff_7J0KD5mKrp0Vvzr7lt3OU09vwQwhkpOPPYv2Y/edit?usp=sharing"",""งบพรบ!CW71"")"),10500)</f>
        <v>10500</v>
      </c>
      <c r="G71" s="176">
        <f ca="1">IFERROR(__xludf.DUMMYFUNCTION("IMPORTRANGE(""https://docs.google.com/spreadsheets/d/1-uDff_7J0KD5mKrp0Vvzr7lt3OU09vwQwhkpOPPYv2Y/edit?usp=sharing"",""งบพรบ!CX71"")"),0)</f>
        <v>0</v>
      </c>
      <c r="H71" s="176">
        <f ca="1">IFERROR(__xludf.DUMMYFUNCTION("IMPORTRANGE(""https://docs.google.com/spreadsheets/d/1-uDff_7J0KD5mKrp0Vvzr7lt3OU09vwQwhkpOPPYv2Y/edit?usp=sharing"",""งบพรบ!CZ71"")"),57500)</f>
        <v>57500</v>
      </c>
      <c r="I71" s="176">
        <f ca="1">IFERROR(__xludf.DUMMYFUNCTION("IMPORTRANGE(""https://docs.google.com/spreadsheets/d/1-uDff_7J0KD5mKrp0Vvzr7lt3OU09vwQwhkpOPPYv2Y/edit?usp=sharing"",""งบพรบ!DA71"")"),0)</f>
        <v>0</v>
      </c>
      <c r="J71" s="176">
        <f t="shared" ca="1" si="79"/>
        <v>12516.68</v>
      </c>
      <c r="K71" s="181">
        <f t="shared" ca="1" si="80"/>
        <v>14.86541567695962</v>
      </c>
      <c r="L71" s="176">
        <f ca="1">IFERROR(__xludf.DUMMYFUNCTION("IMPORTRANGE(""https://docs.google.com/spreadsheets/d/1-uDff_7J0KD5mKrp0Vvzr7lt3OU09vwQwhkpOPPYv2Y/edit?usp=sharing"",""งบพรบ!DB71"")"),12516.68)</f>
        <v>12516.68</v>
      </c>
      <c r="M71" s="179">
        <f t="shared" ca="1" si="81"/>
        <v>14.86541567695962</v>
      </c>
      <c r="N71" s="179">
        <f t="shared" ca="1" si="82"/>
        <v>21.768139130434783</v>
      </c>
      <c r="O71" s="180">
        <f ca="1">IFERROR(__xludf.DUMMYFUNCTION("IMPORTRANGE(""https://docs.google.com/spreadsheets/d/1-uDff_7J0KD5mKrp0Vvzr7lt3OU09vwQwhkpOPPYv2Y/edit?usp=sharing"",""งบพรบ!DC71"")"),0)</f>
        <v>0</v>
      </c>
      <c r="P71" s="180">
        <f t="shared" ca="1" si="83"/>
        <v>0</v>
      </c>
      <c r="Q71" s="179">
        <f t="shared" ca="1" si="84"/>
        <v>0</v>
      </c>
      <c r="R71" s="92">
        <f ca="1">IFERROR(__xludf.DUMMYFUNCTION("IMPORTRANGE(""https://docs.google.com/spreadsheets/d/1j51vR6CYVGhABJpv6tkstgok82RLpXieLzW1yOY5rHw/edit?usp=sharing"",""สิงห์บุรี!L196"")"),6000)</f>
        <v>6000</v>
      </c>
      <c r="S71" s="92">
        <f ca="1">IFERROR(__xludf.DUMMYFUNCTION("IMPORTRANGE(""https://docs.google.com/spreadsheets/d/1j51vR6CYVGhABJpv6tkstgok82RLpXieLzW1yOY5rHw/edit?usp=sharing"",""สิงห์บุรี!N196"")"),1500)</f>
        <v>1500</v>
      </c>
      <c r="T71" s="93">
        <f t="shared" ca="1" si="86"/>
        <v>25</v>
      </c>
      <c r="U71" s="92">
        <f ca="1">IFERROR(__xludf.DUMMYFUNCTION("IMPORTRANGE(""https://docs.google.com/spreadsheets/d/1j51vR6CYVGhABJpv6tkstgok82RLpXieLzW1yOY5rHw/edit?usp=sharing"",""สิงห์บุรี!I198"")"),4)</f>
        <v>4</v>
      </c>
      <c r="V71" s="92">
        <f ca="1">IFERROR(__xludf.DUMMYFUNCTION("IMPORTRANGE(""https://docs.google.com/spreadsheets/d/1j51vR6CYVGhABJpv6tkstgok82RLpXieLzW1yOY5rHw/edit?usp=sharing"",""สิงห์บุรี!J198"")"),1)</f>
        <v>1</v>
      </c>
      <c r="W71" s="93">
        <f t="shared" ca="1" si="88"/>
        <v>25</v>
      </c>
      <c r="X71" s="92">
        <f ca="1">IFERROR(__xludf.DUMMYFUNCTION("IMPORTRANGE(""https://docs.google.com/spreadsheets/d/1j51vR6CYVGhABJpv6tkstgok82RLpXieLzW1yOY5rHw/edit?usp=sharing"",""สิงห์บุรี!J199"")"),0)</f>
        <v>0</v>
      </c>
      <c r="Y71" s="92">
        <f ca="1">IFERROR(__xludf.DUMMYFUNCTION("IMPORTRANGE(""https://docs.google.com/spreadsheets/d/1j51vR6CYVGhABJpv6tkstgok82RLpXieLzW1yOY5rHw/edit?usp=sharing"",""สิงห์บุรี!J200"")"),0)</f>
        <v>0</v>
      </c>
      <c r="Z71" s="92">
        <f ca="1">IFERROR(__xludf.DUMMYFUNCTION("IMPORTRANGE(""https://docs.google.com/spreadsheets/d/1j51vR6CYVGhABJpv6tkstgok82RLpXieLzW1yOY5rHw/edit?usp=sharing"",""สิงห์บุรี!J201"")"),0)</f>
        <v>0</v>
      </c>
      <c r="AA71" s="92">
        <f ca="1">IFERROR(__xludf.DUMMYFUNCTION("IMPORTRANGE(""https://docs.google.com/spreadsheets/d/1j51vR6CYVGhABJpv6tkstgok82RLpXieLzW1yOY5rHw/edit?usp=sharing"",""สิงห์บุรี!L204"")"),0)</f>
        <v>0</v>
      </c>
      <c r="AB71" s="92">
        <f ca="1">IFERROR(__xludf.DUMMYFUNCTION("IMPORTRANGE(""https://docs.google.com/spreadsheets/d/1j51vR6CYVGhABJpv6tkstgok82RLpXieLzW1yOY5rHw/edit?usp=sharing"",""สิงห์บุรี!N204"")"),0)</f>
        <v>0</v>
      </c>
      <c r="AC71" s="93">
        <f t="shared" ca="1" si="90"/>
        <v>0</v>
      </c>
      <c r="AD71" s="92">
        <f ca="1">IFERROR(__xludf.DUMMYFUNCTION("IMPORTRANGE(""https://docs.google.com/spreadsheets/d/1j51vR6CYVGhABJpv6tkstgok82RLpXieLzW1yOY5rHw/edit?usp=sharing"",""สิงห์บุรี!L206"")"),0)</f>
        <v>0</v>
      </c>
      <c r="AE71" s="92">
        <f ca="1">IFERROR(__xludf.DUMMYFUNCTION("IMPORTRANGE(""https://docs.google.com/spreadsheets/d/1j51vR6CYVGhABJpv6tkstgok82RLpXieLzW1yOY5rHw/edit?usp=sharing"",""สิงห์บุรี!N206"")"),0)</f>
        <v>0</v>
      </c>
      <c r="AF71" s="93">
        <f t="shared" ca="1" si="92"/>
        <v>0</v>
      </c>
      <c r="AG71" s="92" t="str">
        <f ca="1">IFERROR(__xludf.DUMMYFUNCTION("IMPORTRANGE(""https://docs.google.com/spreadsheets/d/1j51vR6CYVGhABJpv6tkstgok82RLpXieLzW1yOY5rHw/edit?usp=sharing"",""สิงห์บุรี!L207"")"),"")</f>
        <v/>
      </c>
      <c r="AH71" s="92" t="str">
        <f ca="1">IFERROR(__xludf.DUMMYFUNCTION("IMPORTRANGE(""https://docs.google.com/spreadsheets/d/1j51vR6CYVGhABJpv6tkstgok82RLpXieLzW1yOY5rHw/edit?usp=sharing"",""สิงห์บุรี!N207"")"),"")</f>
        <v/>
      </c>
      <c r="AI71" s="93" t="e">
        <f t="shared" ca="1" si="94"/>
        <v>#VALUE!</v>
      </c>
      <c r="AJ71" s="92">
        <f ca="1">IFERROR(__xludf.DUMMYFUNCTION("IMPORTRANGE(""https://docs.google.com/spreadsheets/d/1j51vR6CYVGhABJpv6tkstgok82RLpXieLzW1yOY5rHw/edit?usp=sharing"",""สิงห์บุรี!I209"")"),0)</f>
        <v>0</v>
      </c>
      <c r="AK71" s="92">
        <f ca="1">IFERROR(__xludf.DUMMYFUNCTION("IMPORTRANGE(""https://docs.google.com/spreadsheets/d/1j51vR6CYVGhABJpv6tkstgok82RLpXieLzW1yOY5rHw/edit?usp=sharing"",""สิงห์บุรี!J209"")"),0)</f>
        <v>0</v>
      </c>
      <c r="AL71" s="93">
        <f t="shared" ca="1" si="96"/>
        <v>0</v>
      </c>
      <c r="AM71" s="92">
        <f ca="1">IFERROR(__xludf.DUMMYFUNCTION("IMPORTRANGE(""https://docs.google.com/spreadsheets/d/1j51vR6CYVGhABJpv6tkstgok82RLpXieLzW1yOY5rHw/edit?usp=sharing"",""สิงห์บุรี!J211"")"),0)</f>
        <v>0</v>
      </c>
      <c r="AN71" s="92">
        <f ca="1">IFERROR(__xludf.DUMMYFUNCTION("IMPORTRANGE(""https://docs.google.com/spreadsheets/d/1j51vR6CYVGhABJpv6tkstgok82RLpXieLzW1yOY5rHw/edit?usp=sharing"",""สิงห์บุรี!J212"")"),0)</f>
        <v>0</v>
      </c>
      <c r="AO71" s="92">
        <f ca="1">IFERROR(__xludf.DUMMYFUNCTION("IMPORTRANGE(""https://docs.google.com/spreadsheets/d/1j51vR6CYVGhABJpv6tkstgok82RLpXieLzW1yOY5rHw/edit?usp=sharing"",""สิงห์บุรี!L215"")"),0)</f>
        <v>0</v>
      </c>
      <c r="AP71" s="92">
        <f ca="1">IFERROR(__xludf.DUMMYFUNCTION("IMPORTRANGE(""https://docs.google.com/spreadsheets/d/1j51vR6CYVGhABJpv6tkstgok82RLpXieLzW1yOY5rHw/edit?usp=sharing"",""สิงห์บุรี!N215"")"),0)</f>
        <v>0</v>
      </c>
      <c r="AQ71" s="93">
        <f t="shared" ca="1" si="98"/>
        <v>0</v>
      </c>
      <c r="AR71" s="92">
        <f ca="1">IFERROR(__xludf.DUMMYFUNCTION("IMPORTRANGE(""https://docs.google.com/spreadsheets/d/1j51vR6CYVGhABJpv6tkstgok82RLpXieLzW1yOY5rHw/edit?usp=sharing"",""สิงห์บุรี!L216"")"),0)</f>
        <v>0</v>
      </c>
      <c r="AS71" s="92">
        <f ca="1">IFERROR(__xludf.DUMMYFUNCTION("IMPORTRANGE(""https://docs.google.com/spreadsheets/d/1j51vR6CYVGhABJpv6tkstgok82RLpXieLzW1yOY5rHw/edit?usp=sharing"",""สิงห์บุรี!N216"")"),0)</f>
        <v>0</v>
      </c>
      <c r="AT71" s="93">
        <f t="shared" ca="1" si="100"/>
        <v>0</v>
      </c>
      <c r="AU71" s="92">
        <f ca="1">IFERROR(__xludf.DUMMYFUNCTION("IMPORTRANGE(""https://docs.google.com/spreadsheets/d/1j51vR6CYVGhABJpv6tkstgok82RLpXieLzW1yOY5rHw/edit?usp=sharing"",""สิงห์บุรี!L217"")"),0)</f>
        <v>0</v>
      </c>
      <c r="AV71" s="92">
        <f ca="1">IFERROR(__xludf.DUMMYFUNCTION("IMPORTRANGE(""https://docs.google.com/spreadsheets/d/1j51vR6CYVGhABJpv6tkstgok82RLpXieLzW1yOY5rHw/edit?usp=sharing"",""สิงห์บุรี!N217"")"),0)</f>
        <v>0</v>
      </c>
      <c r="AW71" s="93">
        <f t="shared" ca="1" si="102"/>
        <v>0</v>
      </c>
      <c r="AX71" s="92">
        <f ca="1">IFERROR(__xludf.DUMMYFUNCTION("IMPORTRANGE(""https://docs.google.com/spreadsheets/d/1j51vR6CYVGhABJpv6tkstgok82RLpXieLzW1yOY5rHw/edit?usp=sharing"",""สิงห์บุรี!I219"")"),0)</f>
        <v>0</v>
      </c>
      <c r="AY71" s="92">
        <f ca="1">IFERROR(__xludf.DUMMYFUNCTION("IMPORTRANGE(""https://docs.google.com/spreadsheets/d/1j51vR6CYVGhABJpv6tkstgok82RLpXieLzW1yOY5rHw/edit?usp=sharing"",""สิงห์บุรี!J219"")"),0)</f>
        <v>0</v>
      </c>
      <c r="AZ71" s="93">
        <f t="shared" ca="1" si="104"/>
        <v>0</v>
      </c>
      <c r="BA71" s="92">
        <f ca="1">IFERROR(__xludf.DUMMYFUNCTION("IMPORTRANGE(""https://docs.google.com/spreadsheets/d/1j51vR6CYVGhABJpv6tkstgok82RLpXieLzW1yOY5rHw/edit?usp=sharing"",""สิงห์บุรี!I220"")"),0)</f>
        <v>0</v>
      </c>
      <c r="BB71" s="92">
        <f ca="1">IFERROR(__xludf.DUMMYFUNCTION("IMPORTRANGE(""https://docs.google.com/spreadsheets/d/1j51vR6CYVGhABJpv6tkstgok82RLpXieLzW1yOY5rHw/edit?usp=sharing"",""สิงห์บุรี!J220"")"),0)</f>
        <v>0</v>
      </c>
      <c r="BC71" s="93">
        <f t="shared" ca="1" si="106"/>
        <v>0</v>
      </c>
      <c r="BD71" s="92">
        <f ca="1">IFERROR(__xludf.DUMMYFUNCTION("IMPORTRANGE(""https://docs.google.com/spreadsheets/d/1j51vR6CYVGhABJpv6tkstgok82RLpXieLzW1yOY5rHw/edit?usp=sharing"",""สิงห์บุรี!L223"")"),3000)</f>
        <v>3000</v>
      </c>
      <c r="BE71" s="92">
        <f ca="1">IFERROR(__xludf.DUMMYFUNCTION("IMPORTRANGE(""https://docs.google.com/spreadsheets/d/1j51vR6CYVGhABJpv6tkstgok82RLpXieLzW1yOY5rHw/edit?usp=sharing"",""สิงห์บุรี!N223"")"),0)</f>
        <v>0</v>
      </c>
      <c r="BF71" s="93">
        <f t="shared" ca="1" si="108"/>
        <v>0</v>
      </c>
      <c r="BG71" s="92">
        <f ca="1">IFERROR(__xludf.DUMMYFUNCTION("IMPORTRANGE(""https://docs.google.com/spreadsheets/d/1j51vR6CYVGhABJpv6tkstgok82RLpXieLzW1yOY5rHw/edit?usp=sharing"",""สิงห์บุรี!L224"")"),1500)</f>
        <v>1500</v>
      </c>
      <c r="BH71" s="92">
        <f ca="1">IFERROR(__xludf.DUMMYFUNCTION("IMPORTRANGE(""https://docs.google.com/spreadsheets/d/1j51vR6CYVGhABJpv6tkstgok82RLpXieLzW1yOY5rHw/edit?usp=sharing"",""สิงห์บุรี!N224"")"),0)</f>
        <v>0</v>
      </c>
      <c r="BI71" s="93">
        <f t="shared" ca="1" si="110"/>
        <v>0</v>
      </c>
      <c r="BJ71" s="92">
        <f ca="1">IFERROR(__xludf.DUMMYFUNCTION("IMPORTRANGE(""https://docs.google.com/spreadsheets/d/1j51vR6CYVGhABJpv6tkstgok82RLpXieLzW1yOY5rHw/edit?usp=sharing"",""สิงห์บุรี!I228"")"),12000)</f>
        <v>12000</v>
      </c>
      <c r="BK71" s="92">
        <f ca="1">IFERROR(__xludf.DUMMYFUNCTION("IMPORTRANGE(""https://docs.google.com/spreadsheets/d/1j51vR6CYVGhABJpv6tkstgok82RLpXieLzW1yOY5rHw/edit?usp=sharing"",""สิงห์บุรี!J228"")"),0)</f>
        <v>0</v>
      </c>
      <c r="BL71" s="93">
        <f t="shared" ca="1" si="112"/>
        <v>0</v>
      </c>
      <c r="BM71" s="92">
        <f ca="1">IFERROR(__xludf.DUMMYFUNCTION("IMPORTRANGE(""https://docs.google.com/spreadsheets/d/1j51vR6CYVGhABJpv6tkstgok82RLpXieLzW1yOY5rHw/edit?usp=sharing"",""สิงห์บุรี!I229"")"),12000)</f>
        <v>12000</v>
      </c>
      <c r="BN71" s="92">
        <f ca="1">IFERROR(__xludf.DUMMYFUNCTION("IMPORTRANGE(""https://docs.google.com/spreadsheets/d/1j51vR6CYVGhABJpv6tkstgok82RLpXieLzW1yOY5rHw/edit?usp=sharing"",""สิงห์บุรี!J229"")"),0)</f>
        <v>0</v>
      </c>
      <c r="BO71" s="93">
        <f t="shared" ca="1" si="114"/>
        <v>0</v>
      </c>
      <c r="BP71" s="92">
        <f ca="1">IFERROR(__xludf.DUMMYFUNCTION("IMPORTRANGE(""https://docs.google.com/spreadsheets/d/1j51vR6CYVGhABJpv6tkstgok82RLpXieLzW1yOY5rHw/edit?usp=sharing"",""สิงห์บุรี!I230"")"),0)</f>
        <v>0</v>
      </c>
      <c r="BQ71" s="92">
        <f ca="1">IFERROR(__xludf.DUMMYFUNCTION("IMPORTRANGE(""https://docs.google.com/spreadsheets/d/1j51vR6CYVGhABJpv6tkstgok82RLpXieLzW1yOY5rHw/edit?usp=sharing"",""สิงห์บุรี!J230"")"),0)</f>
        <v>0</v>
      </c>
      <c r="BR71" s="93">
        <f t="shared" ca="1" si="116"/>
        <v>0</v>
      </c>
      <c r="BS71" s="92">
        <f ca="1">IFERROR(__xludf.DUMMYFUNCTION("IMPORTRANGE(""https://docs.google.com/spreadsheets/d/1j51vR6CYVGhABJpv6tkstgok82RLpXieLzW1yOY5rHw/edit?usp=sharing"",""สิงห์บุรี!L233"")"),0)</f>
        <v>0</v>
      </c>
      <c r="BT71" s="92">
        <f ca="1">IFERROR(__xludf.DUMMYFUNCTION("IMPORTRANGE(""https://docs.google.com/spreadsheets/d/1j51vR6CYVGhABJpv6tkstgok82RLpXieLzW1yOY5rHw/edit?usp=sharing"",""สิงห์บุรี!N233"")"),0)</f>
        <v>0</v>
      </c>
      <c r="BU71" s="93">
        <f t="shared" ca="1" si="118"/>
        <v>0</v>
      </c>
      <c r="BV71" s="92">
        <f ca="1">IFERROR(__xludf.DUMMYFUNCTION("IMPORTRANGE(""https://docs.google.com/spreadsheets/d/1j51vR6CYVGhABJpv6tkstgok82RLpXieLzW1yOY5rHw/edit?usp=sharing"",""สิงห์บุรี!L234"")"),0)</f>
        <v>0</v>
      </c>
      <c r="BW71" s="92">
        <f ca="1">IFERROR(__xludf.DUMMYFUNCTION("IMPORTRANGE(""https://docs.google.com/spreadsheets/d/1j51vR6CYVGhABJpv6tkstgok82RLpXieLzW1yOY5rHw/edit?usp=sharing"",""สิงห์บุรี!N234"")"),0)</f>
        <v>0</v>
      </c>
      <c r="BX71" s="93">
        <f t="shared" ca="1" si="120"/>
        <v>0</v>
      </c>
      <c r="BY71" s="92">
        <f ca="1">IFERROR(__xludf.DUMMYFUNCTION("IMPORTRANGE(""https://docs.google.com/spreadsheets/d/1j51vR6CYVGhABJpv6tkstgok82RLpXieLzW1yOY5rHw/edit?usp=sharing"",""สิงห์บุรี!L235"")"),0)</f>
        <v>0</v>
      </c>
      <c r="BZ71" s="92">
        <f ca="1">IFERROR(__xludf.DUMMYFUNCTION("IMPORTRANGE(""https://docs.google.com/spreadsheets/d/1j51vR6CYVGhABJpv6tkstgok82RLpXieLzW1yOY5rHw/edit?usp=sharing"",""สิงห์บุรี!N235"")"),0)</f>
        <v>0</v>
      </c>
      <c r="CA71" s="93">
        <f t="shared" ca="1" si="122"/>
        <v>0</v>
      </c>
      <c r="CB71" s="92">
        <f ca="1">IFERROR(__xludf.DUMMYFUNCTION("IMPORTRANGE(""https://docs.google.com/spreadsheets/d/1j51vR6CYVGhABJpv6tkstgok82RLpXieLzW1yOY5rHw/edit?usp=sharing"",""สิงห์บุรี!L236"")"),0)</f>
        <v>0</v>
      </c>
      <c r="CC71" s="92">
        <f ca="1">IFERROR(__xludf.DUMMYFUNCTION("IMPORTRANGE(""https://docs.google.com/spreadsheets/d/1j51vR6CYVGhABJpv6tkstgok82RLpXieLzW1yOY5rHw/edit?usp=sharing"",""สิงห์บุรี!N236"")"),0)</f>
        <v>0</v>
      </c>
      <c r="CD71" s="93">
        <f t="shared" ca="1" si="124"/>
        <v>0</v>
      </c>
      <c r="CE71" s="92">
        <f ca="1">IFERROR(__xludf.DUMMYFUNCTION("IMPORTRANGE(""https://docs.google.com/spreadsheets/d/1j51vR6CYVGhABJpv6tkstgok82RLpXieLzW1yOY5rHw/edit?usp=sharing"",""สิงห์บุรี!I238"")"),0)</f>
        <v>0</v>
      </c>
      <c r="CF71" s="92">
        <f ca="1">IFERROR(__xludf.DUMMYFUNCTION("IMPORTRANGE(""https://docs.google.com/spreadsheets/d/1j51vR6CYVGhABJpv6tkstgok82RLpXieLzW1yOY5rHw/edit?usp=sharing"",""สิงห์บุรี!J238"")"),0)</f>
        <v>0</v>
      </c>
      <c r="CG71" s="93">
        <f t="shared" ca="1" si="126"/>
        <v>0</v>
      </c>
      <c r="CH71" s="92">
        <f ca="1">IFERROR(__xludf.DUMMYFUNCTION("IMPORTRANGE(""https://docs.google.com/spreadsheets/d/1j51vR6CYVGhABJpv6tkstgok82RLpXieLzW1yOY5rHw/edit?usp=sharing"",""สิงห์บุรี!J240"")"),0)</f>
        <v>0</v>
      </c>
      <c r="CI71" s="92">
        <f ca="1">IFERROR(__xludf.DUMMYFUNCTION("IMPORTRANGE(""https://docs.google.com/spreadsheets/d/1j51vR6CYVGhABJpv6tkstgok82RLpXieLzW1yOY5rHw/edit?usp=sharing"",""สิงห์บุรี!J241"")"),0)</f>
        <v>0</v>
      </c>
    </row>
    <row r="72" spans="1:87" ht="21" customHeight="1" x14ac:dyDescent="0.3">
      <c r="A72" s="84">
        <v>20</v>
      </c>
      <c r="B72" s="85" t="s">
        <v>94</v>
      </c>
      <c r="C72" s="174">
        <f t="shared" ca="1" si="77"/>
        <v>23500</v>
      </c>
      <c r="D72" s="175">
        <f t="shared" ca="1" si="176"/>
        <v>23500</v>
      </c>
      <c r="E72" s="176">
        <f ca="1">IFERROR(__xludf.DUMMYFUNCTION("IMPORTRANGE(""https://docs.google.com/spreadsheets/d/1-uDff_7J0KD5mKrp0Vvzr7lt3OU09vwQwhkpOPPYv2Y/edit?usp=sharing"",""งบพรบ!CV72"")"),0)</f>
        <v>0</v>
      </c>
      <c r="F72" s="176">
        <f ca="1">IFERROR(__xludf.DUMMYFUNCTION("IMPORTRANGE(""https://docs.google.com/spreadsheets/d/1-uDff_7J0KD5mKrp0Vvzr7lt3OU09vwQwhkpOPPYv2Y/edit?usp=sharing"",""งบพรบ!CW72"")"),23500)</f>
        <v>23500</v>
      </c>
      <c r="G72" s="176">
        <f ca="1">IFERROR(__xludf.DUMMYFUNCTION("IMPORTRANGE(""https://docs.google.com/spreadsheets/d/1-uDff_7J0KD5mKrp0Vvzr7lt3OU09vwQwhkpOPPYv2Y/edit?usp=sharing"",""งบพรบ!CX72"")"),0)</f>
        <v>0</v>
      </c>
      <c r="H72" s="176">
        <f ca="1">IFERROR(__xludf.DUMMYFUNCTION("IMPORTRANGE(""https://docs.google.com/spreadsheets/d/1-uDff_7J0KD5mKrp0Vvzr7lt3OU09vwQwhkpOPPYv2Y/edit?usp=sharing"",""งบพรบ!CZ72"")"),13500)</f>
        <v>13500</v>
      </c>
      <c r="I72" s="176">
        <f ca="1">IFERROR(__xludf.DUMMYFUNCTION("IMPORTRANGE(""https://docs.google.com/spreadsheets/d/1-uDff_7J0KD5mKrp0Vvzr7lt3OU09vwQwhkpOPPYv2Y/edit?usp=sharing"",""งบพรบ!DA72"")"),0)</f>
        <v>0</v>
      </c>
      <c r="J72" s="176">
        <f t="shared" ca="1" si="79"/>
        <v>0</v>
      </c>
      <c r="K72" s="181">
        <f t="shared" ca="1" si="80"/>
        <v>0</v>
      </c>
      <c r="L72" s="176">
        <f ca="1">IFERROR(__xludf.DUMMYFUNCTION("IMPORTRANGE(""https://docs.google.com/spreadsheets/d/1-uDff_7J0KD5mKrp0Vvzr7lt3OU09vwQwhkpOPPYv2Y/edit?usp=sharing"",""งบพรบ!DB72"")"),0)</f>
        <v>0</v>
      </c>
      <c r="M72" s="179">
        <f t="shared" ca="1" si="81"/>
        <v>0</v>
      </c>
      <c r="N72" s="179">
        <f t="shared" ca="1" si="82"/>
        <v>0</v>
      </c>
      <c r="O72" s="180">
        <f ca="1">IFERROR(__xludf.DUMMYFUNCTION("IMPORTRANGE(""https://docs.google.com/spreadsheets/d/1-uDff_7J0KD5mKrp0Vvzr7lt3OU09vwQwhkpOPPYv2Y/edit?usp=sharing"",""งบพรบ!DC72"")"),0)</f>
        <v>0</v>
      </c>
      <c r="P72" s="180">
        <f t="shared" ca="1" si="83"/>
        <v>0</v>
      </c>
      <c r="Q72" s="179">
        <f t="shared" ca="1" si="84"/>
        <v>0</v>
      </c>
      <c r="R72" s="92">
        <f ca="1">IFERROR(__xludf.DUMMYFUNCTION("IMPORTRANGE(""https://docs.google.com/spreadsheets/d/1H1EalTWKUSzO4Z1-1CwzoDUaVffgrThEBe2sl74kKG0/edit?usp=sharing"",""สุพรรณบุรี!L196"")"),6000)</f>
        <v>6000</v>
      </c>
      <c r="S72" s="92">
        <f ca="1">IFERROR(__xludf.DUMMYFUNCTION("IMPORTRANGE(""https://docs.google.com/spreadsheets/d/1H1EalTWKUSzO4Z1-1CwzoDUaVffgrThEBe2sl74kKG0/edit?usp=sharing"",""สุพรรณบุรี!N196"")"),0)</f>
        <v>0</v>
      </c>
      <c r="T72" s="93">
        <f t="shared" ca="1" si="86"/>
        <v>0</v>
      </c>
      <c r="U72" s="92">
        <f ca="1">IFERROR(__xludf.DUMMYFUNCTION("IMPORTRANGE(""https://docs.google.com/spreadsheets/d/1H1EalTWKUSzO4Z1-1CwzoDUaVffgrThEBe2sl74kKG0/edit?usp=sharing"",""สุพรรณบุรี!I198"")"),4)</f>
        <v>4</v>
      </c>
      <c r="V72" s="92">
        <f ca="1">IFERROR(__xludf.DUMMYFUNCTION("IMPORTRANGE(""https://docs.google.com/spreadsheets/d/1H1EalTWKUSzO4Z1-1CwzoDUaVffgrThEBe2sl74kKG0/edit?usp=sharing"",""สุพรรณบุรี!J198"")"),0)</f>
        <v>0</v>
      </c>
      <c r="W72" s="93">
        <f t="shared" ca="1" si="88"/>
        <v>0</v>
      </c>
      <c r="X72" s="92">
        <f ca="1">IFERROR(__xludf.DUMMYFUNCTION("IMPORTRANGE(""https://docs.google.com/spreadsheets/d/1H1EalTWKUSzO4Z1-1CwzoDUaVffgrThEBe2sl74kKG0/edit?usp=sharing"",""สุพรรณบุรี!J199"")"),0)</f>
        <v>0</v>
      </c>
      <c r="Y72" s="92">
        <f ca="1">IFERROR(__xludf.DUMMYFUNCTION("IMPORTRANGE(""https://docs.google.com/spreadsheets/d/1H1EalTWKUSzO4Z1-1CwzoDUaVffgrThEBe2sl74kKG0/edit?usp=sharing"",""สุพรรณบุรี!J200"")"),0)</f>
        <v>0</v>
      </c>
      <c r="Z72" s="92">
        <f ca="1">IFERROR(__xludf.DUMMYFUNCTION("IMPORTRANGE(""https://docs.google.com/spreadsheets/d/1H1EalTWKUSzO4Z1-1CwzoDUaVffgrThEBe2sl74kKG0/edit?usp=sharing"",""สุพรรณบุรี!J201"")"),0)</f>
        <v>0</v>
      </c>
      <c r="AA72" s="92">
        <f ca="1">IFERROR(__xludf.DUMMYFUNCTION("IMPORTRANGE(""https://docs.google.com/spreadsheets/d/1H1EalTWKUSzO4Z1-1CwzoDUaVffgrThEBe2sl74kKG0/edit?usp=sharing"",""สุพรรณบุรี!L204"")"),1000)</f>
        <v>1000</v>
      </c>
      <c r="AB72" s="92">
        <f ca="1">IFERROR(__xludf.DUMMYFUNCTION("IMPORTRANGE(""https://docs.google.com/spreadsheets/d/1H1EalTWKUSzO4Z1-1CwzoDUaVffgrThEBe2sl74kKG0/edit?usp=sharing"",""สุพรรณบุรี!N204"")"),0)</f>
        <v>0</v>
      </c>
      <c r="AC72" s="93">
        <f t="shared" ca="1" si="90"/>
        <v>0</v>
      </c>
      <c r="AD72" s="92">
        <f ca="1">IFERROR(__xludf.DUMMYFUNCTION("IMPORTRANGE(""https://docs.google.com/spreadsheets/d/1H1EalTWKUSzO4Z1-1CwzoDUaVffgrThEBe2sl74kKG0/edit?usp=sharing"",""สุพรรณบุรี!L206"")"),8000)</f>
        <v>8000</v>
      </c>
      <c r="AE72" s="92">
        <f ca="1">IFERROR(__xludf.DUMMYFUNCTION("IMPORTRANGE(""https://docs.google.com/spreadsheets/d/1H1EalTWKUSzO4Z1-1CwzoDUaVffgrThEBe2sl74kKG0/edit?usp=sharing"",""สุพรรณบุรี!N206"")"),0)</f>
        <v>0</v>
      </c>
      <c r="AF72" s="93">
        <f t="shared" ca="1" si="92"/>
        <v>0</v>
      </c>
      <c r="AG72" s="92">
        <f ca="1">IFERROR(__xludf.DUMMYFUNCTION("IMPORTRANGE(""https://docs.google.com/spreadsheets/d/1H1EalTWKUSzO4Z1-1CwzoDUaVffgrThEBe2sl74kKG0/edit?usp=sharing"",""สุพรรณบุรี!L207"")"),4000)</f>
        <v>4000</v>
      </c>
      <c r="AH72" s="92">
        <f ca="1">IFERROR(__xludf.DUMMYFUNCTION("IMPORTRANGE(""https://docs.google.com/spreadsheets/d/1H1EalTWKUSzO4Z1-1CwzoDUaVffgrThEBe2sl74kKG0/edit?usp=sharing"",""สุพรรณบุรี!N207"")"),0)</f>
        <v>0</v>
      </c>
      <c r="AI72" s="93">
        <f t="shared" ca="1" si="94"/>
        <v>0</v>
      </c>
      <c r="AJ72" s="92">
        <f ca="1">IFERROR(__xludf.DUMMYFUNCTION("IMPORTRANGE(""https://docs.google.com/spreadsheets/d/1H1EalTWKUSzO4Z1-1CwzoDUaVffgrThEBe2sl74kKG0/edit?usp=sharing"",""สุพรรณบุรี!I209"")"),1)</f>
        <v>1</v>
      </c>
      <c r="AK72" s="92">
        <f ca="1">IFERROR(__xludf.DUMMYFUNCTION("IMPORTRANGE(""https://docs.google.com/spreadsheets/d/1H1EalTWKUSzO4Z1-1CwzoDUaVffgrThEBe2sl74kKG0/edit?usp=sharing"",""สุพรรณบุรี!J209"")"),0)</f>
        <v>0</v>
      </c>
      <c r="AL72" s="93">
        <f t="shared" ca="1" si="96"/>
        <v>0</v>
      </c>
      <c r="AM72" s="92">
        <f ca="1">IFERROR(__xludf.DUMMYFUNCTION("IMPORTRANGE(""https://docs.google.com/spreadsheets/d/1H1EalTWKUSzO4Z1-1CwzoDUaVffgrThEBe2sl74kKG0/edit?usp=sharing"",""สุพรรณบุรี!J211"")"),0)</f>
        <v>0</v>
      </c>
      <c r="AN72" s="92">
        <f ca="1">IFERROR(__xludf.DUMMYFUNCTION("IMPORTRANGE(""https://docs.google.com/spreadsheets/d/1H1EalTWKUSzO4Z1-1CwzoDUaVffgrThEBe2sl74kKG0/edit?usp=sharing"",""สุพรรณบุรี!J212"")"),0)</f>
        <v>0</v>
      </c>
      <c r="AO72" s="92">
        <f ca="1">IFERROR(__xludf.DUMMYFUNCTION("IMPORTRANGE(""https://docs.google.com/spreadsheets/d/1H1EalTWKUSzO4Z1-1CwzoDUaVffgrThEBe2sl74kKG0/edit?usp=sharing"",""สุพรรณบุรี!L215"")"),0)</f>
        <v>0</v>
      </c>
      <c r="AP72" s="92">
        <f ca="1">IFERROR(__xludf.DUMMYFUNCTION("IMPORTRANGE(""https://docs.google.com/spreadsheets/d/1H1EalTWKUSzO4Z1-1CwzoDUaVffgrThEBe2sl74kKG0/edit?usp=sharing"",""สุพรรณบุรี!N215"")"),0)</f>
        <v>0</v>
      </c>
      <c r="AQ72" s="93">
        <f t="shared" ca="1" si="98"/>
        <v>0</v>
      </c>
      <c r="AR72" s="92">
        <f ca="1">IFERROR(__xludf.DUMMYFUNCTION("IMPORTRANGE(""https://docs.google.com/spreadsheets/d/1H1EalTWKUSzO4Z1-1CwzoDUaVffgrThEBe2sl74kKG0/edit?usp=sharing"",""สุพรรณบุรี!L216"")"),0)</f>
        <v>0</v>
      </c>
      <c r="AS72" s="92">
        <f ca="1">IFERROR(__xludf.DUMMYFUNCTION("IMPORTRANGE(""https://docs.google.com/spreadsheets/d/1H1EalTWKUSzO4Z1-1CwzoDUaVffgrThEBe2sl74kKG0/edit?usp=sharing"",""สุพรรณบุรี!N216"")"),0)</f>
        <v>0</v>
      </c>
      <c r="AT72" s="93">
        <f t="shared" ca="1" si="100"/>
        <v>0</v>
      </c>
      <c r="AU72" s="92">
        <f ca="1">IFERROR(__xludf.DUMMYFUNCTION("IMPORTRANGE(""https://docs.google.com/spreadsheets/d/1H1EalTWKUSzO4Z1-1CwzoDUaVffgrThEBe2sl74kKG0/edit?usp=sharing"",""สุพรรณบุรี!L217"")"),0)</f>
        <v>0</v>
      </c>
      <c r="AV72" s="92">
        <f ca="1">IFERROR(__xludf.DUMMYFUNCTION("IMPORTRANGE(""https://docs.google.com/spreadsheets/d/1H1EalTWKUSzO4Z1-1CwzoDUaVffgrThEBe2sl74kKG0/edit?usp=sharing"",""สุพรรณบุรี!N217"")"),0)</f>
        <v>0</v>
      </c>
      <c r="AW72" s="93">
        <f t="shared" ca="1" si="102"/>
        <v>0</v>
      </c>
      <c r="AX72" s="92">
        <f ca="1">IFERROR(__xludf.DUMMYFUNCTION("IMPORTRANGE(""https://docs.google.com/spreadsheets/d/1H1EalTWKUSzO4Z1-1CwzoDUaVffgrThEBe2sl74kKG0/edit?usp=sharing"",""สุพรรณบุรี!I219"")"),0)</f>
        <v>0</v>
      </c>
      <c r="AY72" s="92">
        <f ca="1">IFERROR(__xludf.DUMMYFUNCTION("IMPORTRANGE(""https://docs.google.com/spreadsheets/d/1H1EalTWKUSzO4Z1-1CwzoDUaVffgrThEBe2sl74kKG0/edit?usp=sharing"",""สุพรรณบุรี!J219"")"),0)</f>
        <v>0</v>
      </c>
      <c r="AZ72" s="93">
        <f t="shared" ca="1" si="104"/>
        <v>0</v>
      </c>
      <c r="BA72" s="92">
        <f ca="1">IFERROR(__xludf.DUMMYFUNCTION("IMPORTRANGE(""https://docs.google.com/spreadsheets/d/1H1EalTWKUSzO4Z1-1CwzoDUaVffgrThEBe2sl74kKG0/edit?usp=sharing"",""สุพรรณบุรี!I220"")"),0)</f>
        <v>0</v>
      </c>
      <c r="BB72" s="92">
        <f ca="1">IFERROR(__xludf.DUMMYFUNCTION("IMPORTRANGE(""https://docs.google.com/spreadsheets/d/1H1EalTWKUSzO4Z1-1CwzoDUaVffgrThEBe2sl74kKG0/edit?usp=sharing"",""สุพรรณบุรี!J220"")"),0)</f>
        <v>0</v>
      </c>
      <c r="BC72" s="93">
        <f t="shared" ca="1" si="106"/>
        <v>0</v>
      </c>
      <c r="BD72" s="92">
        <f ca="1">IFERROR(__xludf.DUMMYFUNCTION("IMPORTRANGE(""https://docs.google.com/spreadsheets/d/1H1EalTWKUSzO4Z1-1CwzoDUaVffgrThEBe2sl74kKG0/edit?usp=sharing"",""สุพรรณบุรี!L223"")"),3000)</f>
        <v>3000</v>
      </c>
      <c r="BE72" s="92">
        <f ca="1">IFERROR(__xludf.DUMMYFUNCTION("IMPORTRANGE(""https://docs.google.com/spreadsheets/d/1H1EalTWKUSzO4Z1-1CwzoDUaVffgrThEBe2sl74kKG0/edit?usp=sharing"",""สุพรรณบุรี!N223"")"),0)</f>
        <v>0</v>
      </c>
      <c r="BF72" s="93">
        <f t="shared" ca="1" si="108"/>
        <v>0</v>
      </c>
      <c r="BG72" s="92">
        <f ca="1">IFERROR(__xludf.DUMMYFUNCTION("IMPORTRANGE(""https://docs.google.com/spreadsheets/d/1H1EalTWKUSzO4Z1-1CwzoDUaVffgrThEBe2sl74kKG0/edit?usp=sharing"",""สุพรรณบุรี!L224"")"),1500)</f>
        <v>1500</v>
      </c>
      <c r="BH72" s="92">
        <f ca="1">IFERROR(__xludf.DUMMYFUNCTION("IMPORTRANGE(""https://docs.google.com/spreadsheets/d/1H1EalTWKUSzO4Z1-1CwzoDUaVffgrThEBe2sl74kKG0/edit?usp=sharing"",""สุพรรณบุรี!N224"")"),0)</f>
        <v>0</v>
      </c>
      <c r="BI72" s="93">
        <f t="shared" ca="1" si="110"/>
        <v>0</v>
      </c>
      <c r="BJ72" s="92">
        <f ca="1">IFERROR(__xludf.DUMMYFUNCTION("IMPORTRANGE(""https://docs.google.com/spreadsheets/d/1H1EalTWKUSzO4Z1-1CwzoDUaVffgrThEBe2sl74kKG0/edit?usp=sharing"",""สุพรรณบุรี!I228"")"),20000)</f>
        <v>20000</v>
      </c>
      <c r="BK72" s="92">
        <f ca="1">IFERROR(__xludf.DUMMYFUNCTION("IMPORTRANGE(""https://docs.google.com/spreadsheets/d/1H1EalTWKUSzO4Z1-1CwzoDUaVffgrThEBe2sl74kKG0/edit?usp=sharing"",""สุพรรณบุรี!J228"")"),0)</f>
        <v>0</v>
      </c>
      <c r="BL72" s="93">
        <f t="shared" ca="1" si="112"/>
        <v>0</v>
      </c>
      <c r="BM72" s="92">
        <f ca="1">IFERROR(__xludf.DUMMYFUNCTION("IMPORTRANGE(""https://docs.google.com/spreadsheets/d/1H1EalTWKUSzO4Z1-1CwzoDUaVffgrThEBe2sl74kKG0/edit?usp=sharing"",""สุพรรณบุรี!I229"")"),20000)</f>
        <v>20000</v>
      </c>
      <c r="BN72" s="92">
        <f ca="1">IFERROR(__xludf.DUMMYFUNCTION("IMPORTRANGE(""https://docs.google.com/spreadsheets/d/1H1EalTWKUSzO4Z1-1CwzoDUaVffgrThEBe2sl74kKG0/edit?usp=sharing"",""สุพรรณบุรี!J229"")"),0)</f>
        <v>0</v>
      </c>
      <c r="BO72" s="93">
        <f t="shared" ca="1" si="114"/>
        <v>0</v>
      </c>
      <c r="BP72" s="92">
        <f ca="1">IFERROR(__xludf.DUMMYFUNCTION("IMPORTRANGE(""https://docs.google.com/spreadsheets/d/1H1EalTWKUSzO4Z1-1CwzoDUaVffgrThEBe2sl74kKG0/edit?usp=sharing"",""สุพรรณบุรี!I230"")"),0)</f>
        <v>0</v>
      </c>
      <c r="BQ72" s="92">
        <f ca="1">IFERROR(__xludf.DUMMYFUNCTION("IMPORTRANGE(""https://docs.google.com/spreadsheets/d/1H1EalTWKUSzO4Z1-1CwzoDUaVffgrThEBe2sl74kKG0/edit?usp=sharing"",""สุพรรณบุรี!J230"")"),0)</f>
        <v>0</v>
      </c>
      <c r="BR72" s="93">
        <f t="shared" ca="1" si="116"/>
        <v>0</v>
      </c>
      <c r="BS72" s="92">
        <f ca="1">IFERROR(__xludf.DUMMYFUNCTION("IMPORTRANGE(""https://docs.google.com/spreadsheets/d/1H1EalTWKUSzO4Z1-1CwzoDUaVffgrThEBe2sl74kKG0/edit?usp=sharing"",""สุพรรณบุรี!L233"")"),0)</f>
        <v>0</v>
      </c>
      <c r="BT72" s="92">
        <f ca="1">IFERROR(__xludf.DUMMYFUNCTION("IMPORTRANGE(""https://docs.google.com/spreadsheets/d/1H1EalTWKUSzO4Z1-1CwzoDUaVffgrThEBe2sl74kKG0/edit?usp=sharing"",""สุพรรณบุรี!N233"")"),0)</f>
        <v>0</v>
      </c>
      <c r="BU72" s="93">
        <f t="shared" ca="1" si="118"/>
        <v>0</v>
      </c>
      <c r="BV72" s="92">
        <f ca="1">IFERROR(__xludf.DUMMYFUNCTION("IMPORTRANGE(""https://docs.google.com/spreadsheets/d/1H1EalTWKUSzO4Z1-1CwzoDUaVffgrThEBe2sl74kKG0/edit?usp=sharing"",""สุพรรณบุรี!L234"")"),0)</f>
        <v>0</v>
      </c>
      <c r="BW72" s="92">
        <f ca="1">IFERROR(__xludf.DUMMYFUNCTION("IMPORTRANGE(""https://docs.google.com/spreadsheets/d/1H1EalTWKUSzO4Z1-1CwzoDUaVffgrThEBe2sl74kKG0/edit?usp=sharing"",""สุพรรณบุรี!N234"")"),0)</f>
        <v>0</v>
      </c>
      <c r="BX72" s="93">
        <f t="shared" ca="1" si="120"/>
        <v>0</v>
      </c>
      <c r="BY72" s="92">
        <f ca="1">IFERROR(__xludf.DUMMYFUNCTION("IMPORTRANGE(""https://docs.google.com/spreadsheets/d/1H1EalTWKUSzO4Z1-1CwzoDUaVffgrThEBe2sl74kKG0/edit?usp=sharing"",""สุพรรณบุรี!L235"")"),0)</f>
        <v>0</v>
      </c>
      <c r="BZ72" s="92">
        <f ca="1">IFERROR(__xludf.DUMMYFUNCTION("IMPORTRANGE(""https://docs.google.com/spreadsheets/d/1H1EalTWKUSzO4Z1-1CwzoDUaVffgrThEBe2sl74kKG0/edit?usp=sharing"",""สุพรรณบุรี!N235"")"),0)</f>
        <v>0</v>
      </c>
      <c r="CA72" s="93">
        <f t="shared" ca="1" si="122"/>
        <v>0</v>
      </c>
      <c r="CB72" s="92">
        <f ca="1">IFERROR(__xludf.DUMMYFUNCTION("IMPORTRANGE(""https://docs.google.com/spreadsheets/d/1H1EalTWKUSzO4Z1-1CwzoDUaVffgrThEBe2sl74kKG0/edit?usp=sharing"",""สุพรรณบุรี!L236"")"),0)</f>
        <v>0</v>
      </c>
      <c r="CC72" s="92">
        <f ca="1">IFERROR(__xludf.DUMMYFUNCTION("IMPORTRANGE(""https://docs.google.com/spreadsheets/d/1H1EalTWKUSzO4Z1-1CwzoDUaVffgrThEBe2sl74kKG0/edit?usp=sharing"",""สุพรรณบุรี!N236"")"),0)</f>
        <v>0</v>
      </c>
      <c r="CD72" s="93">
        <f t="shared" ca="1" si="124"/>
        <v>0</v>
      </c>
      <c r="CE72" s="92">
        <f ca="1">IFERROR(__xludf.DUMMYFUNCTION("IMPORTRANGE(""https://docs.google.com/spreadsheets/d/1H1EalTWKUSzO4Z1-1CwzoDUaVffgrThEBe2sl74kKG0/edit?usp=sharing"",""สุพรรณบุรี!I238"")"),0)</f>
        <v>0</v>
      </c>
      <c r="CF72" s="92">
        <f ca="1">IFERROR(__xludf.DUMMYFUNCTION("IMPORTRANGE(""https://docs.google.com/spreadsheets/d/1H1EalTWKUSzO4Z1-1CwzoDUaVffgrThEBe2sl74kKG0/edit?usp=sharing"",""สุพรรณบุรี!J238"")"),0)</f>
        <v>0</v>
      </c>
      <c r="CG72" s="93">
        <f t="shared" ca="1" si="126"/>
        <v>0</v>
      </c>
      <c r="CH72" s="92">
        <f ca="1">IFERROR(__xludf.DUMMYFUNCTION("IMPORTRANGE(""https://docs.google.com/spreadsheets/d/1H1EalTWKUSzO4Z1-1CwzoDUaVffgrThEBe2sl74kKG0/edit?usp=sharing"",""สุพรรณบุรี!J240"")"),0)</f>
        <v>0</v>
      </c>
      <c r="CI72" s="92">
        <f ca="1">IFERROR(__xludf.DUMMYFUNCTION("IMPORTRANGE(""https://docs.google.com/spreadsheets/d/1H1EalTWKUSzO4Z1-1CwzoDUaVffgrThEBe2sl74kKG0/edit?usp=sharing"",""สุพรรณบุรี!J241"")"),0)</f>
        <v>0</v>
      </c>
    </row>
    <row r="73" spans="1:87" ht="21" customHeight="1" x14ac:dyDescent="0.3">
      <c r="A73" s="95">
        <v>21</v>
      </c>
      <c r="B73" s="96" t="s">
        <v>95</v>
      </c>
      <c r="C73" s="184">
        <f t="shared" ca="1" si="77"/>
        <v>84200</v>
      </c>
      <c r="D73" s="185">
        <f t="shared" ca="1" si="176"/>
        <v>84200</v>
      </c>
      <c r="E73" s="186">
        <f ca="1">IFERROR(__xludf.DUMMYFUNCTION("IMPORTRANGE(""https://docs.google.com/spreadsheets/d/1-uDff_7J0KD5mKrp0Vvzr7lt3OU09vwQwhkpOPPYv2Y/edit?usp=sharing"",""งบพรบ!CV73"")"),73700)</f>
        <v>73700</v>
      </c>
      <c r="F73" s="186">
        <f ca="1">IFERROR(__xludf.DUMMYFUNCTION("IMPORTRANGE(""https://docs.google.com/spreadsheets/d/1-uDff_7J0KD5mKrp0Vvzr7lt3OU09vwQwhkpOPPYv2Y/edit?usp=sharing"",""งบพรบ!CW73"")"),10500)</f>
        <v>10500</v>
      </c>
      <c r="G73" s="186">
        <f ca="1">IFERROR(__xludf.DUMMYFUNCTION("IMPORTRANGE(""https://docs.google.com/spreadsheets/d/1-uDff_7J0KD5mKrp0Vvzr7lt3OU09vwQwhkpOPPYv2Y/edit?usp=sharing"",""งบพรบ!CX73"")"),0)</f>
        <v>0</v>
      </c>
      <c r="H73" s="186">
        <f ca="1">IFERROR(__xludf.DUMMYFUNCTION("IMPORTRANGE(""https://docs.google.com/spreadsheets/d/1-uDff_7J0KD5mKrp0Vvzr7lt3OU09vwQwhkpOPPYv2Y/edit?usp=sharing"",""งบพรบ!CZ73"")"),57500)</f>
        <v>57500</v>
      </c>
      <c r="I73" s="186">
        <f ca="1">IFERROR(__xludf.DUMMYFUNCTION("IMPORTRANGE(""https://docs.google.com/spreadsheets/d/1-uDff_7J0KD5mKrp0Vvzr7lt3OU09vwQwhkpOPPYv2Y/edit?usp=sharing"",""งบพรบ!DA73"")"),0)</f>
        <v>0</v>
      </c>
      <c r="J73" s="186">
        <f t="shared" ca="1" si="79"/>
        <v>18700</v>
      </c>
      <c r="K73" s="187">
        <f t="shared" ca="1" si="80"/>
        <v>22.209026128266032</v>
      </c>
      <c r="L73" s="186">
        <f ca="1">IFERROR(__xludf.DUMMYFUNCTION("IMPORTRANGE(""https://docs.google.com/spreadsheets/d/1-uDff_7J0KD5mKrp0Vvzr7lt3OU09vwQwhkpOPPYv2Y/edit?usp=sharing"",""งบพรบ!DB73"")"),18700)</f>
        <v>18700</v>
      </c>
      <c r="M73" s="188">
        <f t="shared" ca="1" si="81"/>
        <v>22.209026128266032</v>
      </c>
      <c r="N73" s="188">
        <f t="shared" ca="1" si="82"/>
        <v>32.521739130434781</v>
      </c>
      <c r="O73" s="189">
        <f ca="1">IFERROR(__xludf.DUMMYFUNCTION("IMPORTRANGE(""https://docs.google.com/spreadsheets/d/1-uDff_7J0KD5mKrp0Vvzr7lt3OU09vwQwhkpOPPYv2Y/edit?usp=sharing"",""งบพรบ!DC73"")"),0)</f>
        <v>0</v>
      </c>
      <c r="P73" s="189">
        <f t="shared" ca="1" si="83"/>
        <v>0</v>
      </c>
      <c r="Q73" s="188">
        <f t="shared" ca="1" si="84"/>
        <v>0</v>
      </c>
      <c r="R73" s="103">
        <f ca="1">IFERROR(__xludf.DUMMYFUNCTION("IMPORTRANGE(""https://docs.google.com/spreadsheets/d/1BmIruG_sIrJLYao_Pdr7zVArWsfoBt2692TMi6x_854/edit?usp=sharing"",""อ่างทอง!L196"")"),6000)</f>
        <v>6000</v>
      </c>
      <c r="S73" s="103" t="str">
        <f ca="1">IFERROR(__xludf.DUMMYFUNCTION("IMPORTRANGE(""https://docs.google.com/spreadsheets/d/1BmIruG_sIrJLYao_Pdr7zVArWsfoBt2692TMi6x_854/edit?usp=sharing"",""อ่างทอง!N196"")"),"")</f>
        <v/>
      </c>
      <c r="T73" s="104" t="e">
        <f t="shared" ca="1" si="86"/>
        <v>#VALUE!</v>
      </c>
      <c r="U73" s="103">
        <f ca="1">IFERROR(__xludf.DUMMYFUNCTION("IMPORTRANGE(""https://docs.google.com/spreadsheets/d/1BmIruG_sIrJLYao_Pdr7zVArWsfoBt2692TMi6x_854/edit?usp=sharing"",""อ่างทอง!I198"")"),4)</f>
        <v>4</v>
      </c>
      <c r="V73" s="103">
        <f ca="1">IFERROR(__xludf.DUMMYFUNCTION("IMPORTRANGE(""https://docs.google.com/spreadsheets/d/1BmIruG_sIrJLYao_Pdr7zVArWsfoBt2692TMi6x_854/edit?usp=sharing"",""อ่างทอง!J198"")"),1)</f>
        <v>1</v>
      </c>
      <c r="W73" s="104">
        <f t="shared" ca="1" si="88"/>
        <v>25</v>
      </c>
      <c r="X73" s="103">
        <f ca="1">IFERROR(__xludf.DUMMYFUNCTION("IMPORTRANGE(""https://docs.google.com/spreadsheets/d/1BmIruG_sIrJLYao_Pdr7zVArWsfoBt2692TMi6x_854/edit?usp=sharing"",""อ่างทอง!J199"")"),30)</f>
        <v>30</v>
      </c>
      <c r="Y73" s="103">
        <f ca="1">IFERROR(__xludf.DUMMYFUNCTION("IMPORTRANGE(""https://docs.google.com/spreadsheets/d/1BmIruG_sIrJLYao_Pdr7zVArWsfoBt2692TMi6x_854/edit?usp=sharing"",""อ่างทอง!J200"")"),30)</f>
        <v>30</v>
      </c>
      <c r="Z73" s="103">
        <f ca="1">IFERROR(__xludf.DUMMYFUNCTION("IMPORTRANGE(""https://docs.google.com/spreadsheets/d/1BmIruG_sIrJLYao_Pdr7zVArWsfoBt2692TMi6x_854/edit?usp=sharing"",""อ่างทอง!J201"")"),0)</f>
        <v>0</v>
      </c>
      <c r="AA73" s="103">
        <f ca="1">IFERROR(__xludf.DUMMYFUNCTION("IMPORTRANGE(""https://docs.google.com/spreadsheets/d/1BmIruG_sIrJLYao_Pdr7zVArWsfoBt2692TMi6x_854/edit?usp=sharing"",""อ่างทอง!L204"")"),0)</f>
        <v>0</v>
      </c>
      <c r="AB73" s="103">
        <f ca="1">IFERROR(__xludf.DUMMYFUNCTION("IMPORTRANGE(""https://docs.google.com/spreadsheets/d/1BmIruG_sIrJLYao_Pdr7zVArWsfoBt2692TMi6x_854/edit?usp=sharing"",""อ่างทอง!N204"")"),0)</f>
        <v>0</v>
      </c>
      <c r="AC73" s="104">
        <f t="shared" ca="1" si="90"/>
        <v>0</v>
      </c>
      <c r="AD73" s="103">
        <f ca="1">IFERROR(__xludf.DUMMYFUNCTION("IMPORTRANGE(""https://docs.google.com/spreadsheets/d/1BmIruG_sIrJLYao_Pdr7zVArWsfoBt2692TMi6x_854/edit?usp=sharing"",""อ่างทอง!L206"")"),0)</f>
        <v>0</v>
      </c>
      <c r="AE73" s="103">
        <f ca="1">IFERROR(__xludf.DUMMYFUNCTION("IMPORTRANGE(""https://docs.google.com/spreadsheets/d/1BmIruG_sIrJLYao_Pdr7zVArWsfoBt2692TMi6x_854/edit?usp=sharing"",""อ่างทอง!N206"")"),0)</f>
        <v>0</v>
      </c>
      <c r="AF73" s="104">
        <f t="shared" ca="1" si="92"/>
        <v>0</v>
      </c>
      <c r="AG73" s="103" t="str">
        <f ca="1">IFERROR(__xludf.DUMMYFUNCTION("IMPORTRANGE(""https://docs.google.com/spreadsheets/d/1BmIruG_sIrJLYao_Pdr7zVArWsfoBt2692TMi6x_854/edit?usp=sharing"",""อ่างทอง!L207"")"),"")</f>
        <v/>
      </c>
      <c r="AH73" s="103" t="str">
        <f ca="1">IFERROR(__xludf.DUMMYFUNCTION("IMPORTRANGE(""https://docs.google.com/spreadsheets/d/1BmIruG_sIrJLYao_Pdr7zVArWsfoBt2692TMi6x_854/edit?usp=sharing"",""อ่างทอง!N207"")"),"")</f>
        <v/>
      </c>
      <c r="AI73" s="104" t="e">
        <f t="shared" ca="1" si="94"/>
        <v>#VALUE!</v>
      </c>
      <c r="AJ73" s="103">
        <f ca="1">IFERROR(__xludf.DUMMYFUNCTION("IMPORTRANGE(""https://docs.google.com/spreadsheets/d/1BmIruG_sIrJLYao_Pdr7zVArWsfoBt2692TMi6x_854/edit?usp=sharing"",""อ่างทอง!I209"")"),0)</f>
        <v>0</v>
      </c>
      <c r="AK73" s="103">
        <f ca="1">IFERROR(__xludf.DUMMYFUNCTION("IMPORTRANGE(""https://docs.google.com/spreadsheets/d/1BmIruG_sIrJLYao_Pdr7zVArWsfoBt2692TMi6x_854/edit?usp=sharing"",""อ่างทอง!J209"")"),0)</f>
        <v>0</v>
      </c>
      <c r="AL73" s="104">
        <f t="shared" ca="1" si="96"/>
        <v>0</v>
      </c>
      <c r="AM73" s="103">
        <f ca="1">IFERROR(__xludf.DUMMYFUNCTION("IMPORTRANGE(""https://docs.google.com/spreadsheets/d/1BmIruG_sIrJLYao_Pdr7zVArWsfoBt2692TMi6x_854/edit?usp=sharing"",""อ่างทอง!J211"")"),0)</f>
        <v>0</v>
      </c>
      <c r="AN73" s="103">
        <f ca="1">IFERROR(__xludf.DUMMYFUNCTION("IMPORTRANGE(""https://docs.google.com/spreadsheets/d/1BmIruG_sIrJLYao_Pdr7zVArWsfoBt2692TMi6x_854/edit?usp=sharing"",""อ่างทอง!J212"")"),0)</f>
        <v>0</v>
      </c>
      <c r="AO73" s="103">
        <f ca="1">IFERROR(__xludf.DUMMYFUNCTION("IMPORTRANGE(""https://docs.google.com/spreadsheets/d/1BmIruG_sIrJLYao_Pdr7zVArWsfoBt2692TMi6x_854/edit?usp=sharing"",""อ่างทอง!L215"")"),0)</f>
        <v>0</v>
      </c>
      <c r="AP73" s="103">
        <f ca="1">IFERROR(__xludf.DUMMYFUNCTION("IMPORTRANGE(""https://docs.google.com/spreadsheets/d/1BmIruG_sIrJLYao_Pdr7zVArWsfoBt2692TMi6x_854/edit?usp=sharing"",""อ่างทอง!N215"")"),0)</f>
        <v>0</v>
      </c>
      <c r="AQ73" s="104">
        <f t="shared" ca="1" si="98"/>
        <v>0</v>
      </c>
      <c r="AR73" s="103">
        <f ca="1">IFERROR(__xludf.DUMMYFUNCTION("IMPORTRANGE(""https://docs.google.com/spreadsheets/d/1BmIruG_sIrJLYao_Pdr7zVArWsfoBt2692TMi6x_854/edit?usp=sharing"",""อ่างทอง!L216"")"),0)</f>
        <v>0</v>
      </c>
      <c r="AS73" s="103">
        <f ca="1">IFERROR(__xludf.DUMMYFUNCTION("IMPORTRANGE(""https://docs.google.com/spreadsheets/d/1BmIruG_sIrJLYao_Pdr7zVArWsfoBt2692TMi6x_854/edit?usp=sharing"",""อ่างทอง!N216"")"),0)</f>
        <v>0</v>
      </c>
      <c r="AT73" s="104">
        <f t="shared" ca="1" si="100"/>
        <v>0</v>
      </c>
      <c r="AU73" s="103">
        <f ca="1">IFERROR(__xludf.DUMMYFUNCTION("IMPORTRANGE(""https://docs.google.com/spreadsheets/d/1BmIruG_sIrJLYao_Pdr7zVArWsfoBt2692TMi6x_854/edit?usp=sharing"",""อ่างทอง!L217"")"),0)</f>
        <v>0</v>
      </c>
      <c r="AV73" s="103">
        <f ca="1">IFERROR(__xludf.DUMMYFUNCTION("IMPORTRANGE(""https://docs.google.com/spreadsheets/d/1BmIruG_sIrJLYao_Pdr7zVArWsfoBt2692TMi6x_854/edit?usp=sharing"",""อ่างทอง!N217"")"),0)</f>
        <v>0</v>
      </c>
      <c r="AW73" s="104">
        <f t="shared" ca="1" si="102"/>
        <v>0</v>
      </c>
      <c r="AX73" s="103">
        <f ca="1">IFERROR(__xludf.DUMMYFUNCTION("IMPORTRANGE(""https://docs.google.com/spreadsheets/d/1BmIruG_sIrJLYao_Pdr7zVArWsfoBt2692TMi6x_854/edit?usp=sharing"",""อ่างทอง!I219"")"),0)</f>
        <v>0</v>
      </c>
      <c r="AY73" s="103">
        <f ca="1">IFERROR(__xludf.DUMMYFUNCTION("IMPORTRANGE(""https://docs.google.com/spreadsheets/d/1BmIruG_sIrJLYao_Pdr7zVArWsfoBt2692TMi6x_854/edit?usp=sharing"",""อ่างทอง!J219"")"),0)</f>
        <v>0</v>
      </c>
      <c r="AZ73" s="104">
        <f t="shared" ca="1" si="104"/>
        <v>0</v>
      </c>
      <c r="BA73" s="103">
        <f ca="1">IFERROR(__xludf.DUMMYFUNCTION("IMPORTRANGE(""https://docs.google.com/spreadsheets/d/1BmIruG_sIrJLYao_Pdr7zVArWsfoBt2692TMi6x_854/edit?usp=sharing"",""อ่างทอง!I220"")"),0)</f>
        <v>0</v>
      </c>
      <c r="BB73" s="103">
        <f ca="1">IFERROR(__xludf.DUMMYFUNCTION("IMPORTRANGE(""https://docs.google.com/spreadsheets/d/1BmIruG_sIrJLYao_Pdr7zVArWsfoBt2692TMi6x_854/edit?usp=sharing"",""อ่างทอง!J220"")"),0)</f>
        <v>0</v>
      </c>
      <c r="BC73" s="104">
        <f t="shared" ca="1" si="106"/>
        <v>0</v>
      </c>
      <c r="BD73" s="103">
        <f ca="1">IFERROR(__xludf.DUMMYFUNCTION("IMPORTRANGE(""https://docs.google.com/spreadsheets/d/1BmIruG_sIrJLYao_Pdr7zVArWsfoBt2692TMi6x_854/edit?usp=sharing"",""อ่างทอง!L223"")"),3000)</f>
        <v>3000</v>
      </c>
      <c r="BE73" s="103">
        <f ca="1">IFERROR(__xludf.DUMMYFUNCTION("IMPORTRANGE(""https://docs.google.com/spreadsheets/d/1BmIruG_sIrJLYao_Pdr7zVArWsfoBt2692TMi6x_854/edit?usp=sharing"",""อ่างทอง!N223"")"),0)</f>
        <v>0</v>
      </c>
      <c r="BF73" s="104">
        <f t="shared" ca="1" si="108"/>
        <v>0</v>
      </c>
      <c r="BG73" s="103">
        <f ca="1">IFERROR(__xludf.DUMMYFUNCTION("IMPORTRANGE(""https://docs.google.com/spreadsheets/d/1BmIruG_sIrJLYao_Pdr7zVArWsfoBt2692TMi6x_854/edit?usp=sharing"",""อ่างทอง!L224"")"),1500)</f>
        <v>1500</v>
      </c>
      <c r="BH73" s="103">
        <f ca="1">IFERROR(__xludf.DUMMYFUNCTION("IMPORTRANGE(""https://docs.google.com/spreadsheets/d/1BmIruG_sIrJLYao_Pdr7zVArWsfoBt2692TMi6x_854/edit?usp=sharing"",""อ่างทอง!N224"")"),0)</f>
        <v>0</v>
      </c>
      <c r="BI73" s="104">
        <f t="shared" ca="1" si="110"/>
        <v>0</v>
      </c>
      <c r="BJ73" s="103">
        <f ca="1">IFERROR(__xludf.DUMMYFUNCTION("IMPORTRANGE(""https://docs.google.com/spreadsheets/d/1BmIruG_sIrJLYao_Pdr7zVArWsfoBt2692TMi6x_854/edit?usp=sharing"",""อ่างทอง!I228"")"),5000)</f>
        <v>5000</v>
      </c>
      <c r="BK73" s="103">
        <f ca="1">IFERROR(__xludf.DUMMYFUNCTION("IMPORTRANGE(""https://docs.google.com/spreadsheets/d/1BmIruG_sIrJLYao_Pdr7zVArWsfoBt2692TMi6x_854/edit?usp=sharing"",""อ่างทอง!J228"")"),5000)</f>
        <v>5000</v>
      </c>
      <c r="BL73" s="104">
        <f t="shared" ca="1" si="112"/>
        <v>100</v>
      </c>
      <c r="BM73" s="103">
        <f ca="1">IFERROR(__xludf.DUMMYFUNCTION("IMPORTRANGE(""https://docs.google.com/spreadsheets/d/1BmIruG_sIrJLYao_Pdr7zVArWsfoBt2692TMi6x_854/edit?usp=sharing"",""อ่างทอง!I229"")"),5000)</f>
        <v>5000</v>
      </c>
      <c r="BN73" s="103">
        <f ca="1">IFERROR(__xludf.DUMMYFUNCTION("IMPORTRANGE(""https://docs.google.com/spreadsheets/d/1BmIruG_sIrJLYao_Pdr7zVArWsfoBt2692TMi6x_854/edit?usp=sharing"",""อ่างทอง!J229"")"),0)</f>
        <v>0</v>
      </c>
      <c r="BO73" s="104">
        <f t="shared" ca="1" si="114"/>
        <v>0</v>
      </c>
      <c r="BP73" s="103">
        <f ca="1">IFERROR(__xludf.DUMMYFUNCTION("IMPORTRANGE(""https://docs.google.com/spreadsheets/d/1BmIruG_sIrJLYao_Pdr7zVArWsfoBt2692TMi6x_854/edit?usp=sharing"",""อ่างทอง!I230"")"),0)</f>
        <v>0</v>
      </c>
      <c r="BQ73" s="103">
        <f ca="1">IFERROR(__xludf.DUMMYFUNCTION("IMPORTRANGE(""https://docs.google.com/spreadsheets/d/1BmIruG_sIrJLYao_Pdr7zVArWsfoBt2692TMi6x_854/edit?usp=sharing"",""อ่างทอง!J230"")"),0)</f>
        <v>0</v>
      </c>
      <c r="BR73" s="104">
        <f t="shared" ca="1" si="116"/>
        <v>0</v>
      </c>
      <c r="BS73" s="103">
        <f ca="1">IFERROR(__xludf.DUMMYFUNCTION("IMPORTRANGE(""https://docs.google.com/spreadsheets/d/1BmIruG_sIrJLYao_Pdr7zVArWsfoBt2692TMi6x_854/edit?usp=sharing"",""อ่างทอง!L233"")"),0)</f>
        <v>0</v>
      </c>
      <c r="BT73" s="103">
        <f ca="1">IFERROR(__xludf.DUMMYFUNCTION("IMPORTRANGE(""https://docs.google.com/spreadsheets/d/1BmIruG_sIrJLYao_Pdr7zVArWsfoBt2692TMi6x_854/edit?usp=sharing"",""อ่างทอง!N233"")"),0)</f>
        <v>0</v>
      </c>
      <c r="BU73" s="104">
        <f t="shared" ca="1" si="118"/>
        <v>0</v>
      </c>
      <c r="BV73" s="103">
        <f ca="1">IFERROR(__xludf.DUMMYFUNCTION("IMPORTRANGE(""https://docs.google.com/spreadsheets/d/1BmIruG_sIrJLYao_Pdr7zVArWsfoBt2692TMi6x_854/edit?usp=sharing"",""อ่างทอง!L234"")"),0)</f>
        <v>0</v>
      </c>
      <c r="BW73" s="103">
        <f ca="1">IFERROR(__xludf.DUMMYFUNCTION("IMPORTRANGE(""https://docs.google.com/spreadsheets/d/1BmIruG_sIrJLYao_Pdr7zVArWsfoBt2692TMi6x_854/edit?usp=sharing"",""อ่างทอง!N234"")"),0)</f>
        <v>0</v>
      </c>
      <c r="BX73" s="104">
        <f t="shared" ca="1" si="120"/>
        <v>0</v>
      </c>
      <c r="BY73" s="103">
        <f ca="1">IFERROR(__xludf.DUMMYFUNCTION("IMPORTRANGE(""https://docs.google.com/spreadsheets/d/1BmIruG_sIrJLYao_Pdr7zVArWsfoBt2692TMi6x_854/edit?usp=sharing"",""อ่างทอง!L235"")"),0)</f>
        <v>0</v>
      </c>
      <c r="BZ73" s="103">
        <f ca="1">IFERROR(__xludf.DUMMYFUNCTION("IMPORTRANGE(""https://docs.google.com/spreadsheets/d/1BmIruG_sIrJLYao_Pdr7zVArWsfoBt2692TMi6x_854/edit?usp=sharing"",""อ่างทอง!N235"")"),0)</f>
        <v>0</v>
      </c>
      <c r="CA73" s="104">
        <f t="shared" ca="1" si="122"/>
        <v>0</v>
      </c>
      <c r="CB73" s="103">
        <f ca="1">IFERROR(__xludf.DUMMYFUNCTION("IMPORTRANGE(""https://docs.google.com/spreadsheets/d/1BmIruG_sIrJLYao_Pdr7zVArWsfoBt2692TMi6x_854/edit?usp=sharing"",""อ่างทอง!L236"")"),0)</f>
        <v>0</v>
      </c>
      <c r="CC73" s="103">
        <f ca="1">IFERROR(__xludf.DUMMYFUNCTION("IMPORTRANGE(""https://docs.google.com/spreadsheets/d/1BmIruG_sIrJLYao_Pdr7zVArWsfoBt2692TMi6x_854/edit?usp=sharing"",""อ่างทอง!N236"")"),0)</f>
        <v>0</v>
      </c>
      <c r="CD73" s="104">
        <f t="shared" ca="1" si="124"/>
        <v>0</v>
      </c>
      <c r="CE73" s="103">
        <f ca="1">IFERROR(__xludf.DUMMYFUNCTION("IMPORTRANGE(""https://docs.google.com/spreadsheets/d/1BmIruG_sIrJLYao_Pdr7zVArWsfoBt2692TMi6x_854/edit?usp=sharing"",""อ่างทอง!I238"")"),0)</f>
        <v>0</v>
      </c>
      <c r="CF73" s="103">
        <f ca="1">IFERROR(__xludf.DUMMYFUNCTION("IMPORTRANGE(""https://docs.google.com/spreadsheets/d/1BmIruG_sIrJLYao_Pdr7zVArWsfoBt2692TMi6x_854/edit?usp=sharing"",""อ่างทอง!J238"")"),0)</f>
        <v>0</v>
      </c>
      <c r="CG73" s="104">
        <f t="shared" ca="1" si="126"/>
        <v>0</v>
      </c>
      <c r="CH73" s="103">
        <f ca="1">IFERROR(__xludf.DUMMYFUNCTION("IMPORTRANGE(""https://docs.google.com/spreadsheets/d/1BmIruG_sIrJLYao_Pdr7zVArWsfoBt2692TMi6x_854/edit?usp=sharing"",""อ่างทอง!J240"")"),0)</f>
        <v>0</v>
      </c>
      <c r="CI73" s="103">
        <f ca="1">IFERROR(__xludf.DUMMYFUNCTION("IMPORTRANGE(""https://docs.google.com/spreadsheets/d/1BmIruG_sIrJLYao_Pdr7zVArWsfoBt2692TMi6x_854/edit?usp=sharing"",""อ่างทอง!J241"")"),0)</f>
        <v>0</v>
      </c>
    </row>
    <row r="74" spans="1:87" ht="21" customHeight="1" x14ac:dyDescent="0.3">
      <c r="A74" s="394" t="s">
        <v>96</v>
      </c>
      <c r="B74" s="374"/>
      <c r="C74" s="154">
        <f t="shared" ca="1" si="77"/>
        <v>2056000</v>
      </c>
      <c r="D74" s="154">
        <f t="shared" ref="D74:I74" ca="1" si="177">SUM(D75:D88)</f>
        <v>2056000</v>
      </c>
      <c r="E74" s="154">
        <f t="shared" ca="1" si="177"/>
        <v>1321900</v>
      </c>
      <c r="F74" s="154">
        <f t="shared" ca="1" si="177"/>
        <v>734100</v>
      </c>
      <c r="G74" s="154">
        <f t="shared" ca="1" si="177"/>
        <v>0</v>
      </c>
      <c r="H74" s="154">
        <f t="shared" ca="1" si="177"/>
        <v>1435100</v>
      </c>
      <c r="I74" s="154">
        <f t="shared" ca="1" si="177"/>
        <v>0</v>
      </c>
      <c r="J74" s="154">
        <f t="shared" ca="1" si="79"/>
        <v>357612.25</v>
      </c>
      <c r="K74" s="155">
        <f t="shared" ca="1" si="80"/>
        <v>17.393591926070037</v>
      </c>
      <c r="L74" s="154">
        <f ca="1">SUM(L75:L88)</f>
        <v>357612.25</v>
      </c>
      <c r="M74" s="156">
        <f t="shared" ca="1" si="81"/>
        <v>17.393591926070037</v>
      </c>
      <c r="N74" s="156">
        <f t="shared" ca="1" si="82"/>
        <v>24.918977771583862</v>
      </c>
      <c r="O74" s="157">
        <f ca="1">SUM(O75:O88)</f>
        <v>0</v>
      </c>
      <c r="P74" s="157">
        <f t="shared" ca="1" si="83"/>
        <v>0</v>
      </c>
      <c r="Q74" s="156">
        <f t="shared" ca="1" si="84"/>
        <v>0</v>
      </c>
      <c r="R74" s="68">
        <f t="shared" ref="R74:S74" ca="1" si="178">SUM(R75:R88)</f>
        <v>84000</v>
      </c>
      <c r="S74" s="68">
        <f t="shared" ca="1" si="178"/>
        <v>1800</v>
      </c>
      <c r="T74" s="107">
        <f t="shared" ca="1" si="86"/>
        <v>2.1428571428571428</v>
      </c>
      <c r="U74" s="68">
        <f t="shared" ref="U74:V74" ca="1" si="179">SUM(U75:U88)</f>
        <v>56</v>
      </c>
      <c r="V74" s="68">
        <f t="shared" ca="1" si="179"/>
        <v>7</v>
      </c>
      <c r="W74" s="107">
        <f t="shared" ca="1" si="88"/>
        <v>12.5</v>
      </c>
      <c r="X74" s="68">
        <f t="shared" ref="X74:AB74" ca="1" si="180">SUM(X75:X88)</f>
        <v>232</v>
      </c>
      <c r="Y74" s="68">
        <f t="shared" ca="1" si="180"/>
        <v>232</v>
      </c>
      <c r="Z74" s="68">
        <f t="shared" ca="1" si="180"/>
        <v>0</v>
      </c>
      <c r="AA74" s="68">
        <f t="shared" ca="1" si="180"/>
        <v>22000</v>
      </c>
      <c r="AB74" s="68">
        <f t="shared" ca="1" si="180"/>
        <v>960</v>
      </c>
      <c r="AC74" s="107">
        <f t="shared" ca="1" si="90"/>
        <v>4.3636363636363633</v>
      </c>
      <c r="AD74" s="68">
        <f t="shared" ref="AD74:AE74" ca="1" si="181">SUM(AD75:AD88)</f>
        <v>176000</v>
      </c>
      <c r="AE74" s="68">
        <f t="shared" ca="1" si="181"/>
        <v>8000</v>
      </c>
      <c r="AF74" s="107">
        <f t="shared" ca="1" si="92"/>
        <v>4.5454545454545459</v>
      </c>
      <c r="AG74" s="68">
        <f t="shared" ref="AG74:AH74" ca="1" si="182">SUM(AG75:AG88)</f>
        <v>106000</v>
      </c>
      <c r="AH74" s="68">
        <f t="shared" ca="1" si="182"/>
        <v>0</v>
      </c>
      <c r="AI74" s="107">
        <f t="shared" ca="1" si="94"/>
        <v>0</v>
      </c>
      <c r="AJ74" s="68">
        <f t="shared" ref="AJ74:AK74" ca="1" si="183">SUM(AJ75:AJ88)</f>
        <v>22</v>
      </c>
      <c r="AK74" s="68">
        <f t="shared" ca="1" si="183"/>
        <v>1</v>
      </c>
      <c r="AL74" s="107">
        <f t="shared" ca="1" si="96"/>
        <v>4.5454545454545459</v>
      </c>
      <c r="AM74" s="68">
        <f t="shared" ref="AM74:AP74" ca="1" si="184">SUM(AM75:AM88)</f>
        <v>0</v>
      </c>
      <c r="AN74" s="68">
        <f t="shared" ca="1" si="184"/>
        <v>0</v>
      </c>
      <c r="AO74" s="68">
        <f t="shared" ca="1" si="184"/>
        <v>5000</v>
      </c>
      <c r="AP74" s="68">
        <f t="shared" ca="1" si="184"/>
        <v>0</v>
      </c>
      <c r="AQ74" s="107">
        <f t="shared" ca="1" si="98"/>
        <v>0</v>
      </c>
      <c r="AR74" s="68">
        <f t="shared" ref="AR74:AS74" ca="1" si="185">SUM(AR75:AR88)</f>
        <v>25000</v>
      </c>
      <c r="AS74" s="68">
        <f t="shared" ca="1" si="185"/>
        <v>0</v>
      </c>
      <c r="AT74" s="107">
        <f t="shared" ca="1" si="100"/>
        <v>0</v>
      </c>
      <c r="AU74" s="68">
        <f t="shared" ref="AU74:AV74" ca="1" si="186">SUM(AU75:AU88)</f>
        <v>40000</v>
      </c>
      <c r="AV74" s="68">
        <f t="shared" ca="1" si="186"/>
        <v>0</v>
      </c>
      <c r="AW74" s="107">
        <f t="shared" ca="1" si="102"/>
        <v>0</v>
      </c>
      <c r="AX74" s="68">
        <f t="shared" ref="AX74:AY74" ca="1" si="187">SUM(AX75:AX88)</f>
        <v>5</v>
      </c>
      <c r="AY74" s="68">
        <f t="shared" ca="1" si="187"/>
        <v>0</v>
      </c>
      <c r="AZ74" s="107">
        <f t="shared" ca="1" si="104"/>
        <v>0</v>
      </c>
      <c r="BA74" s="68">
        <f t="shared" ref="BA74:BB74" ca="1" si="188">SUM(BA75:BA88)</f>
        <v>5</v>
      </c>
      <c r="BB74" s="68">
        <f t="shared" ca="1" si="188"/>
        <v>0</v>
      </c>
      <c r="BC74" s="107">
        <f t="shared" ca="1" si="106"/>
        <v>0</v>
      </c>
      <c r="BD74" s="68">
        <f t="shared" ref="BD74:BE74" ca="1" si="189">SUM(BD75:BD88)</f>
        <v>47000</v>
      </c>
      <c r="BE74" s="68">
        <f t="shared" ca="1" si="189"/>
        <v>0</v>
      </c>
      <c r="BF74" s="107">
        <f t="shared" ca="1" si="108"/>
        <v>0</v>
      </c>
      <c r="BG74" s="68">
        <f t="shared" ref="BG74:BH74" ca="1" si="190">SUM(BG75:BG88)</f>
        <v>19500</v>
      </c>
      <c r="BH74" s="68">
        <f t="shared" ca="1" si="190"/>
        <v>0</v>
      </c>
      <c r="BI74" s="107">
        <f t="shared" ca="1" si="110"/>
        <v>0</v>
      </c>
      <c r="BJ74" s="68">
        <f t="shared" ref="BJ74:BK74" ca="1" si="191">SUM(BJ75:BJ88)</f>
        <v>239000</v>
      </c>
      <c r="BK74" s="68">
        <f t="shared" ca="1" si="191"/>
        <v>0</v>
      </c>
      <c r="BL74" s="107">
        <f t="shared" ca="1" si="112"/>
        <v>0</v>
      </c>
      <c r="BM74" s="68">
        <f t="shared" ref="BM74:BN74" ca="1" si="192">SUM(BM75:BM88)</f>
        <v>239000</v>
      </c>
      <c r="BN74" s="68">
        <f t="shared" ca="1" si="192"/>
        <v>0</v>
      </c>
      <c r="BO74" s="107">
        <f t="shared" ca="1" si="114"/>
        <v>0</v>
      </c>
      <c r="BP74" s="68">
        <f t="shared" ref="BP74:BQ74" ca="1" si="193">SUM(BP75:BP88)</f>
        <v>0</v>
      </c>
      <c r="BQ74" s="68">
        <f t="shared" ca="1" si="193"/>
        <v>0</v>
      </c>
      <c r="BR74" s="107">
        <f t="shared" ca="1" si="116"/>
        <v>0</v>
      </c>
      <c r="BS74" s="68">
        <f t="shared" ref="BS74:BT74" ca="1" si="194">SUM(BS75:BS88)</f>
        <v>101000</v>
      </c>
      <c r="BT74" s="68">
        <f t="shared" ca="1" si="194"/>
        <v>0</v>
      </c>
      <c r="BU74" s="107">
        <f t="shared" ca="1" si="118"/>
        <v>0</v>
      </c>
      <c r="BV74" s="68">
        <f t="shared" ref="BV74:BW74" ca="1" si="195">SUM(BV75:BV88)</f>
        <v>5000</v>
      </c>
      <c r="BW74" s="68">
        <f t="shared" ca="1" si="195"/>
        <v>0</v>
      </c>
      <c r="BX74" s="107">
        <f t="shared" ca="1" si="120"/>
        <v>0</v>
      </c>
      <c r="BY74" s="68">
        <f t="shared" ref="BY74:BZ74" ca="1" si="196">SUM(BY75:BY88)</f>
        <v>45600</v>
      </c>
      <c r="BZ74" s="68">
        <f t="shared" ca="1" si="196"/>
        <v>0</v>
      </c>
      <c r="CA74" s="107">
        <f t="shared" ca="1" si="122"/>
        <v>0</v>
      </c>
      <c r="CB74" s="68">
        <f t="shared" ref="CB74:CC74" ca="1" si="197">SUM(CB75:CB88)</f>
        <v>58000</v>
      </c>
      <c r="CC74" s="68">
        <f t="shared" ca="1" si="197"/>
        <v>0</v>
      </c>
      <c r="CD74" s="107">
        <f t="shared" ca="1" si="124"/>
        <v>0</v>
      </c>
      <c r="CE74" s="68">
        <f t="shared" ref="CE74:CF74" ca="1" si="198">SUM(CE75:CE88)</f>
        <v>40</v>
      </c>
      <c r="CF74" s="68">
        <f t="shared" ca="1" si="198"/>
        <v>0</v>
      </c>
      <c r="CG74" s="107">
        <f t="shared" ca="1" si="126"/>
        <v>0</v>
      </c>
      <c r="CH74" s="68">
        <f t="shared" ref="CH74:CI74" ca="1" si="199">SUM(CH75:CH88)</f>
        <v>0</v>
      </c>
      <c r="CI74" s="68">
        <f t="shared" ca="1" si="199"/>
        <v>0</v>
      </c>
    </row>
    <row r="75" spans="1:87" ht="21" customHeight="1" x14ac:dyDescent="0.3">
      <c r="A75" s="74">
        <v>1</v>
      </c>
      <c r="B75" s="75" t="s">
        <v>97</v>
      </c>
      <c r="C75" s="174">
        <f t="shared" ca="1" si="77"/>
        <v>136400</v>
      </c>
      <c r="D75" s="175">
        <f t="shared" ref="D75:D88" ca="1" si="200">+E75+F75</f>
        <v>136400</v>
      </c>
      <c r="E75" s="176">
        <f ca="1">IFERROR(__xludf.DUMMYFUNCTION("IMPORTRANGE(""https://docs.google.com/spreadsheets/d/1-uDff_7J0KD5mKrp0Vvzr7lt3OU09vwQwhkpOPPYv2Y/edit?usp=sharing"",""งบพรบ!CV75"")"),82900)</f>
        <v>82900</v>
      </c>
      <c r="F75" s="176">
        <f ca="1">IFERROR(__xludf.DUMMYFUNCTION("IMPORTRANGE(""https://docs.google.com/spreadsheets/d/1-uDff_7J0KD5mKrp0Vvzr7lt3OU09vwQwhkpOPPYv2Y/edit?usp=sharing"",""งบพรบ!CW75"")"),53500)</f>
        <v>53500</v>
      </c>
      <c r="G75" s="176">
        <f ca="1">IFERROR(__xludf.DUMMYFUNCTION("IMPORTRANGE(""https://docs.google.com/spreadsheets/d/1-uDff_7J0KD5mKrp0Vvzr7lt3OU09vwQwhkpOPPYv2Y/edit?usp=sharing"",""งบพรบ!CX75"")"),0)</f>
        <v>0</v>
      </c>
      <c r="H75" s="176">
        <f ca="1">IFERROR(__xludf.DUMMYFUNCTION("IMPORTRANGE(""https://docs.google.com/spreadsheets/d/1-uDff_7J0KD5mKrp0Vvzr7lt3OU09vwQwhkpOPPYv2Y/edit?usp=sharing"",""งบพรบ!CZ75"")"),91000)</f>
        <v>91000</v>
      </c>
      <c r="I75" s="176">
        <f ca="1">IFERROR(__xludf.DUMMYFUNCTION("IMPORTRANGE(""https://docs.google.com/spreadsheets/d/1-uDff_7J0KD5mKrp0Vvzr7lt3OU09vwQwhkpOPPYv2Y/edit?usp=sharing"",""งบพรบ!DA75"")"),0)</f>
        <v>0</v>
      </c>
      <c r="J75" s="176">
        <f t="shared" ca="1" si="79"/>
        <v>13205</v>
      </c>
      <c r="K75" s="181">
        <f t="shared" ca="1" si="80"/>
        <v>9.6810850439882703</v>
      </c>
      <c r="L75" s="176">
        <f ca="1">IFERROR(__xludf.DUMMYFUNCTION("IMPORTRANGE(""https://docs.google.com/spreadsheets/d/1-uDff_7J0KD5mKrp0Vvzr7lt3OU09vwQwhkpOPPYv2Y/edit?usp=sharing"",""งบพรบ!DB75"")"),13205)</f>
        <v>13205</v>
      </c>
      <c r="M75" s="179">
        <f t="shared" ca="1" si="81"/>
        <v>9.6810850439882703</v>
      </c>
      <c r="N75" s="179">
        <f t="shared" ca="1" si="82"/>
        <v>14.510989010989011</v>
      </c>
      <c r="O75" s="180">
        <f ca="1">IFERROR(__xludf.DUMMYFUNCTION("IMPORTRANGE(""https://docs.google.com/spreadsheets/d/1-uDff_7J0KD5mKrp0Vvzr7lt3OU09vwQwhkpOPPYv2Y/edit?usp=sharing"",""งบพรบ!DC75"")"),0)</f>
        <v>0</v>
      </c>
      <c r="P75" s="180">
        <f t="shared" ca="1" si="83"/>
        <v>0</v>
      </c>
      <c r="Q75" s="179">
        <f t="shared" ca="1" si="84"/>
        <v>0</v>
      </c>
      <c r="R75" s="79">
        <f ca="1">IFERROR(__xludf.DUMMYFUNCTION("IMPORTRANGE(""https://docs.google.com/spreadsheets/d/1kKUcYdkIfrgTSj8iHHHB2MD2FAtwyyocFgqGQn6ADyI/edit?usp=sharing"",""กระบี่!L196"")"),6000)</f>
        <v>6000</v>
      </c>
      <c r="S75" s="79">
        <f ca="1">IFERROR(__xludf.DUMMYFUNCTION("IMPORTRANGE(""https://docs.google.com/spreadsheets/d/1kKUcYdkIfrgTSj8iHHHB2MD2FAtwyyocFgqGQn6ADyI/edit?usp=sharing"",""กระบี่!N196"")"),0)</f>
        <v>0</v>
      </c>
      <c r="T75" s="83">
        <f t="shared" ca="1" si="86"/>
        <v>0</v>
      </c>
      <c r="U75" s="79">
        <f ca="1">IFERROR(__xludf.DUMMYFUNCTION("IMPORTRANGE(""https://docs.google.com/spreadsheets/d/1kKUcYdkIfrgTSj8iHHHB2MD2FAtwyyocFgqGQn6ADyI/edit?usp=sharing"",""กระบี่!I198"")"),4)</f>
        <v>4</v>
      </c>
      <c r="V75" s="79">
        <f ca="1">IFERROR(__xludf.DUMMYFUNCTION("IMPORTRANGE(""https://docs.google.com/spreadsheets/d/1kKUcYdkIfrgTSj8iHHHB2MD2FAtwyyocFgqGQn6ADyI/edit?usp=sharing"",""กระบี่!J198"")"),0)</f>
        <v>0</v>
      </c>
      <c r="W75" s="83">
        <f t="shared" ca="1" si="88"/>
        <v>0</v>
      </c>
      <c r="X75" s="79">
        <f ca="1">IFERROR(__xludf.DUMMYFUNCTION("IMPORTRANGE(""https://docs.google.com/spreadsheets/d/1kKUcYdkIfrgTSj8iHHHB2MD2FAtwyyocFgqGQn6ADyI/edit?usp=sharing"",""กระบี่!J199"")"),0)</f>
        <v>0</v>
      </c>
      <c r="Y75" s="79">
        <f ca="1">IFERROR(__xludf.DUMMYFUNCTION("IMPORTRANGE(""https://docs.google.com/spreadsheets/d/1kKUcYdkIfrgTSj8iHHHB2MD2FAtwyyocFgqGQn6ADyI/edit?usp=sharing"",""กระบี่!J200"")"),0)</f>
        <v>0</v>
      </c>
      <c r="Z75" s="79">
        <f ca="1">IFERROR(__xludf.DUMMYFUNCTION("IMPORTRANGE(""https://docs.google.com/spreadsheets/d/1kKUcYdkIfrgTSj8iHHHB2MD2FAtwyyocFgqGQn6ADyI/edit?usp=sharing"",""กระบี่!J201"")"),0)</f>
        <v>0</v>
      </c>
      <c r="AA75" s="79">
        <f ca="1">IFERROR(__xludf.DUMMYFUNCTION("IMPORTRANGE(""https://docs.google.com/spreadsheets/d/1kKUcYdkIfrgTSj8iHHHB2MD2FAtwyyocFgqGQn6ADyI/edit?usp=sharing"",""กระบี่!L204"")"),3000)</f>
        <v>3000</v>
      </c>
      <c r="AB75" s="79">
        <f ca="1">IFERROR(__xludf.DUMMYFUNCTION("IMPORTRANGE(""https://docs.google.com/spreadsheets/d/1kKUcYdkIfrgTSj8iHHHB2MD2FAtwyyocFgqGQn6ADyI/edit?usp=sharing"",""กระบี่!N204"")"),0)</f>
        <v>0</v>
      </c>
      <c r="AC75" s="83">
        <f t="shared" ca="1" si="90"/>
        <v>0</v>
      </c>
      <c r="AD75" s="79">
        <f ca="1">IFERROR(__xludf.DUMMYFUNCTION("IMPORTRANGE(""https://docs.google.com/spreadsheets/d/1kKUcYdkIfrgTSj8iHHHB2MD2FAtwyyocFgqGQn6ADyI/edit?usp=sharing"",""กระบี่!L206"")"),24000)</f>
        <v>24000</v>
      </c>
      <c r="AE75" s="79">
        <f ca="1">IFERROR(__xludf.DUMMYFUNCTION("IMPORTRANGE(""https://docs.google.com/spreadsheets/d/1kKUcYdkIfrgTSj8iHHHB2MD2FAtwyyocFgqGQn6ADyI/edit?usp=sharing"",""กระบี่!N206"")"),0)</f>
        <v>0</v>
      </c>
      <c r="AF75" s="83">
        <f t="shared" ca="1" si="92"/>
        <v>0</v>
      </c>
      <c r="AG75" s="79">
        <f ca="1">IFERROR(__xludf.DUMMYFUNCTION("IMPORTRANGE(""https://docs.google.com/spreadsheets/d/1kKUcYdkIfrgTSj8iHHHB2MD2FAtwyyocFgqGQn6ADyI/edit?usp=sharing"",""กระบี่!L207"")"),12000)</f>
        <v>12000</v>
      </c>
      <c r="AH75" s="79">
        <f ca="1">IFERROR(__xludf.DUMMYFUNCTION("IMPORTRANGE(""https://docs.google.com/spreadsheets/d/1kKUcYdkIfrgTSj8iHHHB2MD2FAtwyyocFgqGQn6ADyI/edit?usp=sharing"",""กระบี่!N207"")"),0)</f>
        <v>0</v>
      </c>
      <c r="AI75" s="83">
        <f t="shared" ca="1" si="94"/>
        <v>0</v>
      </c>
      <c r="AJ75" s="79">
        <f ca="1">IFERROR(__xludf.DUMMYFUNCTION("IMPORTRANGE(""https://docs.google.com/spreadsheets/d/1kKUcYdkIfrgTSj8iHHHB2MD2FAtwyyocFgqGQn6ADyI/edit?usp=sharing"",""กระบี่!I209"")"),3)</f>
        <v>3</v>
      </c>
      <c r="AK75" s="79">
        <f ca="1">IFERROR(__xludf.DUMMYFUNCTION("IMPORTRANGE(""https://docs.google.com/spreadsheets/d/1kKUcYdkIfrgTSj8iHHHB2MD2FAtwyyocFgqGQn6ADyI/edit?usp=sharing"",""กระบี่!J209"")"),0)</f>
        <v>0</v>
      </c>
      <c r="AL75" s="83">
        <f t="shared" ca="1" si="96"/>
        <v>0</v>
      </c>
      <c r="AM75" s="79">
        <f ca="1">IFERROR(__xludf.DUMMYFUNCTION("IMPORTRANGE(""https://docs.google.com/spreadsheets/d/1kKUcYdkIfrgTSj8iHHHB2MD2FAtwyyocFgqGQn6ADyI/edit?usp=sharing"",""กระบี่!J211"")"),0)</f>
        <v>0</v>
      </c>
      <c r="AN75" s="79">
        <f ca="1">IFERROR(__xludf.DUMMYFUNCTION("IMPORTRANGE(""https://docs.google.com/spreadsheets/d/1kKUcYdkIfrgTSj8iHHHB2MD2FAtwyyocFgqGQn6ADyI/edit?usp=sharing"",""กระบี่!J212"")"),0)</f>
        <v>0</v>
      </c>
      <c r="AO75" s="79">
        <f ca="1">IFERROR(__xludf.DUMMYFUNCTION("IMPORTRANGE(""https://docs.google.com/spreadsheets/d/1kKUcYdkIfrgTSj8iHHHB2MD2FAtwyyocFgqGQn6ADyI/edit?usp=sharing"",""กระบี่!L215"")"),0)</f>
        <v>0</v>
      </c>
      <c r="AP75" s="79">
        <f ca="1">IFERROR(__xludf.DUMMYFUNCTION("IMPORTRANGE(""https://docs.google.com/spreadsheets/d/1kKUcYdkIfrgTSj8iHHHB2MD2FAtwyyocFgqGQn6ADyI/edit?usp=sharing"",""กระบี่!N215"")"),0)</f>
        <v>0</v>
      </c>
      <c r="AQ75" s="83">
        <f t="shared" ca="1" si="98"/>
        <v>0</v>
      </c>
      <c r="AR75" s="79">
        <f ca="1">IFERROR(__xludf.DUMMYFUNCTION("IMPORTRANGE(""https://docs.google.com/spreadsheets/d/1kKUcYdkIfrgTSj8iHHHB2MD2FAtwyyocFgqGQn6ADyI/edit?usp=sharing"",""กระบี่!L216"")"),0)</f>
        <v>0</v>
      </c>
      <c r="AS75" s="79">
        <f ca="1">IFERROR(__xludf.DUMMYFUNCTION("IMPORTRANGE(""https://docs.google.com/spreadsheets/d/1kKUcYdkIfrgTSj8iHHHB2MD2FAtwyyocFgqGQn6ADyI/edit?usp=sharing"",""กระบี่!N216"")"),0)</f>
        <v>0</v>
      </c>
      <c r="AT75" s="83">
        <f t="shared" ca="1" si="100"/>
        <v>0</v>
      </c>
      <c r="AU75" s="79">
        <f ca="1">IFERROR(__xludf.DUMMYFUNCTION("IMPORTRANGE(""https://docs.google.com/spreadsheets/d/1kKUcYdkIfrgTSj8iHHHB2MD2FAtwyyocFgqGQn6ADyI/edit?usp=sharing"",""กระบี่!L217"")"),0)</f>
        <v>0</v>
      </c>
      <c r="AV75" s="79">
        <f ca="1">IFERROR(__xludf.DUMMYFUNCTION("IMPORTRANGE(""https://docs.google.com/spreadsheets/d/1kKUcYdkIfrgTSj8iHHHB2MD2FAtwyyocFgqGQn6ADyI/edit?usp=sharing"",""กระบี่!N217"")"),0)</f>
        <v>0</v>
      </c>
      <c r="AW75" s="83">
        <f t="shared" ca="1" si="102"/>
        <v>0</v>
      </c>
      <c r="AX75" s="79">
        <f ca="1">IFERROR(__xludf.DUMMYFUNCTION("IMPORTRANGE(""https://docs.google.com/spreadsheets/d/1kKUcYdkIfrgTSj8iHHHB2MD2FAtwyyocFgqGQn6ADyI/edit?usp=sharing"",""กระบี่!I219"")"),0)</f>
        <v>0</v>
      </c>
      <c r="AY75" s="79">
        <f ca="1">IFERROR(__xludf.DUMMYFUNCTION("IMPORTRANGE(""https://docs.google.com/spreadsheets/d/1kKUcYdkIfrgTSj8iHHHB2MD2FAtwyyocFgqGQn6ADyI/edit?usp=sharing"",""กระบี่!J219"")"),0)</f>
        <v>0</v>
      </c>
      <c r="AZ75" s="83">
        <f t="shared" ca="1" si="104"/>
        <v>0</v>
      </c>
      <c r="BA75" s="79">
        <f ca="1">IFERROR(__xludf.DUMMYFUNCTION("IMPORTRANGE(""https://docs.google.com/spreadsheets/d/1kKUcYdkIfrgTSj8iHHHB2MD2FAtwyyocFgqGQn6ADyI/edit?usp=sharing"",""กระบี่!I220"")"),0)</f>
        <v>0</v>
      </c>
      <c r="BB75" s="79">
        <f ca="1">IFERROR(__xludf.DUMMYFUNCTION("IMPORTRANGE(""https://docs.google.com/spreadsheets/d/1kKUcYdkIfrgTSj8iHHHB2MD2FAtwyyocFgqGQn6ADyI/edit?usp=sharing"",""กระบี่!J220"")"),0)</f>
        <v>0</v>
      </c>
      <c r="BC75" s="83">
        <f t="shared" ca="1" si="106"/>
        <v>0</v>
      </c>
      <c r="BD75" s="79">
        <f ca="1">IFERROR(__xludf.DUMMYFUNCTION("IMPORTRANGE(""https://docs.google.com/spreadsheets/d/1kKUcYdkIfrgTSj8iHHHB2MD2FAtwyyocFgqGQn6ADyI/edit?usp=sharing"",""กระบี่!L223"")"),7000)</f>
        <v>7000</v>
      </c>
      <c r="BE75" s="79">
        <f ca="1">IFERROR(__xludf.DUMMYFUNCTION("IMPORTRANGE(""https://docs.google.com/spreadsheets/d/1kKUcYdkIfrgTSj8iHHHB2MD2FAtwyyocFgqGQn6ADyI/edit?usp=sharing"",""กระบี่!N223"")"),0)</f>
        <v>0</v>
      </c>
      <c r="BF75" s="83">
        <f t="shared" ca="1" si="108"/>
        <v>0</v>
      </c>
      <c r="BG75" s="79">
        <f ca="1">IFERROR(__xludf.DUMMYFUNCTION("IMPORTRANGE(""https://docs.google.com/spreadsheets/d/1kKUcYdkIfrgTSj8iHHHB2MD2FAtwyyocFgqGQn6ADyI/edit?usp=sharing"",""กระบี่!L224"")"),1500)</f>
        <v>1500</v>
      </c>
      <c r="BH75" s="79">
        <f ca="1">IFERROR(__xludf.DUMMYFUNCTION("IMPORTRANGE(""https://docs.google.com/spreadsheets/d/1kKUcYdkIfrgTSj8iHHHB2MD2FAtwyyocFgqGQn6ADyI/edit?usp=sharing"",""กระบี่!N224"")"),0)</f>
        <v>0</v>
      </c>
      <c r="BI75" s="83">
        <f t="shared" ca="1" si="110"/>
        <v>0</v>
      </c>
      <c r="BJ75" s="79">
        <f ca="1">IFERROR(__xludf.DUMMYFUNCTION("IMPORTRANGE(""https://docs.google.com/spreadsheets/d/1kKUcYdkIfrgTSj8iHHHB2MD2FAtwyyocFgqGQn6ADyI/edit?usp=sharing"",""กระบี่!I228"")"),50000)</f>
        <v>50000</v>
      </c>
      <c r="BK75" s="79">
        <f ca="1">IFERROR(__xludf.DUMMYFUNCTION("IMPORTRANGE(""https://docs.google.com/spreadsheets/d/1kKUcYdkIfrgTSj8iHHHB2MD2FAtwyyocFgqGQn6ADyI/edit?usp=sharing"",""กระบี่!J228"")"),0)</f>
        <v>0</v>
      </c>
      <c r="BL75" s="83">
        <f t="shared" ca="1" si="112"/>
        <v>0</v>
      </c>
      <c r="BM75" s="79">
        <f ca="1">IFERROR(__xludf.DUMMYFUNCTION("IMPORTRANGE(""https://docs.google.com/spreadsheets/d/1kKUcYdkIfrgTSj8iHHHB2MD2FAtwyyocFgqGQn6ADyI/edit?usp=sharing"",""กระบี่!I229"")"),50000)</f>
        <v>50000</v>
      </c>
      <c r="BN75" s="79">
        <f ca="1">IFERROR(__xludf.DUMMYFUNCTION("IMPORTRANGE(""https://docs.google.com/spreadsheets/d/1kKUcYdkIfrgTSj8iHHHB2MD2FAtwyyocFgqGQn6ADyI/edit?usp=sharing"",""กระบี่!J229"")"),0)</f>
        <v>0</v>
      </c>
      <c r="BO75" s="83">
        <f t="shared" ca="1" si="114"/>
        <v>0</v>
      </c>
      <c r="BP75" s="79">
        <f ca="1">IFERROR(__xludf.DUMMYFUNCTION("IMPORTRANGE(""https://docs.google.com/spreadsheets/d/1kKUcYdkIfrgTSj8iHHHB2MD2FAtwyyocFgqGQn6ADyI/edit?usp=sharing"",""กระบี่!I230"")"),0)</f>
        <v>0</v>
      </c>
      <c r="BQ75" s="79">
        <f ca="1">IFERROR(__xludf.DUMMYFUNCTION("IMPORTRANGE(""https://docs.google.com/spreadsheets/d/1kKUcYdkIfrgTSj8iHHHB2MD2FAtwyyocFgqGQn6ADyI/edit?usp=sharing"",""กระบี่!J230"")"),0)</f>
        <v>0</v>
      </c>
      <c r="BR75" s="83">
        <f t="shared" ca="1" si="116"/>
        <v>0</v>
      </c>
      <c r="BS75" s="79">
        <f ca="1">IFERROR(__xludf.DUMMYFUNCTION("IMPORTRANGE(""https://docs.google.com/spreadsheets/d/1kKUcYdkIfrgTSj8iHHHB2MD2FAtwyyocFgqGQn6ADyI/edit?usp=sharing"",""กระบี่!L233"")"),0)</f>
        <v>0</v>
      </c>
      <c r="BT75" s="79">
        <f ca="1">IFERROR(__xludf.DUMMYFUNCTION("IMPORTRANGE(""https://docs.google.com/spreadsheets/d/1kKUcYdkIfrgTSj8iHHHB2MD2FAtwyyocFgqGQn6ADyI/edit?usp=sharing"",""กระบี่!N233"")"),0)</f>
        <v>0</v>
      </c>
      <c r="BU75" s="83">
        <f t="shared" ca="1" si="118"/>
        <v>0</v>
      </c>
      <c r="BV75" s="79">
        <f ca="1">IFERROR(__xludf.DUMMYFUNCTION("IMPORTRANGE(""https://docs.google.com/spreadsheets/d/1kKUcYdkIfrgTSj8iHHHB2MD2FAtwyyocFgqGQn6ADyI/edit?usp=sharing"",""กระบี่!L234"")"),0)</f>
        <v>0</v>
      </c>
      <c r="BW75" s="79">
        <f ca="1">IFERROR(__xludf.DUMMYFUNCTION("IMPORTRANGE(""https://docs.google.com/spreadsheets/d/1kKUcYdkIfrgTSj8iHHHB2MD2FAtwyyocFgqGQn6ADyI/edit?usp=sharing"",""กระบี่!N234"")"),0)</f>
        <v>0</v>
      </c>
      <c r="BX75" s="83">
        <f t="shared" ca="1" si="120"/>
        <v>0</v>
      </c>
      <c r="BY75" s="79">
        <f ca="1">IFERROR(__xludf.DUMMYFUNCTION("IMPORTRANGE(""https://docs.google.com/spreadsheets/d/1kKUcYdkIfrgTSj8iHHHB2MD2FAtwyyocFgqGQn6ADyI/edit?usp=sharing"",""กระบี่!L235"")"),0)</f>
        <v>0</v>
      </c>
      <c r="BZ75" s="79">
        <f ca="1">IFERROR(__xludf.DUMMYFUNCTION("IMPORTRANGE(""https://docs.google.com/spreadsheets/d/1kKUcYdkIfrgTSj8iHHHB2MD2FAtwyyocFgqGQn6ADyI/edit?usp=sharing"",""กระบี่!N235"")"),0)</f>
        <v>0</v>
      </c>
      <c r="CA75" s="83">
        <f t="shared" ca="1" si="122"/>
        <v>0</v>
      </c>
      <c r="CB75" s="79">
        <f ca="1">IFERROR(__xludf.DUMMYFUNCTION("IMPORTRANGE(""https://docs.google.com/spreadsheets/d/1kKUcYdkIfrgTSj8iHHHB2MD2FAtwyyocFgqGQn6ADyI/edit?usp=sharing"",""กระบี่!L236"")"),0)</f>
        <v>0</v>
      </c>
      <c r="CC75" s="79">
        <f ca="1">IFERROR(__xludf.DUMMYFUNCTION("IMPORTRANGE(""https://docs.google.com/spreadsheets/d/1kKUcYdkIfrgTSj8iHHHB2MD2FAtwyyocFgqGQn6ADyI/edit?usp=sharing"",""กระบี่!N236"")"),0)</f>
        <v>0</v>
      </c>
      <c r="CD75" s="83">
        <f t="shared" ca="1" si="124"/>
        <v>0</v>
      </c>
      <c r="CE75" s="79">
        <f ca="1">IFERROR(__xludf.DUMMYFUNCTION("IMPORTRANGE(""https://docs.google.com/spreadsheets/d/1kKUcYdkIfrgTSj8iHHHB2MD2FAtwyyocFgqGQn6ADyI/edit?usp=sharing"",""กระบี่!I238"")"),0)</f>
        <v>0</v>
      </c>
      <c r="CF75" s="79">
        <f ca="1">IFERROR(__xludf.DUMMYFUNCTION("IMPORTRANGE(""https://docs.google.com/spreadsheets/d/1kKUcYdkIfrgTSj8iHHHB2MD2FAtwyyocFgqGQn6ADyI/edit?usp=sharing"",""กระบี่!J238"")"),0)</f>
        <v>0</v>
      </c>
      <c r="CG75" s="83">
        <f t="shared" ca="1" si="126"/>
        <v>0</v>
      </c>
      <c r="CH75" s="79">
        <f ca="1">IFERROR(__xludf.DUMMYFUNCTION("IMPORTRANGE(""https://docs.google.com/spreadsheets/d/1kKUcYdkIfrgTSj8iHHHB2MD2FAtwyyocFgqGQn6ADyI/edit?usp=sharing"",""กระบี่!J240"")"),0)</f>
        <v>0</v>
      </c>
      <c r="CI75" s="79">
        <f ca="1">IFERROR(__xludf.DUMMYFUNCTION("IMPORTRANGE(""https://docs.google.com/spreadsheets/d/1kKUcYdkIfrgTSj8iHHHB2MD2FAtwyyocFgqGQn6ADyI/edit?usp=sharing"",""กระบี่!J241"")"),0)</f>
        <v>0</v>
      </c>
    </row>
    <row r="76" spans="1:87" ht="21" customHeight="1" x14ac:dyDescent="0.3">
      <c r="A76" s="84">
        <v>2</v>
      </c>
      <c r="B76" s="85" t="s">
        <v>98</v>
      </c>
      <c r="C76" s="174">
        <f t="shared" ca="1" si="77"/>
        <v>55500</v>
      </c>
      <c r="D76" s="175">
        <f t="shared" ca="1" si="200"/>
        <v>55500</v>
      </c>
      <c r="E76" s="176">
        <f ca="1">IFERROR(__xludf.DUMMYFUNCTION("IMPORTRANGE(""https://docs.google.com/spreadsheets/d/1-uDff_7J0KD5mKrp0Vvzr7lt3OU09vwQwhkpOPPYv2Y/edit?usp=sharing"",""งบพรบ!CV76"")"),0)</f>
        <v>0</v>
      </c>
      <c r="F76" s="176">
        <f ca="1">IFERROR(__xludf.DUMMYFUNCTION("IMPORTRANGE(""https://docs.google.com/spreadsheets/d/1-uDff_7J0KD5mKrp0Vvzr7lt3OU09vwQwhkpOPPYv2Y/edit?usp=sharing"",""งบพรบ!CW76"")"),55500)</f>
        <v>55500</v>
      </c>
      <c r="G76" s="176">
        <f ca="1">IFERROR(__xludf.DUMMYFUNCTION("IMPORTRANGE(""https://docs.google.com/spreadsheets/d/1-uDff_7J0KD5mKrp0Vvzr7lt3OU09vwQwhkpOPPYv2Y/edit?usp=sharing"",""งบพรบ!CX76"")"),0)</f>
        <v>0</v>
      </c>
      <c r="H76" s="176">
        <f ca="1">IFERROR(__xludf.DUMMYFUNCTION("IMPORTRANGE(""https://docs.google.com/spreadsheets/d/1-uDff_7J0KD5mKrp0Vvzr7lt3OU09vwQwhkpOPPYv2Y/edit?usp=sharing"",""งบพรบ!CZ76"")"),31500)</f>
        <v>31500</v>
      </c>
      <c r="I76" s="176">
        <f ca="1">IFERROR(__xludf.DUMMYFUNCTION("IMPORTRANGE(""https://docs.google.com/spreadsheets/d/1-uDff_7J0KD5mKrp0Vvzr7lt3OU09vwQwhkpOPPYv2Y/edit?usp=sharing"",""งบพรบ!DA76"")"),0)</f>
        <v>0</v>
      </c>
      <c r="J76" s="176">
        <f t="shared" ca="1" si="79"/>
        <v>0</v>
      </c>
      <c r="K76" s="181">
        <f t="shared" ca="1" si="80"/>
        <v>0</v>
      </c>
      <c r="L76" s="176">
        <f ca="1">IFERROR(__xludf.DUMMYFUNCTION("IMPORTRANGE(""https://docs.google.com/spreadsheets/d/1-uDff_7J0KD5mKrp0Vvzr7lt3OU09vwQwhkpOPPYv2Y/edit?usp=sharing"",""งบพรบ!DB76"")"),0)</f>
        <v>0</v>
      </c>
      <c r="M76" s="179">
        <f t="shared" ca="1" si="81"/>
        <v>0</v>
      </c>
      <c r="N76" s="179">
        <f t="shared" ca="1" si="82"/>
        <v>0</v>
      </c>
      <c r="O76" s="180">
        <f ca="1">IFERROR(__xludf.DUMMYFUNCTION("IMPORTRANGE(""https://docs.google.com/spreadsheets/d/1-uDff_7J0KD5mKrp0Vvzr7lt3OU09vwQwhkpOPPYv2Y/edit?usp=sharing"",""งบพรบ!DC76"")"),0)</f>
        <v>0</v>
      </c>
      <c r="P76" s="180">
        <f t="shared" ca="1" si="83"/>
        <v>0</v>
      </c>
      <c r="Q76" s="179">
        <f t="shared" ca="1" si="84"/>
        <v>0</v>
      </c>
      <c r="R76" s="92">
        <f ca="1">IFERROR(__xludf.DUMMYFUNCTION("IMPORTRANGE(""https://docs.google.com/spreadsheets/d/1GwtLaSlNZkLk7iDqcyZz22giiy40b_usZZBXYciEN1U/edit?usp=sharing"",""ชุมพร!L196"")"),6000)</f>
        <v>6000</v>
      </c>
      <c r="S76" s="92">
        <f ca="1">IFERROR(__xludf.DUMMYFUNCTION("IMPORTRANGE(""https://docs.google.com/spreadsheets/d/1GwtLaSlNZkLk7iDqcyZz22giiy40b_usZZBXYciEN1U/edit?usp=sharing"",""ชุมพร!N196"")"),0)</f>
        <v>0</v>
      </c>
      <c r="T76" s="93">
        <f t="shared" ca="1" si="86"/>
        <v>0</v>
      </c>
      <c r="U76" s="92">
        <f ca="1">IFERROR(__xludf.DUMMYFUNCTION("IMPORTRANGE(""https://docs.google.com/spreadsheets/d/1GwtLaSlNZkLk7iDqcyZz22giiy40b_usZZBXYciEN1U/edit?usp=sharing"",""ชุมพร!I198"")"),4)</f>
        <v>4</v>
      </c>
      <c r="V76" s="92">
        <f ca="1">IFERROR(__xludf.DUMMYFUNCTION("IMPORTRANGE(""https://docs.google.com/spreadsheets/d/1GwtLaSlNZkLk7iDqcyZz22giiy40b_usZZBXYciEN1U/edit?usp=sharing"",""ชุมพร!J198"")"),0)</f>
        <v>0</v>
      </c>
      <c r="W76" s="93">
        <f t="shared" ca="1" si="88"/>
        <v>0</v>
      </c>
      <c r="X76" s="92">
        <f ca="1">IFERROR(__xludf.DUMMYFUNCTION("IMPORTRANGE(""https://docs.google.com/spreadsheets/d/1GwtLaSlNZkLk7iDqcyZz22giiy40b_usZZBXYciEN1U/edit?usp=sharing"",""ชุมพร!J199"")"),0)</f>
        <v>0</v>
      </c>
      <c r="Y76" s="92">
        <f ca="1">IFERROR(__xludf.DUMMYFUNCTION("IMPORTRANGE(""https://docs.google.com/spreadsheets/d/1GwtLaSlNZkLk7iDqcyZz22giiy40b_usZZBXYciEN1U/edit?usp=sharing"",""ชุมพร!J200"")"),0)</f>
        <v>0</v>
      </c>
      <c r="Z76" s="92">
        <f ca="1">IFERROR(__xludf.DUMMYFUNCTION("IMPORTRANGE(""https://docs.google.com/spreadsheets/d/1GwtLaSlNZkLk7iDqcyZz22giiy40b_usZZBXYciEN1U/edit?usp=sharing"",""ชุมพร!J201"")"),0)</f>
        <v>0</v>
      </c>
      <c r="AA76" s="92">
        <f ca="1">IFERROR(__xludf.DUMMYFUNCTION("IMPORTRANGE(""https://docs.google.com/spreadsheets/d/1GwtLaSlNZkLk7iDqcyZz22giiy40b_usZZBXYciEN1U/edit?usp=sharing"",""ชุมพร!L204"")"),2000)</f>
        <v>2000</v>
      </c>
      <c r="AB76" s="92">
        <f ca="1">IFERROR(__xludf.DUMMYFUNCTION("IMPORTRANGE(""https://docs.google.com/spreadsheets/d/1GwtLaSlNZkLk7iDqcyZz22giiy40b_usZZBXYciEN1U/edit?usp=sharing"",""ชุมพร!N204"")"),0)</f>
        <v>0</v>
      </c>
      <c r="AC76" s="93">
        <f t="shared" ca="1" si="90"/>
        <v>0</v>
      </c>
      <c r="AD76" s="92">
        <f ca="1">IFERROR(__xludf.DUMMYFUNCTION("IMPORTRANGE(""https://docs.google.com/spreadsheets/d/1GwtLaSlNZkLk7iDqcyZz22giiy40b_usZZBXYciEN1U/edit?usp=sharing"",""ชุมพร!L206"")"),16000)</f>
        <v>16000</v>
      </c>
      <c r="AE76" s="92">
        <f ca="1">IFERROR(__xludf.DUMMYFUNCTION("IMPORTRANGE(""https://docs.google.com/spreadsheets/d/1GwtLaSlNZkLk7iDqcyZz22giiy40b_usZZBXYciEN1U/edit?usp=sharing"",""ชุมพร!N206"")"),0)</f>
        <v>0</v>
      </c>
      <c r="AF76" s="93">
        <f t="shared" ca="1" si="92"/>
        <v>0</v>
      </c>
      <c r="AG76" s="92">
        <f ca="1">IFERROR(__xludf.DUMMYFUNCTION("IMPORTRANGE(""https://docs.google.com/spreadsheets/d/1GwtLaSlNZkLk7iDqcyZz22giiy40b_usZZBXYciEN1U/edit?usp=sharing"",""ชุมพร!L207"")"),13000)</f>
        <v>13000</v>
      </c>
      <c r="AH76" s="92">
        <f ca="1">IFERROR(__xludf.DUMMYFUNCTION("IMPORTRANGE(""https://docs.google.com/spreadsheets/d/1GwtLaSlNZkLk7iDqcyZz22giiy40b_usZZBXYciEN1U/edit?usp=sharing"",""ชุมพร!N207"")"),0)</f>
        <v>0</v>
      </c>
      <c r="AI76" s="93">
        <f t="shared" ca="1" si="94"/>
        <v>0</v>
      </c>
      <c r="AJ76" s="92">
        <f ca="1">IFERROR(__xludf.DUMMYFUNCTION("IMPORTRANGE(""https://docs.google.com/spreadsheets/d/1GwtLaSlNZkLk7iDqcyZz22giiy40b_usZZBXYciEN1U/edit?usp=sharing"",""ชุมพร!I209"")"),2)</f>
        <v>2</v>
      </c>
      <c r="AK76" s="92">
        <f ca="1">IFERROR(__xludf.DUMMYFUNCTION("IMPORTRANGE(""https://docs.google.com/spreadsheets/d/1GwtLaSlNZkLk7iDqcyZz22giiy40b_usZZBXYciEN1U/edit?usp=sharing"",""ชุมพร!J209"")"),0)</f>
        <v>0</v>
      </c>
      <c r="AL76" s="93">
        <f t="shared" ca="1" si="96"/>
        <v>0</v>
      </c>
      <c r="AM76" s="92">
        <f ca="1">IFERROR(__xludf.DUMMYFUNCTION("IMPORTRANGE(""https://docs.google.com/spreadsheets/d/1GwtLaSlNZkLk7iDqcyZz22giiy40b_usZZBXYciEN1U/edit?usp=sharing"",""ชุมพร!J211"")"),0)</f>
        <v>0</v>
      </c>
      <c r="AN76" s="92">
        <f ca="1">IFERROR(__xludf.DUMMYFUNCTION("IMPORTRANGE(""https://docs.google.com/spreadsheets/d/1GwtLaSlNZkLk7iDqcyZz22giiy40b_usZZBXYciEN1U/edit?usp=sharing"",""ชุมพร!J212"")"),0)</f>
        <v>0</v>
      </c>
      <c r="AO76" s="92">
        <f ca="1">IFERROR(__xludf.DUMMYFUNCTION("IMPORTRANGE(""https://docs.google.com/spreadsheets/d/1GwtLaSlNZkLk7iDqcyZz22giiy40b_usZZBXYciEN1U/edit?usp=sharing"",""ชุมพร!L215"")"),1000)</f>
        <v>1000</v>
      </c>
      <c r="AP76" s="92">
        <f ca="1">IFERROR(__xludf.DUMMYFUNCTION("IMPORTRANGE(""https://docs.google.com/spreadsheets/d/1GwtLaSlNZkLk7iDqcyZz22giiy40b_usZZBXYciEN1U/edit?usp=sharing"",""ชุมพร!N215"")"),0)</f>
        <v>0</v>
      </c>
      <c r="AQ76" s="93">
        <f t="shared" ca="1" si="98"/>
        <v>0</v>
      </c>
      <c r="AR76" s="92">
        <f ca="1">IFERROR(__xludf.DUMMYFUNCTION("IMPORTRANGE(""https://docs.google.com/spreadsheets/d/1GwtLaSlNZkLk7iDqcyZz22giiy40b_usZZBXYciEN1U/edit?usp=sharing"",""ชุมพร!L216"")"),5000)</f>
        <v>5000</v>
      </c>
      <c r="AS76" s="92">
        <f ca="1">IFERROR(__xludf.DUMMYFUNCTION("IMPORTRANGE(""https://docs.google.com/spreadsheets/d/1GwtLaSlNZkLk7iDqcyZz22giiy40b_usZZBXYciEN1U/edit?usp=sharing"",""ชุมพร!N216"")"),0)</f>
        <v>0</v>
      </c>
      <c r="AT76" s="93">
        <f t="shared" ca="1" si="100"/>
        <v>0</v>
      </c>
      <c r="AU76" s="92">
        <f ca="1">IFERROR(__xludf.DUMMYFUNCTION("IMPORTRANGE(""https://docs.google.com/spreadsheets/d/1GwtLaSlNZkLk7iDqcyZz22giiy40b_usZZBXYciEN1U/edit?usp=sharing"",""ชุมพร!L217"")"),8000)</f>
        <v>8000</v>
      </c>
      <c r="AV76" s="92">
        <f ca="1">IFERROR(__xludf.DUMMYFUNCTION("IMPORTRANGE(""https://docs.google.com/spreadsheets/d/1GwtLaSlNZkLk7iDqcyZz22giiy40b_usZZBXYciEN1U/edit?usp=sharing"",""ชุมพร!N217"")"),0)</f>
        <v>0</v>
      </c>
      <c r="AW76" s="93">
        <f t="shared" ca="1" si="102"/>
        <v>0</v>
      </c>
      <c r="AX76" s="92">
        <f ca="1">IFERROR(__xludf.DUMMYFUNCTION("IMPORTRANGE(""https://docs.google.com/spreadsheets/d/1GwtLaSlNZkLk7iDqcyZz22giiy40b_usZZBXYciEN1U/edit?usp=sharing"",""ชุมพร!I219"")"),1)</f>
        <v>1</v>
      </c>
      <c r="AY76" s="92">
        <f ca="1">IFERROR(__xludf.DUMMYFUNCTION("IMPORTRANGE(""https://docs.google.com/spreadsheets/d/1GwtLaSlNZkLk7iDqcyZz22giiy40b_usZZBXYciEN1U/edit?usp=sharing"",""ชุมพร!J219"")"),0)</f>
        <v>0</v>
      </c>
      <c r="AZ76" s="93">
        <f t="shared" ca="1" si="104"/>
        <v>0</v>
      </c>
      <c r="BA76" s="92">
        <f ca="1">IFERROR(__xludf.DUMMYFUNCTION("IMPORTRANGE(""https://docs.google.com/spreadsheets/d/1GwtLaSlNZkLk7iDqcyZz22giiy40b_usZZBXYciEN1U/edit?usp=sharing"",""ชุมพร!I220"")"),1)</f>
        <v>1</v>
      </c>
      <c r="BB76" s="92">
        <f ca="1">IFERROR(__xludf.DUMMYFUNCTION("IMPORTRANGE(""https://docs.google.com/spreadsheets/d/1GwtLaSlNZkLk7iDqcyZz22giiy40b_usZZBXYciEN1U/edit?usp=sharing"",""ชุมพร!J220"")"),0)</f>
        <v>0</v>
      </c>
      <c r="BC76" s="93">
        <f t="shared" ca="1" si="106"/>
        <v>0</v>
      </c>
      <c r="BD76" s="92">
        <f ca="1">IFERROR(__xludf.DUMMYFUNCTION("IMPORTRANGE(""https://docs.google.com/spreadsheets/d/1GwtLaSlNZkLk7iDqcyZz22giiy40b_usZZBXYciEN1U/edit?usp=sharing"",""ชุมพร!L223"")"),3000)</f>
        <v>3000</v>
      </c>
      <c r="BE76" s="92">
        <f ca="1">IFERROR(__xludf.DUMMYFUNCTION("IMPORTRANGE(""https://docs.google.com/spreadsheets/d/1GwtLaSlNZkLk7iDqcyZz22giiy40b_usZZBXYciEN1U/edit?usp=sharing"",""ชุมพร!N223"")"),0)</f>
        <v>0</v>
      </c>
      <c r="BF76" s="93">
        <f t="shared" ca="1" si="108"/>
        <v>0</v>
      </c>
      <c r="BG76" s="92">
        <f ca="1">IFERROR(__xludf.DUMMYFUNCTION("IMPORTRANGE(""https://docs.google.com/spreadsheets/d/1GwtLaSlNZkLk7iDqcyZz22giiy40b_usZZBXYciEN1U/edit?usp=sharing"",""ชุมพร!L224"")"),1500)</f>
        <v>1500</v>
      </c>
      <c r="BH76" s="92">
        <f ca="1">IFERROR(__xludf.DUMMYFUNCTION("IMPORTRANGE(""https://docs.google.com/spreadsheets/d/1GwtLaSlNZkLk7iDqcyZz22giiy40b_usZZBXYciEN1U/edit?usp=sharing"",""ชุมพร!N224"")"),0)</f>
        <v>0</v>
      </c>
      <c r="BI76" s="93">
        <f t="shared" ca="1" si="110"/>
        <v>0</v>
      </c>
      <c r="BJ76" s="92">
        <f ca="1">IFERROR(__xludf.DUMMYFUNCTION("IMPORTRANGE(""https://docs.google.com/spreadsheets/d/1GwtLaSlNZkLk7iDqcyZz22giiy40b_usZZBXYciEN1U/edit?usp=sharing"",""ชุมพร!I228"")"),20000)</f>
        <v>20000</v>
      </c>
      <c r="BK76" s="92">
        <f ca="1">IFERROR(__xludf.DUMMYFUNCTION("IMPORTRANGE(""https://docs.google.com/spreadsheets/d/1GwtLaSlNZkLk7iDqcyZz22giiy40b_usZZBXYciEN1U/edit?usp=sharing"",""ชุมพร!J228"")"),0)</f>
        <v>0</v>
      </c>
      <c r="BL76" s="93">
        <f t="shared" ca="1" si="112"/>
        <v>0</v>
      </c>
      <c r="BM76" s="92">
        <f ca="1">IFERROR(__xludf.DUMMYFUNCTION("IMPORTRANGE(""https://docs.google.com/spreadsheets/d/1GwtLaSlNZkLk7iDqcyZz22giiy40b_usZZBXYciEN1U/edit?usp=sharing"",""ชุมพร!I229"")"),20000)</f>
        <v>20000</v>
      </c>
      <c r="BN76" s="92">
        <f ca="1">IFERROR(__xludf.DUMMYFUNCTION("IMPORTRANGE(""https://docs.google.com/spreadsheets/d/1GwtLaSlNZkLk7iDqcyZz22giiy40b_usZZBXYciEN1U/edit?usp=sharing"",""ชุมพร!J229"")"),0)</f>
        <v>0</v>
      </c>
      <c r="BO76" s="93">
        <f t="shared" ca="1" si="114"/>
        <v>0</v>
      </c>
      <c r="BP76" s="92">
        <f ca="1">IFERROR(__xludf.DUMMYFUNCTION("IMPORTRANGE(""https://docs.google.com/spreadsheets/d/1GwtLaSlNZkLk7iDqcyZz22giiy40b_usZZBXYciEN1U/edit?usp=sharing"",""ชุมพร!I230"")"),0)</f>
        <v>0</v>
      </c>
      <c r="BQ76" s="92">
        <f ca="1">IFERROR(__xludf.DUMMYFUNCTION("IMPORTRANGE(""https://docs.google.com/spreadsheets/d/1GwtLaSlNZkLk7iDqcyZz22giiy40b_usZZBXYciEN1U/edit?usp=sharing"",""ชุมพร!J230"")"),0)</f>
        <v>0</v>
      </c>
      <c r="BR76" s="93">
        <f t="shared" ca="1" si="116"/>
        <v>0</v>
      </c>
      <c r="BS76" s="92">
        <f ca="1">IFERROR(__xludf.DUMMYFUNCTION("IMPORTRANGE(""https://docs.google.com/spreadsheets/d/1GwtLaSlNZkLk7iDqcyZz22giiy40b_usZZBXYciEN1U/edit?usp=sharing"",""ชุมพร!L233"")"),0)</f>
        <v>0</v>
      </c>
      <c r="BT76" s="92">
        <f ca="1">IFERROR(__xludf.DUMMYFUNCTION("IMPORTRANGE(""https://docs.google.com/spreadsheets/d/1GwtLaSlNZkLk7iDqcyZz22giiy40b_usZZBXYciEN1U/edit?usp=sharing"",""ชุมพร!N233"")"),0)</f>
        <v>0</v>
      </c>
      <c r="BU76" s="93">
        <f t="shared" ca="1" si="118"/>
        <v>0</v>
      </c>
      <c r="BV76" s="92">
        <f ca="1">IFERROR(__xludf.DUMMYFUNCTION("IMPORTRANGE(""https://docs.google.com/spreadsheets/d/1GwtLaSlNZkLk7iDqcyZz22giiy40b_usZZBXYciEN1U/edit?usp=sharing"",""ชุมพร!L234"")"),0)</f>
        <v>0</v>
      </c>
      <c r="BW76" s="92">
        <f ca="1">IFERROR(__xludf.DUMMYFUNCTION("IMPORTRANGE(""https://docs.google.com/spreadsheets/d/1GwtLaSlNZkLk7iDqcyZz22giiy40b_usZZBXYciEN1U/edit?usp=sharing"",""ชุมพร!N234"")"),0)</f>
        <v>0</v>
      </c>
      <c r="BX76" s="93">
        <f t="shared" ca="1" si="120"/>
        <v>0</v>
      </c>
      <c r="BY76" s="92">
        <f ca="1">IFERROR(__xludf.DUMMYFUNCTION("IMPORTRANGE(""https://docs.google.com/spreadsheets/d/1GwtLaSlNZkLk7iDqcyZz22giiy40b_usZZBXYciEN1U/edit?usp=sharing"",""ชุมพร!L235"")"),0)</f>
        <v>0</v>
      </c>
      <c r="BZ76" s="92">
        <f ca="1">IFERROR(__xludf.DUMMYFUNCTION("IMPORTRANGE(""https://docs.google.com/spreadsheets/d/1GwtLaSlNZkLk7iDqcyZz22giiy40b_usZZBXYciEN1U/edit?usp=sharing"",""ชุมพร!N235"")"),0)</f>
        <v>0</v>
      </c>
      <c r="CA76" s="93">
        <f t="shared" ca="1" si="122"/>
        <v>0</v>
      </c>
      <c r="CB76" s="92">
        <f ca="1">IFERROR(__xludf.DUMMYFUNCTION("IMPORTRANGE(""https://docs.google.com/spreadsheets/d/1GwtLaSlNZkLk7iDqcyZz22giiy40b_usZZBXYciEN1U/edit?usp=sharing"",""ชุมพร!L236"")"),0)</f>
        <v>0</v>
      </c>
      <c r="CC76" s="92">
        <f ca="1">IFERROR(__xludf.DUMMYFUNCTION("IMPORTRANGE(""https://docs.google.com/spreadsheets/d/1GwtLaSlNZkLk7iDqcyZz22giiy40b_usZZBXYciEN1U/edit?usp=sharing"",""ชุมพร!N236"")"),0)</f>
        <v>0</v>
      </c>
      <c r="CD76" s="93">
        <f t="shared" ca="1" si="124"/>
        <v>0</v>
      </c>
      <c r="CE76" s="92">
        <f ca="1">IFERROR(__xludf.DUMMYFUNCTION("IMPORTRANGE(""https://docs.google.com/spreadsheets/d/1GwtLaSlNZkLk7iDqcyZz22giiy40b_usZZBXYciEN1U/edit?usp=sharing"",""ชุมพร!I238"")"),0)</f>
        <v>0</v>
      </c>
      <c r="CF76" s="92">
        <f ca="1">IFERROR(__xludf.DUMMYFUNCTION("IMPORTRANGE(""https://docs.google.com/spreadsheets/d/1GwtLaSlNZkLk7iDqcyZz22giiy40b_usZZBXYciEN1U/edit?usp=sharing"",""ชุมพร!J238"")"),0)</f>
        <v>0</v>
      </c>
      <c r="CG76" s="93">
        <f t="shared" ca="1" si="126"/>
        <v>0</v>
      </c>
      <c r="CH76" s="92">
        <f ca="1">IFERROR(__xludf.DUMMYFUNCTION("IMPORTRANGE(""https://docs.google.com/spreadsheets/d/1GwtLaSlNZkLk7iDqcyZz22giiy40b_usZZBXYciEN1U/edit?usp=sharing"",""ชุมพร!J240"")"),0)</f>
        <v>0</v>
      </c>
      <c r="CI76" s="92">
        <f ca="1">IFERROR(__xludf.DUMMYFUNCTION("IMPORTRANGE(""https://docs.google.com/spreadsheets/d/1GwtLaSlNZkLk7iDqcyZz22giiy40b_usZZBXYciEN1U/edit?usp=sharing"",""ชุมพร!J241"")"),0)</f>
        <v>0</v>
      </c>
    </row>
    <row r="77" spans="1:87" ht="21" customHeight="1" x14ac:dyDescent="0.3">
      <c r="A77" s="84">
        <v>3</v>
      </c>
      <c r="B77" s="85" t="s">
        <v>99</v>
      </c>
      <c r="C77" s="174">
        <f t="shared" ca="1" si="77"/>
        <v>23500</v>
      </c>
      <c r="D77" s="175">
        <f t="shared" ca="1" si="200"/>
        <v>23500</v>
      </c>
      <c r="E77" s="176">
        <f ca="1">IFERROR(__xludf.DUMMYFUNCTION("IMPORTRANGE(""https://docs.google.com/spreadsheets/d/1-uDff_7J0KD5mKrp0Vvzr7lt3OU09vwQwhkpOPPYv2Y/edit?usp=sharing"",""งบพรบ!CV77"")"),0)</f>
        <v>0</v>
      </c>
      <c r="F77" s="176">
        <f ca="1">IFERROR(__xludf.DUMMYFUNCTION("IMPORTRANGE(""https://docs.google.com/spreadsheets/d/1-uDff_7J0KD5mKrp0Vvzr7lt3OU09vwQwhkpOPPYv2Y/edit?usp=sharing"",""งบพรบ!CW77"")"),23500)</f>
        <v>23500</v>
      </c>
      <c r="G77" s="176">
        <f ca="1">IFERROR(__xludf.DUMMYFUNCTION("IMPORTRANGE(""https://docs.google.com/spreadsheets/d/1-uDff_7J0KD5mKrp0Vvzr7lt3OU09vwQwhkpOPPYv2Y/edit?usp=sharing"",""งบพรบ!CX77"")"),0)</f>
        <v>0</v>
      </c>
      <c r="H77" s="176">
        <f ca="1">IFERROR(__xludf.DUMMYFUNCTION("IMPORTRANGE(""https://docs.google.com/spreadsheets/d/1-uDff_7J0KD5mKrp0Vvzr7lt3OU09vwQwhkpOPPYv2Y/edit?usp=sharing"",""งบพรบ!CZ77"")"),13500)</f>
        <v>13500</v>
      </c>
      <c r="I77" s="176">
        <f ca="1">IFERROR(__xludf.DUMMYFUNCTION("IMPORTRANGE(""https://docs.google.com/spreadsheets/d/1-uDff_7J0KD5mKrp0Vvzr7lt3OU09vwQwhkpOPPYv2Y/edit?usp=sharing"",""งบพรบ!DA77"")"),0)</f>
        <v>0</v>
      </c>
      <c r="J77" s="176">
        <f t="shared" ca="1" si="79"/>
        <v>0</v>
      </c>
      <c r="K77" s="181">
        <f t="shared" ca="1" si="80"/>
        <v>0</v>
      </c>
      <c r="L77" s="176">
        <f ca="1">IFERROR(__xludf.DUMMYFUNCTION("IMPORTRANGE(""https://docs.google.com/spreadsheets/d/1-uDff_7J0KD5mKrp0Vvzr7lt3OU09vwQwhkpOPPYv2Y/edit?usp=sharing"",""งบพรบ!DB77"")"),0)</f>
        <v>0</v>
      </c>
      <c r="M77" s="179">
        <f t="shared" ca="1" si="81"/>
        <v>0</v>
      </c>
      <c r="N77" s="179">
        <f t="shared" ca="1" si="82"/>
        <v>0</v>
      </c>
      <c r="O77" s="180">
        <f ca="1">IFERROR(__xludf.DUMMYFUNCTION("IMPORTRANGE(""https://docs.google.com/spreadsheets/d/1-uDff_7J0KD5mKrp0Vvzr7lt3OU09vwQwhkpOPPYv2Y/edit?usp=sharing"",""งบพรบ!DC77"")"),0)</f>
        <v>0</v>
      </c>
      <c r="P77" s="180">
        <f t="shared" ca="1" si="83"/>
        <v>0</v>
      </c>
      <c r="Q77" s="179">
        <f t="shared" ca="1" si="84"/>
        <v>0</v>
      </c>
      <c r="R77" s="92">
        <f ca="1">IFERROR(__xludf.DUMMYFUNCTION("IMPORTRANGE(""https://docs.google.com/spreadsheets/d/16pAz3pOhQEZBhvFNMa5KGgZS6iKWpsKX0pg6tQmwFpo/edit?usp=sharing"",""ตรัง!L196"")"),6000)</f>
        <v>6000</v>
      </c>
      <c r="S77" s="92">
        <f ca="1">IFERROR(__xludf.DUMMYFUNCTION("IMPORTRANGE(""https://docs.google.com/spreadsheets/d/16pAz3pOhQEZBhvFNMa5KGgZS6iKWpsKX0pg6tQmwFpo/edit?usp=sharing"",""ตรัง!N196"")"),0)</f>
        <v>0</v>
      </c>
      <c r="T77" s="93">
        <f t="shared" ca="1" si="86"/>
        <v>0</v>
      </c>
      <c r="U77" s="92">
        <f ca="1">IFERROR(__xludf.DUMMYFUNCTION("IMPORTRANGE(""https://docs.google.com/spreadsheets/d/16pAz3pOhQEZBhvFNMa5KGgZS6iKWpsKX0pg6tQmwFpo/edit?usp=sharing"",""ตรัง!I198"")"),4)</f>
        <v>4</v>
      </c>
      <c r="V77" s="92">
        <f ca="1">IFERROR(__xludf.DUMMYFUNCTION("IMPORTRANGE(""https://docs.google.com/spreadsheets/d/16pAz3pOhQEZBhvFNMa5KGgZS6iKWpsKX0pg6tQmwFpo/edit?usp=sharing"",""ตรัง!J198"")"),1)</f>
        <v>1</v>
      </c>
      <c r="W77" s="93">
        <f t="shared" ca="1" si="88"/>
        <v>25</v>
      </c>
      <c r="X77" s="92">
        <f ca="1">IFERROR(__xludf.DUMMYFUNCTION("IMPORTRANGE(""https://docs.google.com/spreadsheets/d/16pAz3pOhQEZBhvFNMa5KGgZS6iKWpsKX0pg6tQmwFpo/edit?usp=sharing"",""ตรัง!J199"")"),4)</f>
        <v>4</v>
      </c>
      <c r="Y77" s="92">
        <f ca="1">IFERROR(__xludf.DUMMYFUNCTION("IMPORTRANGE(""https://docs.google.com/spreadsheets/d/16pAz3pOhQEZBhvFNMa5KGgZS6iKWpsKX0pg6tQmwFpo/edit?usp=sharing"",""ตรัง!J200"")"),4)</f>
        <v>4</v>
      </c>
      <c r="Z77" s="92">
        <f ca="1">IFERROR(__xludf.DUMMYFUNCTION("IMPORTRANGE(""https://docs.google.com/spreadsheets/d/16pAz3pOhQEZBhvFNMa5KGgZS6iKWpsKX0pg6tQmwFpo/edit?usp=sharing"",""ตรัง!J201"")"),0)</f>
        <v>0</v>
      </c>
      <c r="AA77" s="92">
        <f ca="1">IFERROR(__xludf.DUMMYFUNCTION("IMPORTRANGE(""https://docs.google.com/spreadsheets/d/16pAz3pOhQEZBhvFNMa5KGgZS6iKWpsKX0pg6tQmwFpo/edit?usp=sharing"",""ตรัง!L204"")"),1000)</f>
        <v>1000</v>
      </c>
      <c r="AB77" s="92">
        <f ca="1">IFERROR(__xludf.DUMMYFUNCTION("IMPORTRANGE(""https://docs.google.com/spreadsheets/d/16pAz3pOhQEZBhvFNMa5KGgZS6iKWpsKX0pg6tQmwFpo/edit?usp=sharing"",""ตรัง!N204"")"),0)</f>
        <v>0</v>
      </c>
      <c r="AC77" s="93">
        <f t="shared" ca="1" si="90"/>
        <v>0</v>
      </c>
      <c r="AD77" s="92">
        <f ca="1">IFERROR(__xludf.DUMMYFUNCTION("IMPORTRANGE(""https://docs.google.com/spreadsheets/d/16pAz3pOhQEZBhvFNMa5KGgZS6iKWpsKX0pg6tQmwFpo/edit?usp=sharing"",""ตรัง!L206"")"),8000)</f>
        <v>8000</v>
      </c>
      <c r="AE77" s="92">
        <f ca="1">IFERROR(__xludf.DUMMYFUNCTION("IMPORTRANGE(""https://docs.google.com/spreadsheets/d/16pAz3pOhQEZBhvFNMa5KGgZS6iKWpsKX0pg6tQmwFpo/edit?usp=sharing"",""ตรัง!N206"")"),0)</f>
        <v>0</v>
      </c>
      <c r="AF77" s="93">
        <f t="shared" ca="1" si="92"/>
        <v>0</v>
      </c>
      <c r="AG77" s="92">
        <f ca="1">IFERROR(__xludf.DUMMYFUNCTION("IMPORTRANGE(""https://docs.google.com/spreadsheets/d/16pAz3pOhQEZBhvFNMa5KGgZS6iKWpsKX0pg6tQmwFpo/edit?usp=sharing"",""ตรัง!L207"")"),4000)</f>
        <v>4000</v>
      </c>
      <c r="AH77" s="92">
        <f ca="1">IFERROR(__xludf.DUMMYFUNCTION("IMPORTRANGE(""https://docs.google.com/spreadsheets/d/16pAz3pOhQEZBhvFNMa5KGgZS6iKWpsKX0pg6tQmwFpo/edit?usp=sharing"",""ตรัง!N207"")"),0)</f>
        <v>0</v>
      </c>
      <c r="AI77" s="93">
        <f t="shared" ca="1" si="94"/>
        <v>0</v>
      </c>
      <c r="AJ77" s="92">
        <f ca="1">IFERROR(__xludf.DUMMYFUNCTION("IMPORTRANGE(""https://docs.google.com/spreadsheets/d/16pAz3pOhQEZBhvFNMa5KGgZS6iKWpsKX0pg6tQmwFpo/edit?usp=sharing"",""ตรัง!I209"")"),1)</f>
        <v>1</v>
      </c>
      <c r="AK77" s="92">
        <f ca="1">IFERROR(__xludf.DUMMYFUNCTION("IMPORTRANGE(""https://docs.google.com/spreadsheets/d/16pAz3pOhQEZBhvFNMa5KGgZS6iKWpsKX0pg6tQmwFpo/edit?usp=sharing"",""ตรัง!J209"")"),0)</f>
        <v>0</v>
      </c>
      <c r="AL77" s="93">
        <f t="shared" ca="1" si="96"/>
        <v>0</v>
      </c>
      <c r="AM77" s="92">
        <f ca="1">IFERROR(__xludf.DUMMYFUNCTION("IMPORTRANGE(""https://docs.google.com/spreadsheets/d/16pAz3pOhQEZBhvFNMa5KGgZS6iKWpsKX0pg6tQmwFpo/edit?usp=sharing"",""ตรัง!J211"")"),0)</f>
        <v>0</v>
      </c>
      <c r="AN77" s="92">
        <f ca="1">IFERROR(__xludf.DUMMYFUNCTION("IMPORTRANGE(""https://docs.google.com/spreadsheets/d/16pAz3pOhQEZBhvFNMa5KGgZS6iKWpsKX0pg6tQmwFpo/edit?usp=sharing"",""ตรัง!J212"")"),0)</f>
        <v>0</v>
      </c>
      <c r="AO77" s="92">
        <f ca="1">IFERROR(__xludf.DUMMYFUNCTION("IMPORTRANGE(""https://docs.google.com/spreadsheets/d/16pAz3pOhQEZBhvFNMa5KGgZS6iKWpsKX0pg6tQmwFpo/edit?usp=sharing"",""ตรัง!L215"")"),0)</f>
        <v>0</v>
      </c>
      <c r="AP77" s="92">
        <f ca="1">IFERROR(__xludf.DUMMYFUNCTION("IMPORTRANGE(""https://docs.google.com/spreadsheets/d/16pAz3pOhQEZBhvFNMa5KGgZS6iKWpsKX0pg6tQmwFpo/edit?usp=sharing"",""ตรัง!N215"")"),0)</f>
        <v>0</v>
      </c>
      <c r="AQ77" s="93">
        <f t="shared" ca="1" si="98"/>
        <v>0</v>
      </c>
      <c r="AR77" s="92">
        <f ca="1">IFERROR(__xludf.DUMMYFUNCTION("IMPORTRANGE(""https://docs.google.com/spreadsheets/d/16pAz3pOhQEZBhvFNMa5KGgZS6iKWpsKX0pg6tQmwFpo/edit?usp=sharing"",""ตรัง!L216"")"),0)</f>
        <v>0</v>
      </c>
      <c r="AS77" s="92">
        <f ca="1">IFERROR(__xludf.DUMMYFUNCTION("IMPORTRANGE(""https://docs.google.com/spreadsheets/d/16pAz3pOhQEZBhvFNMa5KGgZS6iKWpsKX0pg6tQmwFpo/edit?usp=sharing"",""ตรัง!N216"")"),0)</f>
        <v>0</v>
      </c>
      <c r="AT77" s="93">
        <f t="shared" ca="1" si="100"/>
        <v>0</v>
      </c>
      <c r="AU77" s="92">
        <f ca="1">IFERROR(__xludf.DUMMYFUNCTION("IMPORTRANGE(""https://docs.google.com/spreadsheets/d/16pAz3pOhQEZBhvFNMa5KGgZS6iKWpsKX0pg6tQmwFpo/edit?usp=sharing"",""ตรัง!L217"")"),0)</f>
        <v>0</v>
      </c>
      <c r="AV77" s="92">
        <f ca="1">IFERROR(__xludf.DUMMYFUNCTION("IMPORTRANGE(""https://docs.google.com/spreadsheets/d/16pAz3pOhQEZBhvFNMa5KGgZS6iKWpsKX0pg6tQmwFpo/edit?usp=sharing"",""ตรัง!N217"")"),0)</f>
        <v>0</v>
      </c>
      <c r="AW77" s="93">
        <f t="shared" ca="1" si="102"/>
        <v>0</v>
      </c>
      <c r="AX77" s="92">
        <f ca="1">IFERROR(__xludf.DUMMYFUNCTION("IMPORTRANGE(""https://docs.google.com/spreadsheets/d/16pAz3pOhQEZBhvFNMa5KGgZS6iKWpsKX0pg6tQmwFpo/edit?usp=sharing"",""ตรัง!I219"")"),0)</f>
        <v>0</v>
      </c>
      <c r="AY77" s="92">
        <f ca="1">IFERROR(__xludf.DUMMYFUNCTION("IMPORTRANGE(""https://docs.google.com/spreadsheets/d/16pAz3pOhQEZBhvFNMa5KGgZS6iKWpsKX0pg6tQmwFpo/edit?usp=sharing"",""ตรัง!J219"")"),0)</f>
        <v>0</v>
      </c>
      <c r="AZ77" s="93">
        <f t="shared" ca="1" si="104"/>
        <v>0</v>
      </c>
      <c r="BA77" s="92">
        <f ca="1">IFERROR(__xludf.DUMMYFUNCTION("IMPORTRANGE(""https://docs.google.com/spreadsheets/d/16pAz3pOhQEZBhvFNMa5KGgZS6iKWpsKX0pg6tQmwFpo/edit?usp=sharing"",""ตรัง!I220"")"),0)</f>
        <v>0</v>
      </c>
      <c r="BB77" s="92">
        <f ca="1">IFERROR(__xludf.DUMMYFUNCTION("IMPORTRANGE(""https://docs.google.com/spreadsheets/d/16pAz3pOhQEZBhvFNMa5KGgZS6iKWpsKX0pg6tQmwFpo/edit?usp=sharing"",""ตรัง!J220"")"),0)</f>
        <v>0</v>
      </c>
      <c r="BC77" s="93">
        <f t="shared" ca="1" si="106"/>
        <v>0</v>
      </c>
      <c r="BD77" s="92">
        <f ca="1">IFERROR(__xludf.DUMMYFUNCTION("IMPORTRANGE(""https://docs.google.com/spreadsheets/d/16pAz3pOhQEZBhvFNMa5KGgZS6iKWpsKX0pg6tQmwFpo/edit?usp=sharing"",""ตรัง!L223"")"),3000)</f>
        <v>3000</v>
      </c>
      <c r="BE77" s="92">
        <f ca="1">IFERROR(__xludf.DUMMYFUNCTION("IMPORTRANGE(""https://docs.google.com/spreadsheets/d/16pAz3pOhQEZBhvFNMa5KGgZS6iKWpsKX0pg6tQmwFpo/edit?usp=sharing"",""ตรัง!N223"")"),0)</f>
        <v>0</v>
      </c>
      <c r="BF77" s="93">
        <f t="shared" ca="1" si="108"/>
        <v>0</v>
      </c>
      <c r="BG77" s="92">
        <f ca="1">IFERROR(__xludf.DUMMYFUNCTION("IMPORTRANGE(""https://docs.google.com/spreadsheets/d/16pAz3pOhQEZBhvFNMa5KGgZS6iKWpsKX0pg6tQmwFpo/edit?usp=sharing"",""ตรัง!L224"")"),1500)</f>
        <v>1500</v>
      </c>
      <c r="BH77" s="92">
        <f ca="1">IFERROR(__xludf.DUMMYFUNCTION("IMPORTRANGE(""https://docs.google.com/spreadsheets/d/16pAz3pOhQEZBhvFNMa5KGgZS6iKWpsKX0pg6tQmwFpo/edit?usp=sharing"",""ตรัง!N224"")"),0)</f>
        <v>0</v>
      </c>
      <c r="BI77" s="93">
        <f t="shared" ca="1" si="110"/>
        <v>0</v>
      </c>
      <c r="BJ77" s="92">
        <f ca="1">IFERROR(__xludf.DUMMYFUNCTION("IMPORTRANGE(""https://docs.google.com/spreadsheets/d/16pAz3pOhQEZBhvFNMa5KGgZS6iKWpsKX0pg6tQmwFpo/edit?usp=sharing"",""ตรัง!I228"")"),10000)</f>
        <v>10000</v>
      </c>
      <c r="BK77" s="92">
        <f ca="1">IFERROR(__xludf.DUMMYFUNCTION("IMPORTRANGE(""https://docs.google.com/spreadsheets/d/16pAz3pOhQEZBhvFNMa5KGgZS6iKWpsKX0pg6tQmwFpo/edit?usp=sharing"",""ตรัง!J228"")"),0)</f>
        <v>0</v>
      </c>
      <c r="BL77" s="93">
        <f t="shared" ca="1" si="112"/>
        <v>0</v>
      </c>
      <c r="BM77" s="92">
        <f ca="1">IFERROR(__xludf.DUMMYFUNCTION("IMPORTRANGE(""https://docs.google.com/spreadsheets/d/16pAz3pOhQEZBhvFNMa5KGgZS6iKWpsKX0pg6tQmwFpo/edit?usp=sharing"",""ตรัง!I229"")"),10000)</f>
        <v>10000</v>
      </c>
      <c r="BN77" s="92">
        <f ca="1">IFERROR(__xludf.DUMMYFUNCTION("IMPORTRANGE(""https://docs.google.com/spreadsheets/d/16pAz3pOhQEZBhvFNMa5KGgZS6iKWpsKX0pg6tQmwFpo/edit?usp=sharing"",""ตรัง!J229"")"),0)</f>
        <v>0</v>
      </c>
      <c r="BO77" s="93">
        <f t="shared" ca="1" si="114"/>
        <v>0</v>
      </c>
      <c r="BP77" s="92">
        <f ca="1">IFERROR(__xludf.DUMMYFUNCTION("IMPORTRANGE(""https://docs.google.com/spreadsheets/d/16pAz3pOhQEZBhvFNMa5KGgZS6iKWpsKX0pg6tQmwFpo/edit?usp=sharing"",""ตรัง!I230"")"),0)</f>
        <v>0</v>
      </c>
      <c r="BQ77" s="92">
        <f ca="1">IFERROR(__xludf.DUMMYFUNCTION("IMPORTRANGE(""https://docs.google.com/spreadsheets/d/16pAz3pOhQEZBhvFNMa5KGgZS6iKWpsKX0pg6tQmwFpo/edit?usp=sharing"",""ตรัง!J230"")"),0)</f>
        <v>0</v>
      </c>
      <c r="BR77" s="93">
        <f t="shared" ca="1" si="116"/>
        <v>0</v>
      </c>
      <c r="BS77" s="92">
        <f ca="1">IFERROR(__xludf.DUMMYFUNCTION("IMPORTRANGE(""https://docs.google.com/spreadsheets/d/16pAz3pOhQEZBhvFNMa5KGgZS6iKWpsKX0pg6tQmwFpo/edit?usp=sharing"",""ตรัง!L233"")"),0)</f>
        <v>0</v>
      </c>
      <c r="BT77" s="92">
        <f ca="1">IFERROR(__xludf.DUMMYFUNCTION("IMPORTRANGE(""https://docs.google.com/spreadsheets/d/16pAz3pOhQEZBhvFNMa5KGgZS6iKWpsKX0pg6tQmwFpo/edit?usp=sharing"",""ตรัง!N233"")"),0)</f>
        <v>0</v>
      </c>
      <c r="BU77" s="93">
        <f t="shared" ca="1" si="118"/>
        <v>0</v>
      </c>
      <c r="BV77" s="92">
        <f ca="1">IFERROR(__xludf.DUMMYFUNCTION("IMPORTRANGE(""https://docs.google.com/spreadsheets/d/16pAz3pOhQEZBhvFNMa5KGgZS6iKWpsKX0pg6tQmwFpo/edit?usp=sharing"",""ตรัง!L234"")"),0)</f>
        <v>0</v>
      </c>
      <c r="BW77" s="92">
        <f ca="1">IFERROR(__xludf.DUMMYFUNCTION("IMPORTRANGE(""https://docs.google.com/spreadsheets/d/16pAz3pOhQEZBhvFNMa5KGgZS6iKWpsKX0pg6tQmwFpo/edit?usp=sharing"",""ตรัง!N234"")"),0)</f>
        <v>0</v>
      </c>
      <c r="BX77" s="93">
        <f t="shared" ca="1" si="120"/>
        <v>0</v>
      </c>
      <c r="BY77" s="92">
        <f ca="1">IFERROR(__xludf.DUMMYFUNCTION("IMPORTRANGE(""https://docs.google.com/spreadsheets/d/16pAz3pOhQEZBhvFNMa5KGgZS6iKWpsKX0pg6tQmwFpo/edit?usp=sharing"",""ตรัง!L235"")"),0)</f>
        <v>0</v>
      </c>
      <c r="BZ77" s="92">
        <f ca="1">IFERROR(__xludf.DUMMYFUNCTION("IMPORTRANGE(""https://docs.google.com/spreadsheets/d/16pAz3pOhQEZBhvFNMa5KGgZS6iKWpsKX0pg6tQmwFpo/edit?usp=sharing"",""ตรัง!N235"")"),0)</f>
        <v>0</v>
      </c>
      <c r="CA77" s="93">
        <f t="shared" ca="1" si="122"/>
        <v>0</v>
      </c>
      <c r="CB77" s="92">
        <f ca="1">IFERROR(__xludf.DUMMYFUNCTION("IMPORTRANGE(""https://docs.google.com/spreadsheets/d/16pAz3pOhQEZBhvFNMa5KGgZS6iKWpsKX0pg6tQmwFpo/edit?usp=sharing"",""ตรัง!L236"")"),0)</f>
        <v>0</v>
      </c>
      <c r="CC77" s="92">
        <f ca="1">IFERROR(__xludf.DUMMYFUNCTION("IMPORTRANGE(""https://docs.google.com/spreadsheets/d/16pAz3pOhQEZBhvFNMa5KGgZS6iKWpsKX0pg6tQmwFpo/edit?usp=sharing"",""ตรัง!N236"")"),0)</f>
        <v>0</v>
      </c>
      <c r="CD77" s="93">
        <f t="shared" ca="1" si="124"/>
        <v>0</v>
      </c>
      <c r="CE77" s="92">
        <f ca="1">IFERROR(__xludf.DUMMYFUNCTION("IMPORTRANGE(""https://docs.google.com/spreadsheets/d/16pAz3pOhQEZBhvFNMa5KGgZS6iKWpsKX0pg6tQmwFpo/edit?usp=sharing"",""ตรัง!I238"")"),0)</f>
        <v>0</v>
      </c>
      <c r="CF77" s="92">
        <f ca="1">IFERROR(__xludf.DUMMYFUNCTION("IMPORTRANGE(""https://docs.google.com/spreadsheets/d/16pAz3pOhQEZBhvFNMa5KGgZS6iKWpsKX0pg6tQmwFpo/edit?usp=sharing"",""ตรัง!J238"")"),0)</f>
        <v>0</v>
      </c>
      <c r="CG77" s="93">
        <f t="shared" ca="1" si="126"/>
        <v>0</v>
      </c>
      <c r="CH77" s="92">
        <f ca="1">IFERROR(__xludf.DUMMYFUNCTION("IMPORTRANGE(""https://docs.google.com/spreadsheets/d/16pAz3pOhQEZBhvFNMa5KGgZS6iKWpsKX0pg6tQmwFpo/edit?usp=sharing"",""ตรัง!J240"")"),0)</f>
        <v>0</v>
      </c>
      <c r="CI77" s="92">
        <f ca="1">IFERROR(__xludf.DUMMYFUNCTION("IMPORTRANGE(""https://docs.google.com/spreadsheets/d/16pAz3pOhQEZBhvFNMa5KGgZS6iKWpsKX0pg6tQmwFpo/edit?usp=sharing"",""ตรัง!J241"")"),0)</f>
        <v>0</v>
      </c>
    </row>
    <row r="78" spans="1:87" ht="21" customHeight="1" x14ac:dyDescent="0.3">
      <c r="A78" s="84">
        <v>4</v>
      </c>
      <c r="B78" s="85" t="s">
        <v>100</v>
      </c>
      <c r="C78" s="174">
        <f t="shared" ca="1" si="77"/>
        <v>283100</v>
      </c>
      <c r="D78" s="175">
        <f t="shared" ca="1" si="200"/>
        <v>283100</v>
      </c>
      <c r="E78" s="176">
        <f ca="1">IFERROR(__xludf.DUMMYFUNCTION("IMPORTRANGE(""https://docs.google.com/spreadsheets/d/1-uDff_7J0KD5mKrp0Vvzr7lt3OU09vwQwhkpOPPYv2Y/edit?usp=sharing"",""งบพรบ!CV78"")"),0)</f>
        <v>0</v>
      </c>
      <c r="F78" s="176">
        <f ca="1">IFERROR(__xludf.DUMMYFUNCTION("IMPORTRANGE(""https://docs.google.com/spreadsheets/d/1-uDff_7J0KD5mKrp0Vvzr7lt3OU09vwQwhkpOPPYv2Y/edit?usp=sharing"",""งบพรบ!CW78"")"),283100)</f>
        <v>283100</v>
      </c>
      <c r="G78" s="176">
        <f ca="1">IFERROR(__xludf.DUMMYFUNCTION("IMPORTRANGE(""https://docs.google.com/spreadsheets/d/1-uDff_7J0KD5mKrp0Vvzr7lt3OU09vwQwhkpOPPYv2Y/edit?usp=sharing"",""งบพรบ!CX78"")"),0)</f>
        <v>0</v>
      </c>
      <c r="H78" s="176">
        <f ca="1">IFERROR(__xludf.DUMMYFUNCTION("IMPORTRANGE(""https://docs.google.com/spreadsheets/d/1-uDff_7J0KD5mKrp0Vvzr7lt3OU09vwQwhkpOPPYv2Y/edit?usp=sharing"",""งบพรบ!CZ78"")"),224100)</f>
        <v>224100</v>
      </c>
      <c r="I78" s="176">
        <f ca="1">IFERROR(__xludf.DUMMYFUNCTION("IMPORTRANGE(""https://docs.google.com/spreadsheets/d/1-uDff_7J0KD5mKrp0Vvzr7lt3OU09vwQwhkpOPPYv2Y/edit?usp=sharing"",""งบพรบ!DA78"")"),0)</f>
        <v>0</v>
      </c>
      <c r="J78" s="176">
        <f t="shared" ca="1" si="79"/>
        <v>15920</v>
      </c>
      <c r="K78" s="181">
        <f t="shared" ca="1" si="80"/>
        <v>5.6234546096785589</v>
      </c>
      <c r="L78" s="176">
        <f ca="1">IFERROR(__xludf.DUMMYFUNCTION("IMPORTRANGE(""https://docs.google.com/spreadsheets/d/1-uDff_7J0KD5mKrp0Vvzr7lt3OU09vwQwhkpOPPYv2Y/edit?usp=sharing"",""งบพรบ!DB78"")"),15920)</f>
        <v>15920</v>
      </c>
      <c r="M78" s="179">
        <f t="shared" ca="1" si="81"/>
        <v>5.6234546096785589</v>
      </c>
      <c r="N78" s="179">
        <f t="shared" ca="1" si="82"/>
        <v>7.103971441320839</v>
      </c>
      <c r="O78" s="180">
        <f ca="1">IFERROR(__xludf.DUMMYFUNCTION("IMPORTRANGE(""https://docs.google.com/spreadsheets/d/1-uDff_7J0KD5mKrp0Vvzr7lt3OU09vwQwhkpOPPYv2Y/edit?usp=sharing"",""งบพรบ!DC78"")"),0)</f>
        <v>0</v>
      </c>
      <c r="P78" s="180">
        <f t="shared" ca="1" si="83"/>
        <v>0</v>
      </c>
      <c r="Q78" s="179">
        <f t="shared" ca="1" si="84"/>
        <v>0</v>
      </c>
      <c r="R78" s="92">
        <f ca="1">IFERROR(__xludf.DUMMYFUNCTION("IMPORTRANGE(""https://docs.google.com/spreadsheets/d/1Dj4jcHCTV9JXKCaMoheSXS52JE63kDKyG7bPXnFogHk/edit?usp=sharing"",""นครศรีธรรมราช!L196"")"),6000)</f>
        <v>6000</v>
      </c>
      <c r="S78" s="92">
        <f ca="1">IFERROR(__xludf.DUMMYFUNCTION("IMPORTRANGE(""https://docs.google.com/spreadsheets/d/1Dj4jcHCTV9JXKCaMoheSXS52JE63kDKyG7bPXnFogHk/edit?usp=sharing"",""นครศรีธรรมราช!N196"")"),0)</f>
        <v>0</v>
      </c>
      <c r="T78" s="93">
        <f t="shared" ca="1" si="86"/>
        <v>0</v>
      </c>
      <c r="U78" s="92">
        <f ca="1">IFERROR(__xludf.DUMMYFUNCTION("IMPORTRANGE(""https://docs.google.com/spreadsheets/d/1Dj4jcHCTV9JXKCaMoheSXS52JE63kDKyG7bPXnFogHk/edit?usp=sharing"",""นครศรีธรรมราช!I198"")"),4)</f>
        <v>4</v>
      </c>
      <c r="V78" s="92">
        <f ca="1">IFERROR(__xludf.DUMMYFUNCTION("IMPORTRANGE(""https://docs.google.com/spreadsheets/d/1Dj4jcHCTV9JXKCaMoheSXS52JE63kDKyG7bPXnFogHk/edit?usp=sharing"",""นครศรีธรรมราช!J198"")"),0)</f>
        <v>0</v>
      </c>
      <c r="W78" s="93">
        <f t="shared" ca="1" si="88"/>
        <v>0</v>
      </c>
      <c r="X78" s="92">
        <f ca="1">IFERROR(__xludf.DUMMYFUNCTION("IMPORTRANGE(""https://docs.google.com/spreadsheets/d/1Dj4jcHCTV9JXKCaMoheSXS52JE63kDKyG7bPXnFogHk/edit?usp=sharing"",""นครศรีธรรมราช!J199"")"),0)</f>
        <v>0</v>
      </c>
      <c r="Y78" s="92">
        <f ca="1">IFERROR(__xludf.DUMMYFUNCTION("IMPORTRANGE(""https://docs.google.com/spreadsheets/d/1Dj4jcHCTV9JXKCaMoheSXS52JE63kDKyG7bPXnFogHk/edit?usp=sharing"",""นครศรีธรรมราช!J200"")"),0)</f>
        <v>0</v>
      </c>
      <c r="Z78" s="92">
        <f ca="1">IFERROR(__xludf.DUMMYFUNCTION("IMPORTRANGE(""https://docs.google.com/spreadsheets/d/1Dj4jcHCTV9JXKCaMoheSXS52JE63kDKyG7bPXnFogHk/edit?usp=sharing"",""นครศรีธรรมราช!J201"")"),0)</f>
        <v>0</v>
      </c>
      <c r="AA78" s="92">
        <f ca="1">IFERROR(__xludf.DUMMYFUNCTION("IMPORTRANGE(""https://docs.google.com/spreadsheets/d/1Dj4jcHCTV9JXKCaMoheSXS52JE63kDKyG7bPXnFogHk/edit?usp=sharing"",""นครศรีธรรมราช!L204"")"),2000)</f>
        <v>2000</v>
      </c>
      <c r="AB78" s="92">
        <f ca="1">IFERROR(__xludf.DUMMYFUNCTION("IMPORTRANGE(""https://docs.google.com/spreadsheets/d/1Dj4jcHCTV9JXKCaMoheSXS52JE63kDKyG7bPXnFogHk/edit?usp=sharing"",""นครศรีธรรมราช!N204"")"),0)</f>
        <v>0</v>
      </c>
      <c r="AC78" s="93">
        <f t="shared" ca="1" si="90"/>
        <v>0</v>
      </c>
      <c r="AD78" s="92">
        <f ca="1">IFERROR(__xludf.DUMMYFUNCTION("IMPORTRANGE(""https://docs.google.com/spreadsheets/d/1Dj4jcHCTV9JXKCaMoheSXS52JE63kDKyG7bPXnFogHk/edit?usp=sharing"",""นครศรีธรรมราช!L206"")"),16000)</f>
        <v>16000</v>
      </c>
      <c r="AE78" s="92">
        <f ca="1">IFERROR(__xludf.DUMMYFUNCTION("IMPORTRANGE(""https://docs.google.com/spreadsheets/d/1Dj4jcHCTV9JXKCaMoheSXS52JE63kDKyG7bPXnFogHk/edit?usp=sharing"",""นครศรีธรรมราช!N206"")"),0)</f>
        <v>0</v>
      </c>
      <c r="AF78" s="93">
        <f t="shared" ca="1" si="92"/>
        <v>0</v>
      </c>
      <c r="AG78" s="92">
        <f ca="1">IFERROR(__xludf.DUMMYFUNCTION("IMPORTRANGE(""https://docs.google.com/spreadsheets/d/1Dj4jcHCTV9JXKCaMoheSXS52JE63kDKyG7bPXnFogHk/edit?usp=sharing"",""นครศรีธรรมราช!L207"")"),13000)</f>
        <v>13000</v>
      </c>
      <c r="AH78" s="92">
        <f ca="1">IFERROR(__xludf.DUMMYFUNCTION("IMPORTRANGE(""https://docs.google.com/spreadsheets/d/1Dj4jcHCTV9JXKCaMoheSXS52JE63kDKyG7bPXnFogHk/edit?usp=sharing"",""นครศรีธรรมราช!N207"")"),0)</f>
        <v>0</v>
      </c>
      <c r="AI78" s="93">
        <f t="shared" ca="1" si="94"/>
        <v>0</v>
      </c>
      <c r="AJ78" s="92">
        <f ca="1">IFERROR(__xludf.DUMMYFUNCTION("IMPORTRANGE(""https://docs.google.com/spreadsheets/d/1Dj4jcHCTV9JXKCaMoheSXS52JE63kDKyG7bPXnFogHk/edit?usp=sharing"",""นครศรีธรรมราช!I209"")"),2)</f>
        <v>2</v>
      </c>
      <c r="AK78" s="92">
        <f ca="1">IFERROR(__xludf.DUMMYFUNCTION("IMPORTRANGE(""https://docs.google.com/spreadsheets/d/1Dj4jcHCTV9JXKCaMoheSXS52JE63kDKyG7bPXnFogHk/edit?usp=sharing"",""นครศรีธรรมราช!J209"")"),0)</f>
        <v>0</v>
      </c>
      <c r="AL78" s="93">
        <f t="shared" ca="1" si="96"/>
        <v>0</v>
      </c>
      <c r="AM78" s="92">
        <f ca="1">IFERROR(__xludf.DUMMYFUNCTION("IMPORTRANGE(""https://docs.google.com/spreadsheets/d/1Dj4jcHCTV9JXKCaMoheSXS52JE63kDKyG7bPXnFogHk/edit?usp=sharing"",""นครศรีธรรมราช!J211"")"),0)</f>
        <v>0</v>
      </c>
      <c r="AN78" s="92">
        <f ca="1">IFERROR(__xludf.DUMMYFUNCTION("IMPORTRANGE(""https://docs.google.com/spreadsheets/d/1Dj4jcHCTV9JXKCaMoheSXS52JE63kDKyG7bPXnFogHk/edit?usp=sharing"",""นครศรีธรรมราช!J212"")"),0)</f>
        <v>0</v>
      </c>
      <c r="AO78" s="92">
        <f ca="1">IFERROR(__xludf.DUMMYFUNCTION("IMPORTRANGE(""https://docs.google.com/spreadsheets/d/1Dj4jcHCTV9JXKCaMoheSXS52JE63kDKyG7bPXnFogHk/edit?usp=sharing"",""นครศรีธรรมราช!L215"")"),2000)</f>
        <v>2000</v>
      </c>
      <c r="AP78" s="92">
        <f ca="1">IFERROR(__xludf.DUMMYFUNCTION("IMPORTRANGE(""https://docs.google.com/spreadsheets/d/1Dj4jcHCTV9JXKCaMoheSXS52JE63kDKyG7bPXnFogHk/edit?usp=sharing"",""นครศรีธรรมราช!N215"")"),0)</f>
        <v>0</v>
      </c>
      <c r="AQ78" s="93">
        <f t="shared" ca="1" si="98"/>
        <v>0</v>
      </c>
      <c r="AR78" s="92">
        <f ca="1">IFERROR(__xludf.DUMMYFUNCTION("IMPORTRANGE(""https://docs.google.com/spreadsheets/d/1Dj4jcHCTV9JXKCaMoheSXS52JE63kDKyG7bPXnFogHk/edit?usp=sharing"",""นครศรีธรรมราช!L216"")"),10000)</f>
        <v>10000</v>
      </c>
      <c r="AS78" s="92">
        <f ca="1">IFERROR(__xludf.DUMMYFUNCTION("IMPORTRANGE(""https://docs.google.com/spreadsheets/d/1Dj4jcHCTV9JXKCaMoheSXS52JE63kDKyG7bPXnFogHk/edit?usp=sharing"",""นครศรีธรรมราช!N216"")"),0)</f>
        <v>0</v>
      </c>
      <c r="AT78" s="93">
        <f t="shared" ca="1" si="100"/>
        <v>0</v>
      </c>
      <c r="AU78" s="92">
        <f ca="1">IFERROR(__xludf.DUMMYFUNCTION("IMPORTRANGE(""https://docs.google.com/spreadsheets/d/1Dj4jcHCTV9JXKCaMoheSXS52JE63kDKyG7bPXnFogHk/edit?usp=sharing"",""นครศรีธรรมราช!L217"")"),16000)</f>
        <v>16000</v>
      </c>
      <c r="AV78" s="92">
        <f ca="1">IFERROR(__xludf.DUMMYFUNCTION("IMPORTRANGE(""https://docs.google.com/spreadsheets/d/1Dj4jcHCTV9JXKCaMoheSXS52JE63kDKyG7bPXnFogHk/edit?usp=sharing"",""นครศรีธรรมราช!N217"")"),0)</f>
        <v>0</v>
      </c>
      <c r="AW78" s="93">
        <f t="shared" ca="1" si="102"/>
        <v>0</v>
      </c>
      <c r="AX78" s="92">
        <f ca="1">IFERROR(__xludf.DUMMYFUNCTION("IMPORTRANGE(""https://docs.google.com/spreadsheets/d/1Dj4jcHCTV9JXKCaMoheSXS52JE63kDKyG7bPXnFogHk/edit?usp=sharing"",""นครศรีธรรมราช!I219"")"),2)</f>
        <v>2</v>
      </c>
      <c r="AY78" s="92">
        <f ca="1">IFERROR(__xludf.DUMMYFUNCTION("IMPORTRANGE(""https://docs.google.com/spreadsheets/d/1Dj4jcHCTV9JXKCaMoheSXS52JE63kDKyG7bPXnFogHk/edit?usp=sharing"",""นครศรีธรรมราช!J219"")"),0)</f>
        <v>0</v>
      </c>
      <c r="AZ78" s="93">
        <f t="shared" ca="1" si="104"/>
        <v>0</v>
      </c>
      <c r="BA78" s="92">
        <f ca="1">IFERROR(__xludf.DUMMYFUNCTION("IMPORTRANGE(""https://docs.google.com/spreadsheets/d/1Dj4jcHCTV9JXKCaMoheSXS52JE63kDKyG7bPXnFogHk/edit?usp=sharing"",""นครศรีธรรมราช!I220"")"),2)</f>
        <v>2</v>
      </c>
      <c r="BB78" s="92">
        <f ca="1">IFERROR(__xludf.DUMMYFUNCTION("IMPORTRANGE(""https://docs.google.com/spreadsheets/d/1Dj4jcHCTV9JXKCaMoheSXS52JE63kDKyG7bPXnFogHk/edit?usp=sharing"",""นครศรีธรรมราช!J220"")"),0)</f>
        <v>0</v>
      </c>
      <c r="BC78" s="93">
        <f t="shared" ca="1" si="106"/>
        <v>0</v>
      </c>
      <c r="BD78" s="92">
        <f ca="1">IFERROR(__xludf.DUMMYFUNCTION("IMPORTRANGE(""https://docs.google.com/spreadsheets/d/1Dj4jcHCTV9JXKCaMoheSXS52JE63kDKyG7bPXnFogHk/edit?usp=sharing"",""นครศรีธรรมราช!L223"")"),7000)</f>
        <v>7000</v>
      </c>
      <c r="BE78" s="92">
        <f ca="1">IFERROR(__xludf.DUMMYFUNCTION("IMPORTRANGE(""https://docs.google.com/spreadsheets/d/1Dj4jcHCTV9JXKCaMoheSXS52JE63kDKyG7bPXnFogHk/edit?usp=sharing"",""นครศรีธรรมราช!N223"")"),0)</f>
        <v>0</v>
      </c>
      <c r="BF78" s="93">
        <f t="shared" ca="1" si="108"/>
        <v>0</v>
      </c>
      <c r="BG78" s="92">
        <f ca="1">IFERROR(__xludf.DUMMYFUNCTION("IMPORTRANGE(""https://docs.google.com/spreadsheets/d/1Dj4jcHCTV9JXKCaMoheSXS52JE63kDKyG7bPXnFogHk/edit?usp=sharing"",""นครศรีธรรมราช!L224"")"),1500)</f>
        <v>1500</v>
      </c>
      <c r="BH78" s="92">
        <f ca="1">IFERROR(__xludf.DUMMYFUNCTION("IMPORTRANGE(""https://docs.google.com/spreadsheets/d/1Dj4jcHCTV9JXKCaMoheSXS52JE63kDKyG7bPXnFogHk/edit?usp=sharing"",""นครศรีธรรมราช!N224"")"),0)</f>
        <v>0</v>
      </c>
      <c r="BI78" s="93">
        <f t="shared" ca="1" si="110"/>
        <v>0</v>
      </c>
      <c r="BJ78" s="92">
        <f ca="1">IFERROR(__xludf.DUMMYFUNCTION("IMPORTRANGE(""https://docs.google.com/spreadsheets/d/1Dj4jcHCTV9JXKCaMoheSXS52JE63kDKyG7bPXnFogHk/edit?usp=sharing"",""นครศรีธรรมราช!I228"")"),50000)</f>
        <v>50000</v>
      </c>
      <c r="BK78" s="92">
        <f ca="1">IFERROR(__xludf.DUMMYFUNCTION("IMPORTRANGE(""https://docs.google.com/spreadsheets/d/1Dj4jcHCTV9JXKCaMoheSXS52JE63kDKyG7bPXnFogHk/edit?usp=sharing"",""นครศรีธรรมราช!J228"")"),0)</f>
        <v>0</v>
      </c>
      <c r="BL78" s="93">
        <f t="shared" ca="1" si="112"/>
        <v>0</v>
      </c>
      <c r="BM78" s="92">
        <f ca="1">IFERROR(__xludf.DUMMYFUNCTION("IMPORTRANGE(""https://docs.google.com/spreadsheets/d/1Dj4jcHCTV9JXKCaMoheSXS52JE63kDKyG7bPXnFogHk/edit?usp=sharing"",""นครศรีธรรมราช!I229"")"),50000)</f>
        <v>50000</v>
      </c>
      <c r="BN78" s="92">
        <f ca="1">IFERROR(__xludf.DUMMYFUNCTION("IMPORTRANGE(""https://docs.google.com/spreadsheets/d/1Dj4jcHCTV9JXKCaMoheSXS52JE63kDKyG7bPXnFogHk/edit?usp=sharing"",""นครศรีธรรมราช!J229"")"),0)</f>
        <v>0</v>
      </c>
      <c r="BO78" s="93">
        <f t="shared" ca="1" si="114"/>
        <v>0</v>
      </c>
      <c r="BP78" s="92">
        <f ca="1">IFERROR(__xludf.DUMMYFUNCTION("IMPORTRANGE(""https://docs.google.com/spreadsheets/d/1Dj4jcHCTV9JXKCaMoheSXS52JE63kDKyG7bPXnFogHk/edit?usp=sharing"",""นครศรีธรรมราช!I230"")"),0)</f>
        <v>0</v>
      </c>
      <c r="BQ78" s="92">
        <f ca="1">IFERROR(__xludf.DUMMYFUNCTION("IMPORTRANGE(""https://docs.google.com/spreadsheets/d/1Dj4jcHCTV9JXKCaMoheSXS52JE63kDKyG7bPXnFogHk/edit?usp=sharing"",""นครศรีธรรมราช!J230"")"),0)</f>
        <v>0</v>
      </c>
      <c r="BR78" s="93">
        <f t="shared" ca="1" si="116"/>
        <v>0</v>
      </c>
      <c r="BS78" s="92">
        <f ca="1">IFERROR(__xludf.DUMMYFUNCTION("IMPORTRANGE(""https://docs.google.com/spreadsheets/d/1Dj4jcHCTV9JXKCaMoheSXS52JE63kDKyG7bPXnFogHk/edit?usp=sharing"",""นครศรีธรรมราช!L233"")"),101000)</f>
        <v>101000</v>
      </c>
      <c r="BT78" s="92">
        <f ca="1">IFERROR(__xludf.DUMMYFUNCTION("IMPORTRANGE(""https://docs.google.com/spreadsheets/d/1Dj4jcHCTV9JXKCaMoheSXS52JE63kDKyG7bPXnFogHk/edit?usp=sharing"",""นครศรีธรรมราช!N233"")"),0)</f>
        <v>0</v>
      </c>
      <c r="BU78" s="93">
        <f t="shared" ca="1" si="118"/>
        <v>0</v>
      </c>
      <c r="BV78" s="92">
        <f ca="1">IFERROR(__xludf.DUMMYFUNCTION("IMPORTRANGE(""https://docs.google.com/spreadsheets/d/1Dj4jcHCTV9JXKCaMoheSXS52JE63kDKyG7bPXnFogHk/edit?usp=sharing"",""นครศรีธรรมราช!L234"")"),5000)</f>
        <v>5000</v>
      </c>
      <c r="BW78" s="92">
        <f ca="1">IFERROR(__xludf.DUMMYFUNCTION("IMPORTRANGE(""https://docs.google.com/spreadsheets/d/1Dj4jcHCTV9JXKCaMoheSXS52JE63kDKyG7bPXnFogHk/edit?usp=sharing"",""นครศรีธรรมราช!N234"")"),0)</f>
        <v>0</v>
      </c>
      <c r="BX78" s="93">
        <f t="shared" ca="1" si="120"/>
        <v>0</v>
      </c>
      <c r="BY78" s="92">
        <f ca="1">IFERROR(__xludf.DUMMYFUNCTION("IMPORTRANGE(""https://docs.google.com/spreadsheets/d/1Dj4jcHCTV9JXKCaMoheSXS52JE63kDKyG7bPXnFogHk/edit?usp=sharing"",""นครศรีธรรมราช!L235"")"),45600)</f>
        <v>45600</v>
      </c>
      <c r="BZ78" s="92">
        <f ca="1">IFERROR(__xludf.DUMMYFUNCTION("IMPORTRANGE(""https://docs.google.com/spreadsheets/d/1Dj4jcHCTV9JXKCaMoheSXS52JE63kDKyG7bPXnFogHk/edit?usp=sharing"",""นครศรีธรรมราช!N235"")"),0)</f>
        <v>0</v>
      </c>
      <c r="CA78" s="93">
        <f t="shared" ca="1" si="122"/>
        <v>0</v>
      </c>
      <c r="CB78" s="92">
        <f ca="1">IFERROR(__xludf.DUMMYFUNCTION("IMPORTRANGE(""https://docs.google.com/spreadsheets/d/1Dj4jcHCTV9JXKCaMoheSXS52JE63kDKyG7bPXnFogHk/edit?usp=sharing"",""นครศรีธรรมราช!L236"")"),58000)</f>
        <v>58000</v>
      </c>
      <c r="CC78" s="92">
        <f ca="1">IFERROR(__xludf.DUMMYFUNCTION("IMPORTRANGE(""https://docs.google.com/spreadsheets/d/1Dj4jcHCTV9JXKCaMoheSXS52JE63kDKyG7bPXnFogHk/edit?usp=sharing"",""นครศรีธรรมราช!N236"")"),0)</f>
        <v>0</v>
      </c>
      <c r="CD78" s="93">
        <f t="shared" ca="1" si="124"/>
        <v>0</v>
      </c>
      <c r="CE78" s="92">
        <f ca="1">IFERROR(__xludf.DUMMYFUNCTION("IMPORTRANGE(""https://docs.google.com/spreadsheets/d/1Dj4jcHCTV9JXKCaMoheSXS52JE63kDKyG7bPXnFogHk/edit?usp=sharing"",""นครศรีธรรมราช!I238"")"),40)</f>
        <v>40</v>
      </c>
      <c r="CF78" s="92">
        <f ca="1">IFERROR(__xludf.DUMMYFUNCTION("IMPORTRANGE(""https://docs.google.com/spreadsheets/d/1Dj4jcHCTV9JXKCaMoheSXS52JE63kDKyG7bPXnFogHk/edit?usp=sharing"",""นครศรีธรรมราช!J238"")"),0)</f>
        <v>0</v>
      </c>
      <c r="CG78" s="93">
        <f t="shared" ca="1" si="126"/>
        <v>0</v>
      </c>
      <c r="CH78" s="92">
        <f ca="1">IFERROR(__xludf.DUMMYFUNCTION("IMPORTRANGE(""https://docs.google.com/spreadsheets/d/1Dj4jcHCTV9JXKCaMoheSXS52JE63kDKyG7bPXnFogHk/edit?usp=sharing"",""นครศรีธรรมราช!J240"")"),0)</f>
        <v>0</v>
      </c>
      <c r="CI78" s="92">
        <f ca="1">IFERROR(__xludf.DUMMYFUNCTION("IMPORTRANGE(""https://docs.google.com/spreadsheets/d/1Dj4jcHCTV9JXKCaMoheSXS52JE63kDKyG7bPXnFogHk/edit?usp=sharing"",""นครศรีธรรมราช!J241"")"),0)</f>
        <v>0</v>
      </c>
    </row>
    <row r="79" spans="1:87" ht="21" customHeight="1" x14ac:dyDescent="0.3">
      <c r="A79" s="84">
        <v>5</v>
      </c>
      <c r="B79" s="85" t="s">
        <v>101</v>
      </c>
      <c r="C79" s="174">
        <f t="shared" ca="1" si="77"/>
        <v>89900</v>
      </c>
      <c r="D79" s="175">
        <f t="shared" ca="1" si="200"/>
        <v>89900</v>
      </c>
      <c r="E79" s="176">
        <f ca="1">IFERROR(__xludf.DUMMYFUNCTION("IMPORTRANGE(""https://docs.google.com/spreadsheets/d/1-uDff_7J0KD5mKrp0Vvzr7lt3OU09vwQwhkpOPPYv2Y/edit?usp=sharing"",""งบพรบ!CV79"")"),79400)</f>
        <v>79400</v>
      </c>
      <c r="F79" s="176">
        <f ca="1">IFERROR(__xludf.DUMMYFUNCTION("IMPORTRANGE(""https://docs.google.com/spreadsheets/d/1-uDff_7J0KD5mKrp0Vvzr7lt3OU09vwQwhkpOPPYv2Y/edit?usp=sharing"",""งบพรบ!CW79"")"),10500)</f>
        <v>10500</v>
      </c>
      <c r="G79" s="176">
        <f ca="1">IFERROR(__xludf.DUMMYFUNCTION("IMPORTRANGE(""https://docs.google.com/spreadsheets/d/1-uDff_7J0KD5mKrp0Vvzr7lt3OU09vwQwhkpOPPYv2Y/edit?usp=sharing"",""งบพรบ!CX79"")"),0)</f>
        <v>0</v>
      </c>
      <c r="H79" s="176">
        <f ca="1">IFERROR(__xludf.DUMMYFUNCTION("IMPORTRANGE(""https://docs.google.com/spreadsheets/d/1-uDff_7J0KD5mKrp0Vvzr7lt3OU09vwQwhkpOPPYv2Y/edit?usp=sharing"",""งบพรบ!CZ79"")"),61500)</f>
        <v>61500</v>
      </c>
      <c r="I79" s="176">
        <f ca="1">IFERROR(__xludf.DUMMYFUNCTION("IMPORTRANGE(""https://docs.google.com/spreadsheets/d/1-uDff_7J0KD5mKrp0Vvzr7lt3OU09vwQwhkpOPPYv2Y/edit?usp=sharing"",""งบพรบ!DA79"")"),0)</f>
        <v>0</v>
      </c>
      <c r="J79" s="176">
        <f t="shared" ca="1" si="79"/>
        <v>13600</v>
      </c>
      <c r="K79" s="181">
        <f t="shared" ca="1" si="80"/>
        <v>15.127919911012237</v>
      </c>
      <c r="L79" s="176">
        <f ca="1">IFERROR(__xludf.DUMMYFUNCTION("IMPORTRANGE(""https://docs.google.com/spreadsheets/d/1-uDff_7J0KD5mKrp0Vvzr7lt3OU09vwQwhkpOPPYv2Y/edit?usp=sharing"",""งบพรบ!DB79"")"),13600)</f>
        <v>13600</v>
      </c>
      <c r="M79" s="179">
        <f t="shared" ca="1" si="81"/>
        <v>15.127919911012237</v>
      </c>
      <c r="N79" s="179">
        <f t="shared" ca="1" si="82"/>
        <v>22.113821138211382</v>
      </c>
      <c r="O79" s="180">
        <f ca="1">IFERROR(__xludf.DUMMYFUNCTION("IMPORTRANGE(""https://docs.google.com/spreadsheets/d/1-uDff_7J0KD5mKrp0Vvzr7lt3OU09vwQwhkpOPPYv2Y/edit?usp=sharing"",""งบพรบ!DC79"")"),0)</f>
        <v>0</v>
      </c>
      <c r="P79" s="180">
        <f t="shared" ca="1" si="83"/>
        <v>0</v>
      </c>
      <c r="Q79" s="179">
        <f t="shared" ca="1" si="84"/>
        <v>0</v>
      </c>
      <c r="R79" s="92">
        <f ca="1">IFERROR(__xludf.DUMMYFUNCTION("IMPORTRANGE(""https://docs.google.com/spreadsheets/d/1iodCdmuK2GR3jzUwk8tpccY2JHQQA-87DLOtJP-ooyU/edit?usp=sharing"",""นราธิวาส!L196"")"),6000)</f>
        <v>6000</v>
      </c>
      <c r="S79" s="92">
        <f ca="1">IFERROR(__xludf.DUMMYFUNCTION("IMPORTRANGE(""https://docs.google.com/spreadsheets/d/1iodCdmuK2GR3jzUwk8tpccY2JHQQA-87DLOtJP-ooyU/edit?usp=sharing"",""นราธิวาส!N196"")"),1800)</f>
        <v>1800</v>
      </c>
      <c r="T79" s="93">
        <f t="shared" ca="1" si="86"/>
        <v>30</v>
      </c>
      <c r="U79" s="92">
        <f ca="1">IFERROR(__xludf.DUMMYFUNCTION("IMPORTRANGE(""https://docs.google.com/spreadsheets/d/1iodCdmuK2GR3jzUwk8tpccY2JHQQA-87DLOtJP-ooyU/edit?usp=sharing"",""นราธิวาส!I198"")"),4)</f>
        <v>4</v>
      </c>
      <c r="V79" s="92">
        <f ca="1">IFERROR(__xludf.DUMMYFUNCTION("IMPORTRANGE(""https://docs.google.com/spreadsheets/d/1iodCdmuK2GR3jzUwk8tpccY2JHQQA-87DLOtJP-ooyU/edit?usp=sharing"",""นราธิวาส!J198"")"),1)</f>
        <v>1</v>
      </c>
      <c r="W79" s="93">
        <f t="shared" ca="1" si="88"/>
        <v>25</v>
      </c>
      <c r="X79" s="92">
        <f ca="1">IFERROR(__xludf.DUMMYFUNCTION("IMPORTRANGE(""https://docs.google.com/spreadsheets/d/1iodCdmuK2GR3jzUwk8tpccY2JHQQA-87DLOtJP-ooyU/edit?usp=sharing"",""นราธิวาส!J199"")"),84)</f>
        <v>84</v>
      </c>
      <c r="Y79" s="92">
        <f ca="1">IFERROR(__xludf.DUMMYFUNCTION("IMPORTRANGE(""https://docs.google.com/spreadsheets/d/1iodCdmuK2GR3jzUwk8tpccY2JHQQA-87DLOtJP-ooyU/edit?usp=sharing"",""นราธิวาส!J200"")"),84)</f>
        <v>84</v>
      </c>
      <c r="Z79" s="92">
        <f ca="1">IFERROR(__xludf.DUMMYFUNCTION("IMPORTRANGE(""https://docs.google.com/spreadsheets/d/1iodCdmuK2GR3jzUwk8tpccY2JHQQA-87DLOtJP-ooyU/edit?usp=sharing"",""นราธิวาส!J201"")"),0)</f>
        <v>0</v>
      </c>
      <c r="AA79" s="92">
        <f ca="1">IFERROR(__xludf.DUMMYFUNCTION("IMPORTRANGE(""https://docs.google.com/spreadsheets/d/1iodCdmuK2GR3jzUwk8tpccY2JHQQA-87DLOtJP-ooyU/edit?usp=sharing"",""นราธิวาส!L204"")"),0)</f>
        <v>0</v>
      </c>
      <c r="AB79" s="92">
        <f ca="1">IFERROR(__xludf.DUMMYFUNCTION("IMPORTRANGE(""https://docs.google.com/spreadsheets/d/1iodCdmuK2GR3jzUwk8tpccY2JHQQA-87DLOtJP-ooyU/edit?usp=sharing"",""นราธิวาส!N204"")"),0)</f>
        <v>0</v>
      </c>
      <c r="AC79" s="93">
        <f t="shared" ca="1" si="90"/>
        <v>0</v>
      </c>
      <c r="AD79" s="92">
        <f ca="1">IFERROR(__xludf.DUMMYFUNCTION("IMPORTRANGE(""https://docs.google.com/spreadsheets/d/1iodCdmuK2GR3jzUwk8tpccY2JHQQA-87DLOtJP-ooyU/edit?usp=sharing"",""นราธิวาส!L206"")"),0)</f>
        <v>0</v>
      </c>
      <c r="AE79" s="92">
        <f ca="1">IFERROR(__xludf.DUMMYFUNCTION("IMPORTRANGE(""https://docs.google.com/spreadsheets/d/1iodCdmuK2GR3jzUwk8tpccY2JHQQA-87DLOtJP-ooyU/edit?usp=sharing"",""นราธิวาส!N206"")"),0)</f>
        <v>0</v>
      </c>
      <c r="AF79" s="93">
        <f t="shared" ca="1" si="92"/>
        <v>0</v>
      </c>
      <c r="AG79" s="92">
        <f ca="1">IFERROR(__xludf.DUMMYFUNCTION("IMPORTRANGE(""https://docs.google.com/spreadsheets/d/1iodCdmuK2GR3jzUwk8tpccY2JHQQA-87DLOtJP-ooyU/edit?usp=sharing"",""นราธิวาส!L207"")"),0)</f>
        <v>0</v>
      </c>
      <c r="AH79" s="92">
        <f ca="1">IFERROR(__xludf.DUMMYFUNCTION("IMPORTRANGE(""https://docs.google.com/spreadsheets/d/1iodCdmuK2GR3jzUwk8tpccY2JHQQA-87DLOtJP-ooyU/edit?usp=sharing"",""นราธิวาส!N207"")"),0)</f>
        <v>0</v>
      </c>
      <c r="AI79" s="93">
        <f t="shared" ca="1" si="94"/>
        <v>0</v>
      </c>
      <c r="AJ79" s="92">
        <f ca="1">IFERROR(__xludf.DUMMYFUNCTION("IMPORTRANGE(""https://docs.google.com/spreadsheets/d/1iodCdmuK2GR3jzUwk8tpccY2JHQQA-87DLOtJP-ooyU/edit?usp=sharing"",""นราธิวาส!I209"")"),0)</f>
        <v>0</v>
      </c>
      <c r="AK79" s="92">
        <f ca="1">IFERROR(__xludf.DUMMYFUNCTION("IMPORTRANGE(""https://docs.google.com/spreadsheets/d/1iodCdmuK2GR3jzUwk8tpccY2JHQQA-87DLOtJP-ooyU/edit?usp=sharing"",""นราธิวาส!J209"")"),0)</f>
        <v>0</v>
      </c>
      <c r="AL79" s="93">
        <f t="shared" ca="1" si="96"/>
        <v>0</v>
      </c>
      <c r="AM79" s="92">
        <f ca="1">IFERROR(__xludf.DUMMYFUNCTION("IMPORTRANGE(""https://docs.google.com/spreadsheets/d/1iodCdmuK2GR3jzUwk8tpccY2JHQQA-87DLOtJP-ooyU/edit?usp=sharing"",""นราธิวาส!J211"")"),0)</f>
        <v>0</v>
      </c>
      <c r="AN79" s="92">
        <f ca="1">IFERROR(__xludf.DUMMYFUNCTION("IMPORTRANGE(""https://docs.google.com/spreadsheets/d/1iodCdmuK2GR3jzUwk8tpccY2JHQQA-87DLOtJP-ooyU/edit?usp=sharing"",""นราธิวาส!J212"")"),0)</f>
        <v>0</v>
      </c>
      <c r="AO79" s="92">
        <f ca="1">IFERROR(__xludf.DUMMYFUNCTION("IMPORTRANGE(""https://docs.google.com/spreadsheets/d/1iodCdmuK2GR3jzUwk8tpccY2JHQQA-87DLOtJP-ooyU/edit?usp=sharing"",""นราธิวาส!L215"")"),0)</f>
        <v>0</v>
      </c>
      <c r="AP79" s="92">
        <f ca="1">IFERROR(__xludf.DUMMYFUNCTION("IMPORTRANGE(""https://docs.google.com/spreadsheets/d/1iodCdmuK2GR3jzUwk8tpccY2JHQQA-87DLOtJP-ooyU/edit?usp=sharing"",""นราธิวาส!N215"")"),0)</f>
        <v>0</v>
      </c>
      <c r="AQ79" s="93">
        <f t="shared" ca="1" si="98"/>
        <v>0</v>
      </c>
      <c r="AR79" s="92">
        <f ca="1">IFERROR(__xludf.DUMMYFUNCTION("IMPORTRANGE(""https://docs.google.com/spreadsheets/d/1iodCdmuK2GR3jzUwk8tpccY2JHQQA-87DLOtJP-ooyU/edit?usp=sharing"",""นราธิวาส!L216"")"),0)</f>
        <v>0</v>
      </c>
      <c r="AS79" s="92">
        <f ca="1">IFERROR(__xludf.DUMMYFUNCTION("IMPORTRANGE(""https://docs.google.com/spreadsheets/d/1iodCdmuK2GR3jzUwk8tpccY2JHQQA-87DLOtJP-ooyU/edit?usp=sharing"",""นราธิวาส!N216"")"),0)</f>
        <v>0</v>
      </c>
      <c r="AT79" s="93">
        <f t="shared" ca="1" si="100"/>
        <v>0</v>
      </c>
      <c r="AU79" s="92">
        <f ca="1">IFERROR(__xludf.DUMMYFUNCTION("IMPORTRANGE(""https://docs.google.com/spreadsheets/d/1iodCdmuK2GR3jzUwk8tpccY2JHQQA-87DLOtJP-ooyU/edit?usp=sharing"",""นราธิวาส!L217"")"),0)</f>
        <v>0</v>
      </c>
      <c r="AV79" s="92">
        <f ca="1">IFERROR(__xludf.DUMMYFUNCTION("IMPORTRANGE(""https://docs.google.com/spreadsheets/d/1iodCdmuK2GR3jzUwk8tpccY2JHQQA-87DLOtJP-ooyU/edit?usp=sharing"",""นราธิวาส!N217"")"),0)</f>
        <v>0</v>
      </c>
      <c r="AW79" s="93">
        <f t="shared" ca="1" si="102"/>
        <v>0</v>
      </c>
      <c r="AX79" s="92">
        <f ca="1">IFERROR(__xludf.DUMMYFUNCTION("IMPORTRANGE(""https://docs.google.com/spreadsheets/d/1iodCdmuK2GR3jzUwk8tpccY2JHQQA-87DLOtJP-ooyU/edit?usp=sharing"",""นราธิวาส!I219"")"),0)</f>
        <v>0</v>
      </c>
      <c r="AY79" s="92">
        <f ca="1">IFERROR(__xludf.DUMMYFUNCTION("IMPORTRANGE(""https://docs.google.com/spreadsheets/d/1iodCdmuK2GR3jzUwk8tpccY2JHQQA-87DLOtJP-ooyU/edit?usp=sharing"",""นราธิวาส!J219"")"),0)</f>
        <v>0</v>
      </c>
      <c r="AZ79" s="93">
        <f t="shared" ca="1" si="104"/>
        <v>0</v>
      </c>
      <c r="BA79" s="92">
        <f ca="1">IFERROR(__xludf.DUMMYFUNCTION("IMPORTRANGE(""https://docs.google.com/spreadsheets/d/1iodCdmuK2GR3jzUwk8tpccY2JHQQA-87DLOtJP-ooyU/edit?usp=sharing"",""นราธิวาส!I220"")"),0)</f>
        <v>0</v>
      </c>
      <c r="BB79" s="92">
        <f ca="1">IFERROR(__xludf.DUMMYFUNCTION("IMPORTRANGE(""https://docs.google.com/spreadsheets/d/1iodCdmuK2GR3jzUwk8tpccY2JHQQA-87DLOtJP-ooyU/edit?usp=sharing"",""นราธิวาส!J220"")"),0)</f>
        <v>0</v>
      </c>
      <c r="BC79" s="93">
        <f t="shared" ca="1" si="106"/>
        <v>0</v>
      </c>
      <c r="BD79" s="92">
        <f ca="1">IFERROR(__xludf.DUMMYFUNCTION("IMPORTRANGE(""https://docs.google.com/spreadsheets/d/1iodCdmuK2GR3jzUwk8tpccY2JHQQA-87DLOtJP-ooyU/edit?usp=sharing"",""นราธิวาส!L223"")"),3000)</f>
        <v>3000</v>
      </c>
      <c r="BE79" s="92">
        <f ca="1">IFERROR(__xludf.DUMMYFUNCTION("IMPORTRANGE(""https://docs.google.com/spreadsheets/d/1iodCdmuK2GR3jzUwk8tpccY2JHQQA-87DLOtJP-ooyU/edit?usp=sharing"",""นราธิวาส!N223"")"),0)</f>
        <v>0</v>
      </c>
      <c r="BF79" s="93">
        <f t="shared" ca="1" si="108"/>
        <v>0</v>
      </c>
      <c r="BG79" s="92">
        <f ca="1">IFERROR(__xludf.DUMMYFUNCTION("IMPORTRANGE(""https://docs.google.com/spreadsheets/d/1iodCdmuK2GR3jzUwk8tpccY2JHQQA-87DLOtJP-ooyU/edit?usp=sharing"",""นราธิวาส!L224"")"),1500)</f>
        <v>1500</v>
      </c>
      <c r="BH79" s="92">
        <f ca="1">IFERROR(__xludf.DUMMYFUNCTION("IMPORTRANGE(""https://docs.google.com/spreadsheets/d/1iodCdmuK2GR3jzUwk8tpccY2JHQQA-87DLOtJP-ooyU/edit?usp=sharing"",""นราธิวาส!N224"")"),0)</f>
        <v>0</v>
      </c>
      <c r="BI79" s="93">
        <f t="shared" ca="1" si="110"/>
        <v>0</v>
      </c>
      <c r="BJ79" s="92">
        <f ca="1">IFERROR(__xludf.DUMMYFUNCTION("IMPORTRANGE(""https://docs.google.com/spreadsheets/d/1iodCdmuK2GR3jzUwk8tpccY2JHQQA-87DLOtJP-ooyU/edit?usp=sharing"",""นราธิวาส!I228"")"),10000)</f>
        <v>10000</v>
      </c>
      <c r="BK79" s="92">
        <f ca="1">IFERROR(__xludf.DUMMYFUNCTION("IMPORTRANGE(""https://docs.google.com/spreadsheets/d/1iodCdmuK2GR3jzUwk8tpccY2JHQQA-87DLOtJP-ooyU/edit?usp=sharing"",""นราธิวาส!J228"")"),0)</f>
        <v>0</v>
      </c>
      <c r="BL79" s="93">
        <f t="shared" ca="1" si="112"/>
        <v>0</v>
      </c>
      <c r="BM79" s="92">
        <f ca="1">IFERROR(__xludf.DUMMYFUNCTION("IMPORTRANGE(""https://docs.google.com/spreadsheets/d/1iodCdmuK2GR3jzUwk8tpccY2JHQQA-87DLOtJP-ooyU/edit?usp=sharing"",""นราธิวาส!I229"")"),10000)</f>
        <v>10000</v>
      </c>
      <c r="BN79" s="92">
        <f ca="1">IFERROR(__xludf.DUMMYFUNCTION("IMPORTRANGE(""https://docs.google.com/spreadsheets/d/1iodCdmuK2GR3jzUwk8tpccY2JHQQA-87DLOtJP-ooyU/edit?usp=sharing"",""นราธิวาส!J229"")"),0)</f>
        <v>0</v>
      </c>
      <c r="BO79" s="93">
        <f t="shared" ca="1" si="114"/>
        <v>0</v>
      </c>
      <c r="BP79" s="92">
        <f ca="1">IFERROR(__xludf.DUMMYFUNCTION("IMPORTRANGE(""https://docs.google.com/spreadsheets/d/1iodCdmuK2GR3jzUwk8tpccY2JHQQA-87DLOtJP-ooyU/edit?usp=sharing"",""นราธิวาส!I230"")"),0)</f>
        <v>0</v>
      </c>
      <c r="BQ79" s="92">
        <f ca="1">IFERROR(__xludf.DUMMYFUNCTION("IMPORTRANGE(""https://docs.google.com/spreadsheets/d/1iodCdmuK2GR3jzUwk8tpccY2JHQQA-87DLOtJP-ooyU/edit?usp=sharing"",""นราธิวาส!J230"")"),0)</f>
        <v>0</v>
      </c>
      <c r="BR79" s="93">
        <f t="shared" ca="1" si="116"/>
        <v>0</v>
      </c>
      <c r="BS79" s="92">
        <f ca="1">IFERROR(__xludf.DUMMYFUNCTION("IMPORTRANGE(""https://docs.google.com/spreadsheets/d/1iodCdmuK2GR3jzUwk8tpccY2JHQQA-87DLOtJP-ooyU/edit?usp=sharing"",""นราธิวาส!L233"")"),0)</f>
        <v>0</v>
      </c>
      <c r="BT79" s="92">
        <f ca="1">IFERROR(__xludf.DUMMYFUNCTION("IMPORTRANGE(""https://docs.google.com/spreadsheets/d/1iodCdmuK2GR3jzUwk8tpccY2JHQQA-87DLOtJP-ooyU/edit?usp=sharing"",""นราธิวาส!N233"")"),0)</f>
        <v>0</v>
      </c>
      <c r="BU79" s="93">
        <f t="shared" ca="1" si="118"/>
        <v>0</v>
      </c>
      <c r="BV79" s="92">
        <f ca="1">IFERROR(__xludf.DUMMYFUNCTION("IMPORTRANGE(""https://docs.google.com/spreadsheets/d/1iodCdmuK2GR3jzUwk8tpccY2JHQQA-87DLOtJP-ooyU/edit?usp=sharing"",""นราธิวาส!L234"")"),0)</f>
        <v>0</v>
      </c>
      <c r="BW79" s="92">
        <f ca="1">IFERROR(__xludf.DUMMYFUNCTION("IMPORTRANGE(""https://docs.google.com/spreadsheets/d/1iodCdmuK2GR3jzUwk8tpccY2JHQQA-87DLOtJP-ooyU/edit?usp=sharing"",""นราธิวาส!N234"")"),0)</f>
        <v>0</v>
      </c>
      <c r="BX79" s="93">
        <f t="shared" ca="1" si="120"/>
        <v>0</v>
      </c>
      <c r="BY79" s="92">
        <f ca="1">IFERROR(__xludf.DUMMYFUNCTION("IMPORTRANGE(""https://docs.google.com/spreadsheets/d/1iodCdmuK2GR3jzUwk8tpccY2JHQQA-87DLOtJP-ooyU/edit?usp=sharing"",""นราธิวาส!L235"")"),0)</f>
        <v>0</v>
      </c>
      <c r="BZ79" s="92">
        <f ca="1">IFERROR(__xludf.DUMMYFUNCTION("IMPORTRANGE(""https://docs.google.com/spreadsheets/d/1iodCdmuK2GR3jzUwk8tpccY2JHQQA-87DLOtJP-ooyU/edit?usp=sharing"",""นราธิวาส!N235"")"),0)</f>
        <v>0</v>
      </c>
      <c r="CA79" s="93">
        <f t="shared" ca="1" si="122"/>
        <v>0</v>
      </c>
      <c r="CB79" s="92">
        <f ca="1">IFERROR(__xludf.DUMMYFUNCTION("IMPORTRANGE(""https://docs.google.com/spreadsheets/d/1iodCdmuK2GR3jzUwk8tpccY2JHQQA-87DLOtJP-ooyU/edit?usp=sharing"",""นราธิวาส!L236"")"),0)</f>
        <v>0</v>
      </c>
      <c r="CC79" s="92">
        <f ca="1">IFERROR(__xludf.DUMMYFUNCTION("IMPORTRANGE(""https://docs.google.com/spreadsheets/d/1iodCdmuK2GR3jzUwk8tpccY2JHQQA-87DLOtJP-ooyU/edit?usp=sharing"",""นราธิวาส!N236"")"),0)</f>
        <v>0</v>
      </c>
      <c r="CD79" s="93">
        <f t="shared" ca="1" si="124"/>
        <v>0</v>
      </c>
      <c r="CE79" s="92">
        <f ca="1">IFERROR(__xludf.DUMMYFUNCTION("IMPORTRANGE(""https://docs.google.com/spreadsheets/d/1iodCdmuK2GR3jzUwk8tpccY2JHQQA-87DLOtJP-ooyU/edit?usp=sharing"",""นราธิวาส!I238"")"),0)</f>
        <v>0</v>
      </c>
      <c r="CF79" s="92">
        <f ca="1">IFERROR(__xludf.DUMMYFUNCTION("IMPORTRANGE(""https://docs.google.com/spreadsheets/d/1iodCdmuK2GR3jzUwk8tpccY2JHQQA-87DLOtJP-ooyU/edit?usp=sharing"",""นราธิวาส!J238"")"),0)</f>
        <v>0</v>
      </c>
      <c r="CG79" s="93">
        <f t="shared" ca="1" si="126"/>
        <v>0</v>
      </c>
      <c r="CH79" s="92">
        <f ca="1">IFERROR(__xludf.DUMMYFUNCTION("IMPORTRANGE(""https://docs.google.com/spreadsheets/d/1iodCdmuK2GR3jzUwk8tpccY2JHQQA-87DLOtJP-ooyU/edit?usp=sharing"",""นราธิวาส!J240"")"),0)</f>
        <v>0</v>
      </c>
      <c r="CI79" s="92">
        <f ca="1">IFERROR(__xludf.DUMMYFUNCTION("IMPORTRANGE(""https://docs.google.com/spreadsheets/d/1iodCdmuK2GR3jzUwk8tpccY2JHQQA-87DLOtJP-ooyU/edit?usp=sharing"",""นราธิวาส!J241"")"),0)</f>
        <v>0</v>
      </c>
    </row>
    <row r="80" spans="1:87" ht="21" customHeight="1" x14ac:dyDescent="0.3">
      <c r="A80" s="84">
        <v>6</v>
      </c>
      <c r="B80" s="85" t="s">
        <v>102</v>
      </c>
      <c r="C80" s="174">
        <f t="shared" ca="1" si="77"/>
        <v>105500</v>
      </c>
      <c r="D80" s="175">
        <f t="shared" ca="1" si="200"/>
        <v>105500</v>
      </c>
      <c r="E80" s="176">
        <f ca="1">IFERROR(__xludf.DUMMYFUNCTION("IMPORTRANGE(""https://docs.google.com/spreadsheets/d/1-uDff_7J0KD5mKrp0Vvzr7lt3OU09vwQwhkpOPPYv2Y/edit?usp=sharing"",""งบพรบ!CV80"")"),82000)</f>
        <v>82000</v>
      </c>
      <c r="F80" s="176">
        <f ca="1">IFERROR(__xludf.DUMMYFUNCTION("IMPORTRANGE(""https://docs.google.com/spreadsheets/d/1-uDff_7J0KD5mKrp0Vvzr7lt3OU09vwQwhkpOPPYv2Y/edit?usp=sharing"",""งบพรบ!CW80"")"),23500)</f>
        <v>23500</v>
      </c>
      <c r="G80" s="176">
        <f ca="1">IFERROR(__xludf.DUMMYFUNCTION("IMPORTRANGE(""https://docs.google.com/spreadsheets/d/1-uDff_7J0KD5mKrp0Vvzr7lt3OU09vwQwhkpOPPYv2Y/edit?usp=sharing"",""งบพรบ!CX80"")"),0)</f>
        <v>0</v>
      </c>
      <c r="H80" s="176">
        <f ca="1">IFERROR(__xludf.DUMMYFUNCTION("IMPORTRANGE(""https://docs.google.com/spreadsheets/d/1-uDff_7J0KD5mKrp0Vvzr7lt3OU09vwQwhkpOPPYv2Y/edit?usp=sharing"",""งบพรบ!CZ80"")"),72500)</f>
        <v>72500</v>
      </c>
      <c r="I80" s="176">
        <f ca="1">IFERROR(__xludf.DUMMYFUNCTION("IMPORTRANGE(""https://docs.google.com/spreadsheets/d/1-uDff_7J0KD5mKrp0Vvzr7lt3OU09vwQwhkpOPPYv2Y/edit?usp=sharing"",""งบพรบ!DA80"")"),0)</f>
        <v>0</v>
      </c>
      <c r="J80" s="176">
        <f t="shared" ca="1" si="79"/>
        <v>54924</v>
      </c>
      <c r="K80" s="181">
        <f t="shared" ca="1" si="80"/>
        <v>52.060663507109005</v>
      </c>
      <c r="L80" s="176">
        <f ca="1">IFERROR(__xludf.DUMMYFUNCTION("IMPORTRANGE(""https://docs.google.com/spreadsheets/d/1-uDff_7J0KD5mKrp0Vvzr7lt3OU09vwQwhkpOPPYv2Y/edit?usp=sharing"",""งบพรบ!DB80"")"),54924)</f>
        <v>54924</v>
      </c>
      <c r="M80" s="179">
        <f t="shared" ca="1" si="81"/>
        <v>52.060663507109005</v>
      </c>
      <c r="N80" s="179">
        <f t="shared" ca="1" si="82"/>
        <v>75.757241379310344</v>
      </c>
      <c r="O80" s="180">
        <f ca="1">IFERROR(__xludf.DUMMYFUNCTION("IMPORTRANGE(""https://docs.google.com/spreadsheets/d/1-uDff_7J0KD5mKrp0Vvzr7lt3OU09vwQwhkpOPPYv2Y/edit?usp=sharing"",""งบพรบ!DC80"")"),0)</f>
        <v>0</v>
      </c>
      <c r="P80" s="180">
        <f t="shared" ca="1" si="83"/>
        <v>0</v>
      </c>
      <c r="Q80" s="179">
        <f t="shared" ca="1" si="84"/>
        <v>0</v>
      </c>
      <c r="R80" s="92">
        <f ca="1">IFERROR(__xludf.DUMMYFUNCTION("IMPORTRANGE(""https://docs.google.com/spreadsheets/d/1SDNX3JhDdYRuIOsj0Wh2M-Qa_eaXl0NbWmhAOTbfQAs/edit?usp=sharing"",""ปัตตานี!L196"")"),6000)</f>
        <v>6000</v>
      </c>
      <c r="S80" s="92">
        <f ca="1">IFERROR(__xludf.DUMMYFUNCTION("IMPORTRANGE(""https://docs.google.com/spreadsheets/d/1SDNX3JhDdYRuIOsj0Wh2M-Qa_eaXl0NbWmhAOTbfQAs/edit?usp=sharing"",""ปัตตานี!N196"")"),0)</f>
        <v>0</v>
      </c>
      <c r="T80" s="93">
        <f t="shared" ca="1" si="86"/>
        <v>0</v>
      </c>
      <c r="U80" s="92">
        <f ca="1">IFERROR(__xludf.DUMMYFUNCTION("IMPORTRANGE(""https://docs.google.com/spreadsheets/d/1SDNX3JhDdYRuIOsj0Wh2M-Qa_eaXl0NbWmhAOTbfQAs/edit?usp=sharing"",""ปัตตานี!I198"")"),4)</f>
        <v>4</v>
      </c>
      <c r="V80" s="92">
        <f ca="1">IFERROR(__xludf.DUMMYFUNCTION("IMPORTRANGE(""https://docs.google.com/spreadsheets/d/1SDNX3JhDdYRuIOsj0Wh2M-Qa_eaXl0NbWmhAOTbfQAs/edit?usp=sharing"",""ปัตตานี!J198"")"),1)</f>
        <v>1</v>
      </c>
      <c r="W80" s="93">
        <f t="shared" ca="1" si="88"/>
        <v>25</v>
      </c>
      <c r="X80" s="92">
        <f ca="1">IFERROR(__xludf.DUMMYFUNCTION("IMPORTRANGE(""https://docs.google.com/spreadsheets/d/1SDNX3JhDdYRuIOsj0Wh2M-Qa_eaXl0NbWmhAOTbfQAs/edit?usp=sharing"",""ปัตตานี!J199"")"),41)</f>
        <v>41</v>
      </c>
      <c r="Y80" s="92">
        <f ca="1">IFERROR(__xludf.DUMMYFUNCTION("IMPORTRANGE(""https://docs.google.com/spreadsheets/d/1SDNX3JhDdYRuIOsj0Wh2M-Qa_eaXl0NbWmhAOTbfQAs/edit?usp=sharing"",""ปัตตานี!J200"")"),41)</f>
        <v>41</v>
      </c>
      <c r="Z80" s="92">
        <f ca="1">IFERROR(__xludf.DUMMYFUNCTION("IMPORTRANGE(""https://docs.google.com/spreadsheets/d/1SDNX3JhDdYRuIOsj0Wh2M-Qa_eaXl0NbWmhAOTbfQAs/edit?usp=sharing"",""ปัตตานี!J201"")"),0)</f>
        <v>0</v>
      </c>
      <c r="AA80" s="92">
        <f ca="1">IFERROR(__xludf.DUMMYFUNCTION("IMPORTRANGE(""https://docs.google.com/spreadsheets/d/1SDNX3JhDdYRuIOsj0Wh2M-Qa_eaXl0NbWmhAOTbfQAs/edit?usp=sharing"",""ปัตตานี!L204"")"),1000)</f>
        <v>1000</v>
      </c>
      <c r="AB80" s="92">
        <f ca="1">IFERROR(__xludf.DUMMYFUNCTION("IMPORTRANGE(""https://docs.google.com/spreadsheets/d/1SDNX3JhDdYRuIOsj0Wh2M-Qa_eaXl0NbWmhAOTbfQAs/edit?usp=sharing"",""ปัตตานี!N204"")"),0)</f>
        <v>0</v>
      </c>
      <c r="AC80" s="93">
        <f t="shared" ca="1" si="90"/>
        <v>0</v>
      </c>
      <c r="AD80" s="92">
        <f ca="1">IFERROR(__xludf.DUMMYFUNCTION("IMPORTRANGE(""https://docs.google.com/spreadsheets/d/1SDNX3JhDdYRuIOsj0Wh2M-Qa_eaXl0NbWmhAOTbfQAs/edit?usp=sharing"",""ปัตตานี!L206"")"),8000)</f>
        <v>8000</v>
      </c>
      <c r="AE80" s="92">
        <f ca="1">IFERROR(__xludf.DUMMYFUNCTION("IMPORTRANGE(""https://docs.google.com/spreadsheets/d/1SDNX3JhDdYRuIOsj0Wh2M-Qa_eaXl0NbWmhAOTbfQAs/edit?usp=sharing"",""ปัตตานี!N206"")"),8000)</f>
        <v>8000</v>
      </c>
      <c r="AF80" s="93">
        <f t="shared" ca="1" si="92"/>
        <v>100</v>
      </c>
      <c r="AG80" s="92">
        <f ca="1">IFERROR(__xludf.DUMMYFUNCTION("IMPORTRANGE(""https://docs.google.com/spreadsheets/d/1SDNX3JhDdYRuIOsj0Wh2M-Qa_eaXl0NbWmhAOTbfQAs/edit?usp=sharing"",""ปัตตานี!L207"")"),4000)</f>
        <v>4000</v>
      </c>
      <c r="AH80" s="92">
        <f ca="1">IFERROR(__xludf.DUMMYFUNCTION("IMPORTRANGE(""https://docs.google.com/spreadsheets/d/1SDNX3JhDdYRuIOsj0Wh2M-Qa_eaXl0NbWmhAOTbfQAs/edit?usp=sharing"",""ปัตตานี!N207"")"),0)</f>
        <v>0</v>
      </c>
      <c r="AI80" s="93">
        <f t="shared" ca="1" si="94"/>
        <v>0</v>
      </c>
      <c r="AJ80" s="92">
        <f ca="1">IFERROR(__xludf.DUMMYFUNCTION("IMPORTRANGE(""https://docs.google.com/spreadsheets/d/1SDNX3JhDdYRuIOsj0Wh2M-Qa_eaXl0NbWmhAOTbfQAs/edit?usp=sharing"",""ปัตตานี!I209"")"),1)</f>
        <v>1</v>
      </c>
      <c r="AK80" s="92">
        <f ca="1">IFERROR(__xludf.DUMMYFUNCTION("IMPORTRANGE(""https://docs.google.com/spreadsheets/d/1SDNX3JhDdYRuIOsj0Wh2M-Qa_eaXl0NbWmhAOTbfQAs/edit?usp=sharing"",""ปัตตานี!J209"")"),1)</f>
        <v>1</v>
      </c>
      <c r="AL80" s="93">
        <f t="shared" ca="1" si="96"/>
        <v>100</v>
      </c>
      <c r="AM80" s="92">
        <f ca="1">IFERROR(__xludf.DUMMYFUNCTION("IMPORTRANGE(""https://docs.google.com/spreadsheets/d/1SDNX3JhDdYRuIOsj0Wh2M-Qa_eaXl0NbWmhAOTbfQAs/edit?usp=sharing"",""ปัตตานี!J211"")"),0)</f>
        <v>0</v>
      </c>
      <c r="AN80" s="92">
        <f ca="1">IFERROR(__xludf.DUMMYFUNCTION("IMPORTRANGE(""https://docs.google.com/spreadsheets/d/1SDNX3JhDdYRuIOsj0Wh2M-Qa_eaXl0NbWmhAOTbfQAs/edit?usp=sharing"",""ปัตตานี!J212"")"),0)</f>
        <v>0</v>
      </c>
      <c r="AO80" s="92">
        <f ca="1">IFERROR(__xludf.DUMMYFUNCTION("IMPORTRANGE(""https://docs.google.com/spreadsheets/d/1SDNX3JhDdYRuIOsj0Wh2M-Qa_eaXl0NbWmhAOTbfQAs/edit?usp=sharing"",""ปัตตานี!L215"")"),0)</f>
        <v>0</v>
      </c>
      <c r="AP80" s="92">
        <f ca="1">IFERROR(__xludf.DUMMYFUNCTION("IMPORTRANGE(""https://docs.google.com/spreadsheets/d/1SDNX3JhDdYRuIOsj0Wh2M-Qa_eaXl0NbWmhAOTbfQAs/edit?usp=sharing"",""ปัตตานี!N215"")"),0)</f>
        <v>0</v>
      </c>
      <c r="AQ80" s="93">
        <f t="shared" ca="1" si="98"/>
        <v>0</v>
      </c>
      <c r="AR80" s="92">
        <f ca="1">IFERROR(__xludf.DUMMYFUNCTION("IMPORTRANGE(""https://docs.google.com/spreadsheets/d/1SDNX3JhDdYRuIOsj0Wh2M-Qa_eaXl0NbWmhAOTbfQAs/edit?usp=sharing"",""ปัตตานี!L216"")"),0)</f>
        <v>0</v>
      </c>
      <c r="AS80" s="92">
        <f ca="1">IFERROR(__xludf.DUMMYFUNCTION("IMPORTRANGE(""https://docs.google.com/spreadsheets/d/1SDNX3JhDdYRuIOsj0Wh2M-Qa_eaXl0NbWmhAOTbfQAs/edit?usp=sharing"",""ปัตตานี!N216"")"),0)</f>
        <v>0</v>
      </c>
      <c r="AT80" s="93">
        <f t="shared" ca="1" si="100"/>
        <v>0</v>
      </c>
      <c r="AU80" s="92">
        <f ca="1">IFERROR(__xludf.DUMMYFUNCTION("IMPORTRANGE(""https://docs.google.com/spreadsheets/d/1SDNX3JhDdYRuIOsj0Wh2M-Qa_eaXl0NbWmhAOTbfQAs/edit?usp=sharing"",""ปัตตานี!L217"")"),0)</f>
        <v>0</v>
      </c>
      <c r="AV80" s="92">
        <f ca="1">IFERROR(__xludf.DUMMYFUNCTION("IMPORTRANGE(""https://docs.google.com/spreadsheets/d/1SDNX3JhDdYRuIOsj0Wh2M-Qa_eaXl0NbWmhAOTbfQAs/edit?usp=sharing"",""ปัตตานี!N217"")"),0)</f>
        <v>0</v>
      </c>
      <c r="AW80" s="93">
        <f t="shared" ca="1" si="102"/>
        <v>0</v>
      </c>
      <c r="AX80" s="92">
        <f ca="1">IFERROR(__xludf.DUMMYFUNCTION("IMPORTRANGE(""https://docs.google.com/spreadsheets/d/1SDNX3JhDdYRuIOsj0Wh2M-Qa_eaXl0NbWmhAOTbfQAs/edit?usp=sharing"",""ปัตตานี!I219"")"),0)</f>
        <v>0</v>
      </c>
      <c r="AY80" s="92">
        <f ca="1">IFERROR(__xludf.DUMMYFUNCTION("IMPORTRANGE(""https://docs.google.com/spreadsheets/d/1SDNX3JhDdYRuIOsj0Wh2M-Qa_eaXl0NbWmhAOTbfQAs/edit?usp=sharing"",""ปัตตานี!J219"")"),0)</f>
        <v>0</v>
      </c>
      <c r="AZ80" s="93">
        <f t="shared" ca="1" si="104"/>
        <v>0</v>
      </c>
      <c r="BA80" s="92">
        <f ca="1">IFERROR(__xludf.DUMMYFUNCTION("IMPORTRANGE(""https://docs.google.com/spreadsheets/d/1SDNX3JhDdYRuIOsj0Wh2M-Qa_eaXl0NbWmhAOTbfQAs/edit?usp=sharing"",""ปัตตานี!I220"")"),0)</f>
        <v>0</v>
      </c>
      <c r="BB80" s="92">
        <f ca="1">IFERROR(__xludf.DUMMYFUNCTION("IMPORTRANGE(""https://docs.google.com/spreadsheets/d/1SDNX3JhDdYRuIOsj0Wh2M-Qa_eaXl0NbWmhAOTbfQAs/edit?usp=sharing"",""ปัตตานี!J220"")"),0)</f>
        <v>0</v>
      </c>
      <c r="BC80" s="93">
        <f t="shared" ca="1" si="106"/>
        <v>0</v>
      </c>
      <c r="BD80" s="92">
        <f ca="1">IFERROR(__xludf.DUMMYFUNCTION("IMPORTRANGE(""https://docs.google.com/spreadsheets/d/1SDNX3JhDdYRuIOsj0Wh2M-Qa_eaXl0NbWmhAOTbfQAs/edit?usp=sharing"",""ปัตตานี!L223"")"),3000)</f>
        <v>3000</v>
      </c>
      <c r="BE80" s="92">
        <f ca="1">IFERROR(__xludf.DUMMYFUNCTION("IMPORTRANGE(""https://docs.google.com/spreadsheets/d/1SDNX3JhDdYRuIOsj0Wh2M-Qa_eaXl0NbWmhAOTbfQAs/edit?usp=sharing"",""ปัตตานี!N223"")"),0)</f>
        <v>0</v>
      </c>
      <c r="BF80" s="93">
        <f t="shared" ca="1" si="108"/>
        <v>0</v>
      </c>
      <c r="BG80" s="92">
        <f ca="1">IFERROR(__xludf.DUMMYFUNCTION("IMPORTRANGE(""https://docs.google.com/spreadsheets/d/1SDNX3JhDdYRuIOsj0Wh2M-Qa_eaXl0NbWmhAOTbfQAs/edit?usp=sharing"",""ปัตตานี!L224"")"),1500)</f>
        <v>1500</v>
      </c>
      <c r="BH80" s="92">
        <f ca="1">IFERROR(__xludf.DUMMYFUNCTION("IMPORTRANGE(""https://docs.google.com/spreadsheets/d/1SDNX3JhDdYRuIOsj0Wh2M-Qa_eaXl0NbWmhAOTbfQAs/edit?usp=sharing"",""ปัตตานี!N224"")"),0)</f>
        <v>0</v>
      </c>
      <c r="BI80" s="93">
        <f t="shared" ca="1" si="110"/>
        <v>0</v>
      </c>
      <c r="BJ80" s="92">
        <f ca="1">IFERROR(__xludf.DUMMYFUNCTION("IMPORTRANGE(""https://docs.google.com/spreadsheets/d/1SDNX3JhDdYRuIOsj0Wh2M-Qa_eaXl0NbWmhAOTbfQAs/edit?usp=sharing"",""ปัตตานี!I228"")"),12800)</f>
        <v>12800</v>
      </c>
      <c r="BK80" s="92">
        <f ca="1">IFERROR(__xludf.DUMMYFUNCTION("IMPORTRANGE(""https://docs.google.com/spreadsheets/d/1SDNX3JhDdYRuIOsj0Wh2M-Qa_eaXl0NbWmhAOTbfQAs/edit?usp=sharing"",""ปัตตานี!J228"")"),0)</f>
        <v>0</v>
      </c>
      <c r="BL80" s="93">
        <f t="shared" ca="1" si="112"/>
        <v>0</v>
      </c>
      <c r="BM80" s="92">
        <f ca="1">IFERROR(__xludf.DUMMYFUNCTION("IMPORTRANGE(""https://docs.google.com/spreadsheets/d/1SDNX3JhDdYRuIOsj0Wh2M-Qa_eaXl0NbWmhAOTbfQAs/edit?usp=sharing"",""ปัตตานี!I229"")"),12800)</f>
        <v>12800</v>
      </c>
      <c r="BN80" s="92">
        <f ca="1">IFERROR(__xludf.DUMMYFUNCTION("IMPORTRANGE(""https://docs.google.com/spreadsheets/d/1SDNX3JhDdYRuIOsj0Wh2M-Qa_eaXl0NbWmhAOTbfQAs/edit?usp=sharing"",""ปัตตานี!J229"")"),0)</f>
        <v>0</v>
      </c>
      <c r="BO80" s="93">
        <f t="shared" ca="1" si="114"/>
        <v>0</v>
      </c>
      <c r="BP80" s="92">
        <f ca="1">IFERROR(__xludf.DUMMYFUNCTION("IMPORTRANGE(""https://docs.google.com/spreadsheets/d/1SDNX3JhDdYRuIOsj0Wh2M-Qa_eaXl0NbWmhAOTbfQAs/edit?usp=sharing"",""ปัตตานี!I230"")"),0)</f>
        <v>0</v>
      </c>
      <c r="BQ80" s="92">
        <f ca="1">IFERROR(__xludf.DUMMYFUNCTION("IMPORTRANGE(""https://docs.google.com/spreadsheets/d/1SDNX3JhDdYRuIOsj0Wh2M-Qa_eaXl0NbWmhAOTbfQAs/edit?usp=sharing"",""ปัตตานี!J230"")"),0)</f>
        <v>0</v>
      </c>
      <c r="BR80" s="93">
        <f t="shared" ca="1" si="116"/>
        <v>0</v>
      </c>
      <c r="BS80" s="92">
        <f ca="1">IFERROR(__xludf.DUMMYFUNCTION("IMPORTRANGE(""https://docs.google.com/spreadsheets/d/1SDNX3JhDdYRuIOsj0Wh2M-Qa_eaXl0NbWmhAOTbfQAs/edit?usp=sharing"",""ปัตตานี!L233"")"),0)</f>
        <v>0</v>
      </c>
      <c r="BT80" s="92">
        <f ca="1">IFERROR(__xludf.DUMMYFUNCTION("IMPORTRANGE(""https://docs.google.com/spreadsheets/d/1SDNX3JhDdYRuIOsj0Wh2M-Qa_eaXl0NbWmhAOTbfQAs/edit?usp=sharing"",""ปัตตานี!N233"")"),0)</f>
        <v>0</v>
      </c>
      <c r="BU80" s="93">
        <f t="shared" ca="1" si="118"/>
        <v>0</v>
      </c>
      <c r="BV80" s="92">
        <f ca="1">IFERROR(__xludf.DUMMYFUNCTION("IMPORTRANGE(""https://docs.google.com/spreadsheets/d/1SDNX3JhDdYRuIOsj0Wh2M-Qa_eaXl0NbWmhAOTbfQAs/edit?usp=sharing"",""ปัตตานี!L234"")"),0)</f>
        <v>0</v>
      </c>
      <c r="BW80" s="92">
        <f ca="1">IFERROR(__xludf.DUMMYFUNCTION("IMPORTRANGE(""https://docs.google.com/spreadsheets/d/1SDNX3JhDdYRuIOsj0Wh2M-Qa_eaXl0NbWmhAOTbfQAs/edit?usp=sharing"",""ปัตตานี!N234"")"),0)</f>
        <v>0</v>
      </c>
      <c r="BX80" s="93">
        <f t="shared" ca="1" si="120"/>
        <v>0</v>
      </c>
      <c r="BY80" s="92">
        <f ca="1">IFERROR(__xludf.DUMMYFUNCTION("IMPORTRANGE(""https://docs.google.com/spreadsheets/d/1SDNX3JhDdYRuIOsj0Wh2M-Qa_eaXl0NbWmhAOTbfQAs/edit?usp=sharing"",""ปัตตานี!L235"")"),0)</f>
        <v>0</v>
      </c>
      <c r="BZ80" s="92">
        <f ca="1">IFERROR(__xludf.DUMMYFUNCTION("IMPORTRANGE(""https://docs.google.com/spreadsheets/d/1SDNX3JhDdYRuIOsj0Wh2M-Qa_eaXl0NbWmhAOTbfQAs/edit?usp=sharing"",""ปัตตานี!N235"")"),0)</f>
        <v>0</v>
      </c>
      <c r="CA80" s="93">
        <f t="shared" ca="1" si="122"/>
        <v>0</v>
      </c>
      <c r="CB80" s="92">
        <f ca="1">IFERROR(__xludf.DUMMYFUNCTION("IMPORTRANGE(""https://docs.google.com/spreadsheets/d/1SDNX3JhDdYRuIOsj0Wh2M-Qa_eaXl0NbWmhAOTbfQAs/edit?usp=sharing"",""ปัตตานี!L236"")"),0)</f>
        <v>0</v>
      </c>
      <c r="CC80" s="92">
        <f ca="1">IFERROR(__xludf.DUMMYFUNCTION("IMPORTRANGE(""https://docs.google.com/spreadsheets/d/1SDNX3JhDdYRuIOsj0Wh2M-Qa_eaXl0NbWmhAOTbfQAs/edit?usp=sharing"",""ปัตตานี!N236"")"),0)</f>
        <v>0</v>
      </c>
      <c r="CD80" s="93">
        <f t="shared" ca="1" si="124"/>
        <v>0</v>
      </c>
      <c r="CE80" s="92">
        <f ca="1">IFERROR(__xludf.DUMMYFUNCTION("IMPORTRANGE(""https://docs.google.com/spreadsheets/d/1SDNX3JhDdYRuIOsj0Wh2M-Qa_eaXl0NbWmhAOTbfQAs/edit?usp=sharing"",""ปัตตานี!I238"")"),0)</f>
        <v>0</v>
      </c>
      <c r="CF80" s="92">
        <f ca="1">IFERROR(__xludf.DUMMYFUNCTION("IMPORTRANGE(""https://docs.google.com/spreadsheets/d/1SDNX3JhDdYRuIOsj0Wh2M-Qa_eaXl0NbWmhAOTbfQAs/edit?usp=sharing"",""ปัตตานี!J238"")"),0)</f>
        <v>0</v>
      </c>
      <c r="CG80" s="93">
        <f t="shared" ca="1" si="126"/>
        <v>0</v>
      </c>
      <c r="CH80" s="92">
        <f ca="1">IFERROR(__xludf.DUMMYFUNCTION("IMPORTRANGE(""https://docs.google.com/spreadsheets/d/1SDNX3JhDdYRuIOsj0Wh2M-Qa_eaXl0NbWmhAOTbfQAs/edit?usp=sharing"",""ปัตตานี!J240"")"),0)</f>
        <v>0</v>
      </c>
      <c r="CI80" s="92">
        <f ca="1">IFERROR(__xludf.DUMMYFUNCTION("IMPORTRANGE(""https://docs.google.com/spreadsheets/d/1SDNX3JhDdYRuIOsj0Wh2M-Qa_eaXl0NbWmhAOTbfQAs/edit?usp=sharing"",""ปัตตานี!J241"")"),0)</f>
        <v>0</v>
      </c>
    </row>
    <row r="81" spans="1:87" ht="21" customHeight="1" x14ac:dyDescent="0.3">
      <c r="A81" s="84">
        <v>7</v>
      </c>
      <c r="B81" s="85" t="s">
        <v>103</v>
      </c>
      <c r="C81" s="174">
        <f t="shared" ca="1" si="77"/>
        <v>121500</v>
      </c>
      <c r="D81" s="175">
        <f t="shared" ca="1" si="200"/>
        <v>121500</v>
      </c>
      <c r="E81" s="176">
        <f ca="1">IFERROR(__xludf.DUMMYFUNCTION("IMPORTRANGE(""https://docs.google.com/spreadsheets/d/1-uDff_7J0KD5mKrp0Vvzr7lt3OU09vwQwhkpOPPYv2Y/edit?usp=sharing"",""งบพรบ!CV81"")"),82000)</f>
        <v>82000</v>
      </c>
      <c r="F81" s="176">
        <f ca="1">IFERROR(__xludf.DUMMYFUNCTION("IMPORTRANGE(""https://docs.google.com/spreadsheets/d/1-uDff_7J0KD5mKrp0Vvzr7lt3OU09vwQwhkpOPPYv2Y/edit?usp=sharing"",""งบพรบ!CW81"")"),39500)</f>
        <v>39500</v>
      </c>
      <c r="G81" s="176">
        <f ca="1">IFERROR(__xludf.DUMMYFUNCTION("IMPORTRANGE(""https://docs.google.com/spreadsheets/d/1-uDff_7J0KD5mKrp0Vvzr7lt3OU09vwQwhkpOPPYv2Y/edit?usp=sharing"",""งบพรบ!CX81"")"),0)</f>
        <v>0</v>
      </c>
      <c r="H81" s="176">
        <f ca="1">IFERROR(__xludf.DUMMYFUNCTION("IMPORTRANGE(""https://docs.google.com/spreadsheets/d/1-uDff_7J0KD5mKrp0Vvzr7lt3OU09vwQwhkpOPPYv2Y/edit?usp=sharing"",""งบพรบ!CZ81"")"),81500)</f>
        <v>81500</v>
      </c>
      <c r="I81" s="176">
        <f ca="1">IFERROR(__xludf.DUMMYFUNCTION("IMPORTRANGE(""https://docs.google.com/spreadsheets/d/1-uDff_7J0KD5mKrp0Vvzr7lt3OU09vwQwhkpOPPYv2Y/edit?usp=sharing"",""งบพรบ!DA81"")"),0)</f>
        <v>0</v>
      </c>
      <c r="J81" s="176">
        <f t="shared" ca="1" si="79"/>
        <v>39938.5</v>
      </c>
      <c r="K81" s="181">
        <f t="shared" ca="1" si="80"/>
        <v>32.871193415637862</v>
      </c>
      <c r="L81" s="176">
        <f ca="1">IFERROR(__xludf.DUMMYFUNCTION("IMPORTRANGE(""https://docs.google.com/spreadsheets/d/1-uDff_7J0KD5mKrp0Vvzr7lt3OU09vwQwhkpOPPYv2Y/edit?usp=sharing"",""งบพรบ!DB81"")"),39938.5)</f>
        <v>39938.5</v>
      </c>
      <c r="M81" s="179">
        <f t="shared" ca="1" si="81"/>
        <v>32.871193415637862</v>
      </c>
      <c r="N81" s="179">
        <f t="shared" ca="1" si="82"/>
        <v>49.004294478527605</v>
      </c>
      <c r="O81" s="180">
        <f ca="1">IFERROR(__xludf.DUMMYFUNCTION("IMPORTRANGE(""https://docs.google.com/spreadsheets/d/1-uDff_7J0KD5mKrp0Vvzr7lt3OU09vwQwhkpOPPYv2Y/edit?usp=sharing"",""งบพรบ!DC81"")"),0)</f>
        <v>0</v>
      </c>
      <c r="P81" s="180">
        <f t="shared" ca="1" si="83"/>
        <v>0</v>
      </c>
      <c r="Q81" s="179">
        <f t="shared" ca="1" si="84"/>
        <v>0</v>
      </c>
      <c r="R81" s="92">
        <f ca="1">IFERROR(__xludf.DUMMYFUNCTION("IMPORTRANGE(""https://docs.google.com/spreadsheets/d/16JDLGguT8s5DsGCND1KcwHP_AWR_zDMTqLHPLJUKhaU/edit?usp=sharing"",""พังงา!L196"")"),6000)</f>
        <v>6000</v>
      </c>
      <c r="S81" s="92">
        <f ca="1">IFERROR(__xludf.DUMMYFUNCTION("IMPORTRANGE(""https://docs.google.com/spreadsheets/d/16JDLGguT8s5DsGCND1KcwHP_AWR_zDMTqLHPLJUKhaU/edit?usp=sharing"",""พังงา!N196"")"),0)</f>
        <v>0</v>
      </c>
      <c r="T81" s="93">
        <f t="shared" ca="1" si="86"/>
        <v>0</v>
      </c>
      <c r="U81" s="92">
        <f ca="1">IFERROR(__xludf.DUMMYFUNCTION("IMPORTRANGE(""https://docs.google.com/spreadsheets/d/16JDLGguT8s5DsGCND1KcwHP_AWR_zDMTqLHPLJUKhaU/edit?usp=sharing"",""พังงา!I198"")"),4)</f>
        <v>4</v>
      </c>
      <c r="V81" s="92">
        <f ca="1">IFERROR(__xludf.DUMMYFUNCTION("IMPORTRANGE(""https://docs.google.com/spreadsheets/d/16JDLGguT8s5DsGCND1KcwHP_AWR_zDMTqLHPLJUKhaU/edit?usp=sharing"",""พังงา!J198"")"),1)</f>
        <v>1</v>
      </c>
      <c r="W81" s="93">
        <f t="shared" ca="1" si="88"/>
        <v>25</v>
      </c>
      <c r="X81" s="92">
        <f ca="1">IFERROR(__xludf.DUMMYFUNCTION("IMPORTRANGE(""https://docs.google.com/spreadsheets/d/16JDLGguT8s5DsGCND1KcwHP_AWR_zDMTqLHPLJUKhaU/edit?usp=sharing"",""พังงา!J199"")"),28)</f>
        <v>28</v>
      </c>
      <c r="Y81" s="92">
        <f ca="1">IFERROR(__xludf.DUMMYFUNCTION("IMPORTRANGE(""https://docs.google.com/spreadsheets/d/16JDLGguT8s5DsGCND1KcwHP_AWR_zDMTqLHPLJUKhaU/edit?usp=sharing"",""พังงา!J200"")"),28)</f>
        <v>28</v>
      </c>
      <c r="Z81" s="92">
        <f ca="1">IFERROR(__xludf.DUMMYFUNCTION("IMPORTRANGE(""https://docs.google.com/spreadsheets/d/16JDLGguT8s5DsGCND1KcwHP_AWR_zDMTqLHPLJUKhaU/edit?usp=sharing"",""พังงา!J201"")"),0)</f>
        <v>0</v>
      </c>
      <c r="AA81" s="92">
        <f ca="1">IFERROR(__xludf.DUMMYFUNCTION("IMPORTRANGE(""https://docs.google.com/spreadsheets/d/16JDLGguT8s5DsGCND1KcwHP_AWR_zDMTqLHPLJUKhaU/edit?usp=sharing"",""พังงา!L204"")"),2000)</f>
        <v>2000</v>
      </c>
      <c r="AB81" s="92">
        <f ca="1">IFERROR(__xludf.DUMMYFUNCTION("IMPORTRANGE(""https://docs.google.com/spreadsheets/d/16JDLGguT8s5DsGCND1KcwHP_AWR_zDMTqLHPLJUKhaU/edit?usp=sharing"",""พังงา!N204"")"),0)</f>
        <v>0</v>
      </c>
      <c r="AC81" s="93">
        <f t="shared" ca="1" si="90"/>
        <v>0</v>
      </c>
      <c r="AD81" s="92">
        <f ca="1">IFERROR(__xludf.DUMMYFUNCTION("IMPORTRANGE(""https://docs.google.com/spreadsheets/d/16JDLGguT8s5DsGCND1KcwHP_AWR_zDMTqLHPLJUKhaU/edit?usp=sharing"",""พังงา!L206"")"),16000)</f>
        <v>16000</v>
      </c>
      <c r="AE81" s="92">
        <f ca="1">IFERROR(__xludf.DUMMYFUNCTION("IMPORTRANGE(""https://docs.google.com/spreadsheets/d/16JDLGguT8s5DsGCND1KcwHP_AWR_zDMTqLHPLJUKhaU/edit?usp=sharing"",""พังงา!N206"")"),0)</f>
        <v>0</v>
      </c>
      <c r="AF81" s="93">
        <f t="shared" ca="1" si="92"/>
        <v>0</v>
      </c>
      <c r="AG81" s="92">
        <f ca="1">IFERROR(__xludf.DUMMYFUNCTION("IMPORTRANGE(""https://docs.google.com/spreadsheets/d/16JDLGguT8s5DsGCND1KcwHP_AWR_zDMTqLHPLJUKhaU/edit?usp=sharing"",""พังงา!L207"")"),11000)</f>
        <v>11000</v>
      </c>
      <c r="AH81" s="92">
        <f ca="1">IFERROR(__xludf.DUMMYFUNCTION("IMPORTRANGE(""https://docs.google.com/spreadsheets/d/16JDLGguT8s5DsGCND1KcwHP_AWR_zDMTqLHPLJUKhaU/edit?usp=sharing"",""พังงา!N207"")"),0)</f>
        <v>0</v>
      </c>
      <c r="AI81" s="93">
        <f t="shared" ca="1" si="94"/>
        <v>0</v>
      </c>
      <c r="AJ81" s="92">
        <f ca="1">IFERROR(__xludf.DUMMYFUNCTION("IMPORTRANGE(""https://docs.google.com/spreadsheets/d/16JDLGguT8s5DsGCND1KcwHP_AWR_zDMTqLHPLJUKhaU/edit?usp=sharing"",""พังงา!I209"")"),2)</f>
        <v>2</v>
      </c>
      <c r="AK81" s="92">
        <f ca="1">IFERROR(__xludf.DUMMYFUNCTION("IMPORTRANGE(""https://docs.google.com/spreadsheets/d/16JDLGguT8s5DsGCND1KcwHP_AWR_zDMTqLHPLJUKhaU/edit?usp=sharing"",""พังงา!J209"")"),0)</f>
        <v>0</v>
      </c>
      <c r="AL81" s="93">
        <f t="shared" ca="1" si="96"/>
        <v>0</v>
      </c>
      <c r="AM81" s="92">
        <f ca="1">IFERROR(__xludf.DUMMYFUNCTION("IMPORTRANGE(""https://docs.google.com/spreadsheets/d/16JDLGguT8s5DsGCND1KcwHP_AWR_zDMTqLHPLJUKhaU/edit?usp=sharing"",""พังงา!J211"")"),0)</f>
        <v>0</v>
      </c>
      <c r="AN81" s="92">
        <f ca="1">IFERROR(__xludf.DUMMYFUNCTION("IMPORTRANGE(""https://docs.google.com/spreadsheets/d/16JDLGguT8s5DsGCND1KcwHP_AWR_zDMTqLHPLJUKhaU/edit?usp=sharing"",""พังงา!J212"")"),0)</f>
        <v>0</v>
      </c>
      <c r="AO81" s="92">
        <f ca="1">IFERROR(__xludf.DUMMYFUNCTION("IMPORTRANGE(""https://docs.google.com/spreadsheets/d/16JDLGguT8s5DsGCND1KcwHP_AWR_zDMTqLHPLJUKhaU/edit?usp=sharing"",""พังงา!L215"")"),0)</f>
        <v>0</v>
      </c>
      <c r="AP81" s="92">
        <f ca="1">IFERROR(__xludf.DUMMYFUNCTION("IMPORTRANGE(""https://docs.google.com/spreadsheets/d/16JDLGguT8s5DsGCND1KcwHP_AWR_zDMTqLHPLJUKhaU/edit?usp=sharing"",""พังงา!N215"")"),0)</f>
        <v>0</v>
      </c>
      <c r="AQ81" s="93">
        <f t="shared" ca="1" si="98"/>
        <v>0</v>
      </c>
      <c r="AR81" s="92">
        <f ca="1">IFERROR(__xludf.DUMMYFUNCTION("IMPORTRANGE(""https://docs.google.com/spreadsheets/d/16JDLGguT8s5DsGCND1KcwHP_AWR_zDMTqLHPLJUKhaU/edit?usp=sharing"",""พังงา!L216"")"),0)</f>
        <v>0</v>
      </c>
      <c r="AS81" s="92">
        <f ca="1">IFERROR(__xludf.DUMMYFUNCTION("IMPORTRANGE(""https://docs.google.com/spreadsheets/d/16JDLGguT8s5DsGCND1KcwHP_AWR_zDMTqLHPLJUKhaU/edit?usp=sharing"",""พังงา!N216"")"),0)</f>
        <v>0</v>
      </c>
      <c r="AT81" s="93">
        <f t="shared" ca="1" si="100"/>
        <v>0</v>
      </c>
      <c r="AU81" s="92">
        <f ca="1">IFERROR(__xludf.DUMMYFUNCTION("IMPORTRANGE(""https://docs.google.com/spreadsheets/d/16JDLGguT8s5DsGCND1KcwHP_AWR_zDMTqLHPLJUKhaU/edit?usp=sharing"",""พังงา!L217"")"),0)</f>
        <v>0</v>
      </c>
      <c r="AV81" s="92">
        <f ca="1">IFERROR(__xludf.DUMMYFUNCTION("IMPORTRANGE(""https://docs.google.com/spreadsheets/d/16JDLGguT8s5DsGCND1KcwHP_AWR_zDMTqLHPLJUKhaU/edit?usp=sharing"",""พังงา!N217"")"),0)</f>
        <v>0</v>
      </c>
      <c r="AW81" s="93">
        <f t="shared" ca="1" si="102"/>
        <v>0</v>
      </c>
      <c r="AX81" s="92">
        <f ca="1">IFERROR(__xludf.DUMMYFUNCTION("IMPORTRANGE(""https://docs.google.com/spreadsheets/d/16JDLGguT8s5DsGCND1KcwHP_AWR_zDMTqLHPLJUKhaU/edit?usp=sharing"",""พังงา!I219"")"),0)</f>
        <v>0</v>
      </c>
      <c r="AY81" s="92">
        <f ca="1">IFERROR(__xludf.DUMMYFUNCTION("IMPORTRANGE(""https://docs.google.com/spreadsheets/d/16JDLGguT8s5DsGCND1KcwHP_AWR_zDMTqLHPLJUKhaU/edit?usp=sharing"",""พังงา!J219"")"),0)</f>
        <v>0</v>
      </c>
      <c r="AZ81" s="93">
        <f t="shared" ca="1" si="104"/>
        <v>0</v>
      </c>
      <c r="BA81" s="92">
        <f ca="1">IFERROR(__xludf.DUMMYFUNCTION("IMPORTRANGE(""https://docs.google.com/spreadsheets/d/16JDLGguT8s5DsGCND1KcwHP_AWR_zDMTqLHPLJUKhaU/edit?usp=sharing"",""พังงา!I220"")"),0)</f>
        <v>0</v>
      </c>
      <c r="BB81" s="92">
        <f ca="1">IFERROR(__xludf.DUMMYFUNCTION("IMPORTRANGE(""https://docs.google.com/spreadsheets/d/16JDLGguT8s5DsGCND1KcwHP_AWR_zDMTqLHPLJUKhaU/edit?usp=sharing"",""พังงา!J220"")"),0)</f>
        <v>0</v>
      </c>
      <c r="BC81" s="93">
        <f t="shared" ca="1" si="106"/>
        <v>0</v>
      </c>
      <c r="BD81" s="92">
        <f ca="1">IFERROR(__xludf.DUMMYFUNCTION("IMPORTRANGE(""https://docs.google.com/spreadsheets/d/16JDLGguT8s5DsGCND1KcwHP_AWR_zDMTqLHPLJUKhaU/edit?usp=sharing"",""พังงา!L223"")"),3000)</f>
        <v>3000</v>
      </c>
      <c r="BE81" s="92">
        <f ca="1">IFERROR(__xludf.DUMMYFUNCTION("IMPORTRANGE(""https://docs.google.com/spreadsheets/d/16JDLGguT8s5DsGCND1KcwHP_AWR_zDMTqLHPLJUKhaU/edit?usp=sharing"",""พังงา!N223"")"),0)</f>
        <v>0</v>
      </c>
      <c r="BF81" s="93">
        <f t="shared" ca="1" si="108"/>
        <v>0</v>
      </c>
      <c r="BG81" s="92">
        <f ca="1">IFERROR(__xludf.DUMMYFUNCTION("IMPORTRANGE(""https://docs.google.com/spreadsheets/d/16JDLGguT8s5DsGCND1KcwHP_AWR_zDMTqLHPLJUKhaU/edit?usp=sharing"",""พังงา!L224"")"),1500)</f>
        <v>1500</v>
      </c>
      <c r="BH81" s="92">
        <f ca="1">IFERROR(__xludf.DUMMYFUNCTION("IMPORTRANGE(""https://docs.google.com/spreadsheets/d/16JDLGguT8s5DsGCND1KcwHP_AWR_zDMTqLHPLJUKhaU/edit?usp=sharing"",""พังงา!N224"")"),0)</f>
        <v>0</v>
      </c>
      <c r="BI81" s="93">
        <f t="shared" ca="1" si="110"/>
        <v>0</v>
      </c>
      <c r="BJ81" s="92">
        <f ca="1">IFERROR(__xludf.DUMMYFUNCTION("IMPORTRANGE(""https://docs.google.com/spreadsheets/d/16JDLGguT8s5DsGCND1KcwHP_AWR_zDMTqLHPLJUKhaU/edit?usp=sharing"",""พังงา!I228"")"),20000)</f>
        <v>20000</v>
      </c>
      <c r="BK81" s="92">
        <f ca="1">IFERROR(__xludf.DUMMYFUNCTION("IMPORTRANGE(""https://docs.google.com/spreadsheets/d/16JDLGguT8s5DsGCND1KcwHP_AWR_zDMTqLHPLJUKhaU/edit?usp=sharing"",""พังงา!J228"")"),0)</f>
        <v>0</v>
      </c>
      <c r="BL81" s="93">
        <f t="shared" ca="1" si="112"/>
        <v>0</v>
      </c>
      <c r="BM81" s="92">
        <f ca="1">IFERROR(__xludf.DUMMYFUNCTION("IMPORTRANGE(""https://docs.google.com/spreadsheets/d/16JDLGguT8s5DsGCND1KcwHP_AWR_zDMTqLHPLJUKhaU/edit?usp=sharing"",""พังงา!I229"")"),20000)</f>
        <v>20000</v>
      </c>
      <c r="BN81" s="92">
        <f ca="1">IFERROR(__xludf.DUMMYFUNCTION("IMPORTRANGE(""https://docs.google.com/spreadsheets/d/16JDLGguT8s5DsGCND1KcwHP_AWR_zDMTqLHPLJUKhaU/edit?usp=sharing"",""พังงา!J229"")"),0)</f>
        <v>0</v>
      </c>
      <c r="BO81" s="93">
        <f t="shared" ca="1" si="114"/>
        <v>0</v>
      </c>
      <c r="BP81" s="92">
        <f ca="1">IFERROR(__xludf.DUMMYFUNCTION("IMPORTRANGE(""https://docs.google.com/spreadsheets/d/16JDLGguT8s5DsGCND1KcwHP_AWR_zDMTqLHPLJUKhaU/edit?usp=sharing"",""พังงา!I230"")"),0)</f>
        <v>0</v>
      </c>
      <c r="BQ81" s="92">
        <f ca="1">IFERROR(__xludf.DUMMYFUNCTION("IMPORTRANGE(""https://docs.google.com/spreadsheets/d/16JDLGguT8s5DsGCND1KcwHP_AWR_zDMTqLHPLJUKhaU/edit?usp=sharing"",""พังงา!J230"")"),0)</f>
        <v>0</v>
      </c>
      <c r="BR81" s="93">
        <f t="shared" ca="1" si="116"/>
        <v>0</v>
      </c>
      <c r="BS81" s="92">
        <f ca="1">IFERROR(__xludf.DUMMYFUNCTION("IMPORTRANGE(""https://docs.google.com/spreadsheets/d/16JDLGguT8s5DsGCND1KcwHP_AWR_zDMTqLHPLJUKhaU/edit?usp=sharing"",""พังงา!L233"")"),0)</f>
        <v>0</v>
      </c>
      <c r="BT81" s="92">
        <f ca="1">IFERROR(__xludf.DUMMYFUNCTION("IMPORTRANGE(""https://docs.google.com/spreadsheets/d/16JDLGguT8s5DsGCND1KcwHP_AWR_zDMTqLHPLJUKhaU/edit?usp=sharing"",""พังงา!N233"")"),0)</f>
        <v>0</v>
      </c>
      <c r="BU81" s="93">
        <f t="shared" ca="1" si="118"/>
        <v>0</v>
      </c>
      <c r="BV81" s="92">
        <f ca="1">IFERROR(__xludf.DUMMYFUNCTION("IMPORTRANGE(""https://docs.google.com/spreadsheets/d/16JDLGguT8s5DsGCND1KcwHP_AWR_zDMTqLHPLJUKhaU/edit?usp=sharing"",""พังงา!L234"")"),0)</f>
        <v>0</v>
      </c>
      <c r="BW81" s="92">
        <f ca="1">IFERROR(__xludf.DUMMYFUNCTION("IMPORTRANGE(""https://docs.google.com/spreadsheets/d/16JDLGguT8s5DsGCND1KcwHP_AWR_zDMTqLHPLJUKhaU/edit?usp=sharing"",""พังงา!N234"")"),0)</f>
        <v>0</v>
      </c>
      <c r="BX81" s="93">
        <f t="shared" ca="1" si="120"/>
        <v>0</v>
      </c>
      <c r="BY81" s="92">
        <f ca="1">IFERROR(__xludf.DUMMYFUNCTION("IMPORTRANGE(""https://docs.google.com/spreadsheets/d/16JDLGguT8s5DsGCND1KcwHP_AWR_zDMTqLHPLJUKhaU/edit?usp=sharing"",""พังงา!L235"")"),0)</f>
        <v>0</v>
      </c>
      <c r="BZ81" s="92">
        <f ca="1">IFERROR(__xludf.DUMMYFUNCTION("IMPORTRANGE(""https://docs.google.com/spreadsheets/d/16JDLGguT8s5DsGCND1KcwHP_AWR_zDMTqLHPLJUKhaU/edit?usp=sharing"",""พังงา!N235"")"),0)</f>
        <v>0</v>
      </c>
      <c r="CA81" s="93">
        <f t="shared" ca="1" si="122"/>
        <v>0</v>
      </c>
      <c r="CB81" s="92">
        <f ca="1">IFERROR(__xludf.DUMMYFUNCTION("IMPORTRANGE(""https://docs.google.com/spreadsheets/d/16JDLGguT8s5DsGCND1KcwHP_AWR_zDMTqLHPLJUKhaU/edit?usp=sharing"",""พังงา!L236"")"),0)</f>
        <v>0</v>
      </c>
      <c r="CC81" s="92">
        <f ca="1">IFERROR(__xludf.DUMMYFUNCTION("IMPORTRANGE(""https://docs.google.com/spreadsheets/d/16JDLGguT8s5DsGCND1KcwHP_AWR_zDMTqLHPLJUKhaU/edit?usp=sharing"",""พังงา!N236"")"),0)</f>
        <v>0</v>
      </c>
      <c r="CD81" s="93">
        <f t="shared" ca="1" si="124"/>
        <v>0</v>
      </c>
      <c r="CE81" s="92">
        <f ca="1">IFERROR(__xludf.DUMMYFUNCTION("IMPORTRANGE(""https://docs.google.com/spreadsheets/d/16JDLGguT8s5DsGCND1KcwHP_AWR_zDMTqLHPLJUKhaU/edit?usp=sharing"",""พังงา!I238"")"),0)</f>
        <v>0</v>
      </c>
      <c r="CF81" s="92">
        <f ca="1">IFERROR(__xludf.DUMMYFUNCTION("IMPORTRANGE(""https://docs.google.com/spreadsheets/d/16JDLGguT8s5DsGCND1KcwHP_AWR_zDMTqLHPLJUKhaU/edit?usp=sharing"",""พังงา!J238"")"),0)</f>
        <v>0</v>
      </c>
      <c r="CG81" s="93">
        <f t="shared" ca="1" si="126"/>
        <v>0</v>
      </c>
      <c r="CH81" s="92">
        <f ca="1">IFERROR(__xludf.DUMMYFUNCTION("IMPORTRANGE(""https://docs.google.com/spreadsheets/d/16JDLGguT8s5DsGCND1KcwHP_AWR_zDMTqLHPLJUKhaU/edit?usp=sharing"",""พังงา!J240"")"),0)</f>
        <v>0</v>
      </c>
      <c r="CI81" s="92">
        <f ca="1">IFERROR(__xludf.DUMMYFUNCTION("IMPORTRANGE(""https://docs.google.com/spreadsheets/d/16JDLGguT8s5DsGCND1KcwHP_AWR_zDMTqLHPLJUKhaU/edit?usp=sharing"",""พังงา!J241"")"),0)</f>
        <v>0</v>
      </c>
    </row>
    <row r="82" spans="1:87" ht="21" customHeight="1" x14ac:dyDescent="0.3">
      <c r="A82" s="84">
        <v>8</v>
      </c>
      <c r="B82" s="85" t="s">
        <v>104</v>
      </c>
      <c r="C82" s="174">
        <f t="shared" ca="1" si="77"/>
        <v>23500</v>
      </c>
      <c r="D82" s="175">
        <f t="shared" ca="1" si="200"/>
        <v>23500</v>
      </c>
      <c r="E82" s="176">
        <f ca="1">IFERROR(__xludf.DUMMYFUNCTION("IMPORTRANGE(""https://docs.google.com/spreadsheets/d/1-uDff_7J0KD5mKrp0Vvzr7lt3OU09vwQwhkpOPPYv2Y/edit?usp=sharing"",""งบพรบ!CV82"")"),0)</f>
        <v>0</v>
      </c>
      <c r="F82" s="176">
        <f ca="1">IFERROR(__xludf.DUMMYFUNCTION("IMPORTRANGE(""https://docs.google.com/spreadsheets/d/1-uDff_7J0KD5mKrp0Vvzr7lt3OU09vwQwhkpOPPYv2Y/edit?usp=sharing"",""งบพรบ!CW82"")"),23500)</f>
        <v>23500</v>
      </c>
      <c r="G82" s="176">
        <f ca="1">IFERROR(__xludf.DUMMYFUNCTION("IMPORTRANGE(""https://docs.google.com/spreadsheets/d/1-uDff_7J0KD5mKrp0Vvzr7lt3OU09vwQwhkpOPPYv2Y/edit?usp=sharing"",""งบพรบ!CX82"")"),0)</f>
        <v>0</v>
      </c>
      <c r="H82" s="176">
        <f ca="1">IFERROR(__xludf.DUMMYFUNCTION("IMPORTRANGE(""https://docs.google.com/spreadsheets/d/1-uDff_7J0KD5mKrp0Vvzr7lt3OU09vwQwhkpOPPYv2Y/edit?usp=sharing"",""งบพรบ!CZ82"")"),13500)</f>
        <v>13500</v>
      </c>
      <c r="I82" s="176">
        <f ca="1">IFERROR(__xludf.DUMMYFUNCTION("IMPORTRANGE(""https://docs.google.com/spreadsheets/d/1-uDff_7J0KD5mKrp0Vvzr7lt3OU09vwQwhkpOPPYv2Y/edit?usp=sharing"",""งบพรบ!DA82"")"),0)</f>
        <v>0</v>
      </c>
      <c r="J82" s="176">
        <f t="shared" ca="1" si="79"/>
        <v>0</v>
      </c>
      <c r="K82" s="181">
        <f t="shared" ca="1" si="80"/>
        <v>0</v>
      </c>
      <c r="L82" s="176">
        <f ca="1">IFERROR(__xludf.DUMMYFUNCTION("IMPORTRANGE(""https://docs.google.com/spreadsheets/d/1-uDff_7J0KD5mKrp0Vvzr7lt3OU09vwQwhkpOPPYv2Y/edit?usp=sharing"",""งบพรบ!DB82"")"),0)</f>
        <v>0</v>
      </c>
      <c r="M82" s="179">
        <f t="shared" ca="1" si="81"/>
        <v>0</v>
      </c>
      <c r="N82" s="179">
        <f t="shared" ca="1" si="82"/>
        <v>0</v>
      </c>
      <c r="O82" s="180">
        <f ca="1">IFERROR(__xludf.DUMMYFUNCTION("IMPORTRANGE(""https://docs.google.com/spreadsheets/d/1-uDff_7J0KD5mKrp0Vvzr7lt3OU09vwQwhkpOPPYv2Y/edit?usp=sharing"",""งบพรบ!DC82"")"),0)</f>
        <v>0</v>
      </c>
      <c r="P82" s="180">
        <f t="shared" ca="1" si="83"/>
        <v>0</v>
      </c>
      <c r="Q82" s="179">
        <f t="shared" ca="1" si="84"/>
        <v>0</v>
      </c>
      <c r="R82" s="92">
        <f ca="1">IFERROR(__xludf.DUMMYFUNCTION("IMPORTRANGE(""https://docs.google.com/spreadsheets/d/17ht0gPKzzT3PObBL1XJkeRmntBXI7wGjpLV7QorqlTk/edit?usp=sharing"",""พัทลุง!L196"")"),6000)</f>
        <v>6000</v>
      </c>
      <c r="S82" s="92">
        <f ca="1">IFERROR(__xludf.DUMMYFUNCTION("IMPORTRANGE(""https://docs.google.com/spreadsheets/d/17ht0gPKzzT3PObBL1XJkeRmntBXI7wGjpLV7QorqlTk/edit?usp=sharing"",""พัทลุง!N196"")"),0)</f>
        <v>0</v>
      </c>
      <c r="T82" s="93">
        <f t="shared" ca="1" si="86"/>
        <v>0</v>
      </c>
      <c r="U82" s="92">
        <f ca="1">IFERROR(__xludf.DUMMYFUNCTION("IMPORTRANGE(""https://docs.google.com/spreadsheets/d/17ht0gPKzzT3PObBL1XJkeRmntBXI7wGjpLV7QorqlTk/edit?usp=sharing"",""พัทลุง!I198"")"),4)</f>
        <v>4</v>
      </c>
      <c r="V82" s="92">
        <f ca="1">IFERROR(__xludf.DUMMYFUNCTION("IMPORTRANGE(""https://docs.google.com/spreadsheets/d/17ht0gPKzzT3PObBL1XJkeRmntBXI7wGjpLV7QorqlTk/edit?usp=sharing"",""พัทลุง!J198"")"),0)</f>
        <v>0</v>
      </c>
      <c r="W82" s="93">
        <f t="shared" ca="1" si="88"/>
        <v>0</v>
      </c>
      <c r="X82" s="92">
        <f ca="1">IFERROR(__xludf.DUMMYFUNCTION("IMPORTRANGE(""https://docs.google.com/spreadsheets/d/17ht0gPKzzT3PObBL1XJkeRmntBXI7wGjpLV7QorqlTk/edit?usp=sharing"",""พัทลุง!J199"")"),0)</f>
        <v>0</v>
      </c>
      <c r="Y82" s="92">
        <f ca="1">IFERROR(__xludf.DUMMYFUNCTION("IMPORTRANGE(""https://docs.google.com/spreadsheets/d/17ht0gPKzzT3PObBL1XJkeRmntBXI7wGjpLV7QorqlTk/edit?usp=sharing"",""พัทลุง!J200"")"),0)</f>
        <v>0</v>
      </c>
      <c r="Z82" s="92">
        <f ca="1">IFERROR(__xludf.DUMMYFUNCTION("IMPORTRANGE(""https://docs.google.com/spreadsheets/d/17ht0gPKzzT3PObBL1XJkeRmntBXI7wGjpLV7QorqlTk/edit?usp=sharing"",""พัทลุง!J201"")"),0)</f>
        <v>0</v>
      </c>
      <c r="AA82" s="92">
        <f ca="1">IFERROR(__xludf.DUMMYFUNCTION("IMPORTRANGE(""https://docs.google.com/spreadsheets/d/17ht0gPKzzT3PObBL1XJkeRmntBXI7wGjpLV7QorqlTk/edit?usp=sharing"",""พัทลุง!L204"")"),1000)</f>
        <v>1000</v>
      </c>
      <c r="AB82" s="92">
        <f ca="1">IFERROR(__xludf.DUMMYFUNCTION("IMPORTRANGE(""https://docs.google.com/spreadsheets/d/17ht0gPKzzT3PObBL1XJkeRmntBXI7wGjpLV7QorqlTk/edit?usp=sharing"",""พัทลุง!N204"")"),0)</f>
        <v>0</v>
      </c>
      <c r="AC82" s="93">
        <f t="shared" ca="1" si="90"/>
        <v>0</v>
      </c>
      <c r="AD82" s="92">
        <f ca="1">IFERROR(__xludf.DUMMYFUNCTION("IMPORTRANGE(""https://docs.google.com/spreadsheets/d/17ht0gPKzzT3PObBL1XJkeRmntBXI7wGjpLV7QorqlTk/edit?usp=sharing"",""พัทลุง!L206"")"),8000)</f>
        <v>8000</v>
      </c>
      <c r="AE82" s="92">
        <f ca="1">IFERROR(__xludf.DUMMYFUNCTION("IMPORTRANGE(""https://docs.google.com/spreadsheets/d/17ht0gPKzzT3PObBL1XJkeRmntBXI7wGjpLV7QorqlTk/edit?usp=sharing"",""พัทลุง!N206"")"),0)</f>
        <v>0</v>
      </c>
      <c r="AF82" s="93">
        <f t="shared" ca="1" si="92"/>
        <v>0</v>
      </c>
      <c r="AG82" s="92">
        <f ca="1">IFERROR(__xludf.DUMMYFUNCTION("IMPORTRANGE(""https://docs.google.com/spreadsheets/d/17ht0gPKzzT3PObBL1XJkeRmntBXI7wGjpLV7QorqlTk/edit?usp=sharing"",""พัทลุง!L207"")"),4000)</f>
        <v>4000</v>
      </c>
      <c r="AH82" s="92">
        <f ca="1">IFERROR(__xludf.DUMMYFUNCTION("IMPORTRANGE(""https://docs.google.com/spreadsheets/d/17ht0gPKzzT3PObBL1XJkeRmntBXI7wGjpLV7QorqlTk/edit?usp=sharing"",""พัทลุง!N207"")"),0)</f>
        <v>0</v>
      </c>
      <c r="AI82" s="93">
        <f t="shared" ca="1" si="94"/>
        <v>0</v>
      </c>
      <c r="AJ82" s="92">
        <f ca="1">IFERROR(__xludf.DUMMYFUNCTION("IMPORTRANGE(""https://docs.google.com/spreadsheets/d/17ht0gPKzzT3PObBL1XJkeRmntBXI7wGjpLV7QorqlTk/edit?usp=sharing"",""พัทลุง!I209"")"),1)</f>
        <v>1</v>
      </c>
      <c r="AK82" s="92">
        <f ca="1">IFERROR(__xludf.DUMMYFUNCTION("IMPORTRANGE(""https://docs.google.com/spreadsheets/d/17ht0gPKzzT3PObBL1XJkeRmntBXI7wGjpLV7QorqlTk/edit?usp=sharing"",""พัทลุง!J209"")"),0)</f>
        <v>0</v>
      </c>
      <c r="AL82" s="93">
        <f t="shared" ca="1" si="96"/>
        <v>0</v>
      </c>
      <c r="AM82" s="92">
        <f ca="1">IFERROR(__xludf.DUMMYFUNCTION("IMPORTRANGE(""https://docs.google.com/spreadsheets/d/17ht0gPKzzT3PObBL1XJkeRmntBXI7wGjpLV7QorqlTk/edit?usp=sharing"",""พัทลุง!J211"")"),0)</f>
        <v>0</v>
      </c>
      <c r="AN82" s="92">
        <f ca="1">IFERROR(__xludf.DUMMYFUNCTION("IMPORTRANGE(""https://docs.google.com/spreadsheets/d/17ht0gPKzzT3PObBL1XJkeRmntBXI7wGjpLV7QorqlTk/edit?usp=sharing"",""พัทลุง!J212"")"),0)</f>
        <v>0</v>
      </c>
      <c r="AO82" s="92">
        <f ca="1">IFERROR(__xludf.DUMMYFUNCTION("IMPORTRANGE(""https://docs.google.com/spreadsheets/d/17ht0gPKzzT3PObBL1XJkeRmntBXI7wGjpLV7QorqlTk/edit?usp=sharing"",""พัทลุง!L215"")"),0)</f>
        <v>0</v>
      </c>
      <c r="AP82" s="92">
        <f ca="1">IFERROR(__xludf.DUMMYFUNCTION("IMPORTRANGE(""https://docs.google.com/spreadsheets/d/17ht0gPKzzT3PObBL1XJkeRmntBXI7wGjpLV7QorqlTk/edit?usp=sharing"",""พัทลุง!N215"")"),0)</f>
        <v>0</v>
      </c>
      <c r="AQ82" s="93">
        <f t="shared" ca="1" si="98"/>
        <v>0</v>
      </c>
      <c r="AR82" s="92">
        <f ca="1">IFERROR(__xludf.DUMMYFUNCTION("IMPORTRANGE(""https://docs.google.com/spreadsheets/d/17ht0gPKzzT3PObBL1XJkeRmntBXI7wGjpLV7QorqlTk/edit?usp=sharing"",""พัทลุง!L216"")"),0)</f>
        <v>0</v>
      </c>
      <c r="AS82" s="92">
        <f ca="1">IFERROR(__xludf.DUMMYFUNCTION("IMPORTRANGE(""https://docs.google.com/spreadsheets/d/17ht0gPKzzT3PObBL1XJkeRmntBXI7wGjpLV7QorqlTk/edit?usp=sharing"",""พัทลุง!N216"")"),0)</f>
        <v>0</v>
      </c>
      <c r="AT82" s="93">
        <f t="shared" ca="1" si="100"/>
        <v>0</v>
      </c>
      <c r="AU82" s="92">
        <f ca="1">IFERROR(__xludf.DUMMYFUNCTION("IMPORTRANGE(""https://docs.google.com/spreadsheets/d/17ht0gPKzzT3PObBL1XJkeRmntBXI7wGjpLV7QorqlTk/edit?usp=sharing"",""พัทลุง!L217"")"),0)</f>
        <v>0</v>
      </c>
      <c r="AV82" s="92">
        <f ca="1">IFERROR(__xludf.DUMMYFUNCTION("IMPORTRANGE(""https://docs.google.com/spreadsheets/d/17ht0gPKzzT3PObBL1XJkeRmntBXI7wGjpLV7QorqlTk/edit?usp=sharing"",""พัทลุง!N217"")"),0)</f>
        <v>0</v>
      </c>
      <c r="AW82" s="93">
        <f t="shared" ca="1" si="102"/>
        <v>0</v>
      </c>
      <c r="AX82" s="92">
        <f ca="1">IFERROR(__xludf.DUMMYFUNCTION("IMPORTRANGE(""https://docs.google.com/spreadsheets/d/17ht0gPKzzT3PObBL1XJkeRmntBXI7wGjpLV7QorqlTk/edit?usp=sharing"",""พัทลุง!I219"")"),0)</f>
        <v>0</v>
      </c>
      <c r="AY82" s="92">
        <f ca="1">IFERROR(__xludf.DUMMYFUNCTION("IMPORTRANGE(""https://docs.google.com/spreadsheets/d/17ht0gPKzzT3PObBL1XJkeRmntBXI7wGjpLV7QorqlTk/edit?usp=sharing"",""พัทลุง!J219"")"),0)</f>
        <v>0</v>
      </c>
      <c r="AZ82" s="93">
        <f t="shared" ca="1" si="104"/>
        <v>0</v>
      </c>
      <c r="BA82" s="92">
        <f ca="1">IFERROR(__xludf.DUMMYFUNCTION("IMPORTRANGE(""https://docs.google.com/spreadsheets/d/17ht0gPKzzT3PObBL1XJkeRmntBXI7wGjpLV7QorqlTk/edit?usp=sharing"",""พัทลุง!I220"")"),0)</f>
        <v>0</v>
      </c>
      <c r="BB82" s="92">
        <f ca="1">IFERROR(__xludf.DUMMYFUNCTION("IMPORTRANGE(""https://docs.google.com/spreadsheets/d/17ht0gPKzzT3PObBL1XJkeRmntBXI7wGjpLV7QorqlTk/edit?usp=sharing"",""พัทลุง!J220"")"),0)</f>
        <v>0</v>
      </c>
      <c r="BC82" s="93">
        <f t="shared" ca="1" si="106"/>
        <v>0</v>
      </c>
      <c r="BD82" s="92">
        <f ca="1">IFERROR(__xludf.DUMMYFUNCTION("IMPORTRANGE(""https://docs.google.com/spreadsheets/d/17ht0gPKzzT3PObBL1XJkeRmntBXI7wGjpLV7QorqlTk/edit?usp=sharing"",""พัทลุง!L223"")"),3000)</f>
        <v>3000</v>
      </c>
      <c r="BE82" s="92">
        <f ca="1">IFERROR(__xludf.DUMMYFUNCTION("IMPORTRANGE(""https://docs.google.com/spreadsheets/d/17ht0gPKzzT3PObBL1XJkeRmntBXI7wGjpLV7QorqlTk/edit?usp=sharing"",""พัทลุง!N223"")"),0)</f>
        <v>0</v>
      </c>
      <c r="BF82" s="93">
        <f t="shared" ca="1" si="108"/>
        <v>0</v>
      </c>
      <c r="BG82" s="92">
        <f ca="1">IFERROR(__xludf.DUMMYFUNCTION("IMPORTRANGE(""https://docs.google.com/spreadsheets/d/17ht0gPKzzT3PObBL1XJkeRmntBXI7wGjpLV7QorqlTk/edit?usp=sharing"",""พัทลุง!L224"")"),1500)</f>
        <v>1500</v>
      </c>
      <c r="BH82" s="92">
        <f ca="1">IFERROR(__xludf.DUMMYFUNCTION("IMPORTRANGE(""https://docs.google.com/spreadsheets/d/17ht0gPKzzT3PObBL1XJkeRmntBXI7wGjpLV7QorqlTk/edit?usp=sharing"",""พัทลุง!N224"")"),0)</f>
        <v>0</v>
      </c>
      <c r="BI82" s="93">
        <f t="shared" ca="1" si="110"/>
        <v>0</v>
      </c>
      <c r="BJ82" s="92">
        <f ca="1">IFERROR(__xludf.DUMMYFUNCTION("IMPORTRANGE(""https://docs.google.com/spreadsheets/d/17ht0gPKzzT3PObBL1XJkeRmntBXI7wGjpLV7QorqlTk/edit?usp=sharing"",""พัทลุง!I228"")"),10000)</f>
        <v>10000</v>
      </c>
      <c r="BK82" s="92">
        <f ca="1">IFERROR(__xludf.DUMMYFUNCTION("IMPORTRANGE(""https://docs.google.com/spreadsheets/d/17ht0gPKzzT3PObBL1XJkeRmntBXI7wGjpLV7QorqlTk/edit?usp=sharing"",""พัทลุง!J228"")"),0)</f>
        <v>0</v>
      </c>
      <c r="BL82" s="93">
        <f t="shared" ca="1" si="112"/>
        <v>0</v>
      </c>
      <c r="BM82" s="92">
        <f ca="1">IFERROR(__xludf.DUMMYFUNCTION("IMPORTRANGE(""https://docs.google.com/spreadsheets/d/17ht0gPKzzT3PObBL1XJkeRmntBXI7wGjpLV7QorqlTk/edit?usp=sharing"",""พัทลุง!I229"")"),10000)</f>
        <v>10000</v>
      </c>
      <c r="BN82" s="92">
        <f ca="1">IFERROR(__xludf.DUMMYFUNCTION("IMPORTRANGE(""https://docs.google.com/spreadsheets/d/17ht0gPKzzT3PObBL1XJkeRmntBXI7wGjpLV7QorqlTk/edit?usp=sharing"",""พัทลุง!J229"")"),0)</f>
        <v>0</v>
      </c>
      <c r="BO82" s="93">
        <f t="shared" ca="1" si="114"/>
        <v>0</v>
      </c>
      <c r="BP82" s="92">
        <f ca="1">IFERROR(__xludf.DUMMYFUNCTION("IMPORTRANGE(""https://docs.google.com/spreadsheets/d/17ht0gPKzzT3PObBL1XJkeRmntBXI7wGjpLV7QorqlTk/edit?usp=sharing"",""พัทลุง!I230"")"),0)</f>
        <v>0</v>
      </c>
      <c r="BQ82" s="92">
        <f ca="1">IFERROR(__xludf.DUMMYFUNCTION("IMPORTRANGE(""https://docs.google.com/spreadsheets/d/17ht0gPKzzT3PObBL1XJkeRmntBXI7wGjpLV7QorqlTk/edit?usp=sharing"",""พัทลุง!J230"")"),0)</f>
        <v>0</v>
      </c>
      <c r="BR82" s="93">
        <f t="shared" ca="1" si="116"/>
        <v>0</v>
      </c>
      <c r="BS82" s="92">
        <f ca="1">IFERROR(__xludf.DUMMYFUNCTION("IMPORTRANGE(""https://docs.google.com/spreadsheets/d/17ht0gPKzzT3PObBL1XJkeRmntBXI7wGjpLV7QorqlTk/edit?usp=sharing"",""พัทลุง!L233"")"),0)</f>
        <v>0</v>
      </c>
      <c r="BT82" s="92">
        <f ca="1">IFERROR(__xludf.DUMMYFUNCTION("IMPORTRANGE(""https://docs.google.com/spreadsheets/d/17ht0gPKzzT3PObBL1XJkeRmntBXI7wGjpLV7QorqlTk/edit?usp=sharing"",""พัทลุง!N233"")"),0)</f>
        <v>0</v>
      </c>
      <c r="BU82" s="93">
        <f t="shared" ca="1" si="118"/>
        <v>0</v>
      </c>
      <c r="BV82" s="92">
        <f ca="1">IFERROR(__xludf.DUMMYFUNCTION("IMPORTRANGE(""https://docs.google.com/spreadsheets/d/17ht0gPKzzT3PObBL1XJkeRmntBXI7wGjpLV7QorqlTk/edit?usp=sharing"",""พัทลุง!L234"")"),0)</f>
        <v>0</v>
      </c>
      <c r="BW82" s="92">
        <f ca="1">IFERROR(__xludf.DUMMYFUNCTION("IMPORTRANGE(""https://docs.google.com/spreadsheets/d/17ht0gPKzzT3PObBL1XJkeRmntBXI7wGjpLV7QorqlTk/edit?usp=sharing"",""พัทลุง!N234"")"),0)</f>
        <v>0</v>
      </c>
      <c r="BX82" s="93">
        <f t="shared" ca="1" si="120"/>
        <v>0</v>
      </c>
      <c r="BY82" s="92">
        <f ca="1">IFERROR(__xludf.DUMMYFUNCTION("IMPORTRANGE(""https://docs.google.com/spreadsheets/d/17ht0gPKzzT3PObBL1XJkeRmntBXI7wGjpLV7QorqlTk/edit?usp=sharing"",""พัทลุง!L235"")"),0)</f>
        <v>0</v>
      </c>
      <c r="BZ82" s="92">
        <f ca="1">IFERROR(__xludf.DUMMYFUNCTION("IMPORTRANGE(""https://docs.google.com/spreadsheets/d/17ht0gPKzzT3PObBL1XJkeRmntBXI7wGjpLV7QorqlTk/edit?usp=sharing"",""พัทลุง!N235"")"),0)</f>
        <v>0</v>
      </c>
      <c r="CA82" s="93">
        <f t="shared" ca="1" si="122"/>
        <v>0</v>
      </c>
      <c r="CB82" s="92">
        <f ca="1">IFERROR(__xludf.DUMMYFUNCTION("IMPORTRANGE(""https://docs.google.com/spreadsheets/d/17ht0gPKzzT3PObBL1XJkeRmntBXI7wGjpLV7QorqlTk/edit?usp=sharing"",""พัทลุง!L236"")"),0)</f>
        <v>0</v>
      </c>
      <c r="CC82" s="92">
        <f ca="1">IFERROR(__xludf.DUMMYFUNCTION("IMPORTRANGE(""https://docs.google.com/spreadsheets/d/17ht0gPKzzT3PObBL1XJkeRmntBXI7wGjpLV7QorqlTk/edit?usp=sharing"",""พัทลุง!N236"")"),0)</f>
        <v>0</v>
      </c>
      <c r="CD82" s="93">
        <f t="shared" ca="1" si="124"/>
        <v>0</v>
      </c>
      <c r="CE82" s="92">
        <f ca="1">IFERROR(__xludf.DUMMYFUNCTION("IMPORTRANGE(""https://docs.google.com/spreadsheets/d/17ht0gPKzzT3PObBL1XJkeRmntBXI7wGjpLV7QorqlTk/edit?usp=sharing"",""พัทลุง!I238"")"),0)</f>
        <v>0</v>
      </c>
      <c r="CF82" s="92">
        <f ca="1">IFERROR(__xludf.DUMMYFUNCTION("IMPORTRANGE(""https://docs.google.com/spreadsheets/d/17ht0gPKzzT3PObBL1XJkeRmntBXI7wGjpLV7QorqlTk/edit?usp=sharing"",""พัทลุง!J238"")"),0)</f>
        <v>0</v>
      </c>
      <c r="CG82" s="93">
        <f t="shared" ca="1" si="126"/>
        <v>0</v>
      </c>
      <c r="CH82" s="92">
        <f ca="1">IFERROR(__xludf.DUMMYFUNCTION("IMPORTRANGE(""https://docs.google.com/spreadsheets/d/17ht0gPKzzT3PObBL1XJkeRmntBXI7wGjpLV7QorqlTk/edit?usp=sharing"",""พัทลุง!J240"")"),0)</f>
        <v>0</v>
      </c>
      <c r="CI82" s="92">
        <f ca="1">IFERROR(__xludf.DUMMYFUNCTION("IMPORTRANGE(""https://docs.google.com/spreadsheets/d/17ht0gPKzzT3PObBL1XJkeRmntBXI7wGjpLV7QorqlTk/edit?usp=sharing"",""พัทลุง!J241"")"),0)</f>
        <v>0</v>
      </c>
    </row>
    <row r="83" spans="1:87" ht="21" customHeight="1" x14ac:dyDescent="0.3">
      <c r="A83" s="84">
        <v>9</v>
      </c>
      <c r="B83" s="85" t="s">
        <v>105</v>
      </c>
      <c r="C83" s="174">
        <f t="shared" ca="1" si="77"/>
        <v>80500</v>
      </c>
      <c r="D83" s="175">
        <f t="shared" ca="1" si="200"/>
        <v>80500</v>
      </c>
      <c r="E83" s="176">
        <f ca="1">IFERROR(__xludf.DUMMYFUNCTION("IMPORTRANGE(""https://docs.google.com/spreadsheets/d/1-uDff_7J0KD5mKrp0Vvzr7lt3OU09vwQwhkpOPPYv2Y/edit?usp=sharing"",""งบพรบ!CV83"")"),74500)</f>
        <v>74500</v>
      </c>
      <c r="F83" s="176">
        <f ca="1">IFERROR(__xludf.DUMMYFUNCTION("IMPORTRANGE(""https://docs.google.com/spreadsheets/d/1-uDff_7J0KD5mKrp0Vvzr7lt3OU09vwQwhkpOPPYv2Y/edit?usp=sharing"",""งบพรบ!CW83"")"),6000)</f>
        <v>6000</v>
      </c>
      <c r="G83" s="176">
        <f ca="1">IFERROR(__xludf.DUMMYFUNCTION("IMPORTRANGE(""https://docs.google.com/spreadsheets/d/1-uDff_7J0KD5mKrp0Vvzr7lt3OU09vwQwhkpOPPYv2Y/edit?usp=sharing"",""งบพรบ!CX83"")"),0)</f>
        <v>0</v>
      </c>
      <c r="H83" s="176">
        <f ca="1">IFERROR(__xludf.DUMMYFUNCTION("IMPORTRANGE(""https://docs.google.com/spreadsheets/d/1-uDff_7J0KD5mKrp0Vvzr7lt3OU09vwQwhkpOPPYv2Y/edit?usp=sharing"",""งบพรบ!CZ83"")"),56500)</f>
        <v>56500</v>
      </c>
      <c r="I83" s="176">
        <f ca="1">IFERROR(__xludf.DUMMYFUNCTION("IMPORTRANGE(""https://docs.google.com/spreadsheets/d/1-uDff_7J0KD5mKrp0Vvzr7lt3OU09vwQwhkpOPPYv2Y/edit?usp=sharing"",""งบพรบ!DA83"")"),0)</f>
        <v>0</v>
      </c>
      <c r="J83" s="176">
        <f t="shared" ca="1" si="79"/>
        <v>0</v>
      </c>
      <c r="K83" s="181">
        <f t="shared" ca="1" si="80"/>
        <v>0</v>
      </c>
      <c r="L83" s="176">
        <f ca="1">IFERROR(__xludf.DUMMYFUNCTION("IMPORTRANGE(""https://docs.google.com/spreadsheets/d/1-uDff_7J0KD5mKrp0Vvzr7lt3OU09vwQwhkpOPPYv2Y/edit?usp=sharing"",""งบพรบ!DB83"")"),0)</f>
        <v>0</v>
      </c>
      <c r="M83" s="179">
        <f t="shared" ca="1" si="81"/>
        <v>0</v>
      </c>
      <c r="N83" s="179">
        <f t="shared" ca="1" si="82"/>
        <v>0</v>
      </c>
      <c r="O83" s="180">
        <f ca="1">IFERROR(__xludf.DUMMYFUNCTION("IMPORTRANGE(""https://docs.google.com/spreadsheets/d/1-uDff_7J0KD5mKrp0Vvzr7lt3OU09vwQwhkpOPPYv2Y/edit?usp=sharing"",""งบพรบ!DC83"")"),0)</f>
        <v>0</v>
      </c>
      <c r="P83" s="180">
        <f t="shared" ca="1" si="83"/>
        <v>0</v>
      </c>
      <c r="Q83" s="179">
        <f t="shared" ca="1" si="84"/>
        <v>0</v>
      </c>
      <c r="R83" s="92">
        <f ca="1">IFERROR(__xludf.DUMMYFUNCTION("IMPORTRANGE(""https://docs.google.com/spreadsheets/d/1rd4qoM1q_hsgaolqNGfrim9gbsoLxQsda4-vOz5x_BM/edit?usp=sharing"",""ภูเก็ต!L196"")"),6000)</f>
        <v>6000</v>
      </c>
      <c r="S83" s="92">
        <f ca="1">IFERROR(__xludf.DUMMYFUNCTION("IMPORTRANGE(""https://docs.google.com/spreadsheets/d/1rd4qoM1q_hsgaolqNGfrim9gbsoLxQsda4-vOz5x_BM/edit?usp=sharing"",""ภูเก็ต!N196"")"),0)</f>
        <v>0</v>
      </c>
      <c r="T83" s="93">
        <f t="shared" ca="1" si="86"/>
        <v>0</v>
      </c>
      <c r="U83" s="92">
        <f ca="1">IFERROR(__xludf.DUMMYFUNCTION("IMPORTRANGE(""https://docs.google.com/spreadsheets/d/1rd4qoM1q_hsgaolqNGfrim9gbsoLxQsda4-vOz5x_BM/edit?usp=sharing"",""ภูเก็ต!I198"")"),4)</f>
        <v>4</v>
      </c>
      <c r="V83" s="92">
        <f ca="1">IFERROR(__xludf.DUMMYFUNCTION("IMPORTRANGE(""https://docs.google.com/spreadsheets/d/1rd4qoM1q_hsgaolqNGfrim9gbsoLxQsda4-vOz5x_BM/edit?usp=sharing"",""ภูเก็ต!J198"")"),1)</f>
        <v>1</v>
      </c>
      <c r="W83" s="93">
        <f t="shared" ca="1" si="88"/>
        <v>25</v>
      </c>
      <c r="X83" s="92">
        <f ca="1">IFERROR(__xludf.DUMMYFUNCTION("IMPORTRANGE(""https://docs.google.com/spreadsheets/d/1rd4qoM1q_hsgaolqNGfrim9gbsoLxQsda4-vOz5x_BM/edit?usp=sharing"",""ภูเก็ต!J199"")"),0)</f>
        <v>0</v>
      </c>
      <c r="Y83" s="92">
        <f ca="1">IFERROR(__xludf.DUMMYFUNCTION("IMPORTRANGE(""https://docs.google.com/spreadsheets/d/1rd4qoM1q_hsgaolqNGfrim9gbsoLxQsda4-vOz5x_BM/edit?usp=sharing"",""ภูเก็ต!J200"")"),0)</f>
        <v>0</v>
      </c>
      <c r="Z83" s="92">
        <f ca="1">IFERROR(__xludf.DUMMYFUNCTION("IMPORTRANGE(""https://docs.google.com/spreadsheets/d/1rd4qoM1q_hsgaolqNGfrim9gbsoLxQsda4-vOz5x_BM/edit?usp=sharing"",""ภูเก็ต!J201"")"),0)</f>
        <v>0</v>
      </c>
      <c r="AA83" s="92">
        <f ca="1">IFERROR(__xludf.DUMMYFUNCTION("IMPORTRANGE(""https://docs.google.com/spreadsheets/d/1rd4qoM1q_hsgaolqNGfrim9gbsoLxQsda4-vOz5x_BM/edit?usp=sharing"",""ภูเก็ต!L204"")"),0)</f>
        <v>0</v>
      </c>
      <c r="AB83" s="92">
        <f ca="1">IFERROR(__xludf.DUMMYFUNCTION("IMPORTRANGE(""https://docs.google.com/spreadsheets/d/1rd4qoM1q_hsgaolqNGfrim9gbsoLxQsda4-vOz5x_BM/edit?usp=sharing"",""ภูเก็ต!N204"")"),0)</f>
        <v>0</v>
      </c>
      <c r="AC83" s="93">
        <f t="shared" ca="1" si="90"/>
        <v>0</v>
      </c>
      <c r="AD83" s="92">
        <f ca="1">IFERROR(__xludf.DUMMYFUNCTION("IMPORTRANGE(""https://docs.google.com/spreadsheets/d/1rd4qoM1q_hsgaolqNGfrim9gbsoLxQsda4-vOz5x_BM/edit?usp=sharing"",""ภูเก็ต!L206"")"),0)</f>
        <v>0</v>
      </c>
      <c r="AE83" s="92">
        <f ca="1">IFERROR(__xludf.DUMMYFUNCTION("IMPORTRANGE(""https://docs.google.com/spreadsheets/d/1rd4qoM1q_hsgaolqNGfrim9gbsoLxQsda4-vOz5x_BM/edit?usp=sharing"",""ภูเก็ต!N206"")"),0)</f>
        <v>0</v>
      </c>
      <c r="AF83" s="93">
        <f t="shared" ca="1" si="92"/>
        <v>0</v>
      </c>
      <c r="AG83" s="92" t="str">
        <f ca="1">IFERROR(__xludf.DUMMYFUNCTION("IMPORTRANGE(""https://docs.google.com/spreadsheets/d/1rd4qoM1q_hsgaolqNGfrim9gbsoLxQsda4-vOz5x_BM/edit?usp=sharing"",""ภูเก็ต!L207"")"),"")</f>
        <v/>
      </c>
      <c r="AH83" s="92" t="str">
        <f ca="1">IFERROR(__xludf.DUMMYFUNCTION("IMPORTRANGE(""https://docs.google.com/spreadsheets/d/1rd4qoM1q_hsgaolqNGfrim9gbsoLxQsda4-vOz5x_BM/edit?usp=sharing"",""ภูเก็ต!N207"")"),"")</f>
        <v/>
      </c>
      <c r="AI83" s="93" t="e">
        <f t="shared" ca="1" si="94"/>
        <v>#VALUE!</v>
      </c>
      <c r="AJ83" s="92">
        <f ca="1">IFERROR(__xludf.DUMMYFUNCTION("IMPORTRANGE(""https://docs.google.com/spreadsheets/d/1rd4qoM1q_hsgaolqNGfrim9gbsoLxQsda4-vOz5x_BM/edit?usp=sharing"",""ภูเก็ต!I209"")"),0)</f>
        <v>0</v>
      </c>
      <c r="AK83" s="92">
        <f ca="1">IFERROR(__xludf.DUMMYFUNCTION("IMPORTRANGE(""https://docs.google.com/spreadsheets/d/1rd4qoM1q_hsgaolqNGfrim9gbsoLxQsda4-vOz5x_BM/edit?usp=sharing"",""ภูเก็ต!J209"")"),0)</f>
        <v>0</v>
      </c>
      <c r="AL83" s="93">
        <f t="shared" ca="1" si="96"/>
        <v>0</v>
      </c>
      <c r="AM83" s="92">
        <f ca="1">IFERROR(__xludf.DUMMYFUNCTION("IMPORTRANGE(""https://docs.google.com/spreadsheets/d/1rd4qoM1q_hsgaolqNGfrim9gbsoLxQsda4-vOz5x_BM/edit?usp=sharing"",""ภูเก็ต!J211"")"),0)</f>
        <v>0</v>
      </c>
      <c r="AN83" s="92">
        <f ca="1">IFERROR(__xludf.DUMMYFUNCTION("IMPORTRANGE(""https://docs.google.com/spreadsheets/d/1rd4qoM1q_hsgaolqNGfrim9gbsoLxQsda4-vOz5x_BM/edit?usp=sharing"",""ภูเก็ต!J212"")"),0)</f>
        <v>0</v>
      </c>
      <c r="AO83" s="92">
        <f ca="1">IFERROR(__xludf.DUMMYFUNCTION("IMPORTRANGE(""https://docs.google.com/spreadsheets/d/1rd4qoM1q_hsgaolqNGfrim9gbsoLxQsda4-vOz5x_BM/edit?usp=sharing"",""ภูเก็ต!L215"")"),0)</f>
        <v>0</v>
      </c>
      <c r="AP83" s="92">
        <f ca="1">IFERROR(__xludf.DUMMYFUNCTION("IMPORTRANGE(""https://docs.google.com/spreadsheets/d/1rd4qoM1q_hsgaolqNGfrim9gbsoLxQsda4-vOz5x_BM/edit?usp=sharing"",""ภูเก็ต!N215"")"),0)</f>
        <v>0</v>
      </c>
      <c r="AQ83" s="93">
        <f t="shared" ca="1" si="98"/>
        <v>0</v>
      </c>
      <c r="AR83" s="92">
        <f ca="1">IFERROR(__xludf.DUMMYFUNCTION("IMPORTRANGE(""https://docs.google.com/spreadsheets/d/1rd4qoM1q_hsgaolqNGfrim9gbsoLxQsda4-vOz5x_BM/edit?usp=sharing"",""ภูเก็ต!L216"")"),0)</f>
        <v>0</v>
      </c>
      <c r="AS83" s="92">
        <f ca="1">IFERROR(__xludf.DUMMYFUNCTION("IMPORTRANGE(""https://docs.google.com/spreadsheets/d/1rd4qoM1q_hsgaolqNGfrim9gbsoLxQsda4-vOz5x_BM/edit?usp=sharing"",""ภูเก็ต!N216"")"),0)</f>
        <v>0</v>
      </c>
      <c r="AT83" s="93">
        <f t="shared" ca="1" si="100"/>
        <v>0</v>
      </c>
      <c r="AU83" s="92">
        <f ca="1">IFERROR(__xludf.DUMMYFUNCTION("IMPORTRANGE(""https://docs.google.com/spreadsheets/d/1rd4qoM1q_hsgaolqNGfrim9gbsoLxQsda4-vOz5x_BM/edit?usp=sharing"",""ภูเก็ต!L217"")"),0)</f>
        <v>0</v>
      </c>
      <c r="AV83" s="92">
        <f ca="1">IFERROR(__xludf.DUMMYFUNCTION("IMPORTRANGE(""https://docs.google.com/spreadsheets/d/1rd4qoM1q_hsgaolqNGfrim9gbsoLxQsda4-vOz5x_BM/edit?usp=sharing"",""ภูเก็ต!N217"")"),0)</f>
        <v>0</v>
      </c>
      <c r="AW83" s="93">
        <f t="shared" ca="1" si="102"/>
        <v>0</v>
      </c>
      <c r="AX83" s="92">
        <f ca="1">IFERROR(__xludf.DUMMYFUNCTION("IMPORTRANGE(""https://docs.google.com/spreadsheets/d/1rd4qoM1q_hsgaolqNGfrim9gbsoLxQsda4-vOz5x_BM/edit?usp=sharing"",""ภูเก็ต!I219"")"),0)</f>
        <v>0</v>
      </c>
      <c r="AY83" s="92">
        <f ca="1">IFERROR(__xludf.DUMMYFUNCTION("IMPORTRANGE(""https://docs.google.com/spreadsheets/d/1rd4qoM1q_hsgaolqNGfrim9gbsoLxQsda4-vOz5x_BM/edit?usp=sharing"",""ภูเก็ต!J219"")"),0)</f>
        <v>0</v>
      </c>
      <c r="AZ83" s="93">
        <f t="shared" ca="1" si="104"/>
        <v>0</v>
      </c>
      <c r="BA83" s="92">
        <f ca="1">IFERROR(__xludf.DUMMYFUNCTION("IMPORTRANGE(""https://docs.google.com/spreadsheets/d/1rd4qoM1q_hsgaolqNGfrim9gbsoLxQsda4-vOz5x_BM/edit?usp=sharing"",""ภูเก็ต!I220"")"),0)</f>
        <v>0</v>
      </c>
      <c r="BB83" s="92">
        <f ca="1">IFERROR(__xludf.DUMMYFUNCTION("IMPORTRANGE(""https://docs.google.com/spreadsheets/d/1rd4qoM1q_hsgaolqNGfrim9gbsoLxQsda4-vOz5x_BM/edit?usp=sharing"",""ภูเก็ต!J220"")"),0)</f>
        <v>0</v>
      </c>
      <c r="BC83" s="93">
        <f t="shared" ca="1" si="106"/>
        <v>0</v>
      </c>
      <c r="BD83" s="92">
        <f ca="1">IFERROR(__xludf.DUMMYFUNCTION("IMPORTRANGE(""https://docs.google.com/spreadsheets/d/1rd4qoM1q_hsgaolqNGfrim9gbsoLxQsda4-vOz5x_BM/edit?usp=sharing"",""ภูเก็ต!L223"")"),0)</f>
        <v>0</v>
      </c>
      <c r="BE83" s="92">
        <f ca="1">IFERROR(__xludf.DUMMYFUNCTION("IMPORTRANGE(""https://docs.google.com/spreadsheets/d/1rd4qoM1q_hsgaolqNGfrim9gbsoLxQsda4-vOz5x_BM/edit?usp=sharing"",""ภูเก็ต!N223"")"),0)</f>
        <v>0</v>
      </c>
      <c r="BF83" s="93">
        <f t="shared" ca="1" si="108"/>
        <v>0</v>
      </c>
      <c r="BG83" s="92">
        <f ca="1">IFERROR(__xludf.DUMMYFUNCTION("IMPORTRANGE(""https://docs.google.com/spreadsheets/d/1rd4qoM1q_hsgaolqNGfrim9gbsoLxQsda4-vOz5x_BM/edit?usp=sharing"",""ภูเก็ต!L224"")"),0)</f>
        <v>0</v>
      </c>
      <c r="BH83" s="92">
        <f ca="1">IFERROR(__xludf.DUMMYFUNCTION("IMPORTRANGE(""https://docs.google.com/spreadsheets/d/1rd4qoM1q_hsgaolqNGfrim9gbsoLxQsda4-vOz5x_BM/edit?usp=sharing"",""ภูเก็ต!N224"")"),0)</f>
        <v>0</v>
      </c>
      <c r="BI83" s="93">
        <f t="shared" ca="1" si="110"/>
        <v>0</v>
      </c>
      <c r="BJ83" s="92">
        <f ca="1">IFERROR(__xludf.DUMMYFUNCTION("IMPORTRANGE(""https://docs.google.com/spreadsheets/d/1rd4qoM1q_hsgaolqNGfrim9gbsoLxQsda4-vOz5x_BM/edit?usp=sharing"",""ภูเก็ต!I228"")"),0)</f>
        <v>0</v>
      </c>
      <c r="BK83" s="92">
        <f ca="1">IFERROR(__xludf.DUMMYFUNCTION("IMPORTRANGE(""https://docs.google.com/spreadsheets/d/1rd4qoM1q_hsgaolqNGfrim9gbsoLxQsda4-vOz5x_BM/edit?usp=sharing"",""ภูเก็ต!J228"")"),0)</f>
        <v>0</v>
      </c>
      <c r="BL83" s="93">
        <f t="shared" ca="1" si="112"/>
        <v>0</v>
      </c>
      <c r="BM83" s="92">
        <f ca="1">IFERROR(__xludf.DUMMYFUNCTION("IMPORTRANGE(""https://docs.google.com/spreadsheets/d/1rd4qoM1q_hsgaolqNGfrim9gbsoLxQsda4-vOz5x_BM/edit?usp=sharing"",""ภูเก็ต!I229"")"),0)</f>
        <v>0</v>
      </c>
      <c r="BN83" s="92">
        <f ca="1">IFERROR(__xludf.DUMMYFUNCTION("IMPORTRANGE(""https://docs.google.com/spreadsheets/d/1rd4qoM1q_hsgaolqNGfrim9gbsoLxQsda4-vOz5x_BM/edit?usp=sharing"",""ภูเก็ต!J229"")"),0)</f>
        <v>0</v>
      </c>
      <c r="BO83" s="93">
        <f t="shared" ca="1" si="114"/>
        <v>0</v>
      </c>
      <c r="BP83" s="92">
        <f ca="1">IFERROR(__xludf.DUMMYFUNCTION("IMPORTRANGE(""https://docs.google.com/spreadsheets/d/1rd4qoM1q_hsgaolqNGfrim9gbsoLxQsda4-vOz5x_BM/edit?usp=sharing"",""ภูเก็ต!I230"")"),0)</f>
        <v>0</v>
      </c>
      <c r="BQ83" s="92">
        <f ca="1">IFERROR(__xludf.DUMMYFUNCTION("IMPORTRANGE(""https://docs.google.com/spreadsheets/d/1rd4qoM1q_hsgaolqNGfrim9gbsoLxQsda4-vOz5x_BM/edit?usp=sharing"",""ภูเก็ต!J230"")"),0)</f>
        <v>0</v>
      </c>
      <c r="BR83" s="93">
        <f t="shared" ca="1" si="116"/>
        <v>0</v>
      </c>
      <c r="BS83" s="92">
        <f ca="1">IFERROR(__xludf.DUMMYFUNCTION("IMPORTRANGE(""https://docs.google.com/spreadsheets/d/1rd4qoM1q_hsgaolqNGfrim9gbsoLxQsda4-vOz5x_BM/edit?usp=sharing"",""ภูเก็ต!L233"")"),0)</f>
        <v>0</v>
      </c>
      <c r="BT83" s="92">
        <f ca="1">IFERROR(__xludf.DUMMYFUNCTION("IMPORTRANGE(""https://docs.google.com/spreadsheets/d/1rd4qoM1q_hsgaolqNGfrim9gbsoLxQsda4-vOz5x_BM/edit?usp=sharing"",""ภูเก็ต!N233"")"),0)</f>
        <v>0</v>
      </c>
      <c r="BU83" s="93">
        <f t="shared" ca="1" si="118"/>
        <v>0</v>
      </c>
      <c r="BV83" s="92">
        <f ca="1">IFERROR(__xludf.DUMMYFUNCTION("IMPORTRANGE(""https://docs.google.com/spreadsheets/d/1rd4qoM1q_hsgaolqNGfrim9gbsoLxQsda4-vOz5x_BM/edit?usp=sharing"",""ภูเก็ต!L234"")"),0)</f>
        <v>0</v>
      </c>
      <c r="BW83" s="92">
        <f ca="1">IFERROR(__xludf.DUMMYFUNCTION("IMPORTRANGE(""https://docs.google.com/spreadsheets/d/1rd4qoM1q_hsgaolqNGfrim9gbsoLxQsda4-vOz5x_BM/edit?usp=sharing"",""ภูเก็ต!N234"")"),0)</f>
        <v>0</v>
      </c>
      <c r="BX83" s="93">
        <f t="shared" ca="1" si="120"/>
        <v>0</v>
      </c>
      <c r="BY83" s="92">
        <f ca="1">IFERROR(__xludf.DUMMYFUNCTION("IMPORTRANGE(""https://docs.google.com/spreadsheets/d/1rd4qoM1q_hsgaolqNGfrim9gbsoLxQsda4-vOz5x_BM/edit?usp=sharing"",""ภูเก็ต!L235"")"),0)</f>
        <v>0</v>
      </c>
      <c r="BZ83" s="92">
        <f ca="1">IFERROR(__xludf.DUMMYFUNCTION("IMPORTRANGE(""https://docs.google.com/spreadsheets/d/1rd4qoM1q_hsgaolqNGfrim9gbsoLxQsda4-vOz5x_BM/edit?usp=sharing"",""ภูเก็ต!N235"")"),0)</f>
        <v>0</v>
      </c>
      <c r="CA83" s="93">
        <f t="shared" ca="1" si="122"/>
        <v>0</v>
      </c>
      <c r="CB83" s="92">
        <f ca="1">IFERROR(__xludf.DUMMYFUNCTION("IMPORTRANGE(""https://docs.google.com/spreadsheets/d/1rd4qoM1q_hsgaolqNGfrim9gbsoLxQsda4-vOz5x_BM/edit?usp=sharing"",""ภูเก็ต!L236"")"),0)</f>
        <v>0</v>
      </c>
      <c r="CC83" s="92">
        <f ca="1">IFERROR(__xludf.DUMMYFUNCTION("IMPORTRANGE(""https://docs.google.com/spreadsheets/d/1rd4qoM1q_hsgaolqNGfrim9gbsoLxQsda4-vOz5x_BM/edit?usp=sharing"",""ภูเก็ต!N236"")"),0)</f>
        <v>0</v>
      </c>
      <c r="CD83" s="93">
        <f t="shared" ca="1" si="124"/>
        <v>0</v>
      </c>
      <c r="CE83" s="92">
        <f ca="1">IFERROR(__xludf.DUMMYFUNCTION("IMPORTRANGE(""https://docs.google.com/spreadsheets/d/1rd4qoM1q_hsgaolqNGfrim9gbsoLxQsda4-vOz5x_BM/edit?usp=sharing"",""ภูเก็ต!I238"")"),0)</f>
        <v>0</v>
      </c>
      <c r="CF83" s="92">
        <f ca="1">IFERROR(__xludf.DUMMYFUNCTION("IMPORTRANGE(""https://docs.google.com/spreadsheets/d/1rd4qoM1q_hsgaolqNGfrim9gbsoLxQsda4-vOz5x_BM/edit?usp=sharing"",""ภูเก็ต!J238"")"),0)</f>
        <v>0</v>
      </c>
      <c r="CG83" s="93">
        <f t="shared" ca="1" si="126"/>
        <v>0</v>
      </c>
      <c r="CH83" s="92">
        <f ca="1">IFERROR(__xludf.DUMMYFUNCTION("IMPORTRANGE(""https://docs.google.com/spreadsheets/d/1rd4qoM1q_hsgaolqNGfrim9gbsoLxQsda4-vOz5x_BM/edit?usp=sharing"",""ภูเก็ต!J240"")"),0)</f>
        <v>0</v>
      </c>
      <c r="CI83" s="92">
        <f ca="1">IFERROR(__xludf.DUMMYFUNCTION("IMPORTRANGE(""https://docs.google.com/spreadsheets/d/1rd4qoM1q_hsgaolqNGfrim9gbsoLxQsda4-vOz5x_BM/edit?usp=sharing"",""ภูเก็ต!J241"")"),0)</f>
        <v>0</v>
      </c>
    </row>
    <row r="84" spans="1:87" ht="21" customHeight="1" x14ac:dyDescent="0.3">
      <c r="A84" s="84">
        <v>10</v>
      </c>
      <c r="B84" s="85" t="s">
        <v>106</v>
      </c>
      <c r="C84" s="174">
        <f t="shared" ca="1" si="77"/>
        <v>105500</v>
      </c>
      <c r="D84" s="175">
        <f t="shared" ca="1" si="200"/>
        <v>105500</v>
      </c>
      <c r="E84" s="176">
        <f ca="1">IFERROR(__xludf.DUMMYFUNCTION("IMPORTRANGE(""https://docs.google.com/spreadsheets/d/1-uDff_7J0KD5mKrp0Vvzr7lt3OU09vwQwhkpOPPYv2Y/edit?usp=sharing"",""งบพรบ!CV84"")"),82000)</f>
        <v>82000</v>
      </c>
      <c r="F84" s="176">
        <f ca="1">IFERROR(__xludf.DUMMYFUNCTION("IMPORTRANGE(""https://docs.google.com/spreadsheets/d/1-uDff_7J0KD5mKrp0Vvzr7lt3OU09vwQwhkpOPPYv2Y/edit?usp=sharing"",""งบพรบ!CW84"")"),23500)</f>
        <v>23500</v>
      </c>
      <c r="G84" s="176">
        <f ca="1">IFERROR(__xludf.DUMMYFUNCTION("IMPORTRANGE(""https://docs.google.com/spreadsheets/d/1-uDff_7J0KD5mKrp0Vvzr7lt3OU09vwQwhkpOPPYv2Y/edit?usp=sharing"",""งบพรบ!CX84"")"),0)</f>
        <v>0</v>
      </c>
      <c r="H84" s="176">
        <f ca="1">IFERROR(__xludf.DUMMYFUNCTION("IMPORTRANGE(""https://docs.google.com/spreadsheets/d/1-uDff_7J0KD5mKrp0Vvzr7lt3OU09vwQwhkpOPPYv2Y/edit?usp=sharing"",""งบพรบ!CZ84"")"),72500)</f>
        <v>72500</v>
      </c>
      <c r="I84" s="176">
        <f ca="1">IFERROR(__xludf.DUMMYFUNCTION("IMPORTRANGE(""https://docs.google.com/spreadsheets/d/1-uDff_7J0KD5mKrp0Vvzr7lt3OU09vwQwhkpOPPYv2Y/edit?usp=sharing"",""งบพรบ!DA84"")"),0)</f>
        <v>0</v>
      </c>
      <c r="J84" s="176">
        <f t="shared" ca="1" si="79"/>
        <v>32323.5</v>
      </c>
      <c r="K84" s="181">
        <f t="shared" ca="1" si="80"/>
        <v>30.638388625592416</v>
      </c>
      <c r="L84" s="176">
        <f ca="1">IFERROR(__xludf.DUMMYFUNCTION("IMPORTRANGE(""https://docs.google.com/spreadsheets/d/1-uDff_7J0KD5mKrp0Vvzr7lt3OU09vwQwhkpOPPYv2Y/edit?usp=sharing"",""งบพรบ!DB84"")"),32323.5)</f>
        <v>32323.5</v>
      </c>
      <c r="M84" s="179">
        <f t="shared" ca="1" si="81"/>
        <v>30.638388625592416</v>
      </c>
      <c r="N84" s="179">
        <f t="shared" ca="1" si="82"/>
        <v>44.584137931034483</v>
      </c>
      <c r="O84" s="180">
        <f ca="1">IFERROR(__xludf.DUMMYFUNCTION("IMPORTRANGE(""https://docs.google.com/spreadsheets/d/1-uDff_7J0KD5mKrp0Vvzr7lt3OU09vwQwhkpOPPYv2Y/edit?usp=sharing"",""งบพรบ!DC84"")"),0)</f>
        <v>0</v>
      </c>
      <c r="P84" s="180">
        <f t="shared" ca="1" si="83"/>
        <v>0</v>
      </c>
      <c r="Q84" s="179">
        <f t="shared" ca="1" si="84"/>
        <v>0</v>
      </c>
      <c r="R84" s="92">
        <f ca="1">IFERROR(__xludf.DUMMYFUNCTION("IMPORTRANGE(""https://docs.google.com/spreadsheets/d/1woKwKjgoLssDvPcPeVyezB5izizAn4X1JDrys69n6xI/edit?usp=sharing"",""ยะลา!L196"")"),6000)</f>
        <v>6000</v>
      </c>
      <c r="S84" s="92">
        <f ca="1">IFERROR(__xludf.DUMMYFUNCTION("IMPORTRANGE(""https://docs.google.com/spreadsheets/d/1woKwKjgoLssDvPcPeVyezB5izizAn4X1JDrys69n6xI/edit?usp=sharing"",""ยะลา!N196"")"),0)</f>
        <v>0</v>
      </c>
      <c r="T84" s="93">
        <f t="shared" ca="1" si="86"/>
        <v>0</v>
      </c>
      <c r="U84" s="92">
        <f ca="1">IFERROR(__xludf.DUMMYFUNCTION("IMPORTRANGE(""https://docs.google.com/spreadsheets/d/1woKwKjgoLssDvPcPeVyezB5izizAn4X1JDrys69n6xI/edit?usp=sharing"",""ยะลา!I198"")"),4)</f>
        <v>4</v>
      </c>
      <c r="V84" s="92">
        <f ca="1">IFERROR(__xludf.DUMMYFUNCTION("IMPORTRANGE(""https://docs.google.com/spreadsheets/d/1woKwKjgoLssDvPcPeVyezB5izizAn4X1JDrys69n6xI/edit?usp=sharing"",""ยะลา!J198"")"),0)</f>
        <v>0</v>
      </c>
      <c r="W84" s="93">
        <f t="shared" ca="1" si="88"/>
        <v>0</v>
      </c>
      <c r="X84" s="92">
        <f ca="1">IFERROR(__xludf.DUMMYFUNCTION("IMPORTRANGE(""https://docs.google.com/spreadsheets/d/1woKwKjgoLssDvPcPeVyezB5izizAn4X1JDrys69n6xI/edit?usp=sharing"",""ยะลา!J199"")"),0)</f>
        <v>0</v>
      </c>
      <c r="Y84" s="92">
        <f ca="1">IFERROR(__xludf.DUMMYFUNCTION("IMPORTRANGE(""https://docs.google.com/spreadsheets/d/1woKwKjgoLssDvPcPeVyezB5izizAn4X1JDrys69n6xI/edit?usp=sharing"",""ยะลา!J200"")"),0)</f>
        <v>0</v>
      </c>
      <c r="Z84" s="92">
        <f ca="1">IFERROR(__xludf.DUMMYFUNCTION("IMPORTRANGE(""https://docs.google.com/spreadsheets/d/1woKwKjgoLssDvPcPeVyezB5izizAn4X1JDrys69n6xI/edit?usp=sharing"",""ยะลา!J201"")"),0)</f>
        <v>0</v>
      </c>
      <c r="AA84" s="92">
        <f ca="1">IFERROR(__xludf.DUMMYFUNCTION("IMPORTRANGE(""https://docs.google.com/spreadsheets/d/1woKwKjgoLssDvPcPeVyezB5izizAn4X1JDrys69n6xI/edit?usp=sharing"",""ยะลา!L204"")"),1000)</f>
        <v>1000</v>
      </c>
      <c r="AB84" s="92">
        <f ca="1">IFERROR(__xludf.DUMMYFUNCTION("IMPORTRANGE(""https://docs.google.com/spreadsheets/d/1woKwKjgoLssDvPcPeVyezB5izizAn4X1JDrys69n6xI/edit?usp=sharing"",""ยะลา!N204"")"),0)</f>
        <v>0</v>
      </c>
      <c r="AC84" s="93">
        <f t="shared" ca="1" si="90"/>
        <v>0</v>
      </c>
      <c r="AD84" s="92">
        <f ca="1">IFERROR(__xludf.DUMMYFUNCTION("IMPORTRANGE(""https://docs.google.com/spreadsheets/d/1woKwKjgoLssDvPcPeVyezB5izizAn4X1JDrys69n6xI/edit?usp=sharing"",""ยะลา!L206"")"),8000)</f>
        <v>8000</v>
      </c>
      <c r="AE84" s="92">
        <f ca="1">IFERROR(__xludf.DUMMYFUNCTION("IMPORTRANGE(""https://docs.google.com/spreadsheets/d/1woKwKjgoLssDvPcPeVyezB5izizAn4X1JDrys69n6xI/edit?usp=sharing"",""ยะลา!N206"")"),0)</f>
        <v>0</v>
      </c>
      <c r="AF84" s="93">
        <f t="shared" ca="1" si="92"/>
        <v>0</v>
      </c>
      <c r="AG84" s="92">
        <f ca="1">IFERROR(__xludf.DUMMYFUNCTION("IMPORTRANGE(""https://docs.google.com/spreadsheets/d/1woKwKjgoLssDvPcPeVyezB5izizAn4X1JDrys69n6xI/edit?usp=sharing"",""ยะลา!L207"")"),4000)</f>
        <v>4000</v>
      </c>
      <c r="AH84" s="92">
        <f ca="1">IFERROR(__xludf.DUMMYFUNCTION("IMPORTRANGE(""https://docs.google.com/spreadsheets/d/1woKwKjgoLssDvPcPeVyezB5izizAn4X1JDrys69n6xI/edit?usp=sharing"",""ยะลา!N207"")"),0)</f>
        <v>0</v>
      </c>
      <c r="AI84" s="93">
        <f t="shared" ca="1" si="94"/>
        <v>0</v>
      </c>
      <c r="AJ84" s="92">
        <f ca="1">IFERROR(__xludf.DUMMYFUNCTION("IMPORTRANGE(""https://docs.google.com/spreadsheets/d/1woKwKjgoLssDvPcPeVyezB5izizAn4X1JDrys69n6xI/edit?usp=sharing"",""ยะลา!I209"")"),1)</f>
        <v>1</v>
      </c>
      <c r="AK84" s="92">
        <f ca="1">IFERROR(__xludf.DUMMYFUNCTION("IMPORTRANGE(""https://docs.google.com/spreadsheets/d/1woKwKjgoLssDvPcPeVyezB5izizAn4X1JDrys69n6xI/edit?usp=sharing"",""ยะลา!J209"")"),0)</f>
        <v>0</v>
      </c>
      <c r="AL84" s="93">
        <f t="shared" ca="1" si="96"/>
        <v>0</v>
      </c>
      <c r="AM84" s="92">
        <f ca="1">IFERROR(__xludf.DUMMYFUNCTION("IMPORTRANGE(""https://docs.google.com/spreadsheets/d/1woKwKjgoLssDvPcPeVyezB5izizAn4X1JDrys69n6xI/edit?usp=sharing"",""ยะลา!J211"")"),0)</f>
        <v>0</v>
      </c>
      <c r="AN84" s="92">
        <f ca="1">IFERROR(__xludf.DUMMYFUNCTION("IMPORTRANGE(""https://docs.google.com/spreadsheets/d/1woKwKjgoLssDvPcPeVyezB5izizAn4X1JDrys69n6xI/edit?usp=sharing"",""ยะลา!J212"")"),0)</f>
        <v>0</v>
      </c>
      <c r="AO84" s="92">
        <f ca="1">IFERROR(__xludf.DUMMYFUNCTION("IMPORTRANGE(""https://docs.google.com/spreadsheets/d/1woKwKjgoLssDvPcPeVyezB5izizAn4X1JDrys69n6xI/edit?usp=sharing"",""ยะลา!L215"")"),0)</f>
        <v>0</v>
      </c>
      <c r="AP84" s="92">
        <f ca="1">IFERROR(__xludf.DUMMYFUNCTION("IMPORTRANGE(""https://docs.google.com/spreadsheets/d/1woKwKjgoLssDvPcPeVyezB5izizAn4X1JDrys69n6xI/edit?usp=sharing"",""ยะลา!N215"")"),0)</f>
        <v>0</v>
      </c>
      <c r="AQ84" s="93">
        <f t="shared" ca="1" si="98"/>
        <v>0</v>
      </c>
      <c r="AR84" s="92">
        <f ca="1">IFERROR(__xludf.DUMMYFUNCTION("IMPORTRANGE(""https://docs.google.com/spreadsheets/d/1woKwKjgoLssDvPcPeVyezB5izizAn4X1JDrys69n6xI/edit?usp=sharing"",""ยะลา!L216"")"),0)</f>
        <v>0</v>
      </c>
      <c r="AS84" s="92">
        <f ca="1">IFERROR(__xludf.DUMMYFUNCTION("IMPORTRANGE(""https://docs.google.com/spreadsheets/d/1woKwKjgoLssDvPcPeVyezB5izizAn4X1JDrys69n6xI/edit?usp=sharing"",""ยะลา!N216"")"),0)</f>
        <v>0</v>
      </c>
      <c r="AT84" s="93">
        <f t="shared" ca="1" si="100"/>
        <v>0</v>
      </c>
      <c r="AU84" s="92">
        <f ca="1">IFERROR(__xludf.DUMMYFUNCTION("IMPORTRANGE(""https://docs.google.com/spreadsheets/d/1woKwKjgoLssDvPcPeVyezB5izizAn4X1JDrys69n6xI/edit?usp=sharing"",""ยะลา!L217"")"),0)</f>
        <v>0</v>
      </c>
      <c r="AV84" s="92">
        <f ca="1">IFERROR(__xludf.DUMMYFUNCTION("IMPORTRANGE(""https://docs.google.com/spreadsheets/d/1woKwKjgoLssDvPcPeVyezB5izizAn4X1JDrys69n6xI/edit?usp=sharing"",""ยะลา!N217"")"),0)</f>
        <v>0</v>
      </c>
      <c r="AW84" s="93">
        <f t="shared" ca="1" si="102"/>
        <v>0</v>
      </c>
      <c r="AX84" s="92">
        <f ca="1">IFERROR(__xludf.DUMMYFUNCTION("IMPORTRANGE(""https://docs.google.com/spreadsheets/d/1woKwKjgoLssDvPcPeVyezB5izizAn4X1JDrys69n6xI/edit?usp=sharing"",""ยะลา!I219"")"),0)</f>
        <v>0</v>
      </c>
      <c r="AY84" s="92">
        <f ca="1">IFERROR(__xludf.DUMMYFUNCTION("IMPORTRANGE(""https://docs.google.com/spreadsheets/d/1woKwKjgoLssDvPcPeVyezB5izizAn4X1JDrys69n6xI/edit?usp=sharing"",""ยะลา!J219"")"),0)</f>
        <v>0</v>
      </c>
      <c r="AZ84" s="93">
        <f t="shared" ca="1" si="104"/>
        <v>0</v>
      </c>
      <c r="BA84" s="92">
        <f ca="1">IFERROR(__xludf.DUMMYFUNCTION("IMPORTRANGE(""https://docs.google.com/spreadsheets/d/1woKwKjgoLssDvPcPeVyezB5izizAn4X1JDrys69n6xI/edit?usp=sharing"",""ยะลา!I220"")"),0)</f>
        <v>0</v>
      </c>
      <c r="BB84" s="92">
        <f ca="1">IFERROR(__xludf.DUMMYFUNCTION("IMPORTRANGE(""https://docs.google.com/spreadsheets/d/1woKwKjgoLssDvPcPeVyezB5izizAn4X1JDrys69n6xI/edit?usp=sharing"",""ยะลา!J220"")"),0)</f>
        <v>0</v>
      </c>
      <c r="BC84" s="93">
        <f t="shared" ca="1" si="106"/>
        <v>0</v>
      </c>
      <c r="BD84" s="92">
        <f ca="1">IFERROR(__xludf.DUMMYFUNCTION("IMPORTRANGE(""https://docs.google.com/spreadsheets/d/1woKwKjgoLssDvPcPeVyezB5izizAn4X1JDrys69n6xI/edit?usp=sharing"",""ยะลา!L223"")"),3000)</f>
        <v>3000</v>
      </c>
      <c r="BE84" s="92">
        <f ca="1">IFERROR(__xludf.DUMMYFUNCTION("IMPORTRANGE(""https://docs.google.com/spreadsheets/d/1woKwKjgoLssDvPcPeVyezB5izizAn4X1JDrys69n6xI/edit?usp=sharing"",""ยะลา!N223"")"),0)</f>
        <v>0</v>
      </c>
      <c r="BF84" s="93">
        <f t="shared" ca="1" si="108"/>
        <v>0</v>
      </c>
      <c r="BG84" s="92">
        <f ca="1">IFERROR(__xludf.DUMMYFUNCTION("IMPORTRANGE(""https://docs.google.com/spreadsheets/d/1woKwKjgoLssDvPcPeVyezB5izizAn4X1JDrys69n6xI/edit?usp=sharing"",""ยะลา!L224"")"),1500)</f>
        <v>1500</v>
      </c>
      <c r="BH84" s="92">
        <f ca="1">IFERROR(__xludf.DUMMYFUNCTION("IMPORTRANGE(""https://docs.google.com/spreadsheets/d/1woKwKjgoLssDvPcPeVyezB5izizAn4X1JDrys69n6xI/edit?usp=sharing"",""ยะลา!N224"")"),0)</f>
        <v>0</v>
      </c>
      <c r="BI84" s="93">
        <f t="shared" ca="1" si="110"/>
        <v>0</v>
      </c>
      <c r="BJ84" s="92">
        <f ca="1">IFERROR(__xludf.DUMMYFUNCTION("IMPORTRANGE(""https://docs.google.com/spreadsheets/d/1woKwKjgoLssDvPcPeVyezB5izizAn4X1JDrys69n6xI/edit?usp=sharing"",""ยะลา!I228"")"),12000)</f>
        <v>12000</v>
      </c>
      <c r="BK84" s="92">
        <f ca="1">IFERROR(__xludf.DUMMYFUNCTION("IMPORTRANGE(""https://docs.google.com/spreadsheets/d/1woKwKjgoLssDvPcPeVyezB5izizAn4X1JDrys69n6xI/edit?usp=sharing"",""ยะลา!J228"")"),0)</f>
        <v>0</v>
      </c>
      <c r="BL84" s="93">
        <f t="shared" ca="1" si="112"/>
        <v>0</v>
      </c>
      <c r="BM84" s="92">
        <f ca="1">IFERROR(__xludf.DUMMYFUNCTION("IMPORTRANGE(""https://docs.google.com/spreadsheets/d/1woKwKjgoLssDvPcPeVyezB5izizAn4X1JDrys69n6xI/edit?usp=sharing"",""ยะลา!I229"")"),12000)</f>
        <v>12000</v>
      </c>
      <c r="BN84" s="92">
        <f ca="1">IFERROR(__xludf.DUMMYFUNCTION("IMPORTRANGE(""https://docs.google.com/spreadsheets/d/1woKwKjgoLssDvPcPeVyezB5izizAn4X1JDrys69n6xI/edit?usp=sharing"",""ยะลา!J229"")"),0)</f>
        <v>0</v>
      </c>
      <c r="BO84" s="93">
        <f t="shared" ca="1" si="114"/>
        <v>0</v>
      </c>
      <c r="BP84" s="92">
        <f ca="1">IFERROR(__xludf.DUMMYFUNCTION("IMPORTRANGE(""https://docs.google.com/spreadsheets/d/1woKwKjgoLssDvPcPeVyezB5izizAn4X1JDrys69n6xI/edit?usp=sharing"",""ยะลา!I230"")"),0)</f>
        <v>0</v>
      </c>
      <c r="BQ84" s="92">
        <f ca="1">IFERROR(__xludf.DUMMYFUNCTION("IMPORTRANGE(""https://docs.google.com/spreadsheets/d/1woKwKjgoLssDvPcPeVyezB5izizAn4X1JDrys69n6xI/edit?usp=sharing"",""ยะลา!J230"")"),0)</f>
        <v>0</v>
      </c>
      <c r="BR84" s="93">
        <f t="shared" ca="1" si="116"/>
        <v>0</v>
      </c>
      <c r="BS84" s="92">
        <f ca="1">IFERROR(__xludf.DUMMYFUNCTION("IMPORTRANGE(""https://docs.google.com/spreadsheets/d/1woKwKjgoLssDvPcPeVyezB5izizAn4X1JDrys69n6xI/edit?usp=sharing"",""ยะลา!L233"")"),0)</f>
        <v>0</v>
      </c>
      <c r="BT84" s="92">
        <f ca="1">IFERROR(__xludf.DUMMYFUNCTION("IMPORTRANGE(""https://docs.google.com/spreadsheets/d/1woKwKjgoLssDvPcPeVyezB5izizAn4X1JDrys69n6xI/edit?usp=sharing"",""ยะลา!N233"")"),0)</f>
        <v>0</v>
      </c>
      <c r="BU84" s="93">
        <f t="shared" ca="1" si="118"/>
        <v>0</v>
      </c>
      <c r="BV84" s="92">
        <f ca="1">IFERROR(__xludf.DUMMYFUNCTION("IMPORTRANGE(""https://docs.google.com/spreadsheets/d/1woKwKjgoLssDvPcPeVyezB5izizAn4X1JDrys69n6xI/edit?usp=sharing"",""ยะลา!L234"")"),0)</f>
        <v>0</v>
      </c>
      <c r="BW84" s="92">
        <f ca="1">IFERROR(__xludf.DUMMYFUNCTION("IMPORTRANGE(""https://docs.google.com/spreadsheets/d/1woKwKjgoLssDvPcPeVyezB5izizAn4X1JDrys69n6xI/edit?usp=sharing"",""ยะลา!N234"")"),0)</f>
        <v>0</v>
      </c>
      <c r="BX84" s="93">
        <f t="shared" ca="1" si="120"/>
        <v>0</v>
      </c>
      <c r="BY84" s="92">
        <f ca="1">IFERROR(__xludf.DUMMYFUNCTION("IMPORTRANGE(""https://docs.google.com/spreadsheets/d/1woKwKjgoLssDvPcPeVyezB5izizAn4X1JDrys69n6xI/edit?usp=sharing"",""ยะลา!L235"")"),0)</f>
        <v>0</v>
      </c>
      <c r="BZ84" s="92">
        <f ca="1">IFERROR(__xludf.DUMMYFUNCTION("IMPORTRANGE(""https://docs.google.com/spreadsheets/d/1woKwKjgoLssDvPcPeVyezB5izizAn4X1JDrys69n6xI/edit?usp=sharing"",""ยะลา!N235"")"),0)</f>
        <v>0</v>
      </c>
      <c r="CA84" s="93">
        <f t="shared" ca="1" si="122"/>
        <v>0</v>
      </c>
      <c r="CB84" s="92">
        <f ca="1">IFERROR(__xludf.DUMMYFUNCTION("IMPORTRANGE(""https://docs.google.com/spreadsheets/d/1woKwKjgoLssDvPcPeVyezB5izizAn4X1JDrys69n6xI/edit?usp=sharing"",""ยะลา!L236"")"),0)</f>
        <v>0</v>
      </c>
      <c r="CC84" s="92">
        <f ca="1">IFERROR(__xludf.DUMMYFUNCTION("IMPORTRANGE(""https://docs.google.com/spreadsheets/d/1woKwKjgoLssDvPcPeVyezB5izizAn4X1JDrys69n6xI/edit?usp=sharing"",""ยะลา!N236"")"),0)</f>
        <v>0</v>
      </c>
      <c r="CD84" s="93">
        <f t="shared" ca="1" si="124"/>
        <v>0</v>
      </c>
      <c r="CE84" s="92">
        <f ca="1">IFERROR(__xludf.DUMMYFUNCTION("IMPORTRANGE(""https://docs.google.com/spreadsheets/d/1woKwKjgoLssDvPcPeVyezB5izizAn4X1JDrys69n6xI/edit?usp=sharing"",""ยะลา!I238"")"),0)</f>
        <v>0</v>
      </c>
      <c r="CF84" s="92">
        <f ca="1">IFERROR(__xludf.DUMMYFUNCTION("IMPORTRANGE(""https://docs.google.com/spreadsheets/d/1woKwKjgoLssDvPcPeVyezB5izizAn4X1JDrys69n6xI/edit?usp=sharing"",""ยะลา!J238"")"),0)</f>
        <v>0</v>
      </c>
      <c r="CG84" s="93">
        <f t="shared" ca="1" si="126"/>
        <v>0</v>
      </c>
      <c r="CH84" s="92">
        <f ca="1">IFERROR(__xludf.DUMMYFUNCTION("IMPORTRANGE(""https://docs.google.com/spreadsheets/d/1woKwKjgoLssDvPcPeVyezB5izizAn4X1JDrys69n6xI/edit?usp=sharing"",""ยะลา!J240"")"),0)</f>
        <v>0</v>
      </c>
      <c r="CI84" s="92">
        <f ca="1">IFERROR(__xludf.DUMMYFUNCTION("IMPORTRANGE(""https://docs.google.com/spreadsheets/d/1woKwKjgoLssDvPcPeVyezB5izizAn4X1JDrys69n6xI/edit?usp=sharing"",""ยะลา!J241"")"),0)</f>
        <v>0</v>
      </c>
    </row>
    <row r="85" spans="1:87" ht="21" customHeight="1" x14ac:dyDescent="0.3">
      <c r="A85" s="84">
        <v>11</v>
      </c>
      <c r="B85" s="85" t="s">
        <v>107</v>
      </c>
      <c r="C85" s="174">
        <f t="shared" ca="1" si="77"/>
        <v>270600</v>
      </c>
      <c r="D85" s="175">
        <f t="shared" ca="1" si="200"/>
        <v>270600</v>
      </c>
      <c r="E85" s="176">
        <f ca="1">IFERROR(__xludf.DUMMYFUNCTION("IMPORTRANGE(""https://docs.google.com/spreadsheets/d/1-uDff_7J0KD5mKrp0Vvzr7lt3OU09vwQwhkpOPPYv2Y/edit?usp=sharing"",""งบพรบ!CV85"")"),247100)</f>
        <v>247100</v>
      </c>
      <c r="F85" s="176">
        <f ca="1">IFERROR(__xludf.DUMMYFUNCTION("IMPORTRANGE(""https://docs.google.com/spreadsheets/d/1-uDff_7J0KD5mKrp0Vvzr7lt3OU09vwQwhkpOPPYv2Y/edit?usp=sharing"",""งบพรบ!CW85"")"),23500)</f>
        <v>23500</v>
      </c>
      <c r="G85" s="176">
        <f ca="1">IFERROR(__xludf.DUMMYFUNCTION("IMPORTRANGE(""https://docs.google.com/spreadsheets/d/1-uDff_7J0KD5mKrp0Vvzr7lt3OU09vwQwhkpOPPYv2Y/edit?usp=sharing"",""งบพรบ!CX85"")"),0)</f>
        <v>0</v>
      </c>
      <c r="H85" s="176">
        <f ca="1">IFERROR(__xludf.DUMMYFUNCTION("IMPORTRANGE(""https://docs.google.com/spreadsheets/d/1-uDff_7J0KD5mKrp0Vvzr7lt3OU09vwQwhkpOPPYv2Y/edit?usp=sharing"",""งบพรบ!CZ85"")"),190000)</f>
        <v>190000</v>
      </c>
      <c r="I85" s="176">
        <f ca="1">IFERROR(__xludf.DUMMYFUNCTION("IMPORTRANGE(""https://docs.google.com/spreadsheets/d/1-uDff_7J0KD5mKrp0Vvzr7lt3OU09vwQwhkpOPPYv2Y/edit?usp=sharing"",""งบพรบ!DA85"")"),0)</f>
        <v>0</v>
      </c>
      <c r="J85" s="176">
        <f t="shared" ca="1" si="79"/>
        <v>66820</v>
      </c>
      <c r="K85" s="181">
        <f t="shared" ca="1" si="80"/>
        <v>24.693274205469326</v>
      </c>
      <c r="L85" s="176">
        <f ca="1">IFERROR(__xludf.DUMMYFUNCTION("IMPORTRANGE(""https://docs.google.com/spreadsheets/d/1-uDff_7J0KD5mKrp0Vvzr7lt3OU09vwQwhkpOPPYv2Y/edit?usp=sharing"",""งบพรบ!DB85"")"),66820)</f>
        <v>66820</v>
      </c>
      <c r="M85" s="179">
        <f t="shared" ca="1" si="81"/>
        <v>24.693274205469326</v>
      </c>
      <c r="N85" s="179">
        <f t="shared" ca="1" si="82"/>
        <v>35.168421052631579</v>
      </c>
      <c r="O85" s="180">
        <f ca="1">IFERROR(__xludf.DUMMYFUNCTION("IMPORTRANGE(""https://docs.google.com/spreadsheets/d/1-uDff_7J0KD5mKrp0Vvzr7lt3OU09vwQwhkpOPPYv2Y/edit?usp=sharing"",""งบพรบ!DC85"")"),0)</f>
        <v>0</v>
      </c>
      <c r="P85" s="180">
        <f t="shared" ca="1" si="83"/>
        <v>0</v>
      </c>
      <c r="Q85" s="179">
        <f t="shared" ca="1" si="84"/>
        <v>0</v>
      </c>
      <c r="R85" s="92">
        <f ca="1">IFERROR(__xludf.DUMMYFUNCTION("IMPORTRANGE(""https://docs.google.com/spreadsheets/d/1qfrKjzMhm2HJfxQ-qVlJlJQ25Hne1d0khsySbZyGtPA/edit?usp=sharing"",""ระนอง!L196"")"),6000)</f>
        <v>6000</v>
      </c>
      <c r="S85" s="92">
        <f ca="1">IFERROR(__xludf.DUMMYFUNCTION("IMPORTRANGE(""https://docs.google.com/spreadsheets/d/1qfrKjzMhm2HJfxQ-qVlJlJQ25Hne1d0khsySbZyGtPA/edit?usp=sharing"",""ระนอง!N196"")"),0)</f>
        <v>0</v>
      </c>
      <c r="T85" s="93">
        <f t="shared" ca="1" si="86"/>
        <v>0</v>
      </c>
      <c r="U85" s="92">
        <f ca="1">IFERROR(__xludf.DUMMYFUNCTION("IMPORTRANGE(""https://docs.google.com/spreadsheets/d/1qfrKjzMhm2HJfxQ-qVlJlJQ25Hne1d0khsySbZyGtPA/edit?usp=sharing"",""ระนอง!I198"")"),4)</f>
        <v>4</v>
      </c>
      <c r="V85" s="92">
        <f ca="1">IFERROR(__xludf.DUMMYFUNCTION("IMPORTRANGE(""https://docs.google.com/spreadsheets/d/1qfrKjzMhm2HJfxQ-qVlJlJQ25Hne1d0khsySbZyGtPA/edit?usp=sharing"",""ระนอง!J198"")"),0)</f>
        <v>0</v>
      </c>
      <c r="W85" s="93">
        <f t="shared" ca="1" si="88"/>
        <v>0</v>
      </c>
      <c r="X85" s="92">
        <f ca="1">IFERROR(__xludf.DUMMYFUNCTION("IMPORTRANGE(""https://docs.google.com/spreadsheets/d/1qfrKjzMhm2HJfxQ-qVlJlJQ25Hne1d0khsySbZyGtPA/edit?usp=sharing"",""ระนอง!J199"")"),0)</f>
        <v>0</v>
      </c>
      <c r="Y85" s="92">
        <f ca="1">IFERROR(__xludf.DUMMYFUNCTION("IMPORTRANGE(""https://docs.google.com/spreadsheets/d/1qfrKjzMhm2HJfxQ-qVlJlJQ25Hne1d0khsySbZyGtPA/edit?usp=sharing"",""ระนอง!J200"")"),0)</f>
        <v>0</v>
      </c>
      <c r="Z85" s="92">
        <f ca="1">IFERROR(__xludf.DUMMYFUNCTION("IMPORTRANGE(""https://docs.google.com/spreadsheets/d/1qfrKjzMhm2HJfxQ-qVlJlJQ25Hne1d0khsySbZyGtPA/edit?usp=sharing"",""ระนอง!J201"")"),0)</f>
        <v>0</v>
      </c>
      <c r="AA85" s="92">
        <f ca="1">IFERROR(__xludf.DUMMYFUNCTION("IMPORTRANGE(""https://docs.google.com/spreadsheets/d/1qfrKjzMhm2HJfxQ-qVlJlJQ25Hne1d0khsySbZyGtPA/edit?usp=sharing"",""ระนอง!L204"")"),1000)</f>
        <v>1000</v>
      </c>
      <c r="AB85" s="92">
        <f ca="1">IFERROR(__xludf.DUMMYFUNCTION("IMPORTRANGE(""https://docs.google.com/spreadsheets/d/1qfrKjzMhm2HJfxQ-qVlJlJQ25Hne1d0khsySbZyGtPA/edit?usp=sharing"",""ระนอง!N204"")"),0)</f>
        <v>0</v>
      </c>
      <c r="AC85" s="93">
        <f t="shared" ca="1" si="90"/>
        <v>0</v>
      </c>
      <c r="AD85" s="92">
        <f ca="1">IFERROR(__xludf.DUMMYFUNCTION("IMPORTRANGE(""https://docs.google.com/spreadsheets/d/1qfrKjzMhm2HJfxQ-qVlJlJQ25Hne1d0khsySbZyGtPA/edit?usp=sharing"",""ระนอง!L206"")"),8000)</f>
        <v>8000</v>
      </c>
      <c r="AE85" s="92">
        <f ca="1">IFERROR(__xludf.DUMMYFUNCTION("IMPORTRANGE(""https://docs.google.com/spreadsheets/d/1qfrKjzMhm2HJfxQ-qVlJlJQ25Hne1d0khsySbZyGtPA/edit?usp=sharing"",""ระนอง!N206"")"),0)</f>
        <v>0</v>
      </c>
      <c r="AF85" s="93">
        <f t="shared" ca="1" si="92"/>
        <v>0</v>
      </c>
      <c r="AG85" s="92">
        <f ca="1">IFERROR(__xludf.DUMMYFUNCTION("IMPORTRANGE(""https://docs.google.com/spreadsheets/d/1qfrKjzMhm2HJfxQ-qVlJlJQ25Hne1d0khsySbZyGtPA/edit?usp=sharing"",""ระนอง!L207"")"),4000)</f>
        <v>4000</v>
      </c>
      <c r="AH85" s="92">
        <f ca="1">IFERROR(__xludf.DUMMYFUNCTION("IMPORTRANGE(""https://docs.google.com/spreadsheets/d/1qfrKjzMhm2HJfxQ-qVlJlJQ25Hne1d0khsySbZyGtPA/edit?usp=sharing"",""ระนอง!N207"")"),0)</f>
        <v>0</v>
      </c>
      <c r="AI85" s="93">
        <f t="shared" ca="1" si="94"/>
        <v>0</v>
      </c>
      <c r="AJ85" s="92">
        <f ca="1">IFERROR(__xludf.DUMMYFUNCTION("IMPORTRANGE(""https://docs.google.com/spreadsheets/d/1qfrKjzMhm2HJfxQ-qVlJlJQ25Hne1d0khsySbZyGtPA/edit?usp=sharing"",""ระนอง!I209"")"),1)</f>
        <v>1</v>
      </c>
      <c r="AK85" s="92">
        <f ca="1">IFERROR(__xludf.DUMMYFUNCTION("IMPORTRANGE(""https://docs.google.com/spreadsheets/d/1qfrKjzMhm2HJfxQ-qVlJlJQ25Hne1d0khsySbZyGtPA/edit?usp=sharing"",""ระนอง!J209"")"),0)</f>
        <v>0</v>
      </c>
      <c r="AL85" s="93">
        <f t="shared" ca="1" si="96"/>
        <v>0</v>
      </c>
      <c r="AM85" s="92">
        <f ca="1">IFERROR(__xludf.DUMMYFUNCTION("IMPORTRANGE(""https://docs.google.com/spreadsheets/d/1qfrKjzMhm2HJfxQ-qVlJlJQ25Hne1d0khsySbZyGtPA/edit?usp=sharing"",""ระนอง!J211"")"),0)</f>
        <v>0</v>
      </c>
      <c r="AN85" s="92">
        <f ca="1">IFERROR(__xludf.DUMMYFUNCTION("IMPORTRANGE(""https://docs.google.com/spreadsheets/d/1qfrKjzMhm2HJfxQ-qVlJlJQ25Hne1d0khsySbZyGtPA/edit?usp=sharing"",""ระนอง!J212"")"),0)</f>
        <v>0</v>
      </c>
      <c r="AO85" s="92">
        <f ca="1">IFERROR(__xludf.DUMMYFUNCTION("IMPORTRANGE(""https://docs.google.com/spreadsheets/d/1qfrKjzMhm2HJfxQ-qVlJlJQ25Hne1d0khsySbZyGtPA/edit?usp=sharing"",""ระนอง!L215"")"),0)</f>
        <v>0</v>
      </c>
      <c r="AP85" s="92">
        <f ca="1">IFERROR(__xludf.DUMMYFUNCTION("IMPORTRANGE(""https://docs.google.com/spreadsheets/d/1qfrKjzMhm2HJfxQ-qVlJlJQ25Hne1d0khsySbZyGtPA/edit?usp=sharing"",""ระนอง!N215"")"),0)</f>
        <v>0</v>
      </c>
      <c r="AQ85" s="93">
        <f t="shared" ca="1" si="98"/>
        <v>0</v>
      </c>
      <c r="AR85" s="92">
        <f ca="1">IFERROR(__xludf.DUMMYFUNCTION("IMPORTRANGE(""https://docs.google.com/spreadsheets/d/1qfrKjzMhm2HJfxQ-qVlJlJQ25Hne1d0khsySbZyGtPA/edit?usp=sharing"",""ระนอง!L216"")"),0)</f>
        <v>0</v>
      </c>
      <c r="AS85" s="92">
        <f ca="1">IFERROR(__xludf.DUMMYFUNCTION("IMPORTRANGE(""https://docs.google.com/spreadsheets/d/1qfrKjzMhm2HJfxQ-qVlJlJQ25Hne1d0khsySbZyGtPA/edit?usp=sharing"",""ระนอง!N216"")"),0)</f>
        <v>0</v>
      </c>
      <c r="AT85" s="93">
        <f t="shared" ca="1" si="100"/>
        <v>0</v>
      </c>
      <c r="AU85" s="92">
        <f ca="1">IFERROR(__xludf.DUMMYFUNCTION("IMPORTRANGE(""https://docs.google.com/spreadsheets/d/1qfrKjzMhm2HJfxQ-qVlJlJQ25Hne1d0khsySbZyGtPA/edit?usp=sharing"",""ระนอง!L217"")"),0)</f>
        <v>0</v>
      </c>
      <c r="AV85" s="92">
        <f ca="1">IFERROR(__xludf.DUMMYFUNCTION("IMPORTRANGE(""https://docs.google.com/spreadsheets/d/1qfrKjzMhm2HJfxQ-qVlJlJQ25Hne1d0khsySbZyGtPA/edit?usp=sharing"",""ระนอง!N217"")"),0)</f>
        <v>0</v>
      </c>
      <c r="AW85" s="93">
        <f t="shared" ca="1" si="102"/>
        <v>0</v>
      </c>
      <c r="AX85" s="92">
        <f ca="1">IFERROR(__xludf.DUMMYFUNCTION("IMPORTRANGE(""https://docs.google.com/spreadsheets/d/1qfrKjzMhm2HJfxQ-qVlJlJQ25Hne1d0khsySbZyGtPA/edit?usp=sharing"",""ระนอง!I219"")"),0)</f>
        <v>0</v>
      </c>
      <c r="AY85" s="92">
        <f ca="1">IFERROR(__xludf.DUMMYFUNCTION("IMPORTRANGE(""https://docs.google.com/spreadsheets/d/1qfrKjzMhm2HJfxQ-qVlJlJQ25Hne1d0khsySbZyGtPA/edit?usp=sharing"",""ระนอง!J219"")"),0)</f>
        <v>0</v>
      </c>
      <c r="AZ85" s="93">
        <f t="shared" ca="1" si="104"/>
        <v>0</v>
      </c>
      <c r="BA85" s="92">
        <f ca="1">IFERROR(__xludf.DUMMYFUNCTION("IMPORTRANGE(""https://docs.google.com/spreadsheets/d/1qfrKjzMhm2HJfxQ-qVlJlJQ25Hne1d0khsySbZyGtPA/edit?usp=sharing"",""ระนอง!I220"")"),0)</f>
        <v>0</v>
      </c>
      <c r="BB85" s="92">
        <f ca="1">IFERROR(__xludf.DUMMYFUNCTION("IMPORTRANGE(""https://docs.google.com/spreadsheets/d/1qfrKjzMhm2HJfxQ-qVlJlJQ25Hne1d0khsySbZyGtPA/edit?usp=sharing"",""ระนอง!J220"")"),0)</f>
        <v>0</v>
      </c>
      <c r="BC85" s="93">
        <f t="shared" ca="1" si="106"/>
        <v>0</v>
      </c>
      <c r="BD85" s="92">
        <f ca="1">IFERROR(__xludf.DUMMYFUNCTION("IMPORTRANGE(""https://docs.google.com/spreadsheets/d/1qfrKjzMhm2HJfxQ-qVlJlJQ25Hne1d0khsySbZyGtPA/edit?usp=sharing"",""ระนอง!L223"")"),3000)</f>
        <v>3000</v>
      </c>
      <c r="BE85" s="92">
        <f ca="1">IFERROR(__xludf.DUMMYFUNCTION("IMPORTRANGE(""https://docs.google.com/spreadsheets/d/1qfrKjzMhm2HJfxQ-qVlJlJQ25Hne1d0khsySbZyGtPA/edit?usp=sharing"",""ระนอง!N223"")"),0)</f>
        <v>0</v>
      </c>
      <c r="BF85" s="93">
        <f t="shared" ca="1" si="108"/>
        <v>0</v>
      </c>
      <c r="BG85" s="92">
        <f ca="1">IFERROR(__xludf.DUMMYFUNCTION("IMPORTRANGE(""https://docs.google.com/spreadsheets/d/1qfrKjzMhm2HJfxQ-qVlJlJQ25Hne1d0khsySbZyGtPA/edit?usp=sharing"",""ระนอง!L224"")"),1500)</f>
        <v>1500</v>
      </c>
      <c r="BH85" s="92">
        <f ca="1">IFERROR(__xludf.DUMMYFUNCTION("IMPORTRANGE(""https://docs.google.com/spreadsheets/d/1qfrKjzMhm2HJfxQ-qVlJlJQ25Hne1d0khsySbZyGtPA/edit?usp=sharing"",""ระนอง!N224"")"),0)</f>
        <v>0</v>
      </c>
      <c r="BI85" s="93">
        <f t="shared" ca="1" si="110"/>
        <v>0</v>
      </c>
      <c r="BJ85" s="92">
        <f ca="1">IFERROR(__xludf.DUMMYFUNCTION("IMPORTRANGE(""https://docs.google.com/spreadsheets/d/1qfrKjzMhm2HJfxQ-qVlJlJQ25Hne1d0khsySbZyGtPA/edit?usp=sharing"",""ระนอง!I228"")"),12800)</f>
        <v>12800</v>
      </c>
      <c r="BK85" s="92">
        <f ca="1">IFERROR(__xludf.DUMMYFUNCTION("IMPORTRANGE(""https://docs.google.com/spreadsheets/d/1qfrKjzMhm2HJfxQ-qVlJlJQ25Hne1d0khsySbZyGtPA/edit?usp=sharing"",""ระนอง!J228"")"),0)</f>
        <v>0</v>
      </c>
      <c r="BL85" s="93">
        <f t="shared" ca="1" si="112"/>
        <v>0</v>
      </c>
      <c r="BM85" s="92">
        <f ca="1">IFERROR(__xludf.DUMMYFUNCTION("IMPORTRANGE(""https://docs.google.com/spreadsheets/d/1qfrKjzMhm2HJfxQ-qVlJlJQ25Hne1d0khsySbZyGtPA/edit?usp=sharing"",""ระนอง!I229"")"),12800)</f>
        <v>12800</v>
      </c>
      <c r="BN85" s="92">
        <f ca="1">IFERROR(__xludf.DUMMYFUNCTION("IMPORTRANGE(""https://docs.google.com/spreadsheets/d/1qfrKjzMhm2HJfxQ-qVlJlJQ25Hne1d0khsySbZyGtPA/edit?usp=sharing"",""ระนอง!J229"")"),0)</f>
        <v>0</v>
      </c>
      <c r="BO85" s="93">
        <f t="shared" ca="1" si="114"/>
        <v>0</v>
      </c>
      <c r="BP85" s="92">
        <f ca="1">IFERROR(__xludf.DUMMYFUNCTION("IMPORTRANGE(""https://docs.google.com/spreadsheets/d/1qfrKjzMhm2HJfxQ-qVlJlJQ25Hne1d0khsySbZyGtPA/edit?usp=sharing"",""ระนอง!I230"")"),0)</f>
        <v>0</v>
      </c>
      <c r="BQ85" s="92">
        <f ca="1">IFERROR(__xludf.DUMMYFUNCTION("IMPORTRANGE(""https://docs.google.com/spreadsheets/d/1qfrKjzMhm2HJfxQ-qVlJlJQ25Hne1d0khsySbZyGtPA/edit?usp=sharing"",""ระนอง!J230"")"),0)</f>
        <v>0</v>
      </c>
      <c r="BR85" s="93">
        <f t="shared" ca="1" si="116"/>
        <v>0</v>
      </c>
      <c r="BS85" s="92">
        <f ca="1">IFERROR(__xludf.DUMMYFUNCTION("IMPORTRANGE(""https://docs.google.com/spreadsheets/d/1qfrKjzMhm2HJfxQ-qVlJlJQ25Hne1d0khsySbZyGtPA/edit?usp=sharing"",""ระนอง!L233"")"),0)</f>
        <v>0</v>
      </c>
      <c r="BT85" s="92">
        <f ca="1">IFERROR(__xludf.DUMMYFUNCTION("IMPORTRANGE(""https://docs.google.com/spreadsheets/d/1qfrKjzMhm2HJfxQ-qVlJlJQ25Hne1d0khsySbZyGtPA/edit?usp=sharing"",""ระนอง!N233"")"),0)</f>
        <v>0</v>
      </c>
      <c r="BU85" s="93">
        <f t="shared" ca="1" si="118"/>
        <v>0</v>
      </c>
      <c r="BV85" s="92">
        <f ca="1">IFERROR(__xludf.DUMMYFUNCTION("IMPORTRANGE(""https://docs.google.com/spreadsheets/d/1qfrKjzMhm2HJfxQ-qVlJlJQ25Hne1d0khsySbZyGtPA/edit?usp=sharing"",""ระนอง!L234"")"),0)</f>
        <v>0</v>
      </c>
      <c r="BW85" s="92">
        <f ca="1">IFERROR(__xludf.DUMMYFUNCTION("IMPORTRANGE(""https://docs.google.com/spreadsheets/d/1qfrKjzMhm2HJfxQ-qVlJlJQ25Hne1d0khsySbZyGtPA/edit?usp=sharing"",""ระนอง!N234"")"),0)</f>
        <v>0</v>
      </c>
      <c r="BX85" s="93">
        <f t="shared" ca="1" si="120"/>
        <v>0</v>
      </c>
      <c r="BY85" s="92">
        <f ca="1">IFERROR(__xludf.DUMMYFUNCTION("IMPORTRANGE(""https://docs.google.com/spreadsheets/d/1qfrKjzMhm2HJfxQ-qVlJlJQ25Hne1d0khsySbZyGtPA/edit?usp=sharing"",""ระนอง!L235"")"),0)</f>
        <v>0</v>
      </c>
      <c r="BZ85" s="92">
        <f ca="1">IFERROR(__xludf.DUMMYFUNCTION("IMPORTRANGE(""https://docs.google.com/spreadsheets/d/1qfrKjzMhm2HJfxQ-qVlJlJQ25Hne1d0khsySbZyGtPA/edit?usp=sharing"",""ระนอง!N235"")"),0)</f>
        <v>0</v>
      </c>
      <c r="CA85" s="93">
        <f t="shared" ca="1" si="122"/>
        <v>0</v>
      </c>
      <c r="CB85" s="92">
        <f ca="1">IFERROR(__xludf.DUMMYFUNCTION("IMPORTRANGE(""https://docs.google.com/spreadsheets/d/1qfrKjzMhm2HJfxQ-qVlJlJQ25Hne1d0khsySbZyGtPA/edit?usp=sharing"",""ระนอง!L236"")"),0)</f>
        <v>0</v>
      </c>
      <c r="CC85" s="92">
        <f ca="1">IFERROR(__xludf.DUMMYFUNCTION("IMPORTRANGE(""https://docs.google.com/spreadsheets/d/1qfrKjzMhm2HJfxQ-qVlJlJQ25Hne1d0khsySbZyGtPA/edit?usp=sharing"",""ระนอง!N236"")"),0)</f>
        <v>0</v>
      </c>
      <c r="CD85" s="93">
        <f t="shared" ca="1" si="124"/>
        <v>0</v>
      </c>
      <c r="CE85" s="92">
        <f ca="1">IFERROR(__xludf.DUMMYFUNCTION("IMPORTRANGE(""https://docs.google.com/spreadsheets/d/1qfrKjzMhm2HJfxQ-qVlJlJQ25Hne1d0khsySbZyGtPA/edit?usp=sharing"",""ระนอง!I238"")"),0)</f>
        <v>0</v>
      </c>
      <c r="CF85" s="92">
        <f ca="1">IFERROR(__xludf.DUMMYFUNCTION("IMPORTRANGE(""https://docs.google.com/spreadsheets/d/1qfrKjzMhm2HJfxQ-qVlJlJQ25Hne1d0khsySbZyGtPA/edit?usp=sharing"",""ระนอง!J238"")"),0)</f>
        <v>0</v>
      </c>
      <c r="CG85" s="93">
        <f t="shared" ca="1" si="126"/>
        <v>0</v>
      </c>
      <c r="CH85" s="92">
        <f ca="1">IFERROR(__xludf.DUMMYFUNCTION("IMPORTRANGE(""https://docs.google.com/spreadsheets/d/1qfrKjzMhm2HJfxQ-qVlJlJQ25Hne1d0khsySbZyGtPA/edit?usp=sharing"",""ระนอง!J240"")"),0)</f>
        <v>0</v>
      </c>
      <c r="CI85" s="92">
        <f ca="1">IFERROR(__xludf.DUMMYFUNCTION("IMPORTRANGE(""https://docs.google.com/spreadsheets/d/1qfrKjzMhm2HJfxQ-qVlJlJQ25Hne1d0khsySbZyGtPA/edit?usp=sharing"",""ระนอง!J241"")"),0)</f>
        <v>0</v>
      </c>
    </row>
    <row r="86" spans="1:87" ht="24" customHeight="1" x14ac:dyDescent="0.3">
      <c r="A86" s="84">
        <v>12</v>
      </c>
      <c r="B86" s="85" t="s">
        <v>108</v>
      </c>
      <c r="C86" s="174">
        <f t="shared" ca="1" si="77"/>
        <v>267600</v>
      </c>
      <c r="D86" s="175">
        <f t="shared" ca="1" si="200"/>
        <v>267600</v>
      </c>
      <c r="E86" s="176">
        <f ca="1">IFERROR(__xludf.DUMMYFUNCTION("IMPORTRANGE(""https://docs.google.com/spreadsheets/d/1-uDff_7J0KD5mKrp0Vvzr7lt3OU09vwQwhkpOPPYv2Y/edit?usp=sharing"",""งบพรบ!CV86"")"),164100)</f>
        <v>164100</v>
      </c>
      <c r="F86" s="176">
        <f ca="1">IFERROR(__xludf.DUMMYFUNCTION("IMPORTRANGE(""https://docs.google.com/spreadsheets/d/1-uDff_7J0KD5mKrp0Vvzr7lt3OU09vwQwhkpOPPYv2Y/edit?usp=sharing"",""งบพรบ!CW86"")"),103500)</f>
        <v>103500</v>
      </c>
      <c r="G86" s="176">
        <f ca="1">IFERROR(__xludf.DUMMYFUNCTION("IMPORTRANGE(""https://docs.google.com/spreadsheets/d/1-uDff_7J0KD5mKrp0Vvzr7lt3OU09vwQwhkpOPPYv2Y/edit?usp=sharing"",""งบพรบ!CX86"")"),0)</f>
        <v>0</v>
      </c>
      <c r="H86" s="176">
        <f ca="1">IFERROR(__xludf.DUMMYFUNCTION("IMPORTRANGE(""https://docs.google.com/spreadsheets/d/1-uDff_7J0KD5mKrp0Vvzr7lt3OU09vwQwhkpOPPYv2Y/edit?usp=sharing"",""งบพรบ!CZ86"")"),185000)</f>
        <v>185000</v>
      </c>
      <c r="I86" s="176">
        <f ca="1">IFERROR(__xludf.DUMMYFUNCTION("IMPORTRANGE(""https://docs.google.com/spreadsheets/d/1-uDff_7J0KD5mKrp0Vvzr7lt3OU09vwQwhkpOPPYv2Y/edit?usp=sharing"",""งบพรบ!DA86"")"),0)</f>
        <v>0</v>
      </c>
      <c r="J86" s="176">
        <f t="shared" ca="1" si="79"/>
        <v>38664.58</v>
      </c>
      <c r="K86" s="181">
        <f t="shared" ca="1" si="80"/>
        <v>14.448647234678624</v>
      </c>
      <c r="L86" s="176">
        <f ca="1">IFERROR(__xludf.DUMMYFUNCTION("IMPORTRANGE(""https://docs.google.com/spreadsheets/d/1-uDff_7J0KD5mKrp0Vvzr7lt3OU09vwQwhkpOPPYv2Y/edit?usp=sharing"",""งบพรบ!DB86"")"),38664.58)</f>
        <v>38664.58</v>
      </c>
      <c r="M86" s="179">
        <f t="shared" ca="1" si="81"/>
        <v>14.448647234678624</v>
      </c>
      <c r="N86" s="179">
        <f t="shared" ca="1" si="82"/>
        <v>20.899772972972972</v>
      </c>
      <c r="O86" s="180">
        <f ca="1">IFERROR(__xludf.DUMMYFUNCTION("IMPORTRANGE(""https://docs.google.com/spreadsheets/d/1-uDff_7J0KD5mKrp0Vvzr7lt3OU09vwQwhkpOPPYv2Y/edit?usp=sharing"",""งบพรบ!DC86"")"),0)</f>
        <v>0</v>
      </c>
      <c r="P86" s="180">
        <f t="shared" ca="1" si="83"/>
        <v>0</v>
      </c>
      <c r="Q86" s="179">
        <f t="shared" ca="1" si="84"/>
        <v>0</v>
      </c>
      <c r="R86" s="92">
        <f ca="1">IFERROR(__xludf.DUMMYFUNCTION("IMPORTRANGE(""https://docs.google.com/spreadsheets/d/1IbSCnFOKpZsnFogBHJnL_isstZVaOMnFiIN0fGTPZZw/edit?usp=sharing"",""สงขลา!L196"")"),6000)</f>
        <v>6000</v>
      </c>
      <c r="S86" s="92">
        <f ca="1">IFERROR(__xludf.DUMMYFUNCTION("IMPORTRANGE(""https://docs.google.com/spreadsheets/d/1IbSCnFOKpZsnFogBHJnL_isstZVaOMnFiIN0fGTPZZw/edit?usp=sharing"",""สงขลา!N196"")"),0)</f>
        <v>0</v>
      </c>
      <c r="T86" s="93">
        <f t="shared" ca="1" si="86"/>
        <v>0</v>
      </c>
      <c r="U86" s="92">
        <f ca="1">IFERROR(__xludf.DUMMYFUNCTION("IMPORTRANGE(""https://docs.google.com/spreadsheets/d/1IbSCnFOKpZsnFogBHJnL_isstZVaOMnFiIN0fGTPZZw/edit?usp=sharing"",""สงขลา!I198"")"),4)</f>
        <v>4</v>
      </c>
      <c r="V86" s="92">
        <f ca="1">IFERROR(__xludf.DUMMYFUNCTION("IMPORTRANGE(""https://docs.google.com/spreadsheets/d/1IbSCnFOKpZsnFogBHJnL_isstZVaOMnFiIN0fGTPZZw/edit?usp=sharing"",""สงขลา!J198"")"),1)</f>
        <v>1</v>
      </c>
      <c r="W86" s="93">
        <f t="shared" ca="1" si="88"/>
        <v>25</v>
      </c>
      <c r="X86" s="92">
        <f ca="1">IFERROR(__xludf.DUMMYFUNCTION("IMPORTRANGE(""https://docs.google.com/spreadsheets/d/1IbSCnFOKpZsnFogBHJnL_isstZVaOMnFiIN0fGTPZZw/edit?usp=sharing"",""สงขลา!J199"")"),53)</f>
        <v>53</v>
      </c>
      <c r="Y86" s="92">
        <f ca="1">IFERROR(__xludf.DUMMYFUNCTION("IMPORTRANGE(""https://docs.google.com/spreadsheets/d/1IbSCnFOKpZsnFogBHJnL_isstZVaOMnFiIN0fGTPZZw/edit?usp=sharing"",""สงขลา!J200"")"),53)</f>
        <v>53</v>
      </c>
      <c r="Z86" s="92">
        <f ca="1">IFERROR(__xludf.DUMMYFUNCTION("IMPORTRANGE(""https://docs.google.com/spreadsheets/d/1IbSCnFOKpZsnFogBHJnL_isstZVaOMnFiIN0fGTPZZw/edit?usp=sharing"",""สงขลา!J201"")"),0)</f>
        <v>0</v>
      </c>
      <c r="AA86" s="92">
        <f ca="1">IFERROR(__xludf.DUMMYFUNCTION("IMPORTRANGE(""https://docs.google.com/spreadsheets/d/1IbSCnFOKpZsnFogBHJnL_isstZVaOMnFiIN0fGTPZZw/edit?usp=sharing"",""สงขลา!L204"")"),5000)</f>
        <v>5000</v>
      </c>
      <c r="AB86" s="92">
        <f ca="1">IFERROR(__xludf.DUMMYFUNCTION("IMPORTRANGE(""https://docs.google.com/spreadsheets/d/1IbSCnFOKpZsnFogBHJnL_isstZVaOMnFiIN0fGTPZZw/edit?usp=sharing"",""สงขลา!N204"")"),0)</f>
        <v>0</v>
      </c>
      <c r="AC86" s="93">
        <f t="shared" ca="1" si="90"/>
        <v>0</v>
      </c>
      <c r="AD86" s="92">
        <f ca="1">IFERROR(__xludf.DUMMYFUNCTION("IMPORTRANGE(""https://docs.google.com/spreadsheets/d/1IbSCnFOKpZsnFogBHJnL_isstZVaOMnFiIN0fGTPZZw/edit?usp=sharing"",""สงขลา!L206"")"),40000)</f>
        <v>40000</v>
      </c>
      <c r="AE86" s="92">
        <f ca="1">IFERROR(__xludf.DUMMYFUNCTION("IMPORTRANGE(""https://docs.google.com/spreadsheets/d/1IbSCnFOKpZsnFogBHJnL_isstZVaOMnFiIN0fGTPZZw/edit?usp=sharing"",""สงขลา!N206"")"),0)</f>
        <v>0</v>
      </c>
      <c r="AF86" s="93">
        <f t="shared" ca="1" si="92"/>
        <v>0</v>
      </c>
      <c r="AG86" s="92">
        <f ca="1">IFERROR(__xludf.DUMMYFUNCTION("IMPORTRANGE(""https://docs.google.com/spreadsheets/d/1IbSCnFOKpZsnFogBHJnL_isstZVaOMnFiIN0fGTPZZw/edit?usp=sharing"",""สงขลา!L207"")"),20000)</f>
        <v>20000</v>
      </c>
      <c r="AH86" s="92">
        <f ca="1">IFERROR(__xludf.DUMMYFUNCTION("IMPORTRANGE(""https://docs.google.com/spreadsheets/d/1IbSCnFOKpZsnFogBHJnL_isstZVaOMnFiIN0fGTPZZw/edit?usp=sharing"",""สงขลา!N207"")"),0)</f>
        <v>0</v>
      </c>
      <c r="AI86" s="93">
        <f t="shared" ca="1" si="94"/>
        <v>0</v>
      </c>
      <c r="AJ86" s="92">
        <f ca="1">IFERROR(__xludf.DUMMYFUNCTION("IMPORTRANGE(""https://docs.google.com/spreadsheets/d/1IbSCnFOKpZsnFogBHJnL_isstZVaOMnFiIN0fGTPZZw/edit?usp=sharing"",""สงขลา!I209"")"),5)</f>
        <v>5</v>
      </c>
      <c r="AK86" s="92">
        <f ca="1">IFERROR(__xludf.DUMMYFUNCTION("IMPORTRANGE(""https://docs.google.com/spreadsheets/d/1IbSCnFOKpZsnFogBHJnL_isstZVaOMnFiIN0fGTPZZw/edit?usp=sharing"",""สงขลา!J209"")"),0)</f>
        <v>0</v>
      </c>
      <c r="AL86" s="93">
        <f t="shared" ca="1" si="96"/>
        <v>0</v>
      </c>
      <c r="AM86" s="92">
        <f ca="1">IFERROR(__xludf.DUMMYFUNCTION("IMPORTRANGE(""https://docs.google.com/spreadsheets/d/1IbSCnFOKpZsnFogBHJnL_isstZVaOMnFiIN0fGTPZZw/edit?usp=sharing"",""สงขลา!J211"")"),0)</f>
        <v>0</v>
      </c>
      <c r="AN86" s="92">
        <f ca="1">IFERROR(__xludf.DUMMYFUNCTION("IMPORTRANGE(""https://docs.google.com/spreadsheets/d/1IbSCnFOKpZsnFogBHJnL_isstZVaOMnFiIN0fGTPZZw/edit?usp=sharing"",""สงขลา!J212"")"),0)</f>
        <v>0</v>
      </c>
      <c r="AO86" s="92">
        <f ca="1">IFERROR(__xludf.DUMMYFUNCTION("IMPORTRANGE(""https://docs.google.com/spreadsheets/d/1IbSCnFOKpZsnFogBHJnL_isstZVaOMnFiIN0fGTPZZw/edit?usp=sharing"",""สงขลา!L215"")"),2000)</f>
        <v>2000</v>
      </c>
      <c r="AP86" s="92">
        <f ca="1">IFERROR(__xludf.DUMMYFUNCTION("IMPORTRANGE(""https://docs.google.com/spreadsheets/d/1IbSCnFOKpZsnFogBHJnL_isstZVaOMnFiIN0fGTPZZw/edit?usp=sharing"",""สงขลา!N215"")"),0)</f>
        <v>0</v>
      </c>
      <c r="AQ86" s="93">
        <f t="shared" ca="1" si="98"/>
        <v>0</v>
      </c>
      <c r="AR86" s="92">
        <f ca="1">IFERROR(__xludf.DUMMYFUNCTION("IMPORTRANGE(""https://docs.google.com/spreadsheets/d/1IbSCnFOKpZsnFogBHJnL_isstZVaOMnFiIN0fGTPZZw/edit?usp=sharing"",""สงขลา!L216"")"),10000)</f>
        <v>10000</v>
      </c>
      <c r="AS86" s="92">
        <f ca="1">IFERROR(__xludf.DUMMYFUNCTION("IMPORTRANGE(""https://docs.google.com/spreadsheets/d/1IbSCnFOKpZsnFogBHJnL_isstZVaOMnFiIN0fGTPZZw/edit?usp=sharing"",""สงขลา!N216"")"),0)</f>
        <v>0</v>
      </c>
      <c r="AT86" s="93">
        <f t="shared" ca="1" si="100"/>
        <v>0</v>
      </c>
      <c r="AU86" s="92">
        <f ca="1">IFERROR(__xludf.DUMMYFUNCTION("IMPORTRANGE(""https://docs.google.com/spreadsheets/d/1IbSCnFOKpZsnFogBHJnL_isstZVaOMnFiIN0fGTPZZw/edit?usp=sharing"",""สงขลา!L217"")"),16000)</f>
        <v>16000</v>
      </c>
      <c r="AV86" s="92">
        <f ca="1">IFERROR(__xludf.DUMMYFUNCTION("IMPORTRANGE(""https://docs.google.com/spreadsheets/d/1IbSCnFOKpZsnFogBHJnL_isstZVaOMnFiIN0fGTPZZw/edit?usp=sharing"",""สงขลา!N217"")"),0)</f>
        <v>0</v>
      </c>
      <c r="AW86" s="93">
        <f t="shared" ca="1" si="102"/>
        <v>0</v>
      </c>
      <c r="AX86" s="92">
        <f ca="1">IFERROR(__xludf.DUMMYFUNCTION("IMPORTRANGE(""https://docs.google.com/spreadsheets/d/1IbSCnFOKpZsnFogBHJnL_isstZVaOMnFiIN0fGTPZZw/edit?usp=sharing"",""สงขลา!I219"")"),2)</f>
        <v>2</v>
      </c>
      <c r="AY86" s="92">
        <f ca="1">IFERROR(__xludf.DUMMYFUNCTION("IMPORTRANGE(""https://docs.google.com/spreadsheets/d/1IbSCnFOKpZsnFogBHJnL_isstZVaOMnFiIN0fGTPZZw/edit?usp=sharing"",""สงขลา!J219"")"),0)</f>
        <v>0</v>
      </c>
      <c r="AZ86" s="93">
        <f t="shared" ca="1" si="104"/>
        <v>0</v>
      </c>
      <c r="BA86" s="92">
        <f ca="1">IFERROR(__xludf.DUMMYFUNCTION("IMPORTRANGE(""https://docs.google.com/spreadsheets/d/1IbSCnFOKpZsnFogBHJnL_isstZVaOMnFiIN0fGTPZZw/edit?usp=sharing"",""สงขลา!I220"")"),2)</f>
        <v>2</v>
      </c>
      <c r="BB86" s="92">
        <f ca="1">IFERROR(__xludf.DUMMYFUNCTION("IMPORTRANGE(""https://docs.google.com/spreadsheets/d/1IbSCnFOKpZsnFogBHJnL_isstZVaOMnFiIN0fGTPZZw/edit?usp=sharing"",""สงขลา!J220"")"),0)</f>
        <v>0</v>
      </c>
      <c r="BC86" s="93">
        <f t="shared" ca="1" si="106"/>
        <v>0</v>
      </c>
      <c r="BD86" s="92">
        <f ca="1">IFERROR(__xludf.DUMMYFUNCTION("IMPORTRANGE(""https://docs.google.com/spreadsheets/d/1IbSCnFOKpZsnFogBHJnL_isstZVaOMnFiIN0fGTPZZw/edit?usp=sharing"",""สงขลา!L223"")"),3000)</f>
        <v>3000</v>
      </c>
      <c r="BE86" s="92">
        <f ca="1">IFERROR(__xludf.DUMMYFUNCTION("IMPORTRANGE(""https://docs.google.com/spreadsheets/d/1IbSCnFOKpZsnFogBHJnL_isstZVaOMnFiIN0fGTPZZw/edit?usp=sharing"",""สงขลา!N223"")"),0)</f>
        <v>0</v>
      </c>
      <c r="BF86" s="93">
        <f t="shared" ca="1" si="108"/>
        <v>0</v>
      </c>
      <c r="BG86" s="92">
        <f ca="1">IFERROR(__xludf.DUMMYFUNCTION("IMPORTRANGE(""https://docs.google.com/spreadsheets/d/1IbSCnFOKpZsnFogBHJnL_isstZVaOMnFiIN0fGTPZZw/edit?usp=sharing"",""สงขลา!L224"")"),1500)</f>
        <v>1500</v>
      </c>
      <c r="BH86" s="92">
        <f ca="1">IFERROR(__xludf.DUMMYFUNCTION("IMPORTRANGE(""https://docs.google.com/spreadsheets/d/1IbSCnFOKpZsnFogBHJnL_isstZVaOMnFiIN0fGTPZZw/edit?usp=sharing"",""สงขลา!N224"")"),0)</f>
        <v>0</v>
      </c>
      <c r="BI86" s="93">
        <f t="shared" ca="1" si="110"/>
        <v>0</v>
      </c>
      <c r="BJ86" s="92">
        <f ca="1">IFERROR(__xludf.DUMMYFUNCTION("IMPORTRANGE(""https://docs.google.com/spreadsheets/d/1IbSCnFOKpZsnFogBHJnL_isstZVaOMnFiIN0fGTPZZw/edit?usp=sharing"",""สงขลา!I228"")"),15000)</f>
        <v>15000</v>
      </c>
      <c r="BK86" s="92">
        <f ca="1">IFERROR(__xludf.DUMMYFUNCTION("IMPORTRANGE(""https://docs.google.com/spreadsheets/d/1IbSCnFOKpZsnFogBHJnL_isstZVaOMnFiIN0fGTPZZw/edit?usp=sharing"",""สงขลา!J228"")"),0)</f>
        <v>0</v>
      </c>
      <c r="BL86" s="93">
        <f t="shared" ca="1" si="112"/>
        <v>0</v>
      </c>
      <c r="BM86" s="92">
        <f ca="1">IFERROR(__xludf.DUMMYFUNCTION("IMPORTRANGE(""https://docs.google.com/spreadsheets/d/1IbSCnFOKpZsnFogBHJnL_isstZVaOMnFiIN0fGTPZZw/edit?usp=sharing"",""สงขลา!I229"")"),15000)</f>
        <v>15000</v>
      </c>
      <c r="BN86" s="92">
        <f ca="1">IFERROR(__xludf.DUMMYFUNCTION("IMPORTRANGE(""https://docs.google.com/spreadsheets/d/1IbSCnFOKpZsnFogBHJnL_isstZVaOMnFiIN0fGTPZZw/edit?usp=sharing"",""สงขลา!J229"")"),0)</f>
        <v>0</v>
      </c>
      <c r="BO86" s="93">
        <f t="shared" ca="1" si="114"/>
        <v>0</v>
      </c>
      <c r="BP86" s="92">
        <f ca="1">IFERROR(__xludf.DUMMYFUNCTION("IMPORTRANGE(""https://docs.google.com/spreadsheets/d/1IbSCnFOKpZsnFogBHJnL_isstZVaOMnFiIN0fGTPZZw/edit?usp=sharing"",""สงขลา!I230"")"),0)</f>
        <v>0</v>
      </c>
      <c r="BQ86" s="92">
        <f ca="1">IFERROR(__xludf.DUMMYFUNCTION("IMPORTRANGE(""https://docs.google.com/spreadsheets/d/1IbSCnFOKpZsnFogBHJnL_isstZVaOMnFiIN0fGTPZZw/edit?usp=sharing"",""สงขลา!J230"")"),0)</f>
        <v>0</v>
      </c>
      <c r="BR86" s="93">
        <f t="shared" ca="1" si="116"/>
        <v>0</v>
      </c>
      <c r="BS86" s="92">
        <f ca="1">IFERROR(__xludf.DUMMYFUNCTION("IMPORTRANGE(""https://docs.google.com/spreadsheets/d/1IbSCnFOKpZsnFogBHJnL_isstZVaOMnFiIN0fGTPZZw/edit?usp=sharing"",""สงขลา!L233"")"),0)</f>
        <v>0</v>
      </c>
      <c r="BT86" s="92">
        <f ca="1">IFERROR(__xludf.DUMMYFUNCTION("IMPORTRANGE(""https://docs.google.com/spreadsheets/d/1IbSCnFOKpZsnFogBHJnL_isstZVaOMnFiIN0fGTPZZw/edit?usp=sharing"",""สงขลา!N233"")"),0)</f>
        <v>0</v>
      </c>
      <c r="BU86" s="93">
        <f t="shared" ca="1" si="118"/>
        <v>0</v>
      </c>
      <c r="BV86" s="92">
        <f ca="1">IFERROR(__xludf.DUMMYFUNCTION("IMPORTRANGE(""https://docs.google.com/spreadsheets/d/1IbSCnFOKpZsnFogBHJnL_isstZVaOMnFiIN0fGTPZZw/edit?usp=sharing"",""สงขลา!L234"")"),0)</f>
        <v>0</v>
      </c>
      <c r="BW86" s="92">
        <f ca="1">IFERROR(__xludf.DUMMYFUNCTION("IMPORTRANGE(""https://docs.google.com/spreadsheets/d/1IbSCnFOKpZsnFogBHJnL_isstZVaOMnFiIN0fGTPZZw/edit?usp=sharing"",""สงขลา!N234"")"),0)</f>
        <v>0</v>
      </c>
      <c r="BX86" s="93">
        <f t="shared" ca="1" si="120"/>
        <v>0</v>
      </c>
      <c r="BY86" s="92">
        <f ca="1">IFERROR(__xludf.DUMMYFUNCTION("IMPORTRANGE(""https://docs.google.com/spreadsheets/d/1IbSCnFOKpZsnFogBHJnL_isstZVaOMnFiIN0fGTPZZw/edit?usp=sharing"",""สงขลา!L235"")"),0)</f>
        <v>0</v>
      </c>
      <c r="BZ86" s="92">
        <f ca="1">IFERROR(__xludf.DUMMYFUNCTION("IMPORTRANGE(""https://docs.google.com/spreadsheets/d/1IbSCnFOKpZsnFogBHJnL_isstZVaOMnFiIN0fGTPZZw/edit?usp=sharing"",""สงขลา!N235"")"),0)</f>
        <v>0</v>
      </c>
      <c r="CA86" s="93">
        <f t="shared" ca="1" si="122"/>
        <v>0</v>
      </c>
      <c r="CB86" s="92">
        <f ca="1">IFERROR(__xludf.DUMMYFUNCTION("IMPORTRANGE(""https://docs.google.com/spreadsheets/d/1IbSCnFOKpZsnFogBHJnL_isstZVaOMnFiIN0fGTPZZw/edit?usp=sharing"",""สงขลา!L236"")"),0)</f>
        <v>0</v>
      </c>
      <c r="CC86" s="92">
        <f ca="1">IFERROR(__xludf.DUMMYFUNCTION("IMPORTRANGE(""https://docs.google.com/spreadsheets/d/1IbSCnFOKpZsnFogBHJnL_isstZVaOMnFiIN0fGTPZZw/edit?usp=sharing"",""สงขลา!N236"")"),0)</f>
        <v>0</v>
      </c>
      <c r="CD86" s="93">
        <f t="shared" ca="1" si="124"/>
        <v>0</v>
      </c>
      <c r="CE86" s="92">
        <f ca="1">IFERROR(__xludf.DUMMYFUNCTION("IMPORTRANGE(""https://docs.google.com/spreadsheets/d/1IbSCnFOKpZsnFogBHJnL_isstZVaOMnFiIN0fGTPZZw/edit?usp=sharing"",""สงขลา!I238"")"),0)</f>
        <v>0</v>
      </c>
      <c r="CF86" s="92">
        <f ca="1">IFERROR(__xludf.DUMMYFUNCTION("IMPORTRANGE(""https://docs.google.com/spreadsheets/d/1IbSCnFOKpZsnFogBHJnL_isstZVaOMnFiIN0fGTPZZw/edit?usp=sharing"",""สงขลา!J238"")"),0)</f>
        <v>0</v>
      </c>
      <c r="CG86" s="93">
        <f t="shared" ca="1" si="126"/>
        <v>0</v>
      </c>
      <c r="CH86" s="92">
        <f ca="1">IFERROR(__xludf.DUMMYFUNCTION("IMPORTRANGE(""https://docs.google.com/spreadsheets/d/1IbSCnFOKpZsnFogBHJnL_isstZVaOMnFiIN0fGTPZZw/edit?usp=sharing"",""สงขลา!J240"")"),0)</f>
        <v>0</v>
      </c>
      <c r="CI86" s="92">
        <f ca="1">IFERROR(__xludf.DUMMYFUNCTION("IMPORTRANGE(""https://docs.google.com/spreadsheets/d/1IbSCnFOKpZsnFogBHJnL_isstZVaOMnFiIN0fGTPZZw/edit?usp=sharing"",""สงขลา!J241"")"),0)</f>
        <v>0</v>
      </c>
    </row>
    <row r="87" spans="1:87" ht="24" customHeight="1" x14ac:dyDescent="0.3">
      <c r="A87" s="84">
        <v>13</v>
      </c>
      <c r="B87" s="85" t="s">
        <v>109</v>
      </c>
      <c r="C87" s="174">
        <f t="shared" ca="1" si="77"/>
        <v>269400</v>
      </c>
      <c r="D87" s="175">
        <f t="shared" ca="1" si="200"/>
        <v>269400</v>
      </c>
      <c r="E87" s="176">
        <f ca="1">IFERROR(__xludf.DUMMYFUNCTION("IMPORTRANGE(""https://docs.google.com/spreadsheets/d/1-uDff_7J0KD5mKrp0Vvzr7lt3OU09vwQwhkpOPPYv2Y/edit?usp=sharing"",""งบพรบ!CV87"")"),245900)</f>
        <v>245900</v>
      </c>
      <c r="F87" s="176">
        <f ca="1">IFERROR(__xludf.DUMMYFUNCTION("IMPORTRANGE(""https://docs.google.com/spreadsheets/d/1-uDff_7J0KD5mKrp0Vvzr7lt3OU09vwQwhkpOPPYv2Y/edit?usp=sharing"",""งบพรบ!CW87"")"),23500)</f>
        <v>23500</v>
      </c>
      <c r="G87" s="176">
        <f ca="1">IFERROR(__xludf.DUMMYFUNCTION("IMPORTRANGE(""https://docs.google.com/spreadsheets/d/1-uDff_7J0KD5mKrp0Vvzr7lt3OU09vwQwhkpOPPYv2Y/edit?usp=sharing"",""งบพรบ!CX87"")"),0)</f>
        <v>0</v>
      </c>
      <c r="H87" s="176">
        <f ca="1">IFERROR(__xludf.DUMMYFUNCTION("IMPORTRANGE(""https://docs.google.com/spreadsheets/d/1-uDff_7J0KD5mKrp0Vvzr7lt3OU09vwQwhkpOPPYv2Y/edit?usp=sharing"",""งบพรบ!CZ87"")"),189500)</f>
        <v>189500</v>
      </c>
      <c r="I87" s="176">
        <f ca="1">IFERROR(__xludf.DUMMYFUNCTION("IMPORTRANGE(""https://docs.google.com/spreadsheets/d/1-uDff_7J0KD5mKrp0Vvzr7lt3OU09vwQwhkpOPPYv2Y/edit?usp=sharing"",""งบพรบ!DA87"")"),0)</f>
        <v>0</v>
      </c>
      <c r="J87" s="176">
        <f t="shared" ca="1" si="79"/>
        <v>29690</v>
      </c>
      <c r="K87" s="181">
        <f t="shared" ca="1" si="80"/>
        <v>11.020786933927246</v>
      </c>
      <c r="L87" s="176">
        <f ca="1">IFERROR(__xludf.DUMMYFUNCTION("IMPORTRANGE(""https://docs.google.com/spreadsheets/d/1-uDff_7J0KD5mKrp0Vvzr7lt3OU09vwQwhkpOPPYv2Y/edit?usp=sharing"",""งบพรบ!DB87"")"),29690)</f>
        <v>29690</v>
      </c>
      <c r="M87" s="179">
        <f t="shared" ca="1" si="81"/>
        <v>11.020786933927246</v>
      </c>
      <c r="N87" s="179">
        <f t="shared" ca="1" si="82"/>
        <v>15.66754617414248</v>
      </c>
      <c r="O87" s="180">
        <f ca="1">IFERROR(__xludf.DUMMYFUNCTION("IMPORTRANGE(""https://docs.google.com/spreadsheets/d/1-uDff_7J0KD5mKrp0Vvzr7lt3OU09vwQwhkpOPPYv2Y/edit?usp=sharing"",""งบพรบ!DC87"")"),0)</f>
        <v>0</v>
      </c>
      <c r="P87" s="180">
        <f t="shared" ca="1" si="83"/>
        <v>0</v>
      </c>
      <c r="Q87" s="179">
        <f t="shared" ca="1" si="84"/>
        <v>0</v>
      </c>
      <c r="R87" s="92">
        <f ca="1">IFERROR(__xludf.DUMMYFUNCTION("IMPORTRANGE(""https://docs.google.com/spreadsheets/d/1q9nWasZJ-K8bFGvbE9n0qSRuKGA4Toe3Y89cKCiVtCU/edit?usp=sharing"",""สตูล!L196"")"),6000)</f>
        <v>6000</v>
      </c>
      <c r="S87" s="92">
        <f ca="1">IFERROR(__xludf.DUMMYFUNCTION("IMPORTRANGE(""https://docs.google.com/spreadsheets/d/1q9nWasZJ-K8bFGvbE9n0qSRuKGA4Toe3Y89cKCiVtCU/edit?usp=sharing"",""สตูล!N196"")"),0)</f>
        <v>0</v>
      </c>
      <c r="T87" s="93">
        <f t="shared" ca="1" si="86"/>
        <v>0</v>
      </c>
      <c r="U87" s="92">
        <f ca="1">IFERROR(__xludf.DUMMYFUNCTION("IMPORTRANGE(""https://docs.google.com/spreadsheets/d/1q9nWasZJ-K8bFGvbE9n0qSRuKGA4Toe3Y89cKCiVtCU/edit?usp=sharing"",""สตูล!I198"")"),4)</f>
        <v>4</v>
      </c>
      <c r="V87" s="92">
        <f ca="1">IFERROR(__xludf.DUMMYFUNCTION("IMPORTRANGE(""https://docs.google.com/spreadsheets/d/1q9nWasZJ-K8bFGvbE9n0qSRuKGA4Toe3Y89cKCiVtCU/edit?usp=sharing"",""สตูล!J198"")"),1)</f>
        <v>1</v>
      </c>
      <c r="W87" s="93">
        <f t="shared" ca="1" si="88"/>
        <v>25</v>
      </c>
      <c r="X87" s="92">
        <f ca="1">IFERROR(__xludf.DUMMYFUNCTION("IMPORTRANGE(""https://docs.google.com/spreadsheets/d/1q9nWasZJ-K8bFGvbE9n0qSRuKGA4Toe3Y89cKCiVtCU/edit?usp=sharing"",""สตูล!J199"")"),22)</f>
        <v>22</v>
      </c>
      <c r="Y87" s="92">
        <f ca="1">IFERROR(__xludf.DUMMYFUNCTION("IMPORTRANGE(""https://docs.google.com/spreadsheets/d/1q9nWasZJ-K8bFGvbE9n0qSRuKGA4Toe3Y89cKCiVtCU/edit?usp=sharing"",""สตูล!J200"")"),22)</f>
        <v>22</v>
      </c>
      <c r="Z87" s="92">
        <f ca="1">IFERROR(__xludf.DUMMYFUNCTION("IMPORTRANGE(""https://docs.google.com/spreadsheets/d/1q9nWasZJ-K8bFGvbE9n0qSRuKGA4Toe3Y89cKCiVtCU/edit?usp=sharing"",""สตูล!J201"")"),0)</f>
        <v>0</v>
      </c>
      <c r="AA87" s="92">
        <f ca="1">IFERROR(__xludf.DUMMYFUNCTION("IMPORTRANGE(""https://docs.google.com/spreadsheets/d/1q9nWasZJ-K8bFGvbE9n0qSRuKGA4Toe3Y89cKCiVtCU/edit?usp=sharing"",""สตูล!L204"")"),1000)</f>
        <v>1000</v>
      </c>
      <c r="AB87" s="92">
        <f ca="1">IFERROR(__xludf.DUMMYFUNCTION("IMPORTRANGE(""https://docs.google.com/spreadsheets/d/1q9nWasZJ-K8bFGvbE9n0qSRuKGA4Toe3Y89cKCiVtCU/edit?usp=sharing"",""สตูล!N204"")"),0)</f>
        <v>0</v>
      </c>
      <c r="AC87" s="93">
        <f t="shared" ca="1" si="90"/>
        <v>0</v>
      </c>
      <c r="AD87" s="92">
        <f ca="1">IFERROR(__xludf.DUMMYFUNCTION("IMPORTRANGE(""https://docs.google.com/spreadsheets/d/1q9nWasZJ-K8bFGvbE9n0qSRuKGA4Toe3Y89cKCiVtCU/edit?usp=sharing"",""สตูล!L206"")"),8000)</f>
        <v>8000</v>
      </c>
      <c r="AE87" s="92">
        <f ca="1">IFERROR(__xludf.DUMMYFUNCTION("IMPORTRANGE(""https://docs.google.com/spreadsheets/d/1q9nWasZJ-K8bFGvbE9n0qSRuKGA4Toe3Y89cKCiVtCU/edit?usp=sharing"",""สตูล!N206"")"),0)</f>
        <v>0</v>
      </c>
      <c r="AF87" s="93">
        <f t="shared" ca="1" si="92"/>
        <v>0</v>
      </c>
      <c r="AG87" s="92">
        <f ca="1">IFERROR(__xludf.DUMMYFUNCTION("IMPORTRANGE(""https://docs.google.com/spreadsheets/d/1q9nWasZJ-K8bFGvbE9n0qSRuKGA4Toe3Y89cKCiVtCU/edit?usp=sharing"",""สตูล!L207"")"),4000)</f>
        <v>4000</v>
      </c>
      <c r="AH87" s="92">
        <f ca="1">IFERROR(__xludf.DUMMYFUNCTION("IMPORTRANGE(""https://docs.google.com/spreadsheets/d/1q9nWasZJ-K8bFGvbE9n0qSRuKGA4Toe3Y89cKCiVtCU/edit?usp=sharing"",""สตูล!N207"")"),0)</f>
        <v>0</v>
      </c>
      <c r="AI87" s="93">
        <f t="shared" ca="1" si="94"/>
        <v>0</v>
      </c>
      <c r="AJ87" s="92">
        <f ca="1">IFERROR(__xludf.DUMMYFUNCTION("IMPORTRANGE(""https://docs.google.com/spreadsheets/d/1q9nWasZJ-K8bFGvbE9n0qSRuKGA4Toe3Y89cKCiVtCU/edit?usp=sharing"",""สตูล!I209"")"),1)</f>
        <v>1</v>
      </c>
      <c r="AK87" s="92">
        <f ca="1">IFERROR(__xludf.DUMMYFUNCTION("IMPORTRANGE(""https://docs.google.com/spreadsheets/d/1q9nWasZJ-K8bFGvbE9n0qSRuKGA4Toe3Y89cKCiVtCU/edit?usp=sharing"",""สตูล!J209"")"),0)</f>
        <v>0</v>
      </c>
      <c r="AL87" s="93">
        <f t="shared" ca="1" si="96"/>
        <v>0</v>
      </c>
      <c r="AM87" s="92">
        <f ca="1">IFERROR(__xludf.DUMMYFUNCTION("IMPORTRANGE(""https://docs.google.com/spreadsheets/d/1q9nWasZJ-K8bFGvbE9n0qSRuKGA4Toe3Y89cKCiVtCU/edit?usp=sharing"",""สตูล!J211"")"),0)</f>
        <v>0</v>
      </c>
      <c r="AN87" s="92">
        <f ca="1">IFERROR(__xludf.DUMMYFUNCTION("IMPORTRANGE(""https://docs.google.com/spreadsheets/d/1q9nWasZJ-K8bFGvbE9n0qSRuKGA4Toe3Y89cKCiVtCU/edit?usp=sharing"",""สตูล!J212"")"),0)</f>
        <v>0</v>
      </c>
      <c r="AO87" s="92">
        <f ca="1">IFERROR(__xludf.DUMMYFUNCTION("IMPORTRANGE(""https://docs.google.com/spreadsheets/d/1q9nWasZJ-K8bFGvbE9n0qSRuKGA4Toe3Y89cKCiVtCU/edit?usp=sharing"",""สตูล!L215"")"),0)</f>
        <v>0</v>
      </c>
      <c r="AP87" s="92">
        <f ca="1">IFERROR(__xludf.DUMMYFUNCTION("IMPORTRANGE(""https://docs.google.com/spreadsheets/d/1q9nWasZJ-K8bFGvbE9n0qSRuKGA4Toe3Y89cKCiVtCU/edit?usp=sharing"",""สตูล!N215"")"),0)</f>
        <v>0</v>
      </c>
      <c r="AQ87" s="93">
        <f t="shared" ca="1" si="98"/>
        <v>0</v>
      </c>
      <c r="AR87" s="92">
        <f ca="1">IFERROR(__xludf.DUMMYFUNCTION("IMPORTRANGE(""https://docs.google.com/spreadsheets/d/1q9nWasZJ-K8bFGvbE9n0qSRuKGA4Toe3Y89cKCiVtCU/edit?usp=sharing"",""สตูล!L216"")"),0)</f>
        <v>0</v>
      </c>
      <c r="AS87" s="92">
        <f ca="1">IFERROR(__xludf.DUMMYFUNCTION("IMPORTRANGE(""https://docs.google.com/spreadsheets/d/1q9nWasZJ-K8bFGvbE9n0qSRuKGA4Toe3Y89cKCiVtCU/edit?usp=sharing"",""สตูล!N216"")"),0)</f>
        <v>0</v>
      </c>
      <c r="AT87" s="93">
        <f t="shared" ca="1" si="100"/>
        <v>0</v>
      </c>
      <c r="AU87" s="92">
        <f ca="1">IFERROR(__xludf.DUMMYFUNCTION("IMPORTRANGE(""https://docs.google.com/spreadsheets/d/1q9nWasZJ-K8bFGvbE9n0qSRuKGA4Toe3Y89cKCiVtCU/edit?usp=sharing"",""สตูล!L217"")"),0)</f>
        <v>0</v>
      </c>
      <c r="AV87" s="92">
        <f ca="1">IFERROR(__xludf.DUMMYFUNCTION("IMPORTRANGE(""https://docs.google.com/spreadsheets/d/1q9nWasZJ-K8bFGvbE9n0qSRuKGA4Toe3Y89cKCiVtCU/edit?usp=sharing"",""สตูล!N217"")"),0)</f>
        <v>0</v>
      </c>
      <c r="AW87" s="93">
        <f t="shared" ca="1" si="102"/>
        <v>0</v>
      </c>
      <c r="AX87" s="92">
        <f ca="1">IFERROR(__xludf.DUMMYFUNCTION("IMPORTRANGE(""https://docs.google.com/spreadsheets/d/1q9nWasZJ-K8bFGvbE9n0qSRuKGA4Toe3Y89cKCiVtCU/edit?usp=sharing"",""สตูล!I219"")"),0)</f>
        <v>0</v>
      </c>
      <c r="AY87" s="92">
        <f ca="1">IFERROR(__xludf.DUMMYFUNCTION("IMPORTRANGE(""https://docs.google.com/spreadsheets/d/1q9nWasZJ-K8bFGvbE9n0qSRuKGA4Toe3Y89cKCiVtCU/edit?usp=sharing"",""สตูล!J219"")"),0)</f>
        <v>0</v>
      </c>
      <c r="AZ87" s="93">
        <f t="shared" ca="1" si="104"/>
        <v>0</v>
      </c>
      <c r="BA87" s="92">
        <f ca="1">IFERROR(__xludf.DUMMYFUNCTION("IMPORTRANGE(""https://docs.google.com/spreadsheets/d/1q9nWasZJ-K8bFGvbE9n0qSRuKGA4Toe3Y89cKCiVtCU/edit?usp=sharing"",""สตูล!I220"")"),0)</f>
        <v>0</v>
      </c>
      <c r="BB87" s="92">
        <f ca="1">IFERROR(__xludf.DUMMYFUNCTION("IMPORTRANGE(""https://docs.google.com/spreadsheets/d/1q9nWasZJ-K8bFGvbE9n0qSRuKGA4Toe3Y89cKCiVtCU/edit?usp=sharing"",""สตูล!J220"")"),0)</f>
        <v>0</v>
      </c>
      <c r="BC87" s="93">
        <f t="shared" ca="1" si="106"/>
        <v>0</v>
      </c>
      <c r="BD87" s="92">
        <f ca="1">IFERROR(__xludf.DUMMYFUNCTION("IMPORTRANGE(""https://docs.google.com/spreadsheets/d/1q9nWasZJ-K8bFGvbE9n0qSRuKGA4Toe3Y89cKCiVtCU/edit?usp=sharing"",""สตูล!L223"")"),3000)</f>
        <v>3000</v>
      </c>
      <c r="BE87" s="92">
        <f ca="1">IFERROR(__xludf.DUMMYFUNCTION("IMPORTRANGE(""https://docs.google.com/spreadsheets/d/1q9nWasZJ-K8bFGvbE9n0qSRuKGA4Toe3Y89cKCiVtCU/edit?usp=sharing"",""สตูล!N223"")"),0)</f>
        <v>0</v>
      </c>
      <c r="BF87" s="93">
        <f t="shared" ca="1" si="108"/>
        <v>0</v>
      </c>
      <c r="BG87" s="92">
        <f ca="1">IFERROR(__xludf.DUMMYFUNCTION("IMPORTRANGE(""https://docs.google.com/spreadsheets/d/1q9nWasZJ-K8bFGvbE9n0qSRuKGA4Toe3Y89cKCiVtCU/edit?usp=sharing"",""สตูล!L224"")"),1500)</f>
        <v>1500</v>
      </c>
      <c r="BH87" s="92">
        <f ca="1">IFERROR(__xludf.DUMMYFUNCTION("IMPORTRANGE(""https://docs.google.com/spreadsheets/d/1q9nWasZJ-K8bFGvbE9n0qSRuKGA4Toe3Y89cKCiVtCU/edit?usp=sharing"",""สตูล!N224"")"),0)</f>
        <v>0</v>
      </c>
      <c r="BI87" s="93">
        <f t="shared" ca="1" si="110"/>
        <v>0</v>
      </c>
      <c r="BJ87" s="92">
        <f ca="1">IFERROR(__xludf.DUMMYFUNCTION("IMPORTRANGE(""https://docs.google.com/spreadsheets/d/1q9nWasZJ-K8bFGvbE9n0qSRuKGA4Toe3Y89cKCiVtCU/edit?usp=sharing"",""สตูล!I228"")"),6400)</f>
        <v>6400</v>
      </c>
      <c r="BK87" s="92">
        <f ca="1">IFERROR(__xludf.DUMMYFUNCTION("IMPORTRANGE(""https://docs.google.com/spreadsheets/d/1q9nWasZJ-K8bFGvbE9n0qSRuKGA4Toe3Y89cKCiVtCU/edit?usp=sharing"",""สตูล!J228"")"),0)</f>
        <v>0</v>
      </c>
      <c r="BL87" s="93">
        <f t="shared" ca="1" si="112"/>
        <v>0</v>
      </c>
      <c r="BM87" s="92">
        <f ca="1">IFERROR(__xludf.DUMMYFUNCTION("IMPORTRANGE(""https://docs.google.com/spreadsheets/d/1q9nWasZJ-K8bFGvbE9n0qSRuKGA4Toe3Y89cKCiVtCU/edit?usp=sharing"",""สตูล!I229"")"),6400)</f>
        <v>6400</v>
      </c>
      <c r="BN87" s="92">
        <f ca="1">IFERROR(__xludf.DUMMYFUNCTION("IMPORTRANGE(""https://docs.google.com/spreadsheets/d/1q9nWasZJ-K8bFGvbE9n0qSRuKGA4Toe3Y89cKCiVtCU/edit?usp=sharing"",""สตูล!J229"")"),0)</f>
        <v>0</v>
      </c>
      <c r="BO87" s="93">
        <f t="shared" ca="1" si="114"/>
        <v>0</v>
      </c>
      <c r="BP87" s="92">
        <f ca="1">IFERROR(__xludf.DUMMYFUNCTION("IMPORTRANGE(""https://docs.google.com/spreadsheets/d/1q9nWasZJ-K8bFGvbE9n0qSRuKGA4Toe3Y89cKCiVtCU/edit?usp=sharing"",""สตูล!I230"")"),0)</f>
        <v>0</v>
      </c>
      <c r="BQ87" s="92">
        <f ca="1">IFERROR(__xludf.DUMMYFUNCTION("IMPORTRANGE(""https://docs.google.com/spreadsheets/d/1q9nWasZJ-K8bFGvbE9n0qSRuKGA4Toe3Y89cKCiVtCU/edit?usp=sharing"",""สตูล!J230"")"),0)</f>
        <v>0</v>
      </c>
      <c r="BR87" s="93">
        <f t="shared" ca="1" si="116"/>
        <v>0</v>
      </c>
      <c r="BS87" s="92">
        <f ca="1">IFERROR(__xludf.DUMMYFUNCTION("IMPORTRANGE(""https://docs.google.com/spreadsheets/d/1q9nWasZJ-K8bFGvbE9n0qSRuKGA4Toe3Y89cKCiVtCU/edit?usp=sharing"",""สตูล!L233"")"),0)</f>
        <v>0</v>
      </c>
      <c r="BT87" s="92">
        <f ca="1">IFERROR(__xludf.DUMMYFUNCTION("IMPORTRANGE(""https://docs.google.com/spreadsheets/d/1q9nWasZJ-K8bFGvbE9n0qSRuKGA4Toe3Y89cKCiVtCU/edit?usp=sharing"",""สตูล!N233"")"),0)</f>
        <v>0</v>
      </c>
      <c r="BU87" s="93">
        <f t="shared" ca="1" si="118"/>
        <v>0</v>
      </c>
      <c r="BV87" s="92">
        <f ca="1">IFERROR(__xludf.DUMMYFUNCTION("IMPORTRANGE(""https://docs.google.com/spreadsheets/d/1q9nWasZJ-K8bFGvbE9n0qSRuKGA4Toe3Y89cKCiVtCU/edit?usp=sharing"",""สตูล!L234"")"),0)</f>
        <v>0</v>
      </c>
      <c r="BW87" s="92">
        <f ca="1">IFERROR(__xludf.DUMMYFUNCTION("IMPORTRANGE(""https://docs.google.com/spreadsheets/d/1q9nWasZJ-K8bFGvbE9n0qSRuKGA4Toe3Y89cKCiVtCU/edit?usp=sharing"",""สตูล!N234"")"),0)</f>
        <v>0</v>
      </c>
      <c r="BX87" s="93">
        <f t="shared" ca="1" si="120"/>
        <v>0</v>
      </c>
      <c r="BY87" s="92">
        <f ca="1">IFERROR(__xludf.DUMMYFUNCTION("IMPORTRANGE(""https://docs.google.com/spreadsheets/d/1q9nWasZJ-K8bFGvbE9n0qSRuKGA4Toe3Y89cKCiVtCU/edit?usp=sharing"",""สตูล!L235"")"),0)</f>
        <v>0</v>
      </c>
      <c r="BZ87" s="92">
        <f ca="1">IFERROR(__xludf.DUMMYFUNCTION("IMPORTRANGE(""https://docs.google.com/spreadsheets/d/1q9nWasZJ-K8bFGvbE9n0qSRuKGA4Toe3Y89cKCiVtCU/edit?usp=sharing"",""สตูล!N235"")"),0)</f>
        <v>0</v>
      </c>
      <c r="CA87" s="93">
        <f t="shared" ca="1" si="122"/>
        <v>0</v>
      </c>
      <c r="CB87" s="92">
        <f ca="1">IFERROR(__xludf.DUMMYFUNCTION("IMPORTRANGE(""https://docs.google.com/spreadsheets/d/1q9nWasZJ-K8bFGvbE9n0qSRuKGA4Toe3Y89cKCiVtCU/edit?usp=sharing"",""สตูล!L236"")"),0)</f>
        <v>0</v>
      </c>
      <c r="CC87" s="92">
        <f ca="1">IFERROR(__xludf.DUMMYFUNCTION("IMPORTRANGE(""https://docs.google.com/spreadsheets/d/1q9nWasZJ-K8bFGvbE9n0qSRuKGA4Toe3Y89cKCiVtCU/edit?usp=sharing"",""สตูล!N236"")"),0)</f>
        <v>0</v>
      </c>
      <c r="CD87" s="93">
        <f t="shared" ca="1" si="124"/>
        <v>0</v>
      </c>
      <c r="CE87" s="92">
        <f ca="1">IFERROR(__xludf.DUMMYFUNCTION("IMPORTRANGE(""https://docs.google.com/spreadsheets/d/1q9nWasZJ-K8bFGvbE9n0qSRuKGA4Toe3Y89cKCiVtCU/edit?usp=sharing"",""สตูล!I238"")"),0)</f>
        <v>0</v>
      </c>
      <c r="CF87" s="92">
        <f ca="1">IFERROR(__xludf.DUMMYFUNCTION("IMPORTRANGE(""https://docs.google.com/spreadsheets/d/1q9nWasZJ-K8bFGvbE9n0qSRuKGA4Toe3Y89cKCiVtCU/edit?usp=sharing"",""สตูล!J238"")"),0)</f>
        <v>0</v>
      </c>
      <c r="CG87" s="93">
        <f t="shared" ca="1" si="126"/>
        <v>0</v>
      </c>
      <c r="CH87" s="92">
        <f ca="1">IFERROR(__xludf.DUMMYFUNCTION("IMPORTRANGE(""https://docs.google.com/spreadsheets/d/1q9nWasZJ-K8bFGvbE9n0qSRuKGA4Toe3Y89cKCiVtCU/edit?usp=sharing"",""สตูล!J240"")"),0)</f>
        <v>0</v>
      </c>
      <c r="CI87" s="92">
        <f ca="1">IFERROR(__xludf.DUMMYFUNCTION("IMPORTRANGE(""https://docs.google.com/spreadsheets/d/1q9nWasZJ-K8bFGvbE9n0qSRuKGA4Toe3Y89cKCiVtCU/edit?usp=sharing"",""สตูล!J241"")"),0)</f>
        <v>0</v>
      </c>
    </row>
    <row r="88" spans="1:87" ht="24" customHeight="1" x14ac:dyDescent="0.3">
      <c r="A88" s="95">
        <v>14</v>
      </c>
      <c r="B88" s="96" t="s">
        <v>110</v>
      </c>
      <c r="C88" s="184">
        <f t="shared" ca="1" si="77"/>
        <v>223500</v>
      </c>
      <c r="D88" s="185">
        <f t="shared" ca="1" si="200"/>
        <v>223500</v>
      </c>
      <c r="E88" s="186">
        <f ca="1">IFERROR(__xludf.DUMMYFUNCTION("IMPORTRANGE(""https://docs.google.com/spreadsheets/d/1-uDff_7J0KD5mKrp0Vvzr7lt3OU09vwQwhkpOPPYv2Y/edit?usp=sharing"",""งบพรบ!CV88"")"),182000)</f>
        <v>182000</v>
      </c>
      <c r="F88" s="186">
        <f ca="1">IFERROR(__xludf.DUMMYFUNCTION("IMPORTRANGE(""https://docs.google.com/spreadsheets/d/1-uDff_7J0KD5mKrp0Vvzr7lt3OU09vwQwhkpOPPYv2Y/edit?usp=sharing"",""งบพรบ!CW88"")"),41500)</f>
        <v>41500</v>
      </c>
      <c r="G88" s="186">
        <f ca="1">IFERROR(__xludf.DUMMYFUNCTION("IMPORTRANGE(""https://docs.google.com/spreadsheets/d/1-uDff_7J0KD5mKrp0Vvzr7lt3OU09vwQwhkpOPPYv2Y/edit?usp=sharing"",""งบพรบ!CX88"")"),0)</f>
        <v>0</v>
      </c>
      <c r="H88" s="186">
        <f ca="1">IFERROR(__xludf.DUMMYFUNCTION("IMPORTRANGE(""https://docs.google.com/spreadsheets/d/1-uDff_7J0KD5mKrp0Vvzr7lt3OU09vwQwhkpOPPYv2Y/edit?usp=sharing"",""งบพรบ!CZ88"")"),152500)</f>
        <v>152500</v>
      </c>
      <c r="I88" s="186">
        <f ca="1">IFERROR(__xludf.DUMMYFUNCTION("IMPORTRANGE(""https://docs.google.com/spreadsheets/d/1-uDff_7J0KD5mKrp0Vvzr7lt3OU09vwQwhkpOPPYv2Y/edit?usp=sharing"",""งบพรบ!DA88"")"),0)</f>
        <v>0</v>
      </c>
      <c r="J88" s="186">
        <f t="shared" ca="1" si="79"/>
        <v>52526.67</v>
      </c>
      <c r="K88" s="187">
        <f t="shared" ca="1" si="80"/>
        <v>23.501865771812081</v>
      </c>
      <c r="L88" s="186">
        <f ca="1">IFERROR(__xludf.DUMMYFUNCTION("IMPORTRANGE(""https://docs.google.com/spreadsheets/d/1-uDff_7J0KD5mKrp0Vvzr7lt3OU09vwQwhkpOPPYv2Y/edit?usp=sharing"",""งบพรบ!DB88"")"),52526.67)</f>
        <v>52526.67</v>
      </c>
      <c r="M88" s="188">
        <f t="shared" ca="1" si="81"/>
        <v>23.501865771812081</v>
      </c>
      <c r="N88" s="188">
        <f t="shared" ca="1" si="82"/>
        <v>34.443718032786883</v>
      </c>
      <c r="O88" s="189">
        <f ca="1">IFERROR(__xludf.DUMMYFUNCTION("IMPORTRANGE(""https://docs.google.com/spreadsheets/d/1-uDff_7J0KD5mKrp0Vvzr7lt3OU09vwQwhkpOPPYv2Y/edit?usp=sharing"",""งบพรบ!DC88"")"),0)</f>
        <v>0</v>
      </c>
      <c r="P88" s="189">
        <f t="shared" ca="1" si="83"/>
        <v>0</v>
      </c>
      <c r="Q88" s="188">
        <f t="shared" ca="1" si="84"/>
        <v>0</v>
      </c>
      <c r="R88" s="103">
        <f ca="1">IFERROR(__xludf.DUMMYFUNCTION("IMPORTRANGE(""https://docs.google.com/spreadsheets/d/18T20gbkS_WBjdscyTOV05cvq_JqvqQ17C81mpxf7Ncs/edit?usp=sharing"",""สุราษฎร์ธานี!L196"")"),6000)</f>
        <v>6000</v>
      </c>
      <c r="S88" s="103">
        <f ca="1">IFERROR(__xludf.DUMMYFUNCTION("IMPORTRANGE(""https://docs.google.com/spreadsheets/d/18T20gbkS_WBjdscyTOV05cvq_JqvqQ17C81mpxf7Ncs/edit?usp=sharing"",""สุราษฎร์ธานี!N196"")"),0)</f>
        <v>0</v>
      </c>
      <c r="T88" s="104">
        <f t="shared" ca="1" si="86"/>
        <v>0</v>
      </c>
      <c r="U88" s="103">
        <f ca="1">IFERROR(__xludf.DUMMYFUNCTION("IMPORTRANGE(""https://docs.google.com/spreadsheets/d/18T20gbkS_WBjdscyTOV05cvq_JqvqQ17C81mpxf7Ncs/edit?usp=sharing"",""สุราษฎร์ธานี!I198"")"),4)</f>
        <v>4</v>
      </c>
      <c r="V88" s="103">
        <f ca="1">IFERROR(__xludf.DUMMYFUNCTION("IMPORTRANGE(""https://docs.google.com/spreadsheets/d/18T20gbkS_WBjdscyTOV05cvq_JqvqQ17C81mpxf7Ncs/edit?usp=sharing"",""สุราษฎร์ธานี!J198"")"),0)</f>
        <v>0</v>
      </c>
      <c r="W88" s="104">
        <f t="shared" ca="1" si="88"/>
        <v>0</v>
      </c>
      <c r="X88" s="103">
        <f ca="1">IFERROR(__xludf.DUMMYFUNCTION("IMPORTRANGE(""https://docs.google.com/spreadsheets/d/18T20gbkS_WBjdscyTOV05cvq_JqvqQ17C81mpxf7Ncs/edit?usp=sharing"",""สุราษฎร์ธานี!J199"")"),0)</f>
        <v>0</v>
      </c>
      <c r="Y88" s="103">
        <f ca="1">IFERROR(__xludf.DUMMYFUNCTION("IMPORTRANGE(""https://docs.google.com/spreadsheets/d/18T20gbkS_WBjdscyTOV05cvq_JqvqQ17C81mpxf7Ncs/edit?usp=sharing"",""สุราษฎร์ธานี!J200"")"),0)</f>
        <v>0</v>
      </c>
      <c r="Z88" s="103">
        <f ca="1">IFERROR(__xludf.DUMMYFUNCTION("IMPORTRANGE(""https://docs.google.com/spreadsheets/d/18T20gbkS_WBjdscyTOV05cvq_JqvqQ17C81mpxf7Ncs/edit?usp=sharing"",""สุราษฎร์ธานี!J201"")"),0)</f>
        <v>0</v>
      </c>
      <c r="AA88" s="103">
        <f ca="1">IFERROR(__xludf.DUMMYFUNCTION("IMPORTRANGE(""https://docs.google.com/spreadsheets/d/18T20gbkS_WBjdscyTOV05cvq_JqvqQ17C81mpxf7Ncs/edit?usp=sharing"",""สุราษฎร์ธานี!L204"")"),2000)</f>
        <v>2000</v>
      </c>
      <c r="AB88" s="103">
        <f ca="1">IFERROR(__xludf.DUMMYFUNCTION("IMPORTRANGE(""https://docs.google.com/spreadsheets/d/18T20gbkS_WBjdscyTOV05cvq_JqvqQ17C81mpxf7Ncs/edit?usp=sharing"",""สุราษฎร์ธานี!N204"")"),960)</f>
        <v>960</v>
      </c>
      <c r="AC88" s="104">
        <f t="shared" ca="1" si="90"/>
        <v>48</v>
      </c>
      <c r="AD88" s="103">
        <f ca="1">IFERROR(__xludf.DUMMYFUNCTION("IMPORTRANGE(""https://docs.google.com/spreadsheets/d/18T20gbkS_WBjdscyTOV05cvq_JqvqQ17C81mpxf7Ncs/edit?usp=sharing"",""สุราษฎร์ธานี!L206"")"),16000)</f>
        <v>16000</v>
      </c>
      <c r="AE88" s="103">
        <f ca="1">IFERROR(__xludf.DUMMYFUNCTION("IMPORTRANGE(""https://docs.google.com/spreadsheets/d/18T20gbkS_WBjdscyTOV05cvq_JqvqQ17C81mpxf7Ncs/edit?usp=sharing"",""สุราษฎร์ธานี!N206"")"),0)</f>
        <v>0</v>
      </c>
      <c r="AF88" s="104">
        <f t="shared" ca="1" si="92"/>
        <v>0</v>
      </c>
      <c r="AG88" s="103">
        <f ca="1">IFERROR(__xludf.DUMMYFUNCTION("IMPORTRANGE(""https://docs.google.com/spreadsheets/d/18T20gbkS_WBjdscyTOV05cvq_JqvqQ17C81mpxf7Ncs/edit?usp=sharing"",""สุราษฎร์ธานี!L207"")"),13000)</f>
        <v>13000</v>
      </c>
      <c r="AH88" s="103">
        <f ca="1">IFERROR(__xludf.DUMMYFUNCTION("IMPORTRANGE(""https://docs.google.com/spreadsheets/d/18T20gbkS_WBjdscyTOV05cvq_JqvqQ17C81mpxf7Ncs/edit?usp=sharing"",""สุราษฎร์ธานี!N207"")"),0)</f>
        <v>0</v>
      </c>
      <c r="AI88" s="104">
        <f t="shared" ca="1" si="94"/>
        <v>0</v>
      </c>
      <c r="AJ88" s="103">
        <f ca="1">IFERROR(__xludf.DUMMYFUNCTION("IMPORTRANGE(""https://docs.google.com/spreadsheets/d/18T20gbkS_WBjdscyTOV05cvq_JqvqQ17C81mpxf7Ncs/edit?usp=sharing"",""สุราษฎร์ธานี!I209"")"),2)</f>
        <v>2</v>
      </c>
      <c r="AK88" s="103">
        <f ca="1">IFERROR(__xludf.DUMMYFUNCTION("IMPORTRANGE(""https://docs.google.com/spreadsheets/d/18T20gbkS_WBjdscyTOV05cvq_JqvqQ17C81mpxf7Ncs/edit?usp=sharing"",""สุราษฎร์ธานี!J209"")"),0)</f>
        <v>0</v>
      </c>
      <c r="AL88" s="104">
        <f t="shared" ca="1" si="96"/>
        <v>0</v>
      </c>
      <c r="AM88" s="103">
        <f ca="1">IFERROR(__xludf.DUMMYFUNCTION("IMPORTRANGE(""https://docs.google.com/spreadsheets/d/18T20gbkS_WBjdscyTOV05cvq_JqvqQ17C81mpxf7Ncs/edit?usp=sharing"",""สุราษฎร์ธานี!J211"")"),0)</f>
        <v>0</v>
      </c>
      <c r="AN88" s="103">
        <f ca="1">IFERROR(__xludf.DUMMYFUNCTION("IMPORTRANGE(""https://docs.google.com/spreadsheets/d/18T20gbkS_WBjdscyTOV05cvq_JqvqQ17C81mpxf7Ncs/edit?usp=sharing"",""สุราษฎร์ธานี!J212"")"),0)</f>
        <v>0</v>
      </c>
      <c r="AO88" s="103">
        <f ca="1">IFERROR(__xludf.DUMMYFUNCTION("IMPORTRANGE(""https://docs.google.com/spreadsheets/d/18T20gbkS_WBjdscyTOV05cvq_JqvqQ17C81mpxf7Ncs/edit?usp=sharing"",""สุราษฎร์ธานี!L215"")"),0)</f>
        <v>0</v>
      </c>
      <c r="AP88" s="103">
        <f ca="1">IFERROR(__xludf.DUMMYFUNCTION("IMPORTRANGE(""https://docs.google.com/spreadsheets/d/18T20gbkS_WBjdscyTOV05cvq_JqvqQ17C81mpxf7Ncs/edit?usp=sharing"",""สุราษฎร์ธานี!N215"")"),0)</f>
        <v>0</v>
      </c>
      <c r="AQ88" s="104">
        <f t="shared" ca="1" si="98"/>
        <v>0</v>
      </c>
      <c r="AR88" s="103">
        <f ca="1">IFERROR(__xludf.DUMMYFUNCTION("IMPORTRANGE(""https://docs.google.com/spreadsheets/d/18T20gbkS_WBjdscyTOV05cvq_JqvqQ17C81mpxf7Ncs/edit?usp=sharing"",""สุราษฎร์ธานี!L216"")"),0)</f>
        <v>0</v>
      </c>
      <c r="AS88" s="103">
        <f ca="1">IFERROR(__xludf.DUMMYFUNCTION("IMPORTRANGE(""https://docs.google.com/spreadsheets/d/18T20gbkS_WBjdscyTOV05cvq_JqvqQ17C81mpxf7Ncs/edit?usp=sharing"",""สุราษฎร์ธานี!N216"")"),0)</f>
        <v>0</v>
      </c>
      <c r="AT88" s="104">
        <f t="shared" ca="1" si="100"/>
        <v>0</v>
      </c>
      <c r="AU88" s="103">
        <f ca="1">IFERROR(__xludf.DUMMYFUNCTION("IMPORTRANGE(""https://docs.google.com/spreadsheets/d/18T20gbkS_WBjdscyTOV05cvq_JqvqQ17C81mpxf7Ncs/edit?usp=sharing"",""สุราษฎร์ธานี!L217"")"),0)</f>
        <v>0</v>
      </c>
      <c r="AV88" s="103">
        <f ca="1">IFERROR(__xludf.DUMMYFUNCTION("IMPORTRANGE(""https://docs.google.com/spreadsheets/d/18T20gbkS_WBjdscyTOV05cvq_JqvqQ17C81mpxf7Ncs/edit?usp=sharing"",""สุราษฎร์ธานี!N217"")"),0)</f>
        <v>0</v>
      </c>
      <c r="AW88" s="104">
        <f t="shared" ca="1" si="102"/>
        <v>0</v>
      </c>
      <c r="AX88" s="103">
        <f ca="1">IFERROR(__xludf.DUMMYFUNCTION("IMPORTRANGE(""https://docs.google.com/spreadsheets/d/18T20gbkS_WBjdscyTOV05cvq_JqvqQ17C81mpxf7Ncs/edit?usp=sharing"",""สุราษฎร์ธานี!I219"")"),0)</f>
        <v>0</v>
      </c>
      <c r="AY88" s="103">
        <f ca="1">IFERROR(__xludf.DUMMYFUNCTION("IMPORTRANGE(""https://docs.google.com/spreadsheets/d/18T20gbkS_WBjdscyTOV05cvq_JqvqQ17C81mpxf7Ncs/edit?usp=sharing"",""สุราษฎร์ธานี!J219"")"),0)</f>
        <v>0</v>
      </c>
      <c r="AZ88" s="104">
        <f t="shared" ca="1" si="104"/>
        <v>0</v>
      </c>
      <c r="BA88" s="103">
        <f ca="1">IFERROR(__xludf.DUMMYFUNCTION("IMPORTRANGE(""https://docs.google.com/spreadsheets/d/18T20gbkS_WBjdscyTOV05cvq_JqvqQ17C81mpxf7Ncs/edit?usp=sharing"",""สุราษฎร์ธานี!I220"")"),0)</f>
        <v>0</v>
      </c>
      <c r="BB88" s="103">
        <f ca="1">IFERROR(__xludf.DUMMYFUNCTION("IMPORTRANGE(""https://docs.google.com/spreadsheets/d/18T20gbkS_WBjdscyTOV05cvq_JqvqQ17C81mpxf7Ncs/edit?usp=sharing"",""สุราษฎร์ธานี!J220"")"),0)</f>
        <v>0</v>
      </c>
      <c r="BC88" s="104">
        <f t="shared" ca="1" si="106"/>
        <v>0</v>
      </c>
      <c r="BD88" s="103">
        <f ca="1">IFERROR(__xludf.DUMMYFUNCTION("IMPORTRANGE(""https://docs.google.com/spreadsheets/d/18T20gbkS_WBjdscyTOV05cvq_JqvqQ17C81mpxf7Ncs/edit?usp=sharing"",""สุราษฎร์ธานี!L223"")"),3000)</f>
        <v>3000</v>
      </c>
      <c r="BE88" s="103">
        <f ca="1">IFERROR(__xludf.DUMMYFUNCTION("IMPORTRANGE(""https://docs.google.com/spreadsheets/d/18T20gbkS_WBjdscyTOV05cvq_JqvqQ17C81mpxf7Ncs/edit?usp=sharing"",""สุราษฎร์ธานี!N223"")"),0)</f>
        <v>0</v>
      </c>
      <c r="BF88" s="104">
        <f t="shared" ca="1" si="108"/>
        <v>0</v>
      </c>
      <c r="BG88" s="103">
        <f ca="1">IFERROR(__xludf.DUMMYFUNCTION("IMPORTRANGE(""https://docs.google.com/spreadsheets/d/18T20gbkS_WBjdscyTOV05cvq_JqvqQ17C81mpxf7Ncs/edit?usp=sharing"",""สุราษฎร์ธานี!L224"")"),1500)</f>
        <v>1500</v>
      </c>
      <c r="BH88" s="103">
        <f ca="1">IFERROR(__xludf.DUMMYFUNCTION("IMPORTRANGE(""https://docs.google.com/spreadsheets/d/18T20gbkS_WBjdscyTOV05cvq_JqvqQ17C81mpxf7Ncs/edit?usp=sharing"",""สุราษฎร์ธานี!N224"")"),0)</f>
        <v>0</v>
      </c>
      <c r="BI88" s="104">
        <f t="shared" ca="1" si="110"/>
        <v>0</v>
      </c>
      <c r="BJ88" s="103">
        <f ca="1">IFERROR(__xludf.DUMMYFUNCTION("IMPORTRANGE(""https://docs.google.com/spreadsheets/d/18T20gbkS_WBjdscyTOV05cvq_JqvqQ17C81mpxf7Ncs/edit?usp=sharing"",""สุราษฎร์ธานี!I228"")"),10000)</f>
        <v>10000</v>
      </c>
      <c r="BK88" s="103">
        <f ca="1">IFERROR(__xludf.DUMMYFUNCTION("IMPORTRANGE(""https://docs.google.com/spreadsheets/d/18T20gbkS_WBjdscyTOV05cvq_JqvqQ17C81mpxf7Ncs/edit?usp=sharing"",""สุราษฎร์ธานี!J228"")"),0)</f>
        <v>0</v>
      </c>
      <c r="BL88" s="104">
        <f t="shared" ca="1" si="112"/>
        <v>0</v>
      </c>
      <c r="BM88" s="103">
        <f ca="1">IFERROR(__xludf.DUMMYFUNCTION("IMPORTRANGE(""https://docs.google.com/spreadsheets/d/18T20gbkS_WBjdscyTOV05cvq_JqvqQ17C81mpxf7Ncs/edit?usp=sharing"",""สุราษฎร์ธานี!I229"")"),10000)</f>
        <v>10000</v>
      </c>
      <c r="BN88" s="103">
        <f ca="1">IFERROR(__xludf.DUMMYFUNCTION("IMPORTRANGE(""https://docs.google.com/spreadsheets/d/18T20gbkS_WBjdscyTOV05cvq_JqvqQ17C81mpxf7Ncs/edit?usp=sharing"",""สุราษฎร์ธานี!J229"")"),0)</f>
        <v>0</v>
      </c>
      <c r="BO88" s="104">
        <f t="shared" ca="1" si="114"/>
        <v>0</v>
      </c>
      <c r="BP88" s="103">
        <f ca="1">IFERROR(__xludf.DUMMYFUNCTION("IMPORTRANGE(""https://docs.google.com/spreadsheets/d/18T20gbkS_WBjdscyTOV05cvq_JqvqQ17C81mpxf7Ncs/edit?usp=sharing"",""สุราษฎร์ธานี!I230"")"),0)</f>
        <v>0</v>
      </c>
      <c r="BQ88" s="103">
        <f ca="1">IFERROR(__xludf.DUMMYFUNCTION("IMPORTRANGE(""https://docs.google.com/spreadsheets/d/18T20gbkS_WBjdscyTOV05cvq_JqvqQ17C81mpxf7Ncs/edit?usp=sharing"",""สุราษฎร์ธานี!J230"")"),0)</f>
        <v>0</v>
      </c>
      <c r="BR88" s="104">
        <f t="shared" ca="1" si="116"/>
        <v>0</v>
      </c>
      <c r="BS88" s="103">
        <f ca="1">IFERROR(__xludf.DUMMYFUNCTION("IMPORTRANGE(""https://docs.google.com/spreadsheets/d/18T20gbkS_WBjdscyTOV05cvq_JqvqQ17C81mpxf7Ncs/edit?usp=sharing"",""สุราษฎร์ธานี!L233"")"),0)</f>
        <v>0</v>
      </c>
      <c r="BT88" s="103">
        <f ca="1">IFERROR(__xludf.DUMMYFUNCTION("IMPORTRANGE(""https://docs.google.com/spreadsheets/d/18T20gbkS_WBjdscyTOV05cvq_JqvqQ17C81mpxf7Ncs/edit?usp=sharing"",""สุราษฎร์ธานี!N233"")"),0)</f>
        <v>0</v>
      </c>
      <c r="BU88" s="104">
        <f t="shared" ca="1" si="118"/>
        <v>0</v>
      </c>
      <c r="BV88" s="103">
        <f ca="1">IFERROR(__xludf.DUMMYFUNCTION("IMPORTRANGE(""https://docs.google.com/spreadsheets/d/18T20gbkS_WBjdscyTOV05cvq_JqvqQ17C81mpxf7Ncs/edit?usp=sharing"",""สุราษฎร์ธานี!L234"")"),0)</f>
        <v>0</v>
      </c>
      <c r="BW88" s="103">
        <f ca="1">IFERROR(__xludf.DUMMYFUNCTION("IMPORTRANGE(""https://docs.google.com/spreadsheets/d/18T20gbkS_WBjdscyTOV05cvq_JqvqQ17C81mpxf7Ncs/edit?usp=sharing"",""สุราษฎร์ธานี!N234"")"),0)</f>
        <v>0</v>
      </c>
      <c r="BX88" s="104">
        <f t="shared" ca="1" si="120"/>
        <v>0</v>
      </c>
      <c r="BY88" s="103">
        <f ca="1">IFERROR(__xludf.DUMMYFUNCTION("IMPORTRANGE(""https://docs.google.com/spreadsheets/d/18T20gbkS_WBjdscyTOV05cvq_JqvqQ17C81mpxf7Ncs/edit?usp=sharing"",""สุราษฎร์ธานี!L235"")"),0)</f>
        <v>0</v>
      </c>
      <c r="BZ88" s="103">
        <f ca="1">IFERROR(__xludf.DUMMYFUNCTION("IMPORTRANGE(""https://docs.google.com/spreadsheets/d/18T20gbkS_WBjdscyTOV05cvq_JqvqQ17C81mpxf7Ncs/edit?usp=sharing"",""สุราษฎร์ธานี!N235"")"),0)</f>
        <v>0</v>
      </c>
      <c r="CA88" s="104">
        <f t="shared" ca="1" si="122"/>
        <v>0</v>
      </c>
      <c r="CB88" s="103">
        <f ca="1">IFERROR(__xludf.DUMMYFUNCTION("IMPORTRANGE(""https://docs.google.com/spreadsheets/d/18T20gbkS_WBjdscyTOV05cvq_JqvqQ17C81mpxf7Ncs/edit?usp=sharing"",""สุราษฎร์ธานี!L236"")"),0)</f>
        <v>0</v>
      </c>
      <c r="CC88" s="103">
        <f ca="1">IFERROR(__xludf.DUMMYFUNCTION("IMPORTRANGE(""https://docs.google.com/spreadsheets/d/18T20gbkS_WBjdscyTOV05cvq_JqvqQ17C81mpxf7Ncs/edit?usp=sharing"",""สุราษฎร์ธานี!N236"")"),0)</f>
        <v>0</v>
      </c>
      <c r="CD88" s="104">
        <f t="shared" ca="1" si="124"/>
        <v>0</v>
      </c>
      <c r="CE88" s="103">
        <f ca="1">IFERROR(__xludf.DUMMYFUNCTION("IMPORTRANGE(""https://docs.google.com/spreadsheets/d/18T20gbkS_WBjdscyTOV05cvq_JqvqQ17C81mpxf7Ncs/edit?usp=sharing"",""สุราษฎร์ธานี!I238"")"),0)</f>
        <v>0</v>
      </c>
      <c r="CF88" s="103">
        <f ca="1">IFERROR(__xludf.DUMMYFUNCTION("IMPORTRANGE(""https://docs.google.com/spreadsheets/d/18T20gbkS_WBjdscyTOV05cvq_JqvqQ17C81mpxf7Ncs/edit?usp=sharing"",""สุราษฎร์ธานี!J238"")"),0)</f>
        <v>0</v>
      </c>
      <c r="CG88" s="104">
        <f t="shared" ca="1" si="126"/>
        <v>0</v>
      </c>
      <c r="CH88" s="103">
        <f ca="1">IFERROR(__xludf.DUMMYFUNCTION("IMPORTRANGE(""https://docs.google.com/spreadsheets/d/18T20gbkS_WBjdscyTOV05cvq_JqvqQ17C81mpxf7Ncs/edit?usp=sharing"",""สุราษฎร์ธานี!J240"")"),0)</f>
        <v>0</v>
      </c>
      <c r="CI88" s="103">
        <f ca="1">IFERROR(__xludf.DUMMYFUNCTION("IMPORTRANGE(""https://docs.google.com/spreadsheets/d/18T20gbkS_WBjdscyTOV05cvq_JqvqQ17C81mpxf7Ncs/edit?usp=sharing"",""สุราษฎร์ธานี!J241"")"),0)</f>
        <v>0</v>
      </c>
    </row>
    <row r="89" spans="1:87" ht="21" customHeight="1" x14ac:dyDescent="0.3">
      <c r="A89" s="424" t="s">
        <v>111</v>
      </c>
      <c r="B89" s="422"/>
      <c r="C89" s="47">
        <f t="shared" ref="C89:Q89" ca="1" si="201">SUM(C90:C106)</f>
        <v>2023400</v>
      </c>
      <c r="D89" s="46">
        <f t="shared" ca="1" si="201"/>
        <v>2023400</v>
      </c>
      <c r="E89" s="46">
        <f t="shared" ca="1" si="201"/>
        <v>491400</v>
      </c>
      <c r="F89" s="46">
        <f t="shared" ca="1" si="201"/>
        <v>1532000</v>
      </c>
      <c r="G89" s="46">
        <f t="shared" ca="1" si="201"/>
        <v>0</v>
      </c>
      <c r="H89" s="46">
        <f t="shared" ca="1" si="201"/>
        <v>2410975</v>
      </c>
      <c r="I89" s="46">
        <f t="shared" ca="1" si="201"/>
        <v>0</v>
      </c>
      <c r="J89" s="46">
        <f t="shared" ca="1" si="201"/>
        <v>316772.70999999996</v>
      </c>
      <c r="K89" s="48">
        <f t="shared" ca="1" si="201"/>
        <v>83.648067690432086</v>
      </c>
      <c r="L89" s="46">
        <f t="shared" ca="1" si="201"/>
        <v>316772.70999999996</v>
      </c>
      <c r="M89" s="48">
        <f t="shared" ca="1" si="201"/>
        <v>83.648067690432086</v>
      </c>
      <c r="N89" s="48">
        <f t="shared" ca="1" si="201"/>
        <v>27.856102733368502</v>
      </c>
      <c r="O89" s="46">
        <f t="shared" ca="1" si="201"/>
        <v>0</v>
      </c>
      <c r="P89" s="46">
        <f t="shared" ca="1" si="201"/>
        <v>0</v>
      </c>
      <c r="Q89" s="46">
        <f t="shared" ca="1" si="201"/>
        <v>0</v>
      </c>
      <c r="R89" s="46"/>
      <c r="S89" s="46"/>
      <c r="T89" s="49"/>
      <c r="U89" s="46"/>
      <c r="V89" s="46"/>
      <c r="W89" s="49"/>
      <c r="X89" s="46"/>
      <c r="Y89" s="46"/>
      <c r="Z89" s="46"/>
      <c r="AA89" s="46"/>
      <c r="AB89" s="46"/>
      <c r="AC89" s="49"/>
      <c r="AD89" s="46"/>
      <c r="AE89" s="46"/>
      <c r="AF89" s="49"/>
      <c r="AG89" s="46"/>
      <c r="AH89" s="46"/>
      <c r="AI89" s="49"/>
      <c r="AJ89" s="46"/>
      <c r="AK89" s="46"/>
      <c r="AL89" s="49"/>
      <c r="AM89" s="284"/>
      <c r="AN89" s="284"/>
      <c r="AO89" s="46"/>
      <c r="AP89" s="46"/>
      <c r="AQ89" s="49"/>
      <c r="AR89" s="46"/>
      <c r="AS89" s="46"/>
      <c r="AT89" s="49"/>
      <c r="AU89" s="46"/>
      <c r="AV89" s="46"/>
      <c r="AW89" s="49"/>
      <c r="AX89" s="46"/>
      <c r="AY89" s="46"/>
      <c r="AZ89" s="49"/>
      <c r="BA89" s="46"/>
      <c r="BB89" s="46"/>
      <c r="BC89" s="49"/>
      <c r="BD89" s="46"/>
      <c r="BE89" s="46"/>
      <c r="BF89" s="49"/>
      <c r="BG89" s="46"/>
      <c r="BH89" s="46"/>
      <c r="BI89" s="49"/>
      <c r="BJ89" s="46"/>
      <c r="BK89" s="46"/>
      <c r="BL89" s="49"/>
      <c r="BM89" s="46"/>
      <c r="BN89" s="46"/>
      <c r="BO89" s="49"/>
      <c r="BP89" s="46"/>
      <c r="BQ89" s="46"/>
      <c r="BR89" s="49"/>
      <c r="BS89" s="46"/>
      <c r="BT89" s="46"/>
      <c r="BU89" s="49"/>
      <c r="BV89" s="46"/>
      <c r="BW89" s="46"/>
      <c r="BX89" s="49"/>
      <c r="BY89" s="46"/>
      <c r="BZ89" s="46"/>
      <c r="CA89" s="49"/>
      <c r="CB89" s="46"/>
      <c r="CC89" s="46"/>
      <c r="CD89" s="49"/>
      <c r="CE89" s="46"/>
      <c r="CF89" s="46"/>
      <c r="CG89" s="49"/>
      <c r="CH89" s="46"/>
      <c r="CI89" s="46"/>
    </row>
    <row r="90" spans="1:87" ht="24" customHeight="1" x14ac:dyDescent="0.3">
      <c r="A90" s="192"/>
      <c r="B90" s="114" t="s">
        <v>112</v>
      </c>
      <c r="C90" s="193">
        <f t="shared" ref="C90:C106" ca="1" si="202">D90+G90</f>
        <v>0</v>
      </c>
      <c r="D90" s="194">
        <f t="shared" ref="D90:D106" ca="1" si="203">+E90+F90</f>
        <v>0</v>
      </c>
      <c r="E90" s="78">
        <f ca="1">IFERROR(__xludf.DUMMYFUNCTION("IMPORTRANGE(""https://docs.google.com/spreadsheets/d/1-uDff_7J0KD5mKrp0Vvzr7lt3OU09vwQwhkpOPPYv2Y/edit?usp=sharing"",""งบพรบ!CV90"")"),0)</f>
        <v>0</v>
      </c>
      <c r="F90" s="78">
        <f ca="1">IFERROR(__xludf.DUMMYFUNCTION("IMPORTRANGE(""https://docs.google.com/spreadsheets/d/1-uDff_7J0KD5mKrp0Vvzr7lt3OU09vwQwhkpOPPYv2Y/edit?usp=sharing"",""งบพรบ!CW90"")"),0)</f>
        <v>0</v>
      </c>
      <c r="G90" s="78">
        <f ca="1">IFERROR(__xludf.DUMMYFUNCTION("IMPORTRANGE(""https://docs.google.com/spreadsheets/d/1-uDff_7J0KD5mKrp0Vvzr7lt3OU09vwQwhkpOPPYv2Y/edit?usp=sharing"",""งบพรบ!CX90"")"),0)</f>
        <v>0</v>
      </c>
      <c r="H90" s="78">
        <f ca="1">IFERROR(__xludf.DUMMYFUNCTION("IMPORTRANGE(""https://docs.google.com/spreadsheets/d/1-uDff_7J0KD5mKrp0Vvzr7lt3OU09vwQwhkpOPPYv2Y/edit?usp=sharing"",""งบพรบ!CZ90"")"),0)</f>
        <v>0</v>
      </c>
      <c r="I90" s="78">
        <f ca="1">IFERROR(__xludf.DUMMYFUNCTION("IMPORTRANGE(""https://docs.google.com/spreadsheets/d/1-uDff_7J0KD5mKrp0Vvzr7lt3OU09vwQwhkpOPPYv2Y/edit?usp=sharing"",""งบพรบ!DA90"")"),0)</f>
        <v>0</v>
      </c>
      <c r="J90" s="78">
        <f t="shared" ref="J90:J106" ca="1" si="204">L90+O90</f>
        <v>0</v>
      </c>
      <c r="K90" s="115">
        <f t="shared" ref="K90:K106" ca="1" si="205">IF(C90&gt;0,J90*100/C90,0)</f>
        <v>0</v>
      </c>
      <c r="L90" s="78">
        <f ca="1">IFERROR(__xludf.DUMMYFUNCTION("IMPORTRANGE(""https://docs.google.com/spreadsheets/d/1-uDff_7J0KD5mKrp0Vvzr7lt3OU09vwQwhkpOPPYv2Y/edit?usp=sharing"",""งบพรบ!DB90"")"),0)</f>
        <v>0</v>
      </c>
      <c r="M90" s="81">
        <f t="shared" ref="M90:M106" ca="1" si="206">IF(D90&gt;0,L90*100/D90,0)</f>
        <v>0</v>
      </c>
      <c r="N90" s="81">
        <f t="shared" ref="N90:N106" ca="1" si="207">IF(H90&gt;0,L90*100/H90,0)</f>
        <v>0</v>
      </c>
      <c r="O90" s="82">
        <f ca="1">IFERROR(__xludf.DUMMYFUNCTION("IMPORTRANGE(""https://docs.google.com/spreadsheets/d/1-uDff_7J0KD5mKrp0Vvzr7lt3OU09vwQwhkpOPPYv2Y/edit?usp=sharing"",""งบพรบ!DC90"")"),0)</f>
        <v>0</v>
      </c>
      <c r="P90" s="82">
        <f t="shared" ref="P90:P106" ca="1" si="208">IF(G90&gt;0,O90*100/G90,0)</f>
        <v>0</v>
      </c>
      <c r="Q90" s="81">
        <f t="shared" ref="Q90:Q106" ca="1" si="209">IF(I90&gt;0,O90*100/I90,0)</f>
        <v>0</v>
      </c>
      <c r="R90" s="78"/>
      <c r="S90" s="78"/>
      <c r="T90" s="81"/>
      <c r="U90" s="78"/>
      <c r="V90" s="78"/>
      <c r="W90" s="81"/>
      <c r="X90" s="78"/>
      <c r="Y90" s="78"/>
      <c r="Z90" s="78"/>
      <c r="AA90" s="78"/>
      <c r="AB90" s="78"/>
      <c r="AC90" s="81"/>
      <c r="AD90" s="78"/>
      <c r="AE90" s="78"/>
      <c r="AF90" s="81"/>
      <c r="AG90" s="78"/>
      <c r="AH90" s="78"/>
      <c r="AI90" s="81"/>
      <c r="AJ90" s="78"/>
      <c r="AK90" s="78"/>
      <c r="AL90" s="81"/>
      <c r="AM90" s="285"/>
      <c r="AN90" s="285"/>
      <c r="AO90" s="78"/>
      <c r="AP90" s="78"/>
      <c r="AQ90" s="81"/>
      <c r="AR90" s="78"/>
      <c r="AS90" s="78"/>
      <c r="AT90" s="81"/>
      <c r="AU90" s="78"/>
      <c r="AV90" s="78"/>
      <c r="AW90" s="81"/>
      <c r="AX90" s="78"/>
      <c r="AY90" s="78"/>
      <c r="AZ90" s="81"/>
      <c r="BA90" s="78"/>
      <c r="BB90" s="78"/>
      <c r="BC90" s="81"/>
      <c r="BD90" s="78"/>
      <c r="BE90" s="78"/>
      <c r="BF90" s="81"/>
      <c r="BG90" s="78"/>
      <c r="BH90" s="78"/>
      <c r="BI90" s="81"/>
      <c r="BJ90" s="78"/>
      <c r="BK90" s="78"/>
      <c r="BL90" s="81"/>
      <c r="BM90" s="78"/>
      <c r="BN90" s="78"/>
      <c r="BO90" s="81"/>
      <c r="BP90" s="78"/>
      <c r="BQ90" s="78"/>
      <c r="BR90" s="81"/>
      <c r="BS90" s="78"/>
      <c r="BT90" s="78"/>
      <c r="BU90" s="81"/>
      <c r="BV90" s="78"/>
      <c r="BW90" s="78"/>
      <c r="BX90" s="81"/>
      <c r="BY90" s="78"/>
      <c r="BZ90" s="78"/>
      <c r="CA90" s="81"/>
      <c r="CB90" s="78"/>
      <c r="CC90" s="78"/>
      <c r="CD90" s="81"/>
      <c r="CE90" s="78"/>
      <c r="CF90" s="78"/>
      <c r="CG90" s="81"/>
      <c r="CH90" s="78"/>
      <c r="CI90" s="78"/>
    </row>
    <row r="91" spans="1:87" ht="24" customHeight="1" x14ac:dyDescent="0.3">
      <c r="A91" s="196"/>
      <c r="B91" s="117" t="s">
        <v>113</v>
      </c>
      <c r="C91" s="197">
        <f t="shared" ca="1" si="202"/>
        <v>0</v>
      </c>
      <c r="D91" s="198">
        <f t="shared" ca="1" si="203"/>
        <v>0</v>
      </c>
      <c r="E91" s="88">
        <f ca="1">IFERROR(__xludf.DUMMYFUNCTION("IMPORTRANGE(""https://docs.google.com/spreadsheets/d/1-uDff_7J0KD5mKrp0Vvzr7lt3OU09vwQwhkpOPPYv2Y/edit?usp=sharing"",""งบพรบ!CV91"")"),0)</f>
        <v>0</v>
      </c>
      <c r="F91" s="88">
        <f ca="1">IFERROR(__xludf.DUMMYFUNCTION("IMPORTRANGE(""https://docs.google.com/spreadsheets/d/1-uDff_7J0KD5mKrp0Vvzr7lt3OU09vwQwhkpOPPYv2Y/edit?usp=sharing"",""งบพรบ!CW91"")"),0)</f>
        <v>0</v>
      </c>
      <c r="G91" s="88">
        <f ca="1">IFERROR(__xludf.DUMMYFUNCTION("IMPORTRANGE(""https://docs.google.com/spreadsheets/d/1-uDff_7J0KD5mKrp0Vvzr7lt3OU09vwQwhkpOPPYv2Y/edit?usp=sharing"",""งบพรบ!CX91"")"),0)</f>
        <v>0</v>
      </c>
      <c r="H91" s="88">
        <f ca="1">IFERROR(__xludf.DUMMYFUNCTION("IMPORTRANGE(""https://docs.google.com/spreadsheets/d/1-uDff_7J0KD5mKrp0Vvzr7lt3OU09vwQwhkpOPPYv2Y/edit?usp=sharing"",""งบพรบ!CZ91"")"),0)</f>
        <v>0</v>
      </c>
      <c r="I91" s="88">
        <f ca="1">IFERROR(__xludf.DUMMYFUNCTION("IMPORTRANGE(""https://docs.google.com/spreadsheets/d/1-uDff_7J0KD5mKrp0Vvzr7lt3OU09vwQwhkpOPPYv2Y/edit?usp=sharing"",""งบพรบ!DA91"")"),0)</f>
        <v>0</v>
      </c>
      <c r="J91" s="88">
        <f t="shared" ca="1" si="204"/>
        <v>0</v>
      </c>
      <c r="K91" s="89">
        <f t="shared" ca="1" si="205"/>
        <v>0</v>
      </c>
      <c r="L91" s="88">
        <f ca="1">IFERROR(__xludf.DUMMYFUNCTION("IMPORTRANGE(""https://docs.google.com/spreadsheets/d/1-uDff_7J0KD5mKrp0Vvzr7lt3OU09vwQwhkpOPPYv2Y/edit?usp=sharing"",""งบพรบ!DB91"")"),0)</f>
        <v>0</v>
      </c>
      <c r="M91" s="90">
        <f t="shared" ca="1" si="206"/>
        <v>0</v>
      </c>
      <c r="N91" s="90">
        <f t="shared" ca="1" si="207"/>
        <v>0</v>
      </c>
      <c r="O91" s="91">
        <f ca="1">IFERROR(__xludf.DUMMYFUNCTION("IMPORTRANGE(""https://docs.google.com/spreadsheets/d/1-uDff_7J0KD5mKrp0Vvzr7lt3OU09vwQwhkpOPPYv2Y/edit?usp=sharing"",""งบพรบ!DC91"")"),0)</f>
        <v>0</v>
      </c>
      <c r="P91" s="91">
        <f t="shared" ca="1" si="208"/>
        <v>0</v>
      </c>
      <c r="Q91" s="90">
        <f t="shared" ca="1" si="209"/>
        <v>0</v>
      </c>
      <c r="R91" s="88"/>
      <c r="S91" s="88"/>
      <c r="T91" s="90"/>
      <c r="U91" s="88"/>
      <c r="V91" s="88"/>
      <c r="W91" s="90"/>
      <c r="X91" s="88"/>
      <c r="Y91" s="88"/>
      <c r="Z91" s="88"/>
      <c r="AA91" s="88"/>
      <c r="AB91" s="88"/>
      <c r="AC91" s="90"/>
      <c r="AD91" s="88"/>
      <c r="AE91" s="88"/>
      <c r="AF91" s="90"/>
      <c r="AG91" s="88"/>
      <c r="AH91" s="88"/>
      <c r="AI91" s="90"/>
      <c r="AJ91" s="88"/>
      <c r="AK91" s="88"/>
      <c r="AL91" s="90"/>
      <c r="AM91" s="285"/>
      <c r="AN91" s="285"/>
      <c r="AO91" s="88"/>
      <c r="AP91" s="88"/>
      <c r="AQ91" s="90"/>
      <c r="AR91" s="88"/>
      <c r="AS91" s="88"/>
      <c r="AT91" s="90"/>
      <c r="AU91" s="88"/>
      <c r="AV91" s="88"/>
      <c r="AW91" s="90"/>
      <c r="AX91" s="88"/>
      <c r="AY91" s="88"/>
      <c r="AZ91" s="90"/>
      <c r="BA91" s="88"/>
      <c r="BB91" s="88"/>
      <c r="BC91" s="90"/>
      <c r="BD91" s="88"/>
      <c r="BE91" s="88"/>
      <c r="BF91" s="90"/>
      <c r="BG91" s="88"/>
      <c r="BH91" s="88"/>
      <c r="BI91" s="90"/>
      <c r="BJ91" s="88"/>
      <c r="BK91" s="88"/>
      <c r="BL91" s="90"/>
      <c r="BM91" s="88"/>
      <c r="BN91" s="88"/>
      <c r="BO91" s="90"/>
      <c r="BP91" s="88"/>
      <c r="BQ91" s="88"/>
      <c r="BR91" s="90"/>
      <c r="BS91" s="88"/>
      <c r="BT91" s="88"/>
      <c r="BU91" s="90"/>
      <c r="BV91" s="88"/>
      <c r="BW91" s="88"/>
      <c r="BX91" s="90"/>
      <c r="BY91" s="88"/>
      <c r="BZ91" s="88"/>
      <c r="CA91" s="90"/>
      <c r="CB91" s="88"/>
      <c r="CC91" s="88"/>
      <c r="CD91" s="90"/>
      <c r="CE91" s="88"/>
      <c r="CF91" s="88"/>
      <c r="CG91" s="90"/>
      <c r="CH91" s="88"/>
      <c r="CI91" s="88"/>
    </row>
    <row r="92" spans="1:87" ht="24" customHeight="1" x14ac:dyDescent="0.3">
      <c r="A92" s="196"/>
      <c r="B92" s="117" t="s">
        <v>114</v>
      </c>
      <c r="C92" s="197">
        <f t="shared" ca="1" si="202"/>
        <v>0</v>
      </c>
      <c r="D92" s="198">
        <f t="shared" ca="1" si="203"/>
        <v>0</v>
      </c>
      <c r="E92" s="88">
        <f ca="1">IFERROR(__xludf.DUMMYFUNCTION("IMPORTRANGE(""https://docs.google.com/spreadsheets/d/1-uDff_7J0KD5mKrp0Vvzr7lt3OU09vwQwhkpOPPYv2Y/edit?usp=sharing"",""งบพรบ!CV92"")"),0)</f>
        <v>0</v>
      </c>
      <c r="F92" s="88">
        <f ca="1">IFERROR(__xludf.DUMMYFUNCTION("IMPORTRANGE(""https://docs.google.com/spreadsheets/d/1-uDff_7J0KD5mKrp0Vvzr7lt3OU09vwQwhkpOPPYv2Y/edit?usp=sharing"",""งบพรบ!CW92"")"),0)</f>
        <v>0</v>
      </c>
      <c r="G92" s="88">
        <f ca="1">IFERROR(__xludf.DUMMYFUNCTION("IMPORTRANGE(""https://docs.google.com/spreadsheets/d/1-uDff_7J0KD5mKrp0Vvzr7lt3OU09vwQwhkpOPPYv2Y/edit?usp=sharing"",""งบพรบ!CX92"")"),0)</f>
        <v>0</v>
      </c>
      <c r="H92" s="88">
        <f ca="1">IFERROR(__xludf.DUMMYFUNCTION("IMPORTRANGE(""https://docs.google.com/spreadsheets/d/1-uDff_7J0KD5mKrp0Vvzr7lt3OU09vwQwhkpOPPYv2Y/edit?usp=sharing"",""งบพรบ!CZ92"")"),0)</f>
        <v>0</v>
      </c>
      <c r="I92" s="88">
        <f ca="1">IFERROR(__xludf.DUMMYFUNCTION("IMPORTRANGE(""https://docs.google.com/spreadsheets/d/1-uDff_7J0KD5mKrp0Vvzr7lt3OU09vwQwhkpOPPYv2Y/edit?usp=sharing"",""งบพรบ!DA92"")"),0)</f>
        <v>0</v>
      </c>
      <c r="J92" s="88">
        <f t="shared" ca="1" si="204"/>
        <v>0</v>
      </c>
      <c r="K92" s="89">
        <f t="shared" ca="1" si="205"/>
        <v>0</v>
      </c>
      <c r="L92" s="88">
        <f ca="1">IFERROR(__xludf.DUMMYFUNCTION("IMPORTRANGE(""https://docs.google.com/spreadsheets/d/1-uDff_7J0KD5mKrp0Vvzr7lt3OU09vwQwhkpOPPYv2Y/edit?usp=sharing"",""งบพรบ!DB92"")"),0)</f>
        <v>0</v>
      </c>
      <c r="M92" s="90">
        <f t="shared" ca="1" si="206"/>
        <v>0</v>
      </c>
      <c r="N92" s="90">
        <f t="shared" ca="1" si="207"/>
        <v>0</v>
      </c>
      <c r="O92" s="91">
        <f ca="1">IFERROR(__xludf.DUMMYFUNCTION("IMPORTRANGE(""https://docs.google.com/spreadsheets/d/1-uDff_7J0KD5mKrp0Vvzr7lt3OU09vwQwhkpOPPYv2Y/edit?usp=sharing"",""งบพรบ!DC92"")"),0)</f>
        <v>0</v>
      </c>
      <c r="P92" s="91">
        <f t="shared" ca="1" si="208"/>
        <v>0</v>
      </c>
      <c r="Q92" s="90">
        <f t="shared" ca="1" si="209"/>
        <v>0</v>
      </c>
      <c r="R92" s="88"/>
      <c r="S92" s="88"/>
      <c r="T92" s="90"/>
      <c r="U92" s="88"/>
      <c r="V92" s="88"/>
      <c r="W92" s="90"/>
      <c r="X92" s="88"/>
      <c r="Y92" s="88"/>
      <c r="Z92" s="88"/>
      <c r="AA92" s="88"/>
      <c r="AB92" s="88"/>
      <c r="AC92" s="90"/>
      <c r="AD92" s="88"/>
      <c r="AE92" s="88"/>
      <c r="AF92" s="90"/>
      <c r="AG92" s="88"/>
      <c r="AH92" s="88"/>
      <c r="AI92" s="90"/>
      <c r="AJ92" s="88"/>
      <c r="AK92" s="88"/>
      <c r="AL92" s="90"/>
      <c r="AM92" s="285"/>
      <c r="AN92" s="285"/>
      <c r="AO92" s="88"/>
      <c r="AP92" s="88"/>
      <c r="AQ92" s="90"/>
      <c r="AR92" s="88"/>
      <c r="AS92" s="88"/>
      <c r="AT92" s="90"/>
      <c r="AU92" s="88"/>
      <c r="AV92" s="88"/>
      <c r="AW92" s="90"/>
      <c r="AX92" s="88"/>
      <c r="AY92" s="88"/>
      <c r="AZ92" s="90"/>
      <c r="BA92" s="88"/>
      <c r="BB92" s="88"/>
      <c r="BC92" s="90"/>
      <c r="BD92" s="88"/>
      <c r="BE92" s="88"/>
      <c r="BF92" s="90"/>
      <c r="BG92" s="88"/>
      <c r="BH92" s="88"/>
      <c r="BI92" s="90"/>
      <c r="BJ92" s="88"/>
      <c r="BK92" s="88"/>
      <c r="BL92" s="90"/>
      <c r="BM92" s="88"/>
      <c r="BN92" s="88"/>
      <c r="BO92" s="90"/>
      <c r="BP92" s="88"/>
      <c r="BQ92" s="88"/>
      <c r="BR92" s="90"/>
      <c r="BS92" s="88"/>
      <c r="BT92" s="88"/>
      <c r="BU92" s="90"/>
      <c r="BV92" s="88"/>
      <c r="BW92" s="88"/>
      <c r="BX92" s="90"/>
      <c r="BY92" s="88"/>
      <c r="BZ92" s="88"/>
      <c r="CA92" s="90"/>
      <c r="CB92" s="88"/>
      <c r="CC92" s="88"/>
      <c r="CD92" s="90"/>
      <c r="CE92" s="88"/>
      <c r="CF92" s="88"/>
      <c r="CG92" s="90"/>
      <c r="CH92" s="88"/>
      <c r="CI92" s="88"/>
    </row>
    <row r="93" spans="1:87" ht="24" customHeight="1" x14ac:dyDescent="0.3">
      <c r="A93" s="196"/>
      <c r="B93" s="117" t="s">
        <v>115</v>
      </c>
      <c r="C93" s="197">
        <f t="shared" ca="1" si="202"/>
        <v>0</v>
      </c>
      <c r="D93" s="198">
        <f t="shared" ca="1" si="203"/>
        <v>0</v>
      </c>
      <c r="E93" s="88">
        <f ca="1">IFERROR(__xludf.DUMMYFUNCTION("IMPORTRANGE(""https://docs.google.com/spreadsheets/d/1-uDff_7J0KD5mKrp0Vvzr7lt3OU09vwQwhkpOPPYv2Y/edit?usp=sharing"",""งบพรบ!CV93"")"),0)</f>
        <v>0</v>
      </c>
      <c r="F93" s="88">
        <f ca="1">IFERROR(__xludf.DUMMYFUNCTION("IMPORTRANGE(""https://docs.google.com/spreadsheets/d/1-uDff_7J0KD5mKrp0Vvzr7lt3OU09vwQwhkpOPPYv2Y/edit?usp=sharing"",""งบพรบ!CW93"")"),0)</f>
        <v>0</v>
      </c>
      <c r="G93" s="88">
        <f ca="1">IFERROR(__xludf.DUMMYFUNCTION("IMPORTRANGE(""https://docs.google.com/spreadsheets/d/1-uDff_7J0KD5mKrp0Vvzr7lt3OU09vwQwhkpOPPYv2Y/edit?usp=sharing"",""งบพรบ!CX93"")"),0)</f>
        <v>0</v>
      </c>
      <c r="H93" s="88">
        <f ca="1">IFERROR(__xludf.DUMMYFUNCTION("IMPORTRANGE(""https://docs.google.com/spreadsheets/d/1-uDff_7J0KD5mKrp0Vvzr7lt3OU09vwQwhkpOPPYv2Y/edit?usp=sharing"",""งบพรบ!CZ93"")"),0)</f>
        <v>0</v>
      </c>
      <c r="I93" s="88">
        <f ca="1">IFERROR(__xludf.DUMMYFUNCTION("IMPORTRANGE(""https://docs.google.com/spreadsheets/d/1-uDff_7J0KD5mKrp0Vvzr7lt3OU09vwQwhkpOPPYv2Y/edit?usp=sharing"",""งบพรบ!DA93"")"),0)</f>
        <v>0</v>
      </c>
      <c r="J93" s="88">
        <f t="shared" ca="1" si="204"/>
        <v>0</v>
      </c>
      <c r="K93" s="89">
        <f t="shared" ca="1" si="205"/>
        <v>0</v>
      </c>
      <c r="L93" s="88">
        <f ca="1">IFERROR(__xludf.DUMMYFUNCTION("IMPORTRANGE(""https://docs.google.com/spreadsheets/d/1-uDff_7J0KD5mKrp0Vvzr7lt3OU09vwQwhkpOPPYv2Y/edit?usp=sharing"",""งบพรบ!DB93"")"),0)</f>
        <v>0</v>
      </c>
      <c r="M93" s="90">
        <f t="shared" ca="1" si="206"/>
        <v>0</v>
      </c>
      <c r="N93" s="90">
        <f t="shared" ca="1" si="207"/>
        <v>0</v>
      </c>
      <c r="O93" s="91">
        <f ca="1">IFERROR(__xludf.DUMMYFUNCTION("IMPORTRANGE(""https://docs.google.com/spreadsheets/d/1-uDff_7J0KD5mKrp0Vvzr7lt3OU09vwQwhkpOPPYv2Y/edit?usp=sharing"",""งบพรบ!DC93"")"),0)</f>
        <v>0</v>
      </c>
      <c r="P93" s="91">
        <f t="shared" ca="1" si="208"/>
        <v>0</v>
      </c>
      <c r="Q93" s="90">
        <f t="shared" ca="1" si="209"/>
        <v>0</v>
      </c>
      <c r="R93" s="88"/>
      <c r="S93" s="88"/>
      <c r="T93" s="90"/>
      <c r="U93" s="88"/>
      <c r="V93" s="88"/>
      <c r="W93" s="90"/>
      <c r="X93" s="88"/>
      <c r="Y93" s="88"/>
      <c r="Z93" s="88"/>
      <c r="AA93" s="88"/>
      <c r="AB93" s="88"/>
      <c r="AC93" s="90"/>
      <c r="AD93" s="88"/>
      <c r="AE93" s="88"/>
      <c r="AF93" s="90"/>
      <c r="AG93" s="88"/>
      <c r="AH93" s="88"/>
      <c r="AI93" s="90"/>
      <c r="AJ93" s="88"/>
      <c r="AK93" s="88"/>
      <c r="AL93" s="90"/>
      <c r="AM93" s="285"/>
      <c r="AN93" s="285"/>
      <c r="AO93" s="88"/>
      <c r="AP93" s="88"/>
      <c r="AQ93" s="90"/>
      <c r="AR93" s="88"/>
      <c r="AS93" s="88"/>
      <c r="AT93" s="90"/>
      <c r="AU93" s="88"/>
      <c r="AV93" s="88"/>
      <c r="AW93" s="90"/>
      <c r="AX93" s="88"/>
      <c r="AY93" s="88"/>
      <c r="AZ93" s="90"/>
      <c r="BA93" s="88"/>
      <c r="BB93" s="88"/>
      <c r="BC93" s="90"/>
      <c r="BD93" s="88"/>
      <c r="BE93" s="88"/>
      <c r="BF93" s="90"/>
      <c r="BG93" s="88"/>
      <c r="BH93" s="88"/>
      <c r="BI93" s="90"/>
      <c r="BJ93" s="88"/>
      <c r="BK93" s="88"/>
      <c r="BL93" s="90"/>
      <c r="BM93" s="88"/>
      <c r="BN93" s="88"/>
      <c r="BO93" s="90"/>
      <c r="BP93" s="88"/>
      <c r="BQ93" s="88"/>
      <c r="BR93" s="90"/>
      <c r="BS93" s="88"/>
      <c r="BT93" s="88"/>
      <c r="BU93" s="90"/>
      <c r="BV93" s="88"/>
      <c r="BW93" s="88"/>
      <c r="BX93" s="90"/>
      <c r="BY93" s="88"/>
      <c r="BZ93" s="88"/>
      <c r="CA93" s="90"/>
      <c r="CB93" s="88"/>
      <c r="CC93" s="88"/>
      <c r="CD93" s="90"/>
      <c r="CE93" s="88"/>
      <c r="CF93" s="88"/>
      <c r="CG93" s="90"/>
      <c r="CH93" s="88"/>
      <c r="CI93" s="88"/>
    </row>
    <row r="94" spans="1:87" ht="24" customHeight="1" x14ac:dyDescent="0.3">
      <c r="A94" s="196"/>
      <c r="B94" s="117" t="s">
        <v>116</v>
      </c>
      <c r="C94" s="197">
        <f t="shared" ca="1" si="202"/>
        <v>0</v>
      </c>
      <c r="D94" s="198">
        <f t="shared" ca="1" si="203"/>
        <v>0</v>
      </c>
      <c r="E94" s="88">
        <f ca="1">IFERROR(__xludf.DUMMYFUNCTION("IMPORTRANGE(""https://docs.google.com/spreadsheets/d/1-uDff_7J0KD5mKrp0Vvzr7lt3OU09vwQwhkpOPPYv2Y/edit?usp=sharing"",""งบพรบ!CV94"")"),0)</f>
        <v>0</v>
      </c>
      <c r="F94" s="88">
        <f ca="1">IFERROR(__xludf.DUMMYFUNCTION("IMPORTRANGE(""https://docs.google.com/spreadsheets/d/1-uDff_7J0KD5mKrp0Vvzr7lt3OU09vwQwhkpOPPYv2Y/edit?usp=sharing"",""งบพรบ!CW94"")"),0)</f>
        <v>0</v>
      </c>
      <c r="G94" s="88">
        <f ca="1">IFERROR(__xludf.DUMMYFUNCTION("IMPORTRANGE(""https://docs.google.com/spreadsheets/d/1-uDff_7J0KD5mKrp0Vvzr7lt3OU09vwQwhkpOPPYv2Y/edit?usp=sharing"",""งบพรบ!CX94"")"),0)</f>
        <v>0</v>
      </c>
      <c r="H94" s="88">
        <f ca="1">IFERROR(__xludf.DUMMYFUNCTION("IMPORTRANGE(""https://docs.google.com/spreadsheets/d/1-uDff_7J0KD5mKrp0Vvzr7lt3OU09vwQwhkpOPPYv2Y/edit?usp=sharing"",""งบพรบ!CZ94"")"),0)</f>
        <v>0</v>
      </c>
      <c r="I94" s="88">
        <f ca="1">IFERROR(__xludf.DUMMYFUNCTION("IMPORTRANGE(""https://docs.google.com/spreadsheets/d/1-uDff_7J0KD5mKrp0Vvzr7lt3OU09vwQwhkpOPPYv2Y/edit?usp=sharing"",""งบพรบ!DA94"")"),0)</f>
        <v>0</v>
      </c>
      <c r="J94" s="88">
        <f t="shared" ca="1" si="204"/>
        <v>0</v>
      </c>
      <c r="K94" s="89">
        <f t="shared" ca="1" si="205"/>
        <v>0</v>
      </c>
      <c r="L94" s="88">
        <f ca="1">IFERROR(__xludf.DUMMYFUNCTION("IMPORTRANGE(""https://docs.google.com/spreadsheets/d/1-uDff_7J0KD5mKrp0Vvzr7lt3OU09vwQwhkpOPPYv2Y/edit?usp=sharing"",""งบพรบ!DB94"")"),0)</f>
        <v>0</v>
      </c>
      <c r="M94" s="90">
        <f t="shared" ca="1" si="206"/>
        <v>0</v>
      </c>
      <c r="N94" s="90">
        <f t="shared" ca="1" si="207"/>
        <v>0</v>
      </c>
      <c r="O94" s="91">
        <f ca="1">IFERROR(__xludf.DUMMYFUNCTION("IMPORTRANGE(""https://docs.google.com/spreadsheets/d/1-uDff_7J0KD5mKrp0Vvzr7lt3OU09vwQwhkpOPPYv2Y/edit?usp=sharing"",""งบพรบ!DC94"")"),0)</f>
        <v>0</v>
      </c>
      <c r="P94" s="91">
        <f t="shared" ca="1" si="208"/>
        <v>0</v>
      </c>
      <c r="Q94" s="90">
        <f t="shared" ca="1" si="209"/>
        <v>0</v>
      </c>
      <c r="R94" s="88"/>
      <c r="S94" s="88"/>
      <c r="T94" s="90"/>
      <c r="U94" s="88"/>
      <c r="V94" s="88"/>
      <c r="W94" s="90"/>
      <c r="X94" s="88"/>
      <c r="Y94" s="88"/>
      <c r="Z94" s="88"/>
      <c r="AA94" s="88"/>
      <c r="AB94" s="88"/>
      <c r="AC94" s="90"/>
      <c r="AD94" s="88"/>
      <c r="AE94" s="88"/>
      <c r="AF94" s="90"/>
      <c r="AG94" s="88"/>
      <c r="AH94" s="88"/>
      <c r="AI94" s="90"/>
      <c r="AJ94" s="88"/>
      <c r="AK94" s="88"/>
      <c r="AL94" s="90"/>
      <c r="AM94" s="285"/>
      <c r="AN94" s="285"/>
      <c r="AO94" s="88"/>
      <c r="AP94" s="88"/>
      <c r="AQ94" s="90"/>
      <c r="AR94" s="88"/>
      <c r="AS94" s="88"/>
      <c r="AT94" s="90"/>
      <c r="AU94" s="88"/>
      <c r="AV94" s="88"/>
      <c r="AW94" s="90"/>
      <c r="AX94" s="88"/>
      <c r="AY94" s="88"/>
      <c r="AZ94" s="90"/>
      <c r="BA94" s="88"/>
      <c r="BB94" s="88"/>
      <c r="BC94" s="90"/>
      <c r="BD94" s="88"/>
      <c r="BE94" s="88"/>
      <c r="BF94" s="90"/>
      <c r="BG94" s="88"/>
      <c r="BH94" s="88"/>
      <c r="BI94" s="90"/>
      <c r="BJ94" s="88"/>
      <c r="BK94" s="88"/>
      <c r="BL94" s="90"/>
      <c r="BM94" s="88"/>
      <c r="BN94" s="88"/>
      <c r="BO94" s="90"/>
      <c r="BP94" s="88"/>
      <c r="BQ94" s="88"/>
      <c r="BR94" s="90"/>
      <c r="BS94" s="88"/>
      <c r="BT94" s="88"/>
      <c r="BU94" s="90"/>
      <c r="BV94" s="88"/>
      <c r="BW94" s="88"/>
      <c r="BX94" s="90"/>
      <c r="BY94" s="88"/>
      <c r="BZ94" s="88"/>
      <c r="CA94" s="90"/>
      <c r="CB94" s="88"/>
      <c r="CC94" s="88"/>
      <c r="CD94" s="90"/>
      <c r="CE94" s="88"/>
      <c r="CF94" s="88"/>
      <c r="CG94" s="90"/>
      <c r="CH94" s="88"/>
      <c r="CI94" s="88"/>
    </row>
    <row r="95" spans="1:87" ht="24" customHeight="1" x14ac:dyDescent="0.3">
      <c r="A95" s="196"/>
      <c r="B95" s="117" t="s">
        <v>117</v>
      </c>
      <c r="C95" s="197">
        <f t="shared" ca="1" si="202"/>
        <v>0</v>
      </c>
      <c r="D95" s="198">
        <f t="shared" ca="1" si="203"/>
        <v>0</v>
      </c>
      <c r="E95" s="88">
        <f ca="1">IFERROR(__xludf.DUMMYFUNCTION("IMPORTRANGE(""https://docs.google.com/spreadsheets/d/1-uDff_7J0KD5mKrp0Vvzr7lt3OU09vwQwhkpOPPYv2Y/edit?usp=sharing"",""งบพรบ!CV95"")"),0)</f>
        <v>0</v>
      </c>
      <c r="F95" s="88">
        <f ca="1">IFERROR(__xludf.DUMMYFUNCTION("IMPORTRANGE(""https://docs.google.com/spreadsheets/d/1-uDff_7J0KD5mKrp0Vvzr7lt3OU09vwQwhkpOPPYv2Y/edit?usp=sharing"",""งบพรบ!CW95"")"),0)</f>
        <v>0</v>
      </c>
      <c r="G95" s="88">
        <f ca="1">IFERROR(__xludf.DUMMYFUNCTION("IMPORTRANGE(""https://docs.google.com/spreadsheets/d/1-uDff_7J0KD5mKrp0Vvzr7lt3OU09vwQwhkpOPPYv2Y/edit?usp=sharing"",""งบพรบ!CX95"")"),0)</f>
        <v>0</v>
      </c>
      <c r="H95" s="88">
        <f ca="1">IFERROR(__xludf.DUMMYFUNCTION("IMPORTRANGE(""https://docs.google.com/spreadsheets/d/1-uDff_7J0KD5mKrp0Vvzr7lt3OU09vwQwhkpOPPYv2Y/edit?usp=sharing"",""งบพรบ!CZ95"")"),0)</f>
        <v>0</v>
      </c>
      <c r="I95" s="88">
        <f ca="1">IFERROR(__xludf.DUMMYFUNCTION("IMPORTRANGE(""https://docs.google.com/spreadsheets/d/1-uDff_7J0KD5mKrp0Vvzr7lt3OU09vwQwhkpOPPYv2Y/edit?usp=sharing"",""งบพรบ!DA95"")"),0)</f>
        <v>0</v>
      </c>
      <c r="J95" s="88">
        <f t="shared" ca="1" si="204"/>
        <v>0</v>
      </c>
      <c r="K95" s="89">
        <f t="shared" ca="1" si="205"/>
        <v>0</v>
      </c>
      <c r="L95" s="88">
        <f ca="1">IFERROR(__xludf.DUMMYFUNCTION("IMPORTRANGE(""https://docs.google.com/spreadsheets/d/1-uDff_7J0KD5mKrp0Vvzr7lt3OU09vwQwhkpOPPYv2Y/edit?usp=sharing"",""งบพรบ!DB95"")"),0)</f>
        <v>0</v>
      </c>
      <c r="M95" s="90">
        <f t="shared" ca="1" si="206"/>
        <v>0</v>
      </c>
      <c r="N95" s="90">
        <f t="shared" ca="1" si="207"/>
        <v>0</v>
      </c>
      <c r="O95" s="91">
        <f ca="1">IFERROR(__xludf.DUMMYFUNCTION("IMPORTRANGE(""https://docs.google.com/spreadsheets/d/1-uDff_7J0KD5mKrp0Vvzr7lt3OU09vwQwhkpOPPYv2Y/edit?usp=sharing"",""งบพรบ!DC95"")"),0)</f>
        <v>0</v>
      </c>
      <c r="P95" s="91">
        <f t="shared" ca="1" si="208"/>
        <v>0</v>
      </c>
      <c r="Q95" s="90">
        <f t="shared" ca="1" si="209"/>
        <v>0</v>
      </c>
      <c r="R95" s="88"/>
      <c r="S95" s="88"/>
      <c r="T95" s="90"/>
      <c r="U95" s="88"/>
      <c r="V95" s="88"/>
      <c r="W95" s="90"/>
      <c r="X95" s="88"/>
      <c r="Y95" s="88"/>
      <c r="Z95" s="88"/>
      <c r="AA95" s="88"/>
      <c r="AB95" s="88"/>
      <c r="AC95" s="90"/>
      <c r="AD95" s="88"/>
      <c r="AE95" s="88"/>
      <c r="AF95" s="90"/>
      <c r="AG95" s="88"/>
      <c r="AH95" s="88"/>
      <c r="AI95" s="90"/>
      <c r="AJ95" s="88"/>
      <c r="AK95" s="88"/>
      <c r="AL95" s="90"/>
      <c r="AM95" s="285"/>
      <c r="AN95" s="285"/>
      <c r="AO95" s="88"/>
      <c r="AP95" s="88"/>
      <c r="AQ95" s="90"/>
      <c r="AR95" s="88"/>
      <c r="AS95" s="88"/>
      <c r="AT95" s="90"/>
      <c r="AU95" s="88"/>
      <c r="AV95" s="88"/>
      <c r="AW95" s="90"/>
      <c r="AX95" s="88"/>
      <c r="AY95" s="88"/>
      <c r="AZ95" s="90"/>
      <c r="BA95" s="88"/>
      <c r="BB95" s="88"/>
      <c r="BC95" s="90"/>
      <c r="BD95" s="88"/>
      <c r="BE95" s="88"/>
      <c r="BF95" s="90"/>
      <c r="BG95" s="88"/>
      <c r="BH95" s="88"/>
      <c r="BI95" s="90"/>
      <c r="BJ95" s="88"/>
      <c r="BK95" s="88"/>
      <c r="BL95" s="90"/>
      <c r="BM95" s="88"/>
      <c r="BN95" s="88"/>
      <c r="BO95" s="90"/>
      <c r="BP95" s="88"/>
      <c r="BQ95" s="88"/>
      <c r="BR95" s="90"/>
      <c r="BS95" s="88"/>
      <c r="BT95" s="88"/>
      <c r="BU95" s="90"/>
      <c r="BV95" s="88"/>
      <c r="BW95" s="88"/>
      <c r="BX95" s="90"/>
      <c r="BY95" s="88"/>
      <c r="BZ95" s="88"/>
      <c r="CA95" s="90"/>
      <c r="CB95" s="88"/>
      <c r="CC95" s="88"/>
      <c r="CD95" s="90"/>
      <c r="CE95" s="88"/>
      <c r="CF95" s="88"/>
      <c r="CG95" s="90"/>
      <c r="CH95" s="88"/>
      <c r="CI95" s="88"/>
    </row>
    <row r="96" spans="1:87" ht="24" customHeight="1" x14ac:dyDescent="0.3">
      <c r="A96" s="196"/>
      <c r="B96" s="117" t="s">
        <v>118</v>
      </c>
      <c r="C96" s="197">
        <f t="shared" ca="1" si="202"/>
        <v>0</v>
      </c>
      <c r="D96" s="198">
        <f t="shared" ca="1" si="203"/>
        <v>0</v>
      </c>
      <c r="E96" s="88">
        <f ca="1">IFERROR(__xludf.DUMMYFUNCTION("IMPORTRANGE(""https://docs.google.com/spreadsheets/d/1-uDff_7J0KD5mKrp0Vvzr7lt3OU09vwQwhkpOPPYv2Y/edit?usp=sharing"",""งบพรบ!CV96"")"),0)</f>
        <v>0</v>
      </c>
      <c r="F96" s="88">
        <f ca="1">IFERROR(__xludf.DUMMYFUNCTION("IMPORTRANGE(""https://docs.google.com/spreadsheets/d/1-uDff_7J0KD5mKrp0Vvzr7lt3OU09vwQwhkpOPPYv2Y/edit?usp=sharing"",""งบพรบ!CW96"")"),0)</f>
        <v>0</v>
      </c>
      <c r="G96" s="88">
        <f ca="1">IFERROR(__xludf.DUMMYFUNCTION("IMPORTRANGE(""https://docs.google.com/spreadsheets/d/1-uDff_7J0KD5mKrp0Vvzr7lt3OU09vwQwhkpOPPYv2Y/edit?usp=sharing"",""งบพรบ!CX96"")"),0)</f>
        <v>0</v>
      </c>
      <c r="H96" s="88">
        <f ca="1">IFERROR(__xludf.DUMMYFUNCTION("IMPORTRANGE(""https://docs.google.com/spreadsheets/d/1-uDff_7J0KD5mKrp0Vvzr7lt3OU09vwQwhkpOPPYv2Y/edit?usp=sharing"",""งบพรบ!CZ96"")"),0)</f>
        <v>0</v>
      </c>
      <c r="I96" s="88">
        <f ca="1">IFERROR(__xludf.DUMMYFUNCTION("IMPORTRANGE(""https://docs.google.com/spreadsheets/d/1-uDff_7J0KD5mKrp0Vvzr7lt3OU09vwQwhkpOPPYv2Y/edit?usp=sharing"",""งบพรบ!DA96"")"),0)</f>
        <v>0</v>
      </c>
      <c r="J96" s="88">
        <f t="shared" ca="1" si="204"/>
        <v>0</v>
      </c>
      <c r="K96" s="89">
        <f t="shared" ca="1" si="205"/>
        <v>0</v>
      </c>
      <c r="L96" s="88">
        <f ca="1">IFERROR(__xludf.DUMMYFUNCTION("IMPORTRANGE(""https://docs.google.com/spreadsheets/d/1-uDff_7J0KD5mKrp0Vvzr7lt3OU09vwQwhkpOPPYv2Y/edit?usp=sharing"",""งบพรบ!DB96"")"),0)</f>
        <v>0</v>
      </c>
      <c r="M96" s="90">
        <f t="shared" ca="1" si="206"/>
        <v>0</v>
      </c>
      <c r="N96" s="90">
        <f t="shared" ca="1" si="207"/>
        <v>0</v>
      </c>
      <c r="O96" s="91">
        <f ca="1">IFERROR(__xludf.DUMMYFUNCTION("IMPORTRANGE(""https://docs.google.com/spreadsheets/d/1-uDff_7J0KD5mKrp0Vvzr7lt3OU09vwQwhkpOPPYv2Y/edit?usp=sharing"",""งบพรบ!DC96"")"),0)</f>
        <v>0</v>
      </c>
      <c r="P96" s="91">
        <f t="shared" ca="1" si="208"/>
        <v>0</v>
      </c>
      <c r="Q96" s="90">
        <f t="shared" ca="1" si="209"/>
        <v>0</v>
      </c>
      <c r="R96" s="88"/>
      <c r="S96" s="88"/>
      <c r="T96" s="90"/>
      <c r="U96" s="88"/>
      <c r="V96" s="88"/>
      <c r="W96" s="90"/>
      <c r="X96" s="88"/>
      <c r="Y96" s="88"/>
      <c r="Z96" s="88"/>
      <c r="AA96" s="88"/>
      <c r="AB96" s="88"/>
      <c r="AC96" s="90"/>
      <c r="AD96" s="88"/>
      <c r="AE96" s="88"/>
      <c r="AF96" s="90"/>
      <c r="AG96" s="88"/>
      <c r="AH96" s="88"/>
      <c r="AI96" s="90"/>
      <c r="AJ96" s="88"/>
      <c r="AK96" s="88"/>
      <c r="AL96" s="90"/>
      <c r="AM96" s="285"/>
      <c r="AN96" s="285"/>
      <c r="AO96" s="88"/>
      <c r="AP96" s="88"/>
      <c r="AQ96" s="90"/>
      <c r="AR96" s="88"/>
      <c r="AS96" s="88"/>
      <c r="AT96" s="90"/>
      <c r="AU96" s="88"/>
      <c r="AV96" s="88"/>
      <c r="AW96" s="90"/>
      <c r="AX96" s="88"/>
      <c r="AY96" s="88"/>
      <c r="AZ96" s="90"/>
      <c r="BA96" s="88"/>
      <c r="BB96" s="88"/>
      <c r="BC96" s="90"/>
      <c r="BD96" s="88"/>
      <c r="BE96" s="88"/>
      <c r="BF96" s="90"/>
      <c r="BG96" s="88"/>
      <c r="BH96" s="88"/>
      <c r="BI96" s="90"/>
      <c r="BJ96" s="88"/>
      <c r="BK96" s="88"/>
      <c r="BL96" s="90"/>
      <c r="BM96" s="88"/>
      <c r="BN96" s="88"/>
      <c r="BO96" s="90"/>
      <c r="BP96" s="88"/>
      <c r="BQ96" s="88"/>
      <c r="BR96" s="90"/>
      <c r="BS96" s="88"/>
      <c r="BT96" s="88"/>
      <c r="BU96" s="90"/>
      <c r="BV96" s="88"/>
      <c r="BW96" s="88"/>
      <c r="BX96" s="90"/>
      <c r="BY96" s="88"/>
      <c r="BZ96" s="88"/>
      <c r="CA96" s="90"/>
      <c r="CB96" s="88"/>
      <c r="CC96" s="88"/>
      <c r="CD96" s="90"/>
      <c r="CE96" s="88"/>
      <c r="CF96" s="88"/>
      <c r="CG96" s="90"/>
      <c r="CH96" s="88"/>
      <c r="CI96" s="88"/>
    </row>
    <row r="97" spans="1:87" ht="24" customHeight="1" x14ac:dyDescent="0.3">
      <c r="A97" s="196"/>
      <c r="B97" s="117" t="s">
        <v>119</v>
      </c>
      <c r="C97" s="197">
        <f t="shared" ca="1" si="202"/>
        <v>0</v>
      </c>
      <c r="D97" s="198">
        <f t="shared" ca="1" si="203"/>
        <v>0</v>
      </c>
      <c r="E97" s="88">
        <f ca="1">IFERROR(__xludf.DUMMYFUNCTION("IMPORTRANGE(""https://docs.google.com/spreadsheets/d/1-uDff_7J0KD5mKrp0Vvzr7lt3OU09vwQwhkpOPPYv2Y/edit?usp=sharing"",""งบพรบ!CV97"")"),0)</f>
        <v>0</v>
      </c>
      <c r="F97" s="88">
        <f ca="1">IFERROR(__xludf.DUMMYFUNCTION("IMPORTRANGE(""https://docs.google.com/spreadsheets/d/1-uDff_7J0KD5mKrp0Vvzr7lt3OU09vwQwhkpOPPYv2Y/edit?usp=sharing"",""งบพรบ!CW97"")"),0)</f>
        <v>0</v>
      </c>
      <c r="G97" s="88">
        <f ca="1">IFERROR(__xludf.DUMMYFUNCTION("IMPORTRANGE(""https://docs.google.com/spreadsheets/d/1-uDff_7J0KD5mKrp0Vvzr7lt3OU09vwQwhkpOPPYv2Y/edit?usp=sharing"",""งบพรบ!CX97"")"),0)</f>
        <v>0</v>
      </c>
      <c r="H97" s="88">
        <f ca="1">IFERROR(__xludf.DUMMYFUNCTION("IMPORTRANGE(""https://docs.google.com/spreadsheets/d/1-uDff_7J0KD5mKrp0Vvzr7lt3OU09vwQwhkpOPPYv2Y/edit?usp=sharing"",""งบพรบ!CZ97"")"),0)</f>
        <v>0</v>
      </c>
      <c r="I97" s="88">
        <f ca="1">IFERROR(__xludf.DUMMYFUNCTION("IMPORTRANGE(""https://docs.google.com/spreadsheets/d/1-uDff_7J0KD5mKrp0Vvzr7lt3OU09vwQwhkpOPPYv2Y/edit?usp=sharing"",""งบพรบ!DA97"")"),0)</f>
        <v>0</v>
      </c>
      <c r="J97" s="88">
        <f t="shared" ca="1" si="204"/>
        <v>0</v>
      </c>
      <c r="K97" s="89">
        <f t="shared" ca="1" si="205"/>
        <v>0</v>
      </c>
      <c r="L97" s="88">
        <f ca="1">IFERROR(__xludf.DUMMYFUNCTION("IMPORTRANGE(""https://docs.google.com/spreadsheets/d/1-uDff_7J0KD5mKrp0Vvzr7lt3OU09vwQwhkpOPPYv2Y/edit?usp=sharing"",""งบพรบ!DB97"")"),0)</f>
        <v>0</v>
      </c>
      <c r="M97" s="90">
        <f t="shared" ca="1" si="206"/>
        <v>0</v>
      </c>
      <c r="N97" s="90">
        <f t="shared" ca="1" si="207"/>
        <v>0</v>
      </c>
      <c r="O97" s="91">
        <f ca="1">IFERROR(__xludf.DUMMYFUNCTION("IMPORTRANGE(""https://docs.google.com/spreadsheets/d/1-uDff_7J0KD5mKrp0Vvzr7lt3OU09vwQwhkpOPPYv2Y/edit?usp=sharing"",""งบพรบ!DC97"")"),0)</f>
        <v>0</v>
      </c>
      <c r="P97" s="91">
        <f t="shared" ca="1" si="208"/>
        <v>0</v>
      </c>
      <c r="Q97" s="90">
        <f t="shared" ca="1" si="209"/>
        <v>0</v>
      </c>
      <c r="R97" s="88"/>
      <c r="S97" s="88"/>
      <c r="T97" s="90"/>
      <c r="U97" s="88"/>
      <c r="V97" s="88"/>
      <c r="W97" s="90"/>
      <c r="X97" s="88"/>
      <c r="Y97" s="88"/>
      <c r="Z97" s="88"/>
      <c r="AA97" s="88"/>
      <c r="AB97" s="88"/>
      <c r="AC97" s="90"/>
      <c r="AD97" s="88"/>
      <c r="AE97" s="88"/>
      <c r="AF97" s="90"/>
      <c r="AG97" s="88"/>
      <c r="AH97" s="88"/>
      <c r="AI97" s="90"/>
      <c r="AJ97" s="88"/>
      <c r="AK97" s="88"/>
      <c r="AL97" s="90"/>
      <c r="AM97" s="285"/>
      <c r="AN97" s="285"/>
      <c r="AO97" s="88"/>
      <c r="AP97" s="88"/>
      <c r="AQ97" s="90"/>
      <c r="AR97" s="88"/>
      <c r="AS97" s="88"/>
      <c r="AT97" s="90"/>
      <c r="AU97" s="88"/>
      <c r="AV97" s="88"/>
      <c r="AW97" s="90"/>
      <c r="AX97" s="88"/>
      <c r="AY97" s="88"/>
      <c r="AZ97" s="90"/>
      <c r="BA97" s="88"/>
      <c r="BB97" s="88"/>
      <c r="BC97" s="90"/>
      <c r="BD97" s="88"/>
      <c r="BE97" s="88"/>
      <c r="BF97" s="90"/>
      <c r="BG97" s="88"/>
      <c r="BH97" s="88"/>
      <c r="BI97" s="90"/>
      <c r="BJ97" s="88"/>
      <c r="BK97" s="88"/>
      <c r="BL97" s="90"/>
      <c r="BM97" s="88"/>
      <c r="BN97" s="88"/>
      <c r="BO97" s="90"/>
      <c r="BP97" s="88"/>
      <c r="BQ97" s="88"/>
      <c r="BR97" s="90"/>
      <c r="BS97" s="88"/>
      <c r="BT97" s="88"/>
      <c r="BU97" s="90"/>
      <c r="BV97" s="88"/>
      <c r="BW97" s="88"/>
      <c r="BX97" s="90"/>
      <c r="BY97" s="88"/>
      <c r="BZ97" s="88"/>
      <c r="CA97" s="90"/>
      <c r="CB97" s="88"/>
      <c r="CC97" s="88"/>
      <c r="CD97" s="90"/>
      <c r="CE97" s="88"/>
      <c r="CF97" s="88"/>
      <c r="CG97" s="90"/>
      <c r="CH97" s="88"/>
      <c r="CI97" s="88"/>
    </row>
    <row r="98" spans="1:87" ht="24" customHeight="1" x14ac:dyDescent="0.3">
      <c r="A98" s="196"/>
      <c r="B98" s="117" t="s">
        <v>120</v>
      </c>
      <c r="C98" s="197">
        <f t="shared" ca="1" si="202"/>
        <v>0</v>
      </c>
      <c r="D98" s="198">
        <f t="shared" ca="1" si="203"/>
        <v>0</v>
      </c>
      <c r="E98" s="88">
        <f ca="1">IFERROR(__xludf.DUMMYFUNCTION("IMPORTRANGE(""https://docs.google.com/spreadsheets/d/1-uDff_7J0KD5mKrp0Vvzr7lt3OU09vwQwhkpOPPYv2Y/edit?usp=sharing"",""งบพรบ!CV98"")"),0)</f>
        <v>0</v>
      </c>
      <c r="F98" s="88">
        <f ca="1">IFERROR(__xludf.DUMMYFUNCTION("IMPORTRANGE(""https://docs.google.com/spreadsheets/d/1-uDff_7J0KD5mKrp0Vvzr7lt3OU09vwQwhkpOPPYv2Y/edit?usp=sharing"",""งบพรบ!CW98"")"),0)</f>
        <v>0</v>
      </c>
      <c r="G98" s="88">
        <f ca="1">IFERROR(__xludf.DUMMYFUNCTION("IMPORTRANGE(""https://docs.google.com/spreadsheets/d/1-uDff_7J0KD5mKrp0Vvzr7lt3OU09vwQwhkpOPPYv2Y/edit?usp=sharing"",""งบพรบ!CX98"")"),0)</f>
        <v>0</v>
      </c>
      <c r="H98" s="88">
        <f ca="1">IFERROR(__xludf.DUMMYFUNCTION("IMPORTRANGE(""https://docs.google.com/spreadsheets/d/1-uDff_7J0KD5mKrp0Vvzr7lt3OU09vwQwhkpOPPYv2Y/edit?usp=sharing"",""งบพรบ!CZ98"")"),0)</f>
        <v>0</v>
      </c>
      <c r="I98" s="88">
        <f ca="1">IFERROR(__xludf.DUMMYFUNCTION("IMPORTRANGE(""https://docs.google.com/spreadsheets/d/1-uDff_7J0KD5mKrp0Vvzr7lt3OU09vwQwhkpOPPYv2Y/edit?usp=sharing"",""งบพรบ!DA98"")"),0)</f>
        <v>0</v>
      </c>
      <c r="J98" s="88">
        <f t="shared" ca="1" si="204"/>
        <v>0</v>
      </c>
      <c r="K98" s="89">
        <f t="shared" ca="1" si="205"/>
        <v>0</v>
      </c>
      <c r="L98" s="88">
        <f ca="1">IFERROR(__xludf.DUMMYFUNCTION("IMPORTRANGE(""https://docs.google.com/spreadsheets/d/1-uDff_7J0KD5mKrp0Vvzr7lt3OU09vwQwhkpOPPYv2Y/edit?usp=sharing"",""งบพรบ!DB98"")"),0)</f>
        <v>0</v>
      </c>
      <c r="M98" s="90">
        <f t="shared" ca="1" si="206"/>
        <v>0</v>
      </c>
      <c r="N98" s="90">
        <f t="shared" ca="1" si="207"/>
        <v>0</v>
      </c>
      <c r="O98" s="91">
        <f ca="1">IFERROR(__xludf.DUMMYFUNCTION("IMPORTRANGE(""https://docs.google.com/spreadsheets/d/1-uDff_7J0KD5mKrp0Vvzr7lt3OU09vwQwhkpOPPYv2Y/edit?usp=sharing"",""งบพรบ!DC98"")"),0)</f>
        <v>0</v>
      </c>
      <c r="P98" s="91">
        <f t="shared" ca="1" si="208"/>
        <v>0</v>
      </c>
      <c r="Q98" s="90">
        <f t="shared" ca="1" si="209"/>
        <v>0</v>
      </c>
      <c r="R98" s="88"/>
      <c r="S98" s="88"/>
      <c r="T98" s="90"/>
      <c r="U98" s="88"/>
      <c r="V98" s="88"/>
      <c r="W98" s="90"/>
      <c r="X98" s="88"/>
      <c r="Y98" s="88"/>
      <c r="Z98" s="88"/>
      <c r="AA98" s="88"/>
      <c r="AB98" s="88"/>
      <c r="AC98" s="90"/>
      <c r="AD98" s="88"/>
      <c r="AE98" s="88"/>
      <c r="AF98" s="90"/>
      <c r="AG98" s="88"/>
      <c r="AH98" s="88"/>
      <c r="AI98" s="90"/>
      <c r="AJ98" s="88"/>
      <c r="AK98" s="88"/>
      <c r="AL98" s="90"/>
      <c r="AM98" s="285"/>
      <c r="AN98" s="285"/>
      <c r="AO98" s="88"/>
      <c r="AP98" s="88"/>
      <c r="AQ98" s="90"/>
      <c r="AR98" s="88"/>
      <c r="AS98" s="88"/>
      <c r="AT98" s="90"/>
      <c r="AU98" s="88"/>
      <c r="AV98" s="88"/>
      <c r="AW98" s="90"/>
      <c r="AX98" s="88"/>
      <c r="AY98" s="88"/>
      <c r="AZ98" s="90"/>
      <c r="BA98" s="88"/>
      <c r="BB98" s="88"/>
      <c r="BC98" s="90"/>
      <c r="BD98" s="88"/>
      <c r="BE98" s="88"/>
      <c r="BF98" s="90"/>
      <c r="BG98" s="88"/>
      <c r="BH98" s="88"/>
      <c r="BI98" s="90"/>
      <c r="BJ98" s="88"/>
      <c r="BK98" s="88"/>
      <c r="BL98" s="90"/>
      <c r="BM98" s="88"/>
      <c r="BN98" s="88"/>
      <c r="BO98" s="90"/>
      <c r="BP98" s="88"/>
      <c r="BQ98" s="88"/>
      <c r="BR98" s="90"/>
      <c r="BS98" s="88"/>
      <c r="BT98" s="88"/>
      <c r="BU98" s="90"/>
      <c r="BV98" s="88"/>
      <c r="BW98" s="88"/>
      <c r="BX98" s="90"/>
      <c r="BY98" s="88"/>
      <c r="BZ98" s="88"/>
      <c r="CA98" s="90"/>
      <c r="CB98" s="88"/>
      <c r="CC98" s="88"/>
      <c r="CD98" s="90"/>
      <c r="CE98" s="88"/>
      <c r="CF98" s="88"/>
      <c r="CG98" s="90"/>
      <c r="CH98" s="88"/>
      <c r="CI98" s="88"/>
    </row>
    <row r="99" spans="1:87" ht="24" customHeight="1" x14ac:dyDescent="0.3">
      <c r="A99" s="196"/>
      <c r="B99" s="117" t="s">
        <v>121</v>
      </c>
      <c r="C99" s="197">
        <f t="shared" ca="1" si="202"/>
        <v>0</v>
      </c>
      <c r="D99" s="198">
        <f t="shared" ca="1" si="203"/>
        <v>0</v>
      </c>
      <c r="E99" s="88">
        <f ca="1">IFERROR(__xludf.DUMMYFUNCTION("IMPORTRANGE(""https://docs.google.com/spreadsheets/d/1-uDff_7J0KD5mKrp0Vvzr7lt3OU09vwQwhkpOPPYv2Y/edit?usp=sharing"",""งบพรบ!CV99"")"),0)</f>
        <v>0</v>
      </c>
      <c r="F99" s="88">
        <f ca="1">IFERROR(__xludf.DUMMYFUNCTION("IMPORTRANGE(""https://docs.google.com/spreadsheets/d/1-uDff_7J0KD5mKrp0Vvzr7lt3OU09vwQwhkpOPPYv2Y/edit?usp=sharing"",""งบพรบ!CW99"")"),0)</f>
        <v>0</v>
      </c>
      <c r="G99" s="88">
        <f ca="1">IFERROR(__xludf.DUMMYFUNCTION("IMPORTRANGE(""https://docs.google.com/spreadsheets/d/1-uDff_7J0KD5mKrp0Vvzr7lt3OU09vwQwhkpOPPYv2Y/edit?usp=sharing"",""งบพรบ!CX99"")"),0)</f>
        <v>0</v>
      </c>
      <c r="H99" s="88">
        <f ca="1">IFERROR(__xludf.DUMMYFUNCTION("IMPORTRANGE(""https://docs.google.com/spreadsheets/d/1-uDff_7J0KD5mKrp0Vvzr7lt3OU09vwQwhkpOPPYv2Y/edit?usp=sharing"",""งบพรบ!CZ99"")"),0)</f>
        <v>0</v>
      </c>
      <c r="I99" s="88">
        <f ca="1">IFERROR(__xludf.DUMMYFUNCTION("IMPORTRANGE(""https://docs.google.com/spreadsheets/d/1-uDff_7J0KD5mKrp0Vvzr7lt3OU09vwQwhkpOPPYv2Y/edit?usp=sharing"",""งบพรบ!DA99"")"),0)</f>
        <v>0</v>
      </c>
      <c r="J99" s="88">
        <f t="shared" ca="1" si="204"/>
        <v>0</v>
      </c>
      <c r="K99" s="89">
        <f t="shared" ca="1" si="205"/>
        <v>0</v>
      </c>
      <c r="L99" s="88">
        <f ca="1">IFERROR(__xludf.DUMMYFUNCTION("IMPORTRANGE(""https://docs.google.com/spreadsheets/d/1-uDff_7J0KD5mKrp0Vvzr7lt3OU09vwQwhkpOPPYv2Y/edit?usp=sharing"",""งบพรบ!DB99"")"),0)</f>
        <v>0</v>
      </c>
      <c r="M99" s="90">
        <f t="shared" ca="1" si="206"/>
        <v>0</v>
      </c>
      <c r="N99" s="90">
        <f t="shared" ca="1" si="207"/>
        <v>0</v>
      </c>
      <c r="O99" s="91">
        <f ca="1">IFERROR(__xludf.DUMMYFUNCTION("IMPORTRANGE(""https://docs.google.com/spreadsheets/d/1-uDff_7J0KD5mKrp0Vvzr7lt3OU09vwQwhkpOPPYv2Y/edit?usp=sharing"",""งบพรบ!DC99"")"),0)</f>
        <v>0</v>
      </c>
      <c r="P99" s="91">
        <f t="shared" ca="1" si="208"/>
        <v>0</v>
      </c>
      <c r="Q99" s="90">
        <f t="shared" ca="1" si="209"/>
        <v>0</v>
      </c>
      <c r="R99" s="88"/>
      <c r="S99" s="88"/>
      <c r="T99" s="90"/>
      <c r="U99" s="88"/>
      <c r="V99" s="88"/>
      <c r="W99" s="90"/>
      <c r="X99" s="88"/>
      <c r="Y99" s="88"/>
      <c r="Z99" s="88"/>
      <c r="AA99" s="88"/>
      <c r="AB99" s="88"/>
      <c r="AC99" s="90"/>
      <c r="AD99" s="88"/>
      <c r="AE99" s="88"/>
      <c r="AF99" s="90"/>
      <c r="AG99" s="88"/>
      <c r="AH99" s="88"/>
      <c r="AI99" s="90"/>
      <c r="AJ99" s="88"/>
      <c r="AK99" s="88"/>
      <c r="AL99" s="90"/>
      <c r="AM99" s="285"/>
      <c r="AN99" s="285"/>
      <c r="AO99" s="88"/>
      <c r="AP99" s="88"/>
      <c r="AQ99" s="90"/>
      <c r="AR99" s="88"/>
      <c r="AS99" s="88"/>
      <c r="AT99" s="90"/>
      <c r="AU99" s="88"/>
      <c r="AV99" s="88"/>
      <c r="AW99" s="90"/>
      <c r="AX99" s="88"/>
      <c r="AY99" s="88"/>
      <c r="AZ99" s="90"/>
      <c r="BA99" s="88"/>
      <c r="BB99" s="88"/>
      <c r="BC99" s="90"/>
      <c r="BD99" s="88"/>
      <c r="BE99" s="88"/>
      <c r="BF99" s="90"/>
      <c r="BG99" s="88"/>
      <c r="BH99" s="88"/>
      <c r="BI99" s="90"/>
      <c r="BJ99" s="88"/>
      <c r="BK99" s="88"/>
      <c r="BL99" s="90"/>
      <c r="BM99" s="88"/>
      <c r="BN99" s="88"/>
      <c r="BO99" s="90"/>
      <c r="BP99" s="88"/>
      <c r="BQ99" s="88"/>
      <c r="BR99" s="90"/>
      <c r="BS99" s="88"/>
      <c r="BT99" s="88"/>
      <c r="BU99" s="90"/>
      <c r="BV99" s="88"/>
      <c r="BW99" s="88"/>
      <c r="BX99" s="90"/>
      <c r="BY99" s="88"/>
      <c r="BZ99" s="88"/>
      <c r="CA99" s="90"/>
      <c r="CB99" s="88"/>
      <c r="CC99" s="88"/>
      <c r="CD99" s="90"/>
      <c r="CE99" s="88"/>
      <c r="CF99" s="88"/>
      <c r="CG99" s="90"/>
      <c r="CH99" s="88"/>
      <c r="CI99" s="88"/>
    </row>
    <row r="100" spans="1:87" ht="24" customHeight="1" x14ac:dyDescent="0.3">
      <c r="A100" s="196"/>
      <c r="B100" s="117" t="s">
        <v>122</v>
      </c>
      <c r="C100" s="197">
        <f t="shared" ca="1" si="202"/>
        <v>0</v>
      </c>
      <c r="D100" s="198">
        <f t="shared" ca="1" si="203"/>
        <v>0</v>
      </c>
      <c r="E100" s="88">
        <f ca="1">IFERROR(__xludf.DUMMYFUNCTION("IMPORTRANGE(""https://docs.google.com/spreadsheets/d/1-uDff_7J0KD5mKrp0Vvzr7lt3OU09vwQwhkpOPPYv2Y/edit?usp=sharing"",""งบพรบ!CV100"")"),0)</f>
        <v>0</v>
      </c>
      <c r="F100" s="88">
        <f ca="1">IFERROR(__xludf.DUMMYFUNCTION("IMPORTRANGE(""https://docs.google.com/spreadsheets/d/1-uDff_7J0KD5mKrp0Vvzr7lt3OU09vwQwhkpOPPYv2Y/edit?usp=sharing"",""งบพรบ!CW100"")"),0)</f>
        <v>0</v>
      </c>
      <c r="G100" s="88">
        <f ca="1">IFERROR(__xludf.DUMMYFUNCTION("IMPORTRANGE(""https://docs.google.com/spreadsheets/d/1-uDff_7J0KD5mKrp0Vvzr7lt3OU09vwQwhkpOPPYv2Y/edit?usp=sharing"",""งบพรบ!CX100"")"),0)</f>
        <v>0</v>
      </c>
      <c r="H100" s="88">
        <f ca="1">IFERROR(__xludf.DUMMYFUNCTION("IMPORTRANGE(""https://docs.google.com/spreadsheets/d/1-uDff_7J0KD5mKrp0Vvzr7lt3OU09vwQwhkpOPPYv2Y/edit?usp=sharing"",""งบพรบ!CZ100"")"),0)</f>
        <v>0</v>
      </c>
      <c r="I100" s="88">
        <f ca="1">IFERROR(__xludf.DUMMYFUNCTION("IMPORTRANGE(""https://docs.google.com/spreadsheets/d/1-uDff_7J0KD5mKrp0Vvzr7lt3OU09vwQwhkpOPPYv2Y/edit?usp=sharing"",""งบพรบ!DA100"")"),0)</f>
        <v>0</v>
      </c>
      <c r="J100" s="88">
        <f t="shared" ca="1" si="204"/>
        <v>0</v>
      </c>
      <c r="K100" s="89">
        <f t="shared" ca="1" si="205"/>
        <v>0</v>
      </c>
      <c r="L100" s="88">
        <f ca="1">IFERROR(__xludf.DUMMYFUNCTION("IMPORTRANGE(""https://docs.google.com/spreadsheets/d/1-uDff_7J0KD5mKrp0Vvzr7lt3OU09vwQwhkpOPPYv2Y/edit?usp=sharing"",""งบพรบ!DB100"")"),0)</f>
        <v>0</v>
      </c>
      <c r="M100" s="90">
        <f t="shared" ca="1" si="206"/>
        <v>0</v>
      </c>
      <c r="N100" s="90">
        <f t="shared" ca="1" si="207"/>
        <v>0</v>
      </c>
      <c r="O100" s="91">
        <f ca="1">IFERROR(__xludf.DUMMYFUNCTION("IMPORTRANGE(""https://docs.google.com/spreadsheets/d/1-uDff_7J0KD5mKrp0Vvzr7lt3OU09vwQwhkpOPPYv2Y/edit?usp=sharing"",""งบพรบ!DC100"")"),0)</f>
        <v>0</v>
      </c>
      <c r="P100" s="91">
        <f t="shared" ca="1" si="208"/>
        <v>0</v>
      </c>
      <c r="Q100" s="90">
        <f t="shared" ca="1" si="209"/>
        <v>0</v>
      </c>
      <c r="R100" s="88"/>
      <c r="S100" s="88"/>
      <c r="T100" s="90"/>
      <c r="U100" s="88"/>
      <c r="V100" s="88"/>
      <c r="W100" s="90"/>
      <c r="X100" s="88"/>
      <c r="Y100" s="88"/>
      <c r="Z100" s="88"/>
      <c r="AA100" s="88"/>
      <c r="AB100" s="88"/>
      <c r="AC100" s="90"/>
      <c r="AD100" s="88"/>
      <c r="AE100" s="88"/>
      <c r="AF100" s="90"/>
      <c r="AG100" s="88"/>
      <c r="AH100" s="88"/>
      <c r="AI100" s="90"/>
      <c r="AJ100" s="88"/>
      <c r="AK100" s="88"/>
      <c r="AL100" s="90"/>
      <c r="AM100" s="285"/>
      <c r="AN100" s="285"/>
      <c r="AO100" s="88"/>
      <c r="AP100" s="88"/>
      <c r="AQ100" s="90"/>
      <c r="AR100" s="88"/>
      <c r="AS100" s="88"/>
      <c r="AT100" s="90"/>
      <c r="AU100" s="88"/>
      <c r="AV100" s="88"/>
      <c r="AW100" s="90"/>
      <c r="AX100" s="88"/>
      <c r="AY100" s="88"/>
      <c r="AZ100" s="90"/>
      <c r="BA100" s="88"/>
      <c r="BB100" s="88"/>
      <c r="BC100" s="90"/>
      <c r="BD100" s="88"/>
      <c r="BE100" s="88"/>
      <c r="BF100" s="90"/>
      <c r="BG100" s="88"/>
      <c r="BH100" s="88"/>
      <c r="BI100" s="90"/>
      <c r="BJ100" s="88"/>
      <c r="BK100" s="88"/>
      <c r="BL100" s="90"/>
      <c r="BM100" s="88"/>
      <c r="BN100" s="88"/>
      <c r="BO100" s="90"/>
      <c r="BP100" s="88"/>
      <c r="BQ100" s="88"/>
      <c r="BR100" s="90"/>
      <c r="BS100" s="88"/>
      <c r="BT100" s="88"/>
      <c r="BU100" s="90"/>
      <c r="BV100" s="88"/>
      <c r="BW100" s="88"/>
      <c r="BX100" s="90"/>
      <c r="BY100" s="88"/>
      <c r="BZ100" s="88"/>
      <c r="CA100" s="90"/>
      <c r="CB100" s="88"/>
      <c r="CC100" s="88"/>
      <c r="CD100" s="90"/>
      <c r="CE100" s="88"/>
      <c r="CF100" s="88"/>
      <c r="CG100" s="90"/>
      <c r="CH100" s="88"/>
      <c r="CI100" s="88"/>
    </row>
    <row r="101" spans="1:87" ht="24" customHeight="1" x14ac:dyDescent="0.3">
      <c r="A101" s="196"/>
      <c r="B101" s="117" t="s">
        <v>123</v>
      </c>
      <c r="C101" s="197">
        <f t="shared" ca="1" si="202"/>
        <v>0</v>
      </c>
      <c r="D101" s="198">
        <f t="shared" ca="1" si="203"/>
        <v>0</v>
      </c>
      <c r="E101" s="88">
        <f ca="1">IFERROR(__xludf.DUMMYFUNCTION("IMPORTRANGE(""https://docs.google.com/spreadsheets/d/1-uDff_7J0KD5mKrp0Vvzr7lt3OU09vwQwhkpOPPYv2Y/edit?usp=sharing"",""งบพรบ!CV101"")"),0)</f>
        <v>0</v>
      </c>
      <c r="F101" s="88">
        <f ca="1">IFERROR(__xludf.DUMMYFUNCTION("IMPORTRANGE(""https://docs.google.com/spreadsheets/d/1-uDff_7J0KD5mKrp0Vvzr7lt3OU09vwQwhkpOPPYv2Y/edit?usp=sharing"",""งบพรบ!CW101"")"),0)</f>
        <v>0</v>
      </c>
      <c r="G101" s="88">
        <f ca="1">IFERROR(__xludf.DUMMYFUNCTION("IMPORTRANGE(""https://docs.google.com/spreadsheets/d/1-uDff_7J0KD5mKrp0Vvzr7lt3OU09vwQwhkpOPPYv2Y/edit?usp=sharing"",""งบพรบ!CX101"")"),0)</f>
        <v>0</v>
      </c>
      <c r="H101" s="88">
        <f ca="1">IFERROR(__xludf.DUMMYFUNCTION("IMPORTRANGE(""https://docs.google.com/spreadsheets/d/1-uDff_7J0KD5mKrp0Vvzr7lt3OU09vwQwhkpOPPYv2Y/edit?usp=sharing"",""งบพรบ!CZ101"")"),0)</f>
        <v>0</v>
      </c>
      <c r="I101" s="88">
        <f ca="1">IFERROR(__xludf.DUMMYFUNCTION("IMPORTRANGE(""https://docs.google.com/spreadsheets/d/1-uDff_7J0KD5mKrp0Vvzr7lt3OU09vwQwhkpOPPYv2Y/edit?usp=sharing"",""งบพรบ!DA101"")"),0)</f>
        <v>0</v>
      </c>
      <c r="J101" s="88">
        <f t="shared" ca="1" si="204"/>
        <v>0</v>
      </c>
      <c r="K101" s="89">
        <f t="shared" ca="1" si="205"/>
        <v>0</v>
      </c>
      <c r="L101" s="88">
        <f ca="1">IFERROR(__xludf.DUMMYFUNCTION("IMPORTRANGE(""https://docs.google.com/spreadsheets/d/1-uDff_7J0KD5mKrp0Vvzr7lt3OU09vwQwhkpOPPYv2Y/edit?usp=sharing"",""งบพรบ!DB101"")"),0)</f>
        <v>0</v>
      </c>
      <c r="M101" s="90">
        <f t="shared" ca="1" si="206"/>
        <v>0</v>
      </c>
      <c r="N101" s="90">
        <f t="shared" ca="1" si="207"/>
        <v>0</v>
      </c>
      <c r="O101" s="91">
        <f ca="1">IFERROR(__xludf.DUMMYFUNCTION("IMPORTRANGE(""https://docs.google.com/spreadsheets/d/1-uDff_7J0KD5mKrp0Vvzr7lt3OU09vwQwhkpOPPYv2Y/edit?usp=sharing"",""งบพรบ!DC101"")"),0)</f>
        <v>0</v>
      </c>
      <c r="P101" s="91">
        <f t="shared" ca="1" si="208"/>
        <v>0</v>
      </c>
      <c r="Q101" s="90">
        <f t="shared" ca="1" si="209"/>
        <v>0</v>
      </c>
      <c r="R101" s="88"/>
      <c r="S101" s="88"/>
      <c r="T101" s="90"/>
      <c r="U101" s="88"/>
      <c r="V101" s="88"/>
      <c r="W101" s="90"/>
      <c r="X101" s="88"/>
      <c r="Y101" s="88"/>
      <c r="Z101" s="88"/>
      <c r="AA101" s="88"/>
      <c r="AB101" s="88"/>
      <c r="AC101" s="90"/>
      <c r="AD101" s="88"/>
      <c r="AE101" s="88"/>
      <c r="AF101" s="90"/>
      <c r="AG101" s="88"/>
      <c r="AH101" s="88"/>
      <c r="AI101" s="90"/>
      <c r="AJ101" s="88"/>
      <c r="AK101" s="88"/>
      <c r="AL101" s="90"/>
      <c r="AM101" s="285"/>
      <c r="AN101" s="285"/>
      <c r="AO101" s="88"/>
      <c r="AP101" s="88"/>
      <c r="AQ101" s="90"/>
      <c r="AR101" s="88"/>
      <c r="AS101" s="88"/>
      <c r="AT101" s="90"/>
      <c r="AU101" s="88"/>
      <c r="AV101" s="88"/>
      <c r="AW101" s="90"/>
      <c r="AX101" s="88"/>
      <c r="AY101" s="88"/>
      <c r="AZ101" s="90"/>
      <c r="BA101" s="88"/>
      <c r="BB101" s="88"/>
      <c r="BC101" s="90"/>
      <c r="BD101" s="88"/>
      <c r="BE101" s="88"/>
      <c r="BF101" s="90"/>
      <c r="BG101" s="88"/>
      <c r="BH101" s="88"/>
      <c r="BI101" s="90"/>
      <c r="BJ101" s="88"/>
      <c r="BK101" s="88"/>
      <c r="BL101" s="90"/>
      <c r="BM101" s="88"/>
      <c r="BN101" s="88"/>
      <c r="BO101" s="90"/>
      <c r="BP101" s="88"/>
      <c r="BQ101" s="88"/>
      <c r="BR101" s="90"/>
      <c r="BS101" s="88"/>
      <c r="BT101" s="88"/>
      <c r="BU101" s="90"/>
      <c r="BV101" s="88"/>
      <c r="BW101" s="88"/>
      <c r="BX101" s="90"/>
      <c r="BY101" s="88"/>
      <c r="BZ101" s="88"/>
      <c r="CA101" s="90"/>
      <c r="CB101" s="88"/>
      <c r="CC101" s="88"/>
      <c r="CD101" s="90"/>
      <c r="CE101" s="88"/>
      <c r="CF101" s="88"/>
      <c r="CG101" s="90"/>
      <c r="CH101" s="88"/>
      <c r="CI101" s="88"/>
    </row>
    <row r="102" spans="1:87" ht="24" customHeight="1" x14ac:dyDescent="0.3">
      <c r="A102" s="196"/>
      <c r="B102" s="117" t="s">
        <v>124</v>
      </c>
      <c r="C102" s="197">
        <f t="shared" ca="1" si="202"/>
        <v>0</v>
      </c>
      <c r="D102" s="198">
        <f t="shared" ca="1" si="203"/>
        <v>0</v>
      </c>
      <c r="E102" s="88">
        <f ca="1">IFERROR(__xludf.DUMMYFUNCTION("IMPORTRANGE(""https://docs.google.com/spreadsheets/d/1-uDff_7J0KD5mKrp0Vvzr7lt3OU09vwQwhkpOPPYv2Y/edit?usp=sharing"",""งบพรบ!CV102"")"),0)</f>
        <v>0</v>
      </c>
      <c r="F102" s="88">
        <f ca="1">IFERROR(__xludf.DUMMYFUNCTION("IMPORTRANGE(""https://docs.google.com/spreadsheets/d/1-uDff_7J0KD5mKrp0Vvzr7lt3OU09vwQwhkpOPPYv2Y/edit?usp=sharing"",""งบพรบ!CW102"")"),0)</f>
        <v>0</v>
      </c>
      <c r="G102" s="88">
        <f ca="1">IFERROR(__xludf.DUMMYFUNCTION("IMPORTRANGE(""https://docs.google.com/spreadsheets/d/1-uDff_7J0KD5mKrp0Vvzr7lt3OU09vwQwhkpOPPYv2Y/edit?usp=sharing"",""งบพรบ!CX102"")"),0)</f>
        <v>0</v>
      </c>
      <c r="H102" s="88">
        <f ca="1">IFERROR(__xludf.DUMMYFUNCTION("IMPORTRANGE(""https://docs.google.com/spreadsheets/d/1-uDff_7J0KD5mKrp0Vvzr7lt3OU09vwQwhkpOPPYv2Y/edit?usp=sharing"",""งบพรบ!CZ102"")"),0)</f>
        <v>0</v>
      </c>
      <c r="I102" s="88">
        <f ca="1">IFERROR(__xludf.DUMMYFUNCTION("IMPORTRANGE(""https://docs.google.com/spreadsheets/d/1-uDff_7J0KD5mKrp0Vvzr7lt3OU09vwQwhkpOPPYv2Y/edit?usp=sharing"",""งบพรบ!DA102"")"),0)</f>
        <v>0</v>
      </c>
      <c r="J102" s="88">
        <f t="shared" ca="1" si="204"/>
        <v>0</v>
      </c>
      <c r="K102" s="89">
        <f t="shared" ca="1" si="205"/>
        <v>0</v>
      </c>
      <c r="L102" s="88">
        <f ca="1">IFERROR(__xludf.DUMMYFUNCTION("IMPORTRANGE(""https://docs.google.com/spreadsheets/d/1-uDff_7J0KD5mKrp0Vvzr7lt3OU09vwQwhkpOPPYv2Y/edit?usp=sharing"",""งบพรบ!DB102"")"),0)</f>
        <v>0</v>
      </c>
      <c r="M102" s="90">
        <f t="shared" ca="1" si="206"/>
        <v>0</v>
      </c>
      <c r="N102" s="90">
        <f t="shared" ca="1" si="207"/>
        <v>0</v>
      </c>
      <c r="O102" s="91">
        <f ca="1">IFERROR(__xludf.DUMMYFUNCTION("IMPORTRANGE(""https://docs.google.com/spreadsheets/d/1-uDff_7J0KD5mKrp0Vvzr7lt3OU09vwQwhkpOPPYv2Y/edit?usp=sharing"",""งบพรบ!DC102"")"),0)</f>
        <v>0</v>
      </c>
      <c r="P102" s="91">
        <f t="shared" ca="1" si="208"/>
        <v>0</v>
      </c>
      <c r="Q102" s="90">
        <f t="shared" ca="1" si="209"/>
        <v>0</v>
      </c>
      <c r="R102" s="88"/>
      <c r="S102" s="88"/>
      <c r="T102" s="90"/>
      <c r="U102" s="88"/>
      <c r="V102" s="88"/>
      <c r="W102" s="90"/>
      <c r="X102" s="88"/>
      <c r="Y102" s="88"/>
      <c r="Z102" s="88"/>
      <c r="AA102" s="88"/>
      <c r="AB102" s="88"/>
      <c r="AC102" s="90"/>
      <c r="AD102" s="88"/>
      <c r="AE102" s="88"/>
      <c r="AF102" s="90"/>
      <c r="AG102" s="88"/>
      <c r="AH102" s="88"/>
      <c r="AI102" s="90"/>
      <c r="AJ102" s="88"/>
      <c r="AK102" s="88"/>
      <c r="AL102" s="90"/>
      <c r="AM102" s="285"/>
      <c r="AN102" s="285"/>
      <c r="AO102" s="88"/>
      <c r="AP102" s="88"/>
      <c r="AQ102" s="90"/>
      <c r="AR102" s="88"/>
      <c r="AS102" s="88"/>
      <c r="AT102" s="90"/>
      <c r="AU102" s="88"/>
      <c r="AV102" s="88"/>
      <c r="AW102" s="90"/>
      <c r="AX102" s="88"/>
      <c r="AY102" s="88"/>
      <c r="AZ102" s="90"/>
      <c r="BA102" s="88"/>
      <c r="BB102" s="88"/>
      <c r="BC102" s="90"/>
      <c r="BD102" s="88"/>
      <c r="BE102" s="88"/>
      <c r="BF102" s="90"/>
      <c r="BG102" s="88"/>
      <c r="BH102" s="88"/>
      <c r="BI102" s="90"/>
      <c r="BJ102" s="88"/>
      <c r="BK102" s="88"/>
      <c r="BL102" s="90"/>
      <c r="BM102" s="88"/>
      <c r="BN102" s="88"/>
      <c r="BO102" s="90"/>
      <c r="BP102" s="88"/>
      <c r="BQ102" s="88"/>
      <c r="BR102" s="90"/>
      <c r="BS102" s="88"/>
      <c r="BT102" s="88"/>
      <c r="BU102" s="90"/>
      <c r="BV102" s="88"/>
      <c r="BW102" s="88"/>
      <c r="BX102" s="90"/>
      <c r="BY102" s="88"/>
      <c r="BZ102" s="88"/>
      <c r="CA102" s="90"/>
      <c r="CB102" s="88"/>
      <c r="CC102" s="88"/>
      <c r="CD102" s="90"/>
      <c r="CE102" s="88"/>
      <c r="CF102" s="88"/>
      <c r="CG102" s="90"/>
      <c r="CH102" s="88"/>
      <c r="CI102" s="88"/>
    </row>
    <row r="103" spans="1:87" ht="24" customHeight="1" x14ac:dyDescent="0.3">
      <c r="A103" s="196"/>
      <c r="B103" s="117" t="s">
        <v>125</v>
      </c>
      <c r="C103" s="197">
        <f t="shared" ca="1" si="202"/>
        <v>1888700</v>
      </c>
      <c r="D103" s="198">
        <f t="shared" ca="1" si="203"/>
        <v>1888700</v>
      </c>
      <c r="E103" s="88">
        <f ca="1">IFERROR(__xludf.DUMMYFUNCTION("IMPORTRANGE(""https://docs.google.com/spreadsheets/d/1-uDff_7J0KD5mKrp0Vvzr7lt3OU09vwQwhkpOPPYv2Y/edit?usp=sharing"",""งบพรบ!CV103"")"),356700)</f>
        <v>356700</v>
      </c>
      <c r="F103" s="88">
        <f ca="1">IFERROR(__xludf.DUMMYFUNCTION("IMPORTRANGE(""https://docs.google.com/spreadsheets/d/1-uDff_7J0KD5mKrp0Vvzr7lt3OU09vwQwhkpOPPYv2Y/edit?usp=sharing"",""งบพรบ!CW103"")"),1532000)</f>
        <v>1532000</v>
      </c>
      <c r="G103" s="88">
        <f ca="1">IFERROR(__xludf.DUMMYFUNCTION("IMPORTRANGE(""https://docs.google.com/spreadsheets/d/1-uDff_7J0KD5mKrp0Vvzr7lt3OU09vwQwhkpOPPYv2Y/edit?usp=sharing"",""งบพรบ!CX103"")"),0)</f>
        <v>0</v>
      </c>
      <c r="H103" s="88">
        <f ca="1">IFERROR(__xludf.DUMMYFUNCTION("IMPORTRANGE(""https://docs.google.com/spreadsheets/d/1-uDff_7J0KD5mKrp0Vvzr7lt3OU09vwQwhkpOPPYv2Y/edit?usp=sharing"",""งบพรบ!CZ103"")"),1787675)</f>
        <v>1787675</v>
      </c>
      <c r="I103" s="88">
        <f ca="1">IFERROR(__xludf.DUMMYFUNCTION("IMPORTRANGE(""https://docs.google.com/spreadsheets/d/1-uDff_7J0KD5mKrp0Vvzr7lt3OU09vwQwhkpOPPYv2Y/edit?usp=sharing"",""งบพรบ!DA103"")"),0)</f>
        <v>0</v>
      </c>
      <c r="J103" s="88">
        <f t="shared" ca="1" si="204"/>
        <v>219772.71</v>
      </c>
      <c r="K103" s="89">
        <f t="shared" ca="1" si="205"/>
        <v>11.636189442473659</v>
      </c>
      <c r="L103" s="88">
        <f ca="1">IFERROR(__xludf.DUMMYFUNCTION("IMPORTRANGE(""https://docs.google.com/spreadsheets/d/1-uDff_7J0KD5mKrp0Vvzr7lt3OU09vwQwhkpOPPYv2Y/edit?usp=sharing"",""งบพรบ!DB103"")"),219772.71)</f>
        <v>219772.71</v>
      </c>
      <c r="M103" s="90">
        <f t="shared" ca="1" si="206"/>
        <v>11.636189442473659</v>
      </c>
      <c r="N103" s="90">
        <f t="shared" ca="1" si="207"/>
        <v>12.293773197029662</v>
      </c>
      <c r="O103" s="91">
        <f ca="1">IFERROR(__xludf.DUMMYFUNCTION("IMPORTRANGE(""https://docs.google.com/spreadsheets/d/1-uDff_7J0KD5mKrp0Vvzr7lt3OU09vwQwhkpOPPYv2Y/edit?usp=sharing"",""งบพรบ!DC103"")"),0)</f>
        <v>0</v>
      </c>
      <c r="P103" s="91">
        <f t="shared" ca="1" si="208"/>
        <v>0</v>
      </c>
      <c r="Q103" s="90">
        <f t="shared" ca="1" si="209"/>
        <v>0</v>
      </c>
      <c r="R103" s="233"/>
      <c r="S103" s="233"/>
      <c r="T103" s="234"/>
      <c r="U103" s="233"/>
      <c r="V103" s="233"/>
      <c r="W103" s="234"/>
      <c r="X103" s="233"/>
      <c r="Y103" s="233"/>
      <c r="Z103" s="233"/>
      <c r="AA103" s="233"/>
      <c r="AB103" s="233"/>
      <c r="AC103" s="234"/>
      <c r="AD103" s="233"/>
      <c r="AE103" s="233"/>
      <c r="AF103" s="234"/>
      <c r="AG103" s="233"/>
      <c r="AH103" s="233"/>
      <c r="AI103" s="234"/>
      <c r="AJ103" s="233"/>
      <c r="AK103" s="233"/>
      <c r="AL103" s="234"/>
      <c r="AM103" s="286"/>
      <c r="AN103" s="286"/>
      <c r="AO103" s="233"/>
      <c r="AP103" s="233"/>
      <c r="AQ103" s="234"/>
      <c r="AR103" s="233"/>
      <c r="AS103" s="233"/>
      <c r="AT103" s="234"/>
      <c r="AU103" s="233"/>
      <c r="AV103" s="233"/>
      <c r="AW103" s="234"/>
      <c r="AX103" s="233"/>
      <c r="AY103" s="233"/>
      <c r="AZ103" s="234"/>
      <c r="BA103" s="233"/>
      <c r="BB103" s="233"/>
      <c r="BC103" s="234"/>
      <c r="BD103" s="233"/>
      <c r="BE103" s="233"/>
      <c r="BF103" s="234"/>
      <c r="BG103" s="233"/>
      <c r="BH103" s="233"/>
      <c r="BI103" s="234"/>
      <c r="BJ103" s="233"/>
      <c r="BK103" s="233"/>
      <c r="BL103" s="234"/>
      <c r="BM103" s="233"/>
      <c r="BN103" s="233"/>
      <c r="BO103" s="234"/>
      <c r="BP103" s="233"/>
      <c r="BQ103" s="233"/>
      <c r="BR103" s="234"/>
      <c r="BS103" s="233"/>
      <c r="BT103" s="233"/>
      <c r="BU103" s="234"/>
      <c r="BV103" s="233"/>
      <c r="BW103" s="233"/>
      <c r="BX103" s="234"/>
      <c r="BY103" s="233"/>
      <c r="BZ103" s="233"/>
      <c r="CA103" s="234"/>
      <c r="CB103" s="233"/>
      <c r="CC103" s="233"/>
      <c r="CD103" s="234"/>
      <c r="CE103" s="233"/>
      <c r="CF103" s="233"/>
      <c r="CG103" s="234"/>
      <c r="CH103" s="233"/>
      <c r="CI103" s="233"/>
    </row>
    <row r="104" spans="1:87" ht="24" customHeight="1" x14ac:dyDescent="0.3">
      <c r="A104" s="196"/>
      <c r="B104" s="117" t="s">
        <v>126</v>
      </c>
      <c r="C104" s="197">
        <f t="shared" ca="1" si="202"/>
        <v>134700</v>
      </c>
      <c r="D104" s="198">
        <f t="shared" ca="1" si="203"/>
        <v>134700</v>
      </c>
      <c r="E104" s="88">
        <f ca="1">IFERROR(__xludf.DUMMYFUNCTION("IMPORTRANGE(""https://docs.google.com/spreadsheets/d/1-uDff_7J0KD5mKrp0Vvzr7lt3OU09vwQwhkpOPPYv2Y/edit?usp=sharing"",""งบพรบ!CV104"")"),134700)</f>
        <v>134700</v>
      </c>
      <c r="F104" s="88">
        <f ca="1">IFERROR(__xludf.DUMMYFUNCTION("IMPORTRANGE(""https://docs.google.com/spreadsheets/d/1-uDff_7J0KD5mKrp0Vvzr7lt3OU09vwQwhkpOPPYv2Y/edit?usp=sharing"",""งบพรบ!CW104"")"),0)</f>
        <v>0</v>
      </c>
      <c r="G104" s="88">
        <f ca="1">IFERROR(__xludf.DUMMYFUNCTION("IMPORTRANGE(""https://docs.google.com/spreadsheets/d/1-uDff_7J0KD5mKrp0Vvzr7lt3OU09vwQwhkpOPPYv2Y/edit?usp=sharing"",""งบพรบ!CX104"")"),0)</f>
        <v>0</v>
      </c>
      <c r="H104" s="88">
        <f ca="1">IFERROR(__xludf.DUMMYFUNCTION("IMPORTRANGE(""https://docs.google.com/spreadsheets/d/1-uDff_7J0KD5mKrp0Vvzr7lt3OU09vwQwhkpOPPYv2Y/edit?usp=sharing"",""งบพรบ!CZ104"")"),623300)</f>
        <v>623300</v>
      </c>
      <c r="I104" s="88">
        <f ca="1">IFERROR(__xludf.DUMMYFUNCTION("IMPORTRANGE(""https://docs.google.com/spreadsheets/d/1-uDff_7J0KD5mKrp0Vvzr7lt3OU09vwQwhkpOPPYv2Y/edit?usp=sharing"",""งบพรบ!DA104"")"),0)</f>
        <v>0</v>
      </c>
      <c r="J104" s="88">
        <f t="shared" ca="1" si="204"/>
        <v>97000</v>
      </c>
      <c r="K104" s="89">
        <f t="shared" ca="1" si="205"/>
        <v>72.011878247958421</v>
      </c>
      <c r="L104" s="88">
        <f ca="1">IFERROR(__xludf.DUMMYFUNCTION("IMPORTRANGE(""https://docs.google.com/spreadsheets/d/1-uDff_7J0KD5mKrp0Vvzr7lt3OU09vwQwhkpOPPYv2Y/edit?usp=sharing"",""งบพรบ!DB104"")"),97000)</f>
        <v>97000</v>
      </c>
      <c r="M104" s="90">
        <f t="shared" ca="1" si="206"/>
        <v>72.011878247958421</v>
      </c>
      <c r="N104" s="90">
        <f t="shared" ca="1" si="207"/>
        <v>15.562329536338842</v>
      </c>
      <c r="O104" s="91">
        <f ca="1">IFERROR(__xludf.DUMMYFUNCTION("IMPORTRANGE(""https://docs.google.com/spreadsheets/d/1-uDff_7J0KD5mKrp0Vvzr7lt3OU09vwQwhkpOPPYv2Y/edit?usp=sharing"",""งบพรบ!DC104"")"),0)</f>
        <v>0</v>
      </c>
      <c r="P104" s="91">
        <f t="shared" ca="1" si="208"/>
        <v>0</v>
      </c>
      <c r="Q104" s="90">
        <f t="shared" ca="1" si="209"/>
        <v>0</v>
      </c>
      <c r="R104" s="88"/>
      <c r="S104" s="88"/>
      <c r="T104" s="90"/>
      <c r="U104" s="88"/>
      <c r="V104" s="88"/>
      <c r="W104" s="90"/>
      <c r="X104" s="88"/>
      <c r="Y104" s="88"/>
      <c r="Z104" s="88"/>
      <c r="AA104" s="88"/>
      <c r="AB104" s="88"/>
      <c r="AC104" s="90"/>
      <c r="AD104" s="88"/>
      <c r="AE104" s="88"/>
      <c r="AF104" s="90"/>
      <c r="AG104" s="88"/>
      <c r="AH104" s="88"/>
      <c r="AI104" s="90"/>
      <c r="AJ104" s="88"/>
      <c r="AK104" s="88"/>
      <c r="AL104" s="90"/>
      <c r="AM104" s="287"/>
      <c r="AN104" s="287"/>
      <c r="AO104" s="88"/>
      <c r="AP104" s="88"/>
      <c r="AQ104" s="90"/>
      <c r="AR104" s="88"/>
      <c r="AS104" s="88"/>
      <c r="AT104" s="90"/>
      <c r="AU104" s="88"/>
      <c r="AV104" s="88"/>
      <c r="AW104" s="90"/>
      <c r="AX104" s="88"/>
      <c r="AY104" s="88"/>
      <c r="AZ104" s="90"/>
      <c r="BA104" s="88"/>
      <c r="BB104" s="88"/>
      <c r="BC104" s="90"/>
      <c r="BD104" s="88"/>
      <c r="BE104" s="88"/>
      <c r="BF104" s="90"/>
      <c r="BG104" s="88"/>
      <c r="BH104" s="88"/>
      <c r="BI104" s="90"/>
      <c r="BJ104" s="88"/>
      <c r="BK104" s="88"/>
      <c r="BL104" s="90"/>
      <c r="BM104" s="88"/>
      <c r="BN104" s="88"/>
      <c r="BO104" s="90"/>
      <c r="BP104" s="88"/>
      <c r="BQ104" s="88"/>
      <c r="BR104" s="90"/>
      <c r="BS104" s="88"/>
      <c r="BT104" s="88"/>
      <c r="BU104" s="90"/>
      <c r="BV104" s="88"/>
      <c r="BW104" s="88"/>
      <c r="BX104" s="90"/>
      <c r="BY104" s="88"/>
      <c r="BZ104" s="88"/>
      <c r="CA104" s="90"/>
      <c r="CB104" s="88"/>
      <c r="CC104" s="88"/>
      <c r="CD104" s="90"/>
      <c r="CE104" s="88"/>
      <c r="CF104" s="88"/>
      <c r="CG104" s="90"/>
      <c r="CH104" s="88"/>
      <c r="CI104" s="88"/>
    </row>
    <row r="105" spans="1:87" ht="24" customHeight="1" x14ac:dyDescent="0.3">
      <c r="A105" s="196"/>
      <c r="B105" s="118" t="s">
        <v>127</v>
      </c>
      <c r="C105" s="197">
        <f t="shared" ca="1" si="202"/>
        <v>0</v>
      </c>
      <c r="D105" s="198">
        <f t="shared" ca="1" si="203"/>
        <v>0</v>
      </c>
      <c r="E105" s="88">
        <f ca="1">IFERROR(__xludf.DUMMYFUNCTION("IMPORTRANGE(""https://docs.google.com/spreadsheets/d/1-uDff_7J0KD5mKrp0Vvzr7lt3OU09vwQwhkpOPPYv2Y/edit?usp=sharing"",""งบพรบ!CV105"")"),0)</f>
        <v>0</v>
      </c>
      <c r="F105" s="88">
        <f ca="1">IFERROR(__xludf.DUMMYFUNCTION("IMPORTRANGE(""https://docs.google.com/spreadsheets/d/1-uDff_7J0KD5mKrp0Vvzr7lt3OU09vwQwhkpOPPYv2Y/edit?usp=sharing"",""งบพรบ!CW105"")"),0)</f>
        <v>0</v>
      </c>
      <c r="G105" s="88">
        <f ca="1">IFERROR(__xludf.DUMMYFUNCTION("IMPORTRANGE(""https://docs.google.com/spreadsheets/d/1-uDff_7J0KD5mKrp0Vvzr7lt3OU09vwQwhkpOPPYv2Y/edit?usp=sharing"",""งบพรบ!CX105"")"),0)</f>
        <v>0</v>
      </c>
      <c r="H105" s="88">
        <f ca="1">IFERROR(__xludf.DUMMYFUNCTION("IMPORTRANGE(""https://docs.google.com/spreadsheets/d/1-uDff_7J0KD5mKrp0Vvzr7lt3OU09vwQwhkpOPPYv2Y/edit?usp=sharing"",""งบพรบ!CZ105"")"),0)</f>
        <v>0</v>
      </c>
      <c r="I105" s="88">
        <f ca="1">IFERROR(__xludf.DUMMYFUNCTION("IMPORTRANGE(""https://docs.google.com/spreadsheets/d/1-uDff_7J0KD5mKrp0Vvzr7lt3OU09vwQwhkpOPPYv2Y/edit?usp=sharing"",""งบพรบ!DA105"")"),0)</f>
        <v>0</v>
      </c>
      <c r="J105" s="88">
        <f t="shared" ca="1" si="204"/>
        <v>0</v>
      </c>
      <c r="K105" s="89">
        <f t="shared" ca="1" si="205"/>
        <v>0</v>
      </c>
      <c r="L105" s="88">
        <f ca="1">IFERROR(__xludf.DUMMYFUNCTION("IMPORTRANGE(""https://docs.google.com/spreadsheets/d/1-uDff_7J0KD5mKrp0Vvzr7lt3OU09vwQwhkpOPPYv2Y/edit?usp=sharing"",""งบพรบ!DB105"")"),0)</f>
        <v>0</v>
      </c>
      <c r="M105" s="90">
        <f t="shared" ca="1" si="206"/>
        <v>0</v>
      </c>
      <c r="N105" s="90">
        <f t="shared" ca="1" si="207"/>
        <v>0</v>
      </c>
      <c r="O105" s="91">
        <f ca="1">IFERROR(__xludf.DUMMYFUNCTION("IMPORTRANGE(""https://docs.google.com/spreadsheets/d/1-uDff_7J0KD5mKrp0Vvzr7lt3OU09vwQwhkpOPPYv2Y/edit?usp=sharing"",""งบพรบ!DC105"")"),0)</f>
        <v>0</v>
      </c>
      <c r="P105" s="91">
        <f t="shared" ca="1" si="208"/>
        <v>0</v>
      </c>
      <c r="Q105" s="90">
        <f t="shared" ca="1" si="209"/>
        <v>0</v>
      </c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285"/>
      <c r="AN105" s="285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</row>
    <row r="106" spans="1:87" ht="24" customHeight="1" x14ac:dyDescent="0.3">
      <c r="A106" s="200"/>
      <c r="B106" s="120" t="s">
        <v>128</v>
      </c>
      <c r="C106" s="201">
        <f t="shared" ca="1" si="202"/>
        <v>0</v>
      </c>
      <c r="D106" s="202">
        <f t="shared" ca="1" si="203"/>
        <v>0</v>
      </c>
      <c r="E106" s="99">
        <f ca="1">IFERROR(__xludf.DUMMYFUNCTION("IMPORTRANGE(""https://docs.google.com/spreadsheets/d/1-uDff_7J0KD5mKrp0Vvzr7lt3OU09vwQwhkpOPPYv2Y/edit?usp=sharing"",""งบพรบ!CV106"")"),0)</f>
        <v>0</v>
      </c>
      <c r="F106" s="99">
        <f ca="1">IFERROR(__xludf.DUMMYFUNCTION("IMPORTRANGE(""https://docs.google.com/spreadsheets/d/1-uDff_7J0KD5mKrp0Vvzr7lt3OU09vwQwhkpOPPYv2Y/edit?usp=sharing"",""งบพรบ!CW106"")"),0)</f>
        <v>0</v>
      </c>
      <c r="G106" s="99">
        <f ca="1">IFERROR(__xludf.DUMMYFUNCTION("IMPORTRANGE(""https://docs.google.com/spreadsheets/d/1-uDff_7J0KD5mKrp0Vvzr7lt3OU09vwQwhkpOPPYv2Y/edit?usp=sharing"",""งบพรบ!CX106"")"),0)</f>
        <v>0</v>
      </c>
      <c r="H106" s="99">
        <f ca="1">IFERROR(__xludf.DUMMYFUNCTION("IMPORTRANGE(""https://docs.google.com/spreadsheets/d/1-uDff_7J0KD5mKrp0Vvzr7lt3OU09vwQwhkpOPPYv2Y/edit?usp=sharing"",""งบพรบ!CZ106"")"),0)</f>
        <v>0</v>
      </c>
      <c r="I106" s="99">
        <f ca="1">IFERROR(__xludf.DUMMYFUNCTION("IMPORTRANGE(""https://docs.google.com/spreadsheets/d/1-uDff_7J0KD5mKrp0Vvzr7lt3OU09vwQwhkpOPPYv2Y/edit?usp=sharing"",""งบพรบ!DA106"")"),0)</f>
        <v>0</v>
      </c>
      <c r="J106" s="99">
        <f t="shared" ca="1" si="204"/>
        <v>0</v>
      </c>
      <c r="K106" s="100">
        <f t="shared" ca="1" si="205"/>
        <v>0</v>
      </c>
      <c r="L106" s="99">
        <f ca="1">IFERROR(__xludf.DUMMYFUNCTION("IMPORTRANGE(""https://docs.google.com/spreadsheets/d/1-uDff_7J0KD5mKrp0Vvzr7lt3OU09vwQwhkpOPPYv2Y/edit?usp=sharing"",""งบพรบ!DB106"")"),0)</f>
        <v>0</v>
      </c>
      <c r="M106" s="101">
        <f t="shared" ca="1" si="206"/>
        <v>0</v>
      </c>
      <c r="N106" s="101">
        <f t="shared" ca="1" si="207"/>
        <v>0</v>
      </c>
      <c r="O106" s="102">
        <f ca="1">IFERROR(__xludf.DUMMYFUNCTION("IMPORTRANGE(""https://docs.google.com/spreadsheets/d/1-uDff_7J0KD5mKrp0Vvzr7lt3OU09vwQwhkpOPPYv2Y/edit?usp=sharing"",""งบพรบ!DC106"")"),0)</f>
        <v>0</v>
      </c>
      <c r="P106" s="102">
        <f t="shared" ca="1" si="208"/>
        <v>0</v>
      </c>
      <c r="Q106" s="101">
        <f t="shared" ca="1" si="209"/>
        <v>0</v>
      </c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288"/>
      <c r="AN106" s="288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</row>
    <row r="107" spans="1:87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2"/>
      <c r="T107" s="4"/>
      <c r="U107" s="2"/>
      <c r="V107" s="2"/>
      <c r="W107" s="4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1:87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"/>
      <c r="S108" s="2"/>
      <c r="T108" s="4"/>
      <c r="U108" s="2"/>
      <c r="V108" s="2"/>
      <c r="W108" s="4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1:87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2"/>
      <c r="T109" s="4"/>
      <c r="U109" s="2"/>
      <c r="V109" s="2"/>
      <c r="W109" s="4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1:87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2"/>
      <c r="T110" s="4"/>
      <c r="U110" s="2"/>
      <c r="V110" s="2"/>
      <c r="W110" s="4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1:87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2"/>
      <c r="T111" s="4"/>
      <c r="U111" s="2"/>
      <c r="V111" s="2"/>
      <c r="W111" s="4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1:87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2"/>
      <c r="T112" s="4"/>
      <c r="U112" s="2"/>
      <c r="V112" s="2"/>
      <c r="W112" s="4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1:87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2"/>
      <c r="T113" s="4"/>
      <c r="U113" s="2"/>
      <c r="V113" s="2"/>
      <c r="W113" s="4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1:87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2"/>
      <c r="T114" s="4"/>
      <c r="U114" s="2"/>
      <c r="V114" s="2"/>
      <c r="W114" s="4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1:87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2"/>
      <c r="T115" s="4"/>
      <c r="U115" s="2"/>
      <c r="V115" s="2"/>
      <c r="W115" s="4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:87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2"/>
      <c r="T116" s="4"/>
      <c r="U116" s="2"/>
      <c r="V116" s="2"/>
      <c r="W116" s="4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:87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1:87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1:87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1:87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:87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1:87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1:87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:87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:87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1:87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1:87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1:87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1:87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1:87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1:87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:87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:87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1:87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1:87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1:87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1:87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1:87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:87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1:87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1:87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1:87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:87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1:87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1:87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1:87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1:87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1:87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1:87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1:87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1:87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1:87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1:87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1:87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1:87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1:87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1:87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1:87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1:87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1:87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1:87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1:87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1:87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1:87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1:87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1:87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1:87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1:87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1:87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1:87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1:87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:87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1:87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1:87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:87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1:87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:87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1:87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1:87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1:87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1:87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:87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1:87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1:87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1:87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:87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1:87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1:87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1:87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  <row r="190" spans="1:87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</row>
    <row r="191" spans="1:87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</row>
    <row r="192" spans="1:87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:87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:87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1:87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</row>
    <row r="196" spans="1:87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1:87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:87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</row>
    <row r="199" spans="1:87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</row>
    <row r="200" spans="1:87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</row>
    <row r="201" spans="1:87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:87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</row>
    <row r="203" spans="1:87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</row>
    <row r="204" spans="1:87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</row>
    <row r="205" spans="1:87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</row>
    <row r="206" spans="1:87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</row>
    <row r="207" spans="1:87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</row>
    <row r="208" spans="1:87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1:87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</row>
    <row r="210" spans="1:87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</row>
    <row r="211" spans="1:87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</row>
    <row r="212" spans="1:87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</row>
    <row r="213" spans="1:87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</row>
    <row r="214" spans="1:87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</row>
    <row r="215" spans="1:87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</row>
    <row r="216" spans="1:87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1:87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</row>
    <row r="218" spans="1:87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</row>
    <row r="219" spans="1:87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</row>
    <row r="220" spans="1:87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</row>
    <row r="221" spans="1:87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</row>
    <row r="222" spans="1:87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</row>
    <row r="223" spans="1:87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</row>
    <row r="224" spans="1:87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</row>
    <row r="225" spans="1:87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</row>
    <row r="226" spans="1:87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</row>
    <row r="227" spans="1:87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</row>
    <row r="228" spans="1:87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</row>
    <row r="229" spans="1:87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</row>
    <row r="230" spans="1:87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</row>
    <row r="231" spans="1:87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</row>
    <row r="232" spans="1:87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</row>
    <row r="233" spans="1:87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</row>
    <row r="234" spans="1:87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</row>
    <row r="235" spans="1:87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</row>
    <row r="236" spans="1:87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</row>
    <row r="237" spans="1:87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</row>
    <row r="238" spans="1:87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</row>
    <row r="239" spans="1:87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</row>
    <row r="240" spans="1:87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</row>
    <row r="241" spans="1:87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</row>
    <row r="242" spans="1:87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</row>
    <row r="243" spans="1:87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</row>
    <row r="244" spans="1:87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</row>
    <row r="245" spans="1:87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</row>
    <row r="246" spans="1:87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</row>
    <row r="247" spans="1:87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</row>
    <row r="248" spans="1:87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</row>
    <row r="249" spans="1:87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</row>
    <row r="250" spans="1:87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</row>
    <row r="251" spans="1:87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</row>
    <row r="252" spans="1:87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</row>
    <row r="253" spans="1:87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</row>
    <row r="254" spans="1:87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</row>
    <row r="255" spans="1:87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</row>
    <row r="256" spans="1:87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</row>
    <row r="257" spans="1:87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</row>
    <row r="258" spans="1:87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</row>
    <row r="259" spans="1:87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</row>
    <row r="260" spans="1:87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</row>
    <row r="261" spans="1:87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</row>
    <row r="262" spans="1:87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</row>
    <row r="263" spans="1:87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</row>
    <row r="264" spans="1:87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</row>
    <row r="265" spans="1:87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</row>
    <row r="266" spans="1:87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</row>
    <row r="267" spans="1:87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</row>
    <row r="268" spans="1:87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</row>
    <row r="269" spans="1:87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</row>
    <row r="270" spans="1:87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</row>
    <row r="271" spans="1:87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</row>
    <row r="272" spans="1:87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</row>
    <row r="273" spans="1:87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</row>
    <row r="274" spans="1:87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</row>
    <row r="275" spans="1:87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</row>
    <row r="276" spans="1:87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</row>
    <row r="277" spans="1:87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</row>
    <row r="278" spans="1:87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</row>
    <row r="279" spans="1:87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</row>
    <row r="280" spans="1:87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</row>
    <row r="281" spans="1:87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</row>
    <row r="282" spans="1:87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</row>
    <row r="283" spans="1:87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</row>
    <row r="284" spans="1:87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</row>
    <row r="285" spans="1:87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</row>
    <row r="286" spans="1:87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</row>
    <row r="287" spans="1:87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</row>
    <row r="288" spans="1:87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</row>
    <row r="289" spans="1:87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</row>
    <row r="290" spans="1:87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</row>
    <row r="291" spans="1:87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</row>
    <row r="292" spans="1:87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</row>
    <row r="293" spans="1:87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</row>
    <row r="294" spans="1:87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</row>
    <row r="295" spans="1:87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</row>
    <row r="296" spans="1:87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</row>
    <row r="297" spans="1:87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</row>
    <row r="298" spans="1:87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</row>
    <row r="299" spans="1:87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</row>
    <row r="300" spans="1:87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</row>
    <row r="301" spans="1:87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</row>
    <row r="302" spans="1:87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</row>
    <row r="303" spans="1:87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</row>
    <row r="304" spans="1:87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123"/>
      <c r="T304" s="124"/>
      <c r="U304" s="123"/>
      <c r="V304" s="123"/>
      <c r="W304" s="124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</row>
    <row r="305" spans="1:87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123"/>
      <c r="T305" s="124"/>
      <c r="U305" s="123"/>
      <c r="V305" s="123"/>
      <c r="W305" s="124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</row>
    <row r="306" spans="1:87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123"/>
      <c r="T306" s="124"/>
      <c r="U306" s="123"/>
      <c r="V306" s="123"/>
      <c r="W306" s="124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</row>
    <row r="307" spans="1:87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123"/>
      <c r="T307" s="124"/>
      <c r="U307" s="123"/>
      <c r="V307" s="123"/>
      <c r="W307" s="124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</row>
    <row r="308" spans="1:87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123"/>
      <c r="T308" s="124"/>
      <c r="U308" s="123"/>
      <c r="V308" s="123"/>
      <c r="W308" s="124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</row>
    <row r="309" spans="1:87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123"/>
      <c r="T309" s="124"/>
      <c r="U309" s="123"/>
      <c r="V309" s="123"/>
      <c r="W309" s="124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</row>
    <row r="310" spans="1:87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123"/>
      <c r="T310" s="124"/>
      <c r="U310" s="123"/>
      <c r="V310" s="123"/>
      <c r="W310" s="124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</row>
    <row r="311" spans="1:87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123"/>
      <c r="T311" s="124"/>
      <c r="U311" s="123"/>
      <c r="V311" s="123"/>
      <c r="W311" s="124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</row>
    <row r="312" spans="1:87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123"/>
      <c r="T312" s="124"/>
      <c r="U312" s="123"/>
      <c r="V312" s="123"/>
      <c r="W312" s="124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</row>
    <row r="313" spans="1:87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123"/>
      <c r="T313" s="124"/>
      <c r="U313" s="123"/>
      <c r="V313" s="123"/>
      <c r="W313" s="124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</row>
    <row r="314" spans="1:87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123"/>
      <c r="T314" s="124"/>
      <c r="U314" s="123"/>
      <c r="V314" s="123"/>
      <c r="W314" s="124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</row>
    <row r="315" spans="1:87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123"/>
      <c r="T315" s="124"/>
      <c r="U315" s="123"/>
      <c r="V315" s="123"/>
      <c r="W315" s="124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</row>
    <row r="316" spans="1:87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123"/>
      <c r="T316" s="124"/>
      <c r="U316" s="123"/>
      <c r="V316" s="123"/>
      <c r="W316" s="124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</row>
    <row r="317" spans="1:87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123"/>
      <c r="T317" s="124"/>
      <c r="U317" s="123"/>
      <c r="V317" s="123"/>
      <c r="W317" s="124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</row>
    <row r="318" spans="1:87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123"/>
      <c r="T318" s="124"/>
      <c r="U318" s="123"/>
      <c r="V318" s="123"/>
      <c r="W318" s="124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</row>
    <row r="319" spans="1:87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123"/>
      <c r="T319" s="124"/>
      <c r="U319" s="123"/>
      <c r="V319" s="123"/>
      <c r="W319" s="124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</row>
    <row r="320" spans="1:87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123"/>
      <c r="T320" s="124"/>
      <c r="U320" s="123"/>
      <c r="V320" s="123"/>
      <c r="W320" s="124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</row>
    <row r="321" spans="1:87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123"/>
      <c r="T321" s="124"/>
      <c r="U321" s="123"/>
      <c r="V321" s="123"/>
      <c r="W321" s="124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</row>
    <row r="322" spans="1:87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123"/>
      <c r="T322" s="124"/>
      <c r="U322" s="123"/>
      <c r="V322" s="123"/>
      <c r="W322" s="124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</row>
    <row r="323" spans="1:87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123"/>
      <c r="T323" s="124"/>
      <c r="U323" s="123"/>
      <c r="V323" s="123"/>
      <c r="W323" s="124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</row>
    <row r="324" spans="1:87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123"/>
      <c r="T324" s="124"/>
      <c r="U324" s="123"/>
      <c r="V324" s="123"/>
      <c r="W324" s="124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</row>
    <row r="325" spans="1:87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123"/>
      <c r="T325" s="124"/>
      <c r="U325" s="123"/>
      <c r="V325" s="123"/>
      <c r="W325" s="124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</row>
    <row r="326" spans="1:87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123"/>
      <c r="T326" s="124"/>
      <c r="U326" s="123"/>
      <c r="V326" s="123"/>
      <c r="W326" s="124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</row>
    <row r="327" spans="1:87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123"/>
      <c r="T327" s="124"/>
      <c r="U327" s="123"/>
      <c r="V327" s="123"/>
      <c r="W327" s="124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</row>
    <row r="328" spans="1:87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123"/>
      <c r="T328" s="124"/>
      <c r="U328" s="123"/>
      <c r="V328" s="123"/>
      <c r="W328" s="124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</row>
    <row r="329" spans="1:87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123"/>
      <c r="T329" s="124"/>
      <c r="U329" s="123"/>
      <c r="V329" s="123"/>
      <c r="W329" s="124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</row>
    <row r="330" spans="1:87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123"/>
      <c r="T330" s="124"/>
      <c r="U330" s="123"/>
      <c r="V330" s="123"/>
      <c r="W330" s="124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</row>
    <row r="331" spans="1:87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123"/>
      <c r="T331" s="124"/>
      <c r="U331" s="123"/>
      <c r="V331" s="123"/>
      <c r="W331" s="124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</row>
    <row r="332" spans="1:87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123"/>
      <c r="T332" s="124"/>
      <c r="U332" s="123"/>
      <c r="V332" s="123"/>
      <c r="W332" s="124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</row>
    <row r="333" spans="1:87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123"/>
      <c r="T333" s="124"/>
      <c r="U333" s="123"/>
      <c r="V333" s="123"/>
      <c r="W333" s="124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</row>
    <row r="334" spans="1:87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123"/>
      <c r="T334" s="124"/>
      <c r="U334" s="123"/>
      <c r="V334" s="123"/>
      <c r="W334" s="124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</row>
    <row r="335" spans="1:87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123"/>
      <c r="T335" s="124"/>
      <c r="U335" s="123"/>
      <c r="V335" s="123"/>
      <c r="W335" s="124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</row>
    <row r="336" spans="1:87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123"/>
      <c r="T336" s="124"/>
      <c r="U336" s="123"/>
      <c r="V336" s="123"/>
      <c r="W336" s="124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</row>
    <row r="337" spans="1:87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123"/>
      <c r="T337" s="124"/>
      <c r="U337" s="123"/>
      <c r="V337" s="123"/>
      <c r="W337" s="124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</row>
    <row r="338" spans="1:87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123"/>
      <c r="T338" s="124"/>
      <c r="U338" s="123"/>
      <c r="V338" s="123"/>
      <c r="W338" s="124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</row>
    <row r="339" spans="1:87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123"/>
      <c r="T339" s="124"/>
      <c r="U339" s="123"/>
      <c r="V339" s="123"/>
      <c r="W339" s="124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</row>
    <row r="340" spans="1:87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123"/>
      <c r="T340" s="124"/>
      <c r="U340" s="123"/>
      <c r="V340" s="123"/>
      <c r="W340" s="124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W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</row>
    <row r="341" spans="1:87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123"/>
      <c r="T341" s="124"/>
      <c r="U341" s="123"/>
      <c r="V341" s="123"/>
      <c r="W341" s="124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W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</row>
    <row r="342" spans="1:87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123"/>
      <c r="T342" s="124"/>
      <c r="U342" s="123"/>
      <c r="V342" s="123"/>
      <c r="W342" s="124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</row>
    <row r="343" spans="1:87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123"/>
      <c r="T343" s="124"/>
      <c r="U343" s="123"/>
      <c r="V343" s="123"/>
      <c r="W343" s="124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</row>
    <row r="344" spans="1:87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123"/>
      <c r="T344" s="124"/>
      <c r="U344" s="123"/>
      <c r="V344" s="123"/>
      <c r="W344" s="124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</row>
    <row r="345" spans="1:87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123"/>
      <c r="T345" s="124"/>
      <c r="U345" s="123"/>
      <c r="V345" s="123"/>
      <c r="W345" s="124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W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</row>
    <row r="346" spans="1:87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123"/>
      <c r="T346" s="124"/>
      <c r="U346" s="123"/>
      <c r="V346" s="123"/>
      <c r="W346" s="124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</row>
    <row r="347" spans="1:87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123"/>
      <c r="T347" s="124"/>
      <c r="U347" s="123"/>
      <c r="V347" s="123"/>
      <c r="W347" s="124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</row>
    <row r="348" spans="1:87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123"/>
      <c r="T348" s="124"/>
      <c r="U348" s="123"/>
      <c r="V348" s="123"/>
      <c r="W348" s="124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W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</row>
    <row r="349" spans="1:87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123"/>
      <c r="T349" s="124"/>
      <c r="U349" s="123"/>
      <c r="V349" s="123"/>
      <c r="W349" s="124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</row>
    <row r="350" spans="1:87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123"/>
      <c r="T350" s="124"/>
      <c r="U350" s="123"/>
      <c r="V350" s="123"/>
      <c r="W350" s="124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</row>
    <row r="351" spans="1:87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123"/>
      <c r="T351" s="124"/>
      <c r="U351" s="123"/>
      <c r="V351" s="123"/>
      <c r="W351" s="124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</row>
    <row r="352" spans="1:87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123"/>
      <c r="T352" s="124"/>
      <c r="U352" s="123"/>
      <c r="V352" s="123"/>
      <c r="W352" s="124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</row>
    <row r="353" spans="1:87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123"/>
      <c r="T353" s="124"/>
      <c r="U353" s="123"/>
      <c r="V353" s="123"/>
      <c r="W353" s="124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</row>
    <row r="354" spans="1:87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123"/>
      <c r="T354" s="124"/>
      <c r="U354" s="123"/>
      <c r="V354" s="123"/>
      <c r="W354" s="124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</row>
    <row r="355" spans="1:87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123"/>
      <c r="T355" s="124"/>
      <c r="U355" s="123"/>
      <c r="V355" s="123"/>
      <c r="W355" s="124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W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</row>
    <row r="356" spans="1:87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123"/>
      <c r="T356" s="124"/>
      <c r="U356" s="123"/>
      <c r="V356" s="123"/>
      <c r="W356" s="124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3"/>
      <c r="CE356" s="123"/>
      <c r="CF356" s="123"/>
      <c r="CG356" s="123"/>
      <c r="CH356" s="123"/>
      <c r="CI356" s="123"/>
    </row>
    <row r="357" spans="1:87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123"/>
      <c r="T357" s="124"/>
      <c r="U357" s="123"/>
      <c r="V357" s="123"/>
      <c r="W357" s="124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123"/>
      <c r="BR357" s="123"/>
      <c r="BS357" s="123"/>
      <c r="BT357" s="123"/>
      <c r="BU357" s="123"/>
      <c r="BV357" s="123"/>
      <c r="BW357" s="123"/>
      <c r="BX357" s="123"/>
      <c r="BY357" s="123"/>
      <c r="BZ357" s="123"/>
      <c r="CA357" s="123"/>
      <c r="CB357" s="123"/>
      <c r="CC357" s="123"/>
      <c r="CD357" s="123"/>
      <c r="CE357" s="123"/>
      <c r="CF357" s="123"/>
      <c r="CG357" s="123"/>
      <c r="CH357" s="123"/>
      <c r="CI357" s="123"/>
    </row>
    <row r="358" spans="1:87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123"/>
      <c r="T358" s="124"/>
      <c r="U358" s="123"/>
      <c r="V358" s="123"/>
      <c r="W358" s="124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3"/>
      <c r="CE358" s="123"/>
      <c r="CF358" s="123"/>
      <c r="CG358" s="123"/>
      <c r="CH358" s="123"/>
      <c r="CI358" s="123"/>
    </row>
    <row r="359" spans="1:87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123"/>
      <c r="T359" s="124"/>
      <c r="U359" s="123"/>
      <c r="V359" s="123"/>
      <c r="W359" s="124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  <c r="CC359" s="123"/>
      <c r="CD359" s="123"/>
      <c r="CE359" s="123"/>
      <c r="CF359" s="123"/>
      <c r="CG359" s="123"/>
      <c r="CH359" s="123"/>
      <c r="CI359" s="123"/>
    </row>
    <row r="360" spans="1:87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123"/>
      <c r="T360" s="124"/>
      <c r="U360" s="123"/>
      <c r="V360" s="123"/>
      <c r="W360" s="124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123"/>
      <c r="BU360" s="123"/>
      <c r="BV360" s="123"/>
      <c r="BW360" s="123"/>
      <c r="BX360" s="123"/>
      <c r="BY360" s="123"/>
      <c r="BZ360" s="123"/>
      <c r="CA360" s="123"/>
      <c r="CB360" s="123"/>
      <c r="CC360" s="123"/>
      <c r="CD360" s="123"/>
      <c r="CE360" s="123"/>
      <c r="CF360" s="123"/>
      <c r="CG360" s="123"/>
      <c r="CH360" s="123"/>
      <c r="CI360" s="123"/>
    </row>
    <row r="361" spans="1:87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123"/>
      <c r="T361" s="124"/>
      <c r="U361" s="123"/>
      <c r="V361" s="123"/>
      <c r="W361" s="124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123"/>
      <c r="BU361" s="123"/>
      <c r="BV361" s="123"/>
      <c r="BW361" s="123"/>
      <c r="BX361" s="123"/>
      <c r="BY361" s="123"/>
      <c r="BZ361" s="123"/>
      <c r="CA361" s="123"/>
      <c r="CB361" s="123"/>
      <c r="CC361" s="123"/>
      <c r="CD361" s="123"/>
      <c r="CE361" s="123"/>
      <c r="CF361" s="123"/>
      <c r="CG361" s="123"/>
      <c r="CH361" s="123"/>
      <c r="CI361" s="123"/>
    </row>
    <row r="362" spans="1:87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123"/>
      <c r="T362" s="124"/>
      <c r="U362" s="123"/>
      <c r="V362" s="123"/>
      <c r="W362" s="124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</row>
    <row r="363" spans="1:87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123"/>
      <c r="T363" s="124"/>
      <c r="U363" s="123"/>
      <c r="V363" s="123"/>
      <c r="W363" s="124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3"/>
      <c r="CE363" s="123"/>
      <c r="CF363" s="123"/>
      <c r="CG363" s="123"/>
      <c r="CH363" s="123"/>
      <c r="CI363" s="123"/>
    </row>
    <row r="364" spans="1:87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123"/>
      <c r="T364" s="124"/>
      <c r="U364" s="123"/>
      <c r="V364" s="123"/>
      <c r="W364" s="124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</row>
    <row r="365" spans="1:87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123"/>
      <c r="T365" s="124"/>
      <c r="U365" s="123"/>
      <c r="V365" s="123"/>
      <c r="W365" s="124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</row>
    <row r="366" spans="1:87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123"/>
      <c r="T366" s="124"/>
      <c r="U366" s="123"/>
      <c r="V366" s="123"/>
      <c r="W366" s="124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</row>
    <row r="367" spans="1:87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123"/>
      <c r="T367" s="124"/>
      <c r="U367" s="123"/>
      <c r="V367" s="123"/>
      <c r="W367" s="124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</row>
    <row r="368" spans="1:87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123"/>
      <c r="T368" s="124"/>
      <c r="U368" s="123"/>
      <c r="V368" s="123"/>
      <c r="W368" s="124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</row>
    <row r="369" spans="1:87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123"/>
      <c r="T369" s="124"/>
      <c r="U369" s="123"/>
      <c r="V369" s="123"/>
      <c r="W369" s="124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</row>
    <row r="370" spans="1:87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123"/>
      <c r="T370" s="124"/>
      <c r="U370" s="123"/>
      <c r="V370" s="123"/>
      <c r="W370" s="124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</row>
    <row r="371" spans="1:87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123"/>
      <c r="T371" s="124"/>
      <c r="U371" s="123"/>
      <c r="V371" s="123"/>
      <c r="W371" s="124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</row>
    <row r="372" spans="1:87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123"/>
      <c r="T372" s="124"/>
      <c r="U372" s="123"/>
      <c r="V372" s="123"/>
      <c r="W372" s="124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</row>
    <row r="373" spans="1:87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123"/>
      <c r="T373" s="124"/>
      <c r="U373" s="123"/>
      <c r="V373" s="123"/>
      <c r="W373" s="124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3"/>
      <c r="CE373" s="123"/>
      <c r="CF373" s="123"/>
      <c r="CG373" s="123"/>
      <c r="CH373" s="123"/>
      <c r="CI373" s="123"/>
    </row>
    <row r="374" spans="1:87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123"/>
      <c r="T374" s="124"/>
      <c r="U374" s="123"/>
      <c r="V374" s="123"/>
      <c r="W374" s="124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123"/>
      <c r="CA374" s="123"/>
      <c r="CB374" s="123"/>
      <c r="CC374" s="123"/>
      <c r="CD374" s="123"/>
      <c r="CE374" s="123"/>
      <c r="CF374" s="123"/>
      <c r="CG374" s="123"/>
      <c r="CH374" s="123"/>
      <c r="CI374" s="123"/>
    </row>
    <row r="375" spans="1:87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123"/>
      <c r="T375" s="124"/>
      <c r="U375" s="123"/>
      <c r="V375" s="123"/>
      <c r="W375" s="124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  <c r="CC375" s="123"/>
      <c r="CD375" s="123"/>
      <c r="CE375" s="123"/>
      <c r="CF375" s="123"/>
      <c r="CG375" s="123"/>
      <c r="CH375" s="123"/>
      <c r="CI375" s="123"/>
    </row>
    <row r="376" spans="1:87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123"/>
      <c r="T376" s="124"/>
      <c r="U376" s="123"/>
      <c r="V376" s="123"/>
      <c r="W376" s="124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3"/>
      <c r="BE376" s="123"/>
      <c r="BF376" s="123"/>
      <c r="BG376" s="123"/>
      <c r="BH376" s="123"/>
      <c r="BI376" s="123"/>
      <c r="BJ376" s="123"/>
      <c r="BK376" s="123"/>
      <c r="BL376" s="123"/>
      <c r="BM376" s="123"/>
      <c r="BN376" s="123"/>
      <c r="BO376" s="123"/>
      <c r="BP376" s="123"/>
      <c r="BQ376" s="123"/>
      <c r="BR376" s="123"/>
      <c r="BS376" s="123"/>
      <c r="BT376" s="123"/>
      <c r="BU376" s="123"/>
      <c r="BV376" s="123"/>
      <c r="BW376" s="123"/>
      <c r="BX376" s="123"/>
      <c r="BY376" s="123"/>
      <c r="BZ376" s="123"/>
      <c r="CA376" s="123"/>
      <c r="CB376" s="123"/>
      <c r="CC376" s="123"/>
      <c r="CD376" s="123"/>
      <c r="CE376" s="123"/>
      <c r="CF376" s="123"/>
      <c r="CG376" s="123"/>
      <c r="CH376" s="123"/>
      <c r="CI376" s="123"/>
    </row>
    <row r="377" spans="1:87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123"/>
      <c r="T377" s="124"/>
      <c r="U377" s="123"/>
      <c r="V377" s="123"/>
      <c r="W377" s="124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3"/>
      <c r="CE377" s="123"/>
      <c r="CF377" s="123"/>
      <c r="CG377" s="123"/>
      <c r="CH377" s="123"/>
      <c r="CI377" s="123"/>
    </row>
    <row r="378" spans="1:87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123"/>
      <c r="T378" s="124"/>
      <c r="U378" s="123"/>
      <c r="V378" s="123"/>
      <c r="W378" s="124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</row>
    <row r="379" spans="1:87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123"/>
      <c r="T379" s="124"/>
      <c r="U379" s="123"/>
      <c r="V379" s="123"/>
      <c r="W379" s="124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</row>
    <row r="380" spans="1:87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123"/>
      <c r="T380" s="124"/>
      <c r="U380" s="123"/>
      <c r="V380" s="123"/>
      <c r="W380" s="124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23"/>
      <c r="BH380" s="123"/>
      <c r="BI380" s="123"/>
      <c r="BJ380" s="123"/>
      <c r="BK380" s="123"/>
      <c r="BL380" s="123"/>
      <c r="BM380" s="123"/>
      <c r="BN380" s="123"/>
      <c r="BO380" s="123"/>
      <c r="BP380" s="123"/>
      <c r="BQ380" s="123"/>
      <c r="BR380" s="123"/>
      <c r="BS380" s="123"/>
      <c r="BT380" s="123"/>
      <c r="BU380" s="123"/>
      <c r="BV380" s="123"/>
      <c r="BW380" s="123"/>
      <c r="BX380" s="123"/>
      <c r="BY380" s="123"/>
      <c r="BZ380" s="123"/>
      <c r="CA380" s="123"/>
      <c r="CB380" s="123"/>
      <c r="CC380" s="123"/>
      <c r="CD380" s="123"/>
      <c r="CE380" s="123"/>
      <c r="CF380" s="123"/>
      <c r="CG380" s="123"/>
      <c r="CH380" s="123"/>
      <c r="CI380" s="123"/>
    </row>
    <row r="381" spans="1:87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123"/>
      <c r="T381" s="124"/>
      <c r="U381" s="123"/>
      <c r="V381" s="123"/>
      <c r="W381" s="124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</row>
    <row r="382" spans="1:87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123"/>
      <c r="T382" s="124"/>
      <c r="U382" s="123"/>
      <c r="V382" s="123"/>
      <c r="W382" s="124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</row>
    <row r="383" spans="1:87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123"/>
      <c r="T383" s="124"/>
      <c r="U383" s="123"/>
      <c r="V383" s="123"/>
      <c r="W383" s="124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123"/>
      <c r="BR383" s="123"/>
      <c r="BS383" s="123"/>
      <c r="BT383" s="123"/>
      <c r="BU383" s="123"/>
      <c r="BV383" s="123"/>
      <c r="BW383" s="123"/>
      <c r="BX383" s="123"/>
      <c r="BY383" s="123"/>
      <c r="BZ383" s="123"/>
      <c r="CA383" s="123"/>
      <c r="CB383" s="123"/>
      <c r="CC383" s="123"/>
      <c r="CD383" s="123"/>
      <c r="CE383" s="123"/>
      <c r="CF383" s="123"/>
      <c r="CG383" s="123"/>
      <c r="CH383" s="123"/>
      <c r="CI383" s="123"/>
    </row>
    <row r="384" spans="1:87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123"/>
      <c r="T384" s="124"/>
      <c r="U384" s="123"/>
      <c r="V384" s="123"/>
      <c r="W384" s="124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</row>
    <row r="385" spans="1:87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123"/>
      <c r="T385" s="124"/>
      <c r="U385" s="123"/>
      <c r="V385" s="123"/>
      <c r="W385" s="124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123"/>
      <c r="BR385" s="123"/>
      <c r="BS385" s="123"/>
      <c r="BT385" s="123"/>
      <c r="BU385" s="123"/>
      <c r="BV385" s="123"/>
      <c r="BW385" s="123"/>
      <c r="BX385" s="123"/>
      <c r="BY385" s="123"/>
      <c r="BZ385" s="123"/>
      <c r="CA385" s="123"/>
      <c r="CB385" s="123"/>
      <c r="CC385" s="123"/>
      <c r="CD385" s="123"/>
      <c r="CE385" s="123"/>
      <c r="CF385" s="123"/>
      <c r="CG385" s="123"/>
      <c r="CH385" s="123"/>
      <c r="CI385" s="123"/>
    </row>
    <row r="386" spans="1:87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123"/>
      <c r="T386" s="124"/>
      <c r="U386" s="123"/>
      <c r="V386" s="123"/>
      <c r="W386" s="124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3"/>
      <c r="CE386" s="123"/>
      <c r="CF386" s="123"/>
      <c r="CG386" s="123"/>
      <c r="CH386" s="123"/>
      <c r="CI386" s="123"/>
    </row>
    <row r="387" spans="1:87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123"/>
      <c r="T387" s="124"/>
      <c r="U387" s="123"/>
      <c r="V387" s="123"/>
      <c r="W387" s="124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3"/>
      <c r="CE387" s="123"/>
      <c r="CF387" s="123"/>
      <c r="CG387" s="123"/>
      <c r="CH387" s="123"/>
      <c r="CI387" s="123"/>
    </row>
    <row r="388" spans="1:87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123"/>
      <c r="T388" s="124"/>
      <c r="U388" s="123"/>
      <c r="V388" s="123"/>
      <c r="W388" s="124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3"/>
      <c r="CE388" s="123"/>
      <c r="CF388" s="123"/>
      <c r="CG388" s="123"/>
      <c r="CH388" s="123"/>
      <c r="CI388" s="123"/>
    </row>
    <row r="389" spans="1:87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123"/>
      <c r="T389" s="124"/>
      <c r="U389" s="123"/>
      <c r="V389" s="123"/>
      <c r="W389" s="124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3"/>
      <c r="CE389" s="123"/>
      <c r="CF389" s="123"/>
      <c r="CG389" s="123"/>
      <c r="CH389" s="123"/>
      <c r="CI389" s="123"/>
    </row>
    <row r="390" spans="1:87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123"/>
      <c r="T390" s="124"/>
      <c r="U390" s="123"/>
      <c r="V390" s="123"/>
      <c r="W390" s="124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</row>
    <row r="391" spans="1:87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123"/>
      <c r="T391" s="124"/>
      <c r="U391" s="123"/>
      <c r="V391" s="123"/>
      <c r="W391" s="124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23"/>
      <c r="CH391" s="123"/>
      <c r="CI391" s="123"/>
    </row>
    <row r="392" spans="1:87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123"/>
      <c r="T392" s="124"/>
      <c r="U392" s="123"/>
      <c r="V392" s="123"/>
      <c r="W392" s="124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</row>
    <row r="393" spans="1:87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123"/>
      <c r="T393" s="124"/>
      <c r="U393" s="123"/>
      <c r="V393" s="123"/>
      <c r="W393" s="124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123"/>
      <c r="BR393" s="123"/>
      <c r="BS393" s="123"/>
      <c r="BT393" s="123"/>
      <c r="BU393" s="123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23"/>
      <c r="CH393" s="123"/>
      <c r="CI393" s="123"/>
    </row>
    <row r="394" spans="1:87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123"/>
      <c r="T394" s="124"/>
      <c r="U394" s="123"/>
      <c r="V394" s="123"/>
      <c r="W394" s="124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123"/>
      <c r="BR394" s="123"/>
      <c r="BS394" s="123"/>
      <c r="BT394" s="123"/>
      <c r="BU394" s="123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23"/>
      <c r="CH394" s="123"/>
      <c r="CI394" s="123"/>
    </row>
    <row r="395" spans="1:87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123"/>
      <c r="T395" s="124"/>
      <c r="U395" s="123"/>
      <c r="V395" s="123"/>
      <c r="W395" s="124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123"/>
      <c r="BR395" s="123"/>
      <c r="BS395" s="123"/>
      <c r="BT395" s="123"/>
      <c r="BU395" s="123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23"/>
      <c r="CH395" s="123"/>
      <c r="CI395" s="123"/>
    </row>
    <row r="396" spans="1:87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123"/>
      <c r="T396" s="124"/>
      <c r="U396" s="123"/>
      <c r="V396" s="123"/>
      <c r="W396" s="124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3"/>
      <c r="BW396" s="123"/>
      <c r="BX396" s="123"/>
      <c r="BY396" s="123"/>
      <c r="BZ396" s="123"/>
      <c r="CA396" s="123"/>
      <c r="CB396" s="123"/>
      <c r="CC396" s="123"/>
      <c r="CD396" s="123"/>
      <c r="CE396" s="123"/>
      <c r="CF396" s="123"/>
      <c r="CG396" s="123"/>
      <c r="CH396" s="123"/>
      <c r="CI396" s="123"/>
    </row>
    <row r="397" spans="1:87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123"/>
      <c r="T397" s="124"/>
      <c r="U397" s="123"/>
      <c r="V397" s="123"/>
      <c r="W397" s="124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/>
      <c r="CB397" s="123"/>
      <c r="CC397" s="123"/>
      <c r="CD397" s="123"/>
      <c r="CE397" s="123"/>
      <c r="CF397" s="123"/>
      <c r="CG397" s="123"/>
      <c r="CH397" s="123"/>
      <c r="CI397" s="123"/>
    </row>
    <row r="398" spans="1:87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123"/>
      <c r="T398" s="124"/>
      <c r="U398" s="123"/>
      <c r="V398" s="123"/>
      <c r="W398" s="124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123"/>
      <c r="CE398" s="123"/>
      <c r="CF398" s="123"/>
      <c r="CG398" s="123"/>
      <c r="CH398" s="123"/>
      <c r="CI398" s="123"/>
    </row>
    <row r="399" spans="1:87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123"/>
      <c r="T399" s="124"/>
      <c r="U399" s="123"/>
      <c r="V399" s="123"/>
      <c r="W399" s="124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123"/>
      <c r="CE399" s="123"/>
      <c r="CF399" s="123"/>
      <c r="CG399" s="123"/>
      <c r="CH399" s="123"/>
      <c r="CI399" s="123"/>
    </row>
    <row r="400" spans="1:87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123"/>
      <c r="T400" s="124"/>
      <c r="U400" s="123"/>
      <c r="V400" s="123"/>
      <c r="W400" s="124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123"/>
      <c r="CE400" s="123"/>
      <c r="CF400" s="123"/>
      <c r="CG400" s="123"/>
      <c r="CH400" s="123"/>
      <c r="CI400" s="123"/>
    </row>
    <row r="401" spans="1:87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123"/>
      <c r="T401" s="124"/>
      <c r="U401" s="123"/>
      <c r="V401" s="123"/>
      <c r="W401" s="124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123"/>
      <c r="CE401" s="123"/>
      <c r="CF401" s="123"/>
      <c r="CG401" s="123"/>
      <c r="CH401" s="123"/>
      <c r="CI401" s="123"/>
    </row>
    <row r="402" spans="1:87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123"/>
      <c r="T402" s="124"/>
      <c r="U402" s="123"/>
      <c r="V402" s="123"/>
      <c r="W402" s="124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123"/>
      <c r="CE402" s="123"/>
      <c r="CF402" s="123"/>
      <c r="CG402" s="123"/>
      <c r="CH402" s="123"/>
      <c r="CI402" s="123"/>
    </row>
    <row r="403" spans="1:87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123"/>
      <c r="T403" s="124"/>
      <c r="U403" s="123"/>
      <c r="V403" s="123"/>
      <c r="W403" s="124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123"/>
      <c r="BT403" s="123"/>
      <c r="BU403" s="123"/>
      <c r="BV403" s="123"/>
      <c r="BW403" s="123"/>
      <c r="BX403" s="123"/>
      <c r="BY403" s="123"/>
      <c r="BZ403" s="123"/>
      <c r="CA403" s="123"/>
      <c r="CB403" s="123"/>
      <c r="CC403" s="123"/>
      <c r="CD403" s="123"/>
      <c r="CE403" s="123"/>
      <c r="CF403" s="123"/>
      <c r="CG403" s="123"/>
      <c r="CH403" s="123"/>
      <c r="CI403" s="123"/>
    </row>
    <row r="404" spans="1:87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123"/>
      <c r="T404" s="124"/>
      <c r="U404" s="123"/>
      <c r="V404" s="123"/>
      <c r="W404" s="124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3"/>
      <c r="CE404" s="123"/>
      <c r="CF404" s="123"/>
      <c r="CG404" s="123"/>
      <c r="CH404" s="123"/>
      <c r="CI404" s="123"/>
    </row>
    <row r="405" spans="1:87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123"/>
      <c r="T405" s="124"/>
      <c r="U405" s="123"/>
      <c r="V405" s="123"/>
      <c r="W405" s="124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123"/>
      <c r="BR405" s="123"/>
      <c r="BS405" s="123"/>
      <c r="BT405" s="123"/>
      <c r="BU405" s="123"/>
      <c r="BV405" s="123"/>
      <c r="BW405" s="123"/>
      <c r="BX405" s="123"/>
      <c r="BY405" s="123"/>
      <c r="BZ405" s="123"/>
      <c r="CA405" s="123"/>
      <c r="CB405" s="123"/>
      <c r="CC405" s="123"/>
      <c r="CD405" s="123"/>
      <c r="CE405" s="123"/>
      <c r="CF405" s="123"/>
      <c r="CG405" s="123"/>
      <c r="CH405" s="123"/>
      <c r="CI405" s="123"/>
    </row>
    <row r="406" spans="1:87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123"/>
      <c r="T406" s="124"/>
      <c r="U406" s="123"/>
      <c r="V406" s="123"/>
      <c r="W406" s="124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123"/>
      <c r="BR406" s="123"/>
      <c r="BS406" s="123"/>
      <c r="BT406" s="123"/>
      <c r="BU406" s="123"/>
      <c r="BV406" s="123"/>
      <c r="BW406" s="123"/>
      <c r="BX406" s="123"/>
      <c r="BY406" s="123"/>
      <c r="BZ406" s="123"/>
      <c r="CA406" s="123"/>
      <c r="CB406" s="123"/>
      <c r="CC406" s="123"/>
      <c r="CD406" s="123"/>
      <c r="CE406" s="123"/>
      <c r="CF406" s="123"/>
      <c r="CG406" s="123"/>
      <c r="CH406" s="123"/>
      <c r="CI406" s="123"/>
    </row>
    <row r="407" spans="1:87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123"/>
      <c r="T407" s="124"/>
      <c r="U407" s="123"/>
      <c r="V407" s="123"/>
      <c r="W407" s="124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  <c r="CC407" s="123"/>
      <c r="CD407" s="123"/>
      <c r="CE407" s="123"/>
      <c r="CF407" s="123"/>
      <c r="CG407" s="123"/>
      <c r="CH407" s="123"/>
      <c r="CI407" s="123"/>
    </row>
    <row r="408" spans="1:87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123"/>
      <c r="T408" s="124"/>
      <c r="U408" s="123"/>
      <c r="V408" s="123"/>
      <c r="W408" s="124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123"/>
      <c r="BR408" s="123"/>
      <c r="BS408" s="123"/>
      <c r="BT408" s="123"/>
      <c r="BU408" s="123"/>
      <c r="BV408" s="123"/>
      <c r="BW408" s="123"/>
      <c r="BX408" s="123"/>
      <c r="BY408" s="123"/>
      <c r="BZ408" s="123"/>
      <c r="CA408" s="123"/>
      <c r="CB408" s="123"/>
      <c r="CC408" s="123"/>
      <c r="CD408" s="123"/>
      <c r="CE408" s="123"/>
      <c r="CF408" s="123"/>
      <c r="CG408" s="123"/>
      <c r="CH408" s="123"/>
      <c r="CI408" s="123"/>
    </row>
    <row r="409" spans="1:87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123"/>
      <c r="T409" s="124"/>
      <c r="U409" s="123"/>
      <c r="V409" s="123"/>
      <c r="W409" s="124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23"/>
      <c r="BH409" s="123"/>
      <c r="BI409" s="123"/>
      <c r="BJ409" s="123"/>
      <c r="BK409" s="123"/>
      <c r="BL409" s="123"/>
      <c r="BM409" s="123"/>
      <c r="BN409" s="123"/>
      <c r="BO409" s="123"/>
      <c r="BP409" s="123"/>
      <c r="BQ409" s="123"/>
      <c r="BR409" s="123"/>
      <c r="BS409" s="123"/>
      <c r="BT409" s="123"/>
      <c r="BU409" s="123"/>
      <c r="BV409" s="123"/>
      <c r="BW409" s="123"/>
      <c r="BX409" s="123"/>
      <c r="BY409" s="123"/>
      <c r="BZ409" s="123"/>
      <c r="CA409" s="123"/>
      <c r="CB409" s="123"/>
      <c r="CC409" s="123"/>
      <c r="CD409" s="123"/>
      <c r="CE409" s="123"/>
      <c r="CF409" s="123"/>
      <c r="CG409" s="123"/>
      <c r="CH409" s="123"/>
      <c r="CI409" s="123"/>
    </row>
    <row r="410" spans="1:87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123"/>
      <c r="T410" s="124"/>
      <c r="U410" s="123"/>
      <c r="V410" s="123"/>
      <c r="W410" s="124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</row>
    <row r="411" spans="1:87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123"/>
      <c r="T411" s="124"/>
      <c r="U411" s="123"/>
      <c r="V411" s="123"/>
      <c r="W411" s="124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</row>
    <row r="412" spans="1:87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123"/>
      <c r="T412" s="124"/>
      <c r="U412" s="123"/>
      <c r="V412" s="123"/>
      <c r="W412" s="124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</row>
    <row r="413" spans="1:87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123"/>
      <c r="T413" s="124"/>
      <c r="U413" s="123"/>
      <c r="V413" s="123"/>
      <c r="W413" s="124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</row>
    <row r="414" spans="1:87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123"/>
      <c r="T414" s="124"/>
      <c r="U414" s="123"/>
      <c r="V414" s="123"/>
      <c r="W414" s="124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</row>
    <row r="415" spans="1:87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123"/>
      <c r="T415" s="124"/>
      <c r="U415" s="123"/>
      <c r="V415" s="123"/>
      <c r="W415" s="124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</row>
    <row r="416" spans="1:87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123"/>
      <c r="T416" s="124"/>
      <c r="U416" s="123"/>
      <c r="V416" s="123"/>
      <c r="W416" s="124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</row>
    <row r="417" spans="1:87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123"/>
      <c r="T417" s="124"/>
      <c r="U417" s="123"/>
      <c r="V417" s="123"/>
      <c r="W417" s="124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</row>
    <row r="418" spans="1:87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123"/>
      <c r="T418" s="124"/>
      <c r="U418" s="123"/>
      <c r="V418" s="123"/>
      <c r="W418" s="124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</row>
    <row r="419" spans="1:87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123"/>
      <c r="T419" s="124"/>
      <c r="U419" s="123"/>
      <c r="V419" s="123"/>
      <c r="W419" s="124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</row>
    <row r="420" spans="1:87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123"/>
      <c r="T420" s="124"/>
      <c r="U420" s="123"/>
      <c r="V420" s="123"/>
      <c r="W420" s="124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</row>
    <row r="421" spans="1:87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123"/>
      <c r="T421" s="124"/>
      <c r="U421" s="123"/>
      <c r="V421" s="123"/>
      <c r="W421" s="124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123"/>
      <c r="BS421" s="123"/>
      <c r="BT421" s="123"/>
      <c r="BU421" s="123"/>
      <c r="BV421" s="123"/>
      <c r="BW421" s="123"/>
      <c r="BX421" s="123"/>
      <c r="BY421" s="123"/>
      <c r="BZ421" s="123"/>
      <c r="CA421" s="123"/>
      <c r="CB421" s="123"/>
      <c r="CC421" s="123"/>
      <c r="CD421" s="123"/>
      <c r="CE421" s="123"/>
      <c r="CF421" s="123"/>
      <c r="CG421" s="123"/>
      <c r="CH421" s="123"/>
      <c r="CI421" s="123"/>
    </row>
    <row r="422" spans="1:87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123"/>
      <c r="T422" s="124"/>
      <c r="U422" s="123"/>
      <c r="V422" s="123"/>
      <c r="W422" s="124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123"/>
      <c r="BS422" s="123"/>
      <c r="BT422" s="123"/>
      <c r="BU422" s="123"/>
      <c r="BV422" s="123"/>
      <c r="BW422" s="123"/>
      <c r="BX422" s="123"/>
      <c r="BY422" s="123"/>
      <c r="BZ422" s="123"/>
      <c r="CA422" s="123"/>
      <c r="CB422" s="123"/>
      <c r="CC422" s="123"/>
      <c r="CD422" s="123"/>
      <c r="CE422" s="123"/>
      <c r="CF422" s="123"/>
      <c r="CG422" s="123"/>
      <c r="CH422" s="123"/>
      <c r="CI422" s="123"/>
    </row>
    <row r="423" spans="1:87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123"/>
      <c r="T423" s="124"/>
      <c r="U423" s="123"/>
      <c r="V423" s="123"/>
      <c r="W423" s="124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  <c r="CC423" s="123"/>
      <c r="CD423" s="123"/>
      <c r="CE423" s="123"/>
      <c r="CF423" s="123"/>
      <c r="CG423" s="123"/>
      <c r="CH423" s="123"/>
      <c r="CI423" s="123"/>
    </row>
    <row r="424" spans="1:87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123"/>
      <c r="T424" s="124"/>
      <c r="U424" s="123"/>
      <c r="V424" s="123"/>
      <c r="W424" s="124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/>
      <c r="BX424" s="123"/>
      <c r="BY424" s="123"/>
      <c r="BZ424" s="123"/>
      <c r="CA424" s="123"/>
      <c r="CB424" s="123"/>
      <c r="CC424" s="123"/>
      <c r="CD424" s="123"/>
      <c r="CE424" s="123"/>
      <c r="CF424" s="123"/>
      <c r="CG424" s="123"/>
      <c r="CH424" s="123"/>
      <c r="CI424" s="123"/>
    </row>
    <row r="425" spans="1:87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123"/>
      <c r="T425" s="124"/>
      <c r="U425" s="123"/>
      <c r="V425" s="123"/>
      <c r="W425" s="124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123"/>
      <c r="BR425" s="123"/>
      <c r="BS425" s="123"/>
      <c r="BT425" s="123"/>
      <c r="BU425" s="123"/>
      <c r="BV425" s="123"/>
      <c r="BW425" s="123"/>
      <c r="BX425" s="123"/>
      <c r="BY425" s="123"/>
      <c r="BZ425" s="123"/>
      <c r="CA425" s="123"/>
      <c r="CB425" s="123"/>
      <c r="CC425" s="123"/>
      <c r="CD425" s="123"/>
      <c r="CE425" s="123"/>
      <c r="CF425" s="123"/>
      <c r="CG425" s="123"/>
      <c r="CH425" s="123"/>
      <c r="CI425" s="123"/>
    </row>
    <row r="426" spans="1:87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123"/>
      <c r="T426" s="124"/>
      <c r="U426" s="123"/>
      <c r="V426" s="123"/>
      <c r="W426" s="124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3"/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3"/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3"/>
    </row>
    <row r="427" spans="1:87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123"/>
      <c r="T427" s="124"/>
      <c r="U427" s="123"/>
      <c r="V427" s="123"/>
      <c r="W427" s="124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123"/>
      <c r="BR427" s="123"/>
      <c r="BS427" s="123"/>
      <c r="BT427" s="123"/>
      <c r="BU427" s="123"/>
      <c r="BV427" s="123"/>
      <c r="BW427" s="123"/>
      <c r="BX427" s="123"/>
      <c r="BY427" s="123"/>
      <c r="BZ427" s="123"/>
      <c r="CA427" s="123"/>
      <c r="CB427" s="123"/>
      <c r="CC427" s="123"/>
      <c r="CD427" s="123"/>
      <c r="CE427" s="123"/>
      <c r="CF427" s="123"/>
      <c r="CG427" s="123"/>
      <c r="CH427" s="123"/>
      <c r="CI427" s="123"/>
    </row>
    <row r="428" spans="1:87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123"/>
      <c r="T428" s="124"/>
      <c r="U428" s="123"/>
      <c r="V428" s="123"/>
      <c r="W428" s="124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/>
      <c r="BX428" s="123"/>
      <c r="BY428" s="123"/>
      <c r="BZ428" s="123"/>
      <c r="CA428" s="123"/>
      <c r="CB428" s="123"/>
      <c r="CC428" s="123"/>
      <c r="CD428" s="123"/>
      <c r="CE428" s="123"/>
      <c r="CF428" s="123"/>
      <c r="CG428" s="123"/>
      <c r="CH428" s="123"/>
      <c r="CI428" s="123"/>
    </row>
    <row r="429" spans="1:87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123"/>
      <c r="T429" s="124"/>
      <c r="U429" s="123"/>
      <c r="V429" s="123"/>
      <c r="W429" s="124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3"/>
      <c r="CE429" s="123"/>
      <c r="CF429" s="123"/>
      <c r="CG429" s="123"/>
      <c r="CH429" s="123"/>
      <c r="CI429" s="123"/>
    </row>
    <row r="430" spans="1:87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123"/>
      <c r="T430" s="124"/>
      <c r="U430" s="123"/>
      <c r="V430" s="123"/>
      <c r="W430" s="124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3"/>
      <c r="CE430" s="123"/>
      <c r="CF430" s="123"/>
      <c r="CG430" s="123"/>
      <c r="CH430" s="123"/>
      <c r="CI430" s="123"/>
    </row>
    <row r="431" spans="1:87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123"/>
      <c r="T431" s="124"/>
      <c r="U431" s="123"/>
      <c r="V431" s="123"/>
      <c r="W431" s="124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3"/>
      <c r="BZ431" s="123"/>
      <c r="CA431" s="123"/>
      <c r="CB431" s="123"/>
      <c r="CC431" s="123"/>
      <c r="CD431" s="123"/>
      <c r="CE431" s="123"/>
      <c r="CF431" s="123"/>
      <c r="CG431" s="123"/>
      <c r="CH431" s="123"/>
      <c r="CI431" s="123"/>
    </row>
    <row r="432" spans="1:87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123"/>
      <c r="T432" s="124"/>
      <c r="U432" s="123"/>
      <c r="V432" s="123"/>
      <c r="W432" s="124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/>
      <c r="CC432" s="123"/>
      <c r="CD432" s="123"/>
      <c r="CE432" s="123"/>
      <c r="CF432" s="123"/>
      <c r="CG432" s="123"/>
      <c r="CH432" s="123"/>
      <c r="CI432" s="123"/>
    </row>
    <row r="433" spans="1:87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123"/>
      <c r="T433" s="124"/>
      <c r="U433" s="123"/>
      <c r="V433" s="123"/>
      <c r="W433" s="124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3"/>
      <c r="CE433" s="123"/>
      <c r="CF433" s="123"/>
      <c r="CG433" s="123"/>
      <c r="CH433" s="123"/>
      <c r="CI433" s="123"/>
    </row>
    <row r="434" spans="1:87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123"/>
      <c r="T434" s="124"/>
      <c r="U434" s="123"/>
      <c r="V434" s="123"/>
      <c r="W434" s="124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3"/>
      <c r="BZ434" s="123"/>
      <c r="CA434" s="123"/>
      <c r="CB434" s="123"/>
      <c r="CC434" s="123"/>
      <c r="CD434" s="123"/>
      <c r="CE434" s="123"/>
      <c r="CF434" s="123"/>
      <c r="CG434" s="123"/>
      <c r="CH434" s="123"/>
      <c r="CI434" s="123"/>
    </row>
    <row r="435" spans="1:87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123"/>
      <c r="T435" s="124"/>
      <c r="U435" s="123"/>
      <c r="V435" s="123"/>
      <c r="W435" s="124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3"/>
      <c r="BZ435" s="123"/>
      <c r="CA435" s="123"/>
      <c r="CB435" s="123"/>
      <c r="CC435" s="123"/>
      <c r="CD435" s="123"/>
      <c r="CE435" s="123"/>
      <c r="CF435" s="123"/>
      <c r="CG435" s="123"/>
      <c r="CH435" s="123"/>
      <c r="CI435" s="123"/>
    </row>
    <row r="436" spans="1:87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123"/>
      <c r="T436" s="124"/>
      <c r="U436" s="123"/>
      <c r="V436" s="123"/>
      <c r="W436" s="124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3"/>
      <c r="BZ436" s="123"/>
      <c r="CA436" s="123"/>
      <c r="CB436" s="123"/>
      <c r="CC436" s="123"/>
      <c r="CD436" s="123"/>
      <c r="CE436" s="123"/>
      <c r="CF436" s="123"/>
      <c r="CG436" s="123"/>
      <c r="CH436" s="123"/>
      <c r="CI436" s="123"/>
    </row>
    <row r="437" spans="1:87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123"/>
      <c r="T437" s="124"/>
      <c r="U437" s="123"/>
      <c r="V437" s="123"/>
      <c r="W437" s="124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3"/>
      <c r="BM437" s="123"/>
      <c r="BN437" s="123"/>
      <c r="BO437" s="123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3"/>
      <c r="BZ437" s="123"/>
      <c r="CA437" s="123"/>
      <c r="CB437" s="123"/>
      <c r="CC437" s="123"/>
      <c r="CD437" s="123"/>
      <c r="CE437" s="123"/>
      <c r="CF437" s="123"/>
      <c r="CG437" s="123"/>
      <c r="CH437" s="123"/>
      <c r="CI437" s="123"/>
    </row>
    <row r="438" spans="1:87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123"/>
      <c r="T438" s="124"/>
      <c r="U438" s="123"/>
      <c r="V438" s="123"/>
      <c r="W438" s="124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3"/>
      <c r="CE438" s="123"/>
      <c r="CF438" s="123"/>
      <c r="CG438" s="123"/>
      <c r="CH438" s="123"/>
      <c r="CI438" s="123"/>
    </row>
    <row r="439" spans="1:87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123"/>
      <c r="T439" s="124"/>
      <c r="U439" s="123"/>
      <c r="V439" s="123"/>
      <c r="W439" s="124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3"/>
      <c r="CE439" s="123"/>
      <c r="CF439" s="123"/>
      <c r="CG439" s="123"/>
      <c r="CH439" s="123"/>
      <c r="CI439" s="123"/>
    </row>
    <row r="440" spans="1:87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123"/>
      <c r="T440" s="124"/>
      <c r="U440" s="123"/>
      <c r="V440" s="123"/>
      <c r="W440" s="124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3"/>
      <c r="CE440" s="123"/>
      <c r="CF440" s="123"/>
      <c r="CG440" s="123"/>
      <c r="CH440" s="123"/>
      <c r="CI440" s="123"/>
    </row>
    <row r="441" spans="1:87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123"/>
      <c r="T441" s="124"/>
      <c r="U441" s="123"/>
      <c r="V441" s="123"/>
      <c r="W441" s="124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3"/>
      <c r="CE441" s="123"/>
      <c r="CF441" s="123"/>
      <c r="CG441" s="123"/>
      <c r="CH441" s="123"/>
      <c r="CI441" s="123"/>
    </row>
    <row r="442" spans="1:87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123"/>
      <c r="T442" s="124"/>
      <c r="U442" s="123"/>
      <c r="V442" s="123"/>
      <c r="W442" s="124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3"/>
      <c r="CE442" s="123"/>
      <c r="CF442" s="123"/>
      <c r="CG442" s="123"/>
      <c r="CH442" s="123"/>
      <c r="CI442" s="123"/>
    </row>
    <row r="443" spans="1:87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123"/>
      <c r="T443" s="124"/>
      <c r="U443" s="123"/>
      <c r="V443" s="123"/>
      <c r="W443" s="124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3"/>
      <c r="BM443" s="123"/>
      <c r="BN443" s="123"/>
      <c r="BO443" s="123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3"/>
      <c r="BZ443" s="123"/>
      <c r="CA443" s="123"/>
      <c r="CB443" s="123"/>
      <c r="CC443" s="123"/>
      <c r="CD443" s="123"/>
      <c r="CE443" s="123"/>
      <c r="CF443" s="123"/>
      <c r="CG443" s="123"/>
      <c r="CH443" s="123"/>
      <c r="CI443" s="123"/>
    </row>
    <row r="444" spans="1:87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123"/>
      <c r="T444" s="124"/>
      <c r="U444" s="123"/>
      <c r="V444" s="123"/>
      <c r="W444" s="124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3"/>
      <c r="BM444" s="123"/>
      <c r="BN444" s="123"/>
      <c r="BO444" s="123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3"/>
      <c r="BZ444" s="123"/>
      <c r="CA444" s="123"/>
      <c r="CB444" s="123"/>
      <c r="CC444" s="123"/>
      <c r="CD444" s="123"/>
      <c r="CE444" s="123"/>
      <c r="CF444" s="123"/>
      <c r="CG444" s="123"/>
      <c r="CH444" s="123"/>
      <c r="CI444" s="123"/>
    </row>
    <row r="445" spans="1:87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123"/>
      <c r="T445" s="124"/>
      <c r="U445" s="123"/>
      <c r="V445" s="123"/>
      <c r="W445" s="124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3"/>
      <c r="BM445" s="123"/>
      <c r="BN445" s="123"/>
      <c r="BO445" s="123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3"/>
      <c r="BZ445" s="123"/>
      <c r="CA445" s="123"/>
      <c r="CB445" s="123"/>
      <c r="CC445" s="123"/>
      <c r="CD445" s="123"/>
      <c r="CE445" s="123"/>
      <c r="CF445" s="123"/>
      <c r="CG445" s="123"/>
      <c r="CH445" s="123"/>
      <c r="CI445" s="123"/>
    </row>
    <row r="446" spans="1:87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123"/>
      <c r="T446" s="124"/>
      <c r="U446" s="123"/>
      <c r="V446" s="123"/>
      <c r="W446" s="124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3"/>
      <c r="CE446" s="123"/>
      <c r="CF446" s="123"/>
      <c r="CG446" s="123"/>
      <c r="CH446" s="123"/>
      <c r="CI446" s="123"/>
    </row>
    <row r="447" spans="1:87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123"/>
      <c r="T447" s="124"/>
      <c r="U447" s="123"/>
      <c r="V447" s="123"/>
      <c r="W447" s="124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3"/>
      <c r="CE447" s="123"/>
      <c r="CF447" s="123"/>
      <c r="CG447" s="123"/>
      <c r="CH447" s="123"/>
      <c r="CI447" s="123"/>
    </row>
    <row r="448" spans="1:87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123"/>
      <c r="T448" s="124"/>
      <c r="U448" s="123"/>
      <c r="V448" s="123"/>
      <c r="W448" s="124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3"/>
      <c r="CE448" s="123"/>
      <c r="CF448" s="123"/>
      <c r="CG448" s="123"/>
      <c r="CH448" s="123"/>
      <c r="CI448" s="123"/>
    </row>
    <row r="449" spans="1:87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123"/>
      <c r="T449" s="124"/>
      <c r="U449" s="123"/>
      <c r="V449" s="123"/>
      <c r="W449" s="124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3"/>
      <c r="CE449" s="123"/>
      <c r="CF449" s="123"/>
      <c r="CG449" s="123"/>
      <c r="CH449" s="123"/>
      <c r="CI449" s="123"/>
    </row>
    <row r="450" spans="1:87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123"/>
      <c r="T450" s="124"/>
      <c r="U450" s="123"/>
      <c r="V450" s="123"/>
      <c r="W450" s="124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3"/>
      <c r="BZ450" s="123"/>
      <c r="CA450" s="123"/>
      <c r="CB450" s="123"/>
      <c r="CC450" s="123"/>
      <c r="CD450" s="123"/>
      <c r="CE450" s="123"/>
      <c r="CF450" s="123"/>
      <c r="CG450" s="123"/>
      <c r="CH450" s="123"/>
      <c r="CI450" s="123"/>
    </row>
    <row r="451" spans="1:87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123"/>
      <c r="T451" s="124"/>
      <c r="U451" s="123"/>
      <c r="V451" s="123"/>
      <c r="W451" s="124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3"/>
      <c r="CE451" s="123"/>
      <c r="CF451" s="123"/>
      <c r="CG451" s="123"/>
      <c r="CH451" s="123"/>
      <c r="CI451" s="123"/>
    </row>
    <row r="452" spans="1:87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123"/>
      <c r="T452" s="124"/>
      <c r="U452" s="123"/>
      <c r="V452" s="123"/>
      <c r="W452" s="124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3"/>
      <c r="BZ452" s="123"/>
      <c r="CA452" s="123"/>
      <c r="CB452" s="123"/>
      <c r="CC452" s="123"/>
      <c r="CD452" s="123"/>
      <c r="CE452" s="123"/>
      <c r="CF452" s="123"/>
      <c r="CG452" s="123"/>
      <c r="CH452" s="123"/>
      <c r="CI452" s="123"/>
    </row>
    <row r="453" spans="1:87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123"/>
      <c r="T453" s="124"/>
      <c r="U453" s="123"/>
      <c r="V453" s="123"/>
      <c r="W453" s="124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3"/>
      <c r="BZ453" s="123"/>
      <c r="CA453" s="123"/>
      <c r="CB453" s="123"/>
      <c r="CC453" s="123"/>
      <c r="CD453" s="123"/>
      <c r="CE453" s="123"/>
      <c r="CF453" s="123"/>
      <c r="CG453" s="123"/>
      <c r="CH453" s="123"/>
      <c r="CI453" s="123"/>
    </row>
    <row r="454" spans="1:87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123"/>
      <c r="T454" s="124"/>
      <c r="U454" s="123"/>
      <c r="V454" s="123"/>
      <c r="W454" s="124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  <c r="BM454" s="123"/>
      <c r="BN454" s="123"/>
      <c r="BO454" s="123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3"/>
      <c r="BZ454" s="123"/>
      <c r="CA454" s="123"/>
      <c r="CB454" s="123"/>
      <c r="CC454" s="123"/>
      <c r="CD454" s="123"/>
      <c r="CE454" s="123"/>
      <c r="CF454" s="123"/>
      <c r="CG454" s="123"/>
      <c r="CH454" s="123"/>
      <c r="CI454" s="123"/>
    </row>
    <row r="455" spans="1:87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123"/>
      <c r="T455" s="124"/>
      <c r="U455" s="123"/>
      <c r="V455" s="123"/>
      <c r="W455" s="124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  <c r="CC455" s="123"/>
      <c r="CD455" s="123"/>
      <c r="CE455" s="123"/>
      <c r="CF455" s="123"/>
      <c r="CG455" s="123"/>
      <c r="CH455" s="123"/>
      <c r="CI455" s="123"/>
    </row>
    <row r="456" spans="1:87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123"/>
      <c r="T456" s="124"/>
      <c r="U456" s="123"/>
      <c r="V456" s="123"/>
      <c r="W456" s="124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123"/>
      <c r="BR456" s="123"/>
      <c r="BS456" s="123"/>
      <c r="BT456" s="123"/>
      <c r="BU456" s="123"/>
      <c r="BV456" s="123"/>
      <c r="BW456" s="123"/>
      <c r="BX456" s="123"/>
      <c r="BY456" s="123"/>
      <c r="BZ456" s="123"/>
      <c r="CA456" s="123"/>
      <c r="CB456" s="123"/>
      <c r="CC456" s="123"/>
      <c r="CD456" s="123"/>
      <c r="CE456" s="123"/>
      <c r="CF456" s="123"/>
      <c r="CG456" s="123"/>
      <c r="CH456" s="123"/>
      <c r="CI456" s="123"/>
    </row>
    <row r="457" spans="1:87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123"/>
      <c r="T457" s="124"/>
      <c r="U457" s="123"/>
      <c r="V457" s="123"/>
      <c r="W457" s="124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3"/>
      <c r="BZ457" s="123"/>
      <c r="CA457" s="123"/>
      <c r="CB457" s="123"/>
      <c r="CC457" s="123"/>
      <c r="CD457" s="123"/>
      <c r="CE457" s="123"/>
      <c r="CF457" s="123"/>
      <c r="CG457" s="123"/>
      <c r="CH457" s="123"/>
      <c r="CI457" s="123"/>
    </row>
    <row r="458" spans="1:87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123"/>
      <c r="T458" s="124"/>
      <c r="U458" s="123"/>
      <c r="V458" s="123"/>
      <c r="W458" s="124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</row>
    <row r="459" spans="1:87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123"/>
      <c r="T459" s="124"/>
      <c r="U459" s="123"/>
      <c r="V459" s="123"/>
      <c r="W459" s="124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</row>
    <row r="460" spans="1:87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123"/>
      <c r="T460" s="124"/>
      <c r="U460" s="123"/>
      <c r="V460" s="123"/>
      <c r="W460" s="124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</row>
    <row r="461" spans="1:87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123"/>
      <c r="T461" s="124"/>
      <c r="U461" s="123"/>
      <c r="V461" s="123"/>
      <c r="W461" s="124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</row>
    <row r="462" spans="1:87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123"/>
      <c r="T462" s="124"/>
      <c r="U462" s="123"/>
      <c r="V462" s="123"/>
      <c r="W462" s="124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</row>
    <row r="463" spans="1:87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123"/>
      <c r="T463" s="124"/>
      <c r="U463" s="123"/>
      <c r="V463" s="123"/>
      <c r="W463" s="124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</row>
    <row r="464" spans="1:87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123"/>
      <c r="T464" s="124"/>
      <c r="U464" s="123"/>
      <c r="V464" s="123"/>
      <c r="W464" s="124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</row>
    <row r="465" spans="1:87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123"/>
      <c r="T465" s="124"/>
      <c r="U465" s="123"/>
      <c r="V465" s="123"/>
      <c r="W465" s="124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</row>
    <row r="466" spans="1:87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123"/>
      <c r="T466" s="124"/>
      <c r="U466" s="123"/>
      <c r="V466" s="123"/>
      <c r="W466" s="124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</row>
    <row r="467" spans="1:87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123"/>
      <c r="T467" s="124"/>
      <c r="U467" s="123"/>
      <c r="V467" s="123"/>
      <c r="W467" s="124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</row>
    <row r="468" spans="1:87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123"/>
      <c r="T468" s="124"/>
      <c r="U468" s="123"/>
      <c r="V468" s="123"/>
      <c r="W468" s="124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</row>
    <row r="469" spans="1:87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123"/>
      <c r="T469" s="124"/>
      <c r="U469" s="123"/>
      <c r="V469" s="123"/>
      <c r="W469" s="124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</row>
    <row r="470" spans="1:87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123"/>
      <c r="T470" s="124"/>
      <c r="U470" s="123"/>
      <c r="V470" s="123"/>
      <c r="W470" s="124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</row>
    <row r="471" spans="1:87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123"/>
      <c r="T471" s="124"/>
      <c r="U471" s="123"/>
      <c r="V471" s="123"/>
      <c r="W471" s="124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</row>
    <row r="472" spans="1:87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123"/>
      <c r="T472" s="124"/>
      <c r="U472" s="123"/>
      <c r="V472" s="123"/>
      <c r="W472" s="124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123"/>
      <c r="BR472" s="123"/>
      <c r="BS472" s="123"/>
      <c r="BT472" s="123"/>
      <c r="BU472" s="123"/>
      <c r="BV472" s="123"/>
      <c r="BW472" s="123"/>
      <c r="BX472" s="123"/>
      <c r="BY472" s="123"/>
      <c r="BZ472" s="123"/>
      <c r="CA472" s="123"/>
      <c r="CB472" s="123"/>
      <c r="CC472" s="123"/>
      <c r="CD472" s="123"/>
      <c r="CE472" s="123"/>
      <c r="CF472" s="123"/>
      <c r="CG472" s="123"/>
      <c r="CH472" s="123"/>
      <c r="CI472" s="123"/>
    </row>
    <row r="473" spans="1:87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123"/>
      <c r="T473" s="124"/>
      <c r="U473" s="123"/>
      <c r="V473" s="123"/>
      <c r="W473" s="124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123"/>
      <c r="BR473" s="123"/>
      <c r="BS473" s="123"/>
      <c r="BT473" s="123"/>
      <c r="BU473" s="123"/>
      <c r="BV473" s="123"/>
      <c r="BW473" s="123"/>
      <c r="BX473" s="123"/>
      <c r="BY473" s="123"/>
      <c r="BZ473" s="123"/>
      <c r="CA473" s="123"/>
      <c r="CB473" s="123"/>
      <c r="CC473" s="123"/>
      <c r="CD473" s="123"/>
      <c r="CE473" s="123"/>
      <c r="CF473" s="123"/>
      <c r="CG473" s="123"/>
      <c r="CH473" s="123"/>
      <c r="CI473" s="123"/>
    </row>
    <row r="474" spans="1:87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123"/>
      <c r="T474" s="124"/>
      <c r="U474" s="123"/>
      <c r="V474" s="123"/>
      <c r="W474" s="124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</row>
    <row r="475" spans="1:87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123"/>
      <c r="T475" s="124"/>
      <c r="U475" s="123"/>
      <c r="V475" s="123"/>
      <c r="W475" s="124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3"/>
      <c r="CE475" s="123"/>
      <c r="CF475" s="123"/>
      <c r="CG475" s="123"/>
      <c r="CH475" s="123"/>
      <c r="CI475" s="123"/>
    </row>
    <row r="476" spans="1:87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123"/>
      <c r="T476" s="124"/>
      <c r="U476" s="123"/>
      <c r="V476" s="123"/>
      <c r="W476" s="124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123"/>
      <c r="BR476" s="123"/>
      <c r="BS476" s="123"/>
      <c r="BT476" s="123"/>
      <c r="BU476" s="123"/>
      <c r="BV476" s="123"/>
      <c r="BW476" s="123"/>
      <c r="BX476" s="123"/>
      <c r="BY476" s="123"/>
      <c r="BZ476" s="123"/>
      <c r="CA476" s="123"/>
      <c r="CB476" s="123"/>
      <c r="CC476" s="123"/>
      <c r="CD476" s="123"/>
      <c r="CE476" s="123"/>
      <c r="CF476" s="123"/>
      <c r="CG476" s="123"/>
      <c r="CH476" s="123"/>
      <c r="CI476" s="123"/>
    </row>
    <row r="477" spans="1:87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123"/>
      <c r="T477" s="124"/>
      <c r="U477" s="123"/>
      <c r="V477" s="123"/>
      <c r="W477" s="124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23"/>
      <c r="BP477" s="123"/>
      <c r="BQ477" s="123"/>
      <c r="BR477" s="123"/>
      <c r="BS477" s="123"/>
      <c r="BT477" s="123"/>
      <c r="BU477" s="123"/>
      <c r="BV477" s="123"/>
      <c r="BW477" s="123"/>
      <c r="BX477" s="123"/>
      <c r="BY477" s="123"/>
      <c r="BZ477" s="123"/>
      <c r="CA477" s="123"/>
      <c r="CB477" s="123"/>
      <c r="CC477" s="123"/>
      <c r="CD477" s="123"/>
      <c r="CE477" s="123"/>
      <c r="CF477" s="123"/>
      <c r="CG477" s="123"/>
      <c r="CH477" s="123"/>
      <c r="CI477" s="123"/>
    </row>
    <row r="478" spans="1:87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123"/>
      <c r="T478" s="124"/>
      <c r="U478" s="123"/>
      <c r="V478" s="123"/>
      <c r="W478" s="124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23"/>
      <c r="BP478" s="123"/>
      <c r="BQ478" s="123"/>
      <c r="BR478" s="123"/>
      <c r="BS478" s="123"/>
      <c r="BT478" s="123"/>
      <c r="BU478" s="123"/>
      <c r="BV478" s="123"/>
      <c r="BW478" s="123"/>
      <c r="BX478" s="123"/>
      <c r="BY478" s="123"/>
      <c r="BZ478" s="123"/>
      <c r="CA478" s="123"/>
      <c r="CB478" s="123"/>
      <c r="CC478" s="123"/>
      <c r="CD478" s="123"/>
      <c r="CE478" s="123"/>
      <c r="CF478" s="123"/>
      <c r="CG478" s="123"/>
      <c r="CH478" s="123"/>
      <c r="CI478" s="123"/>
    </row>
    <row r="479" spans="1:87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123"/>
      <c r="T479" s="124"/>
      <c r="U479" s="123"/>
      <c r="V479" s="123"/>
      <c r="W479" s="124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123"/>
      <c r="BS479" s="123"/>
      <c r="BT479" s="123"/>
      <c r="BU479" s="123"/>
      <c r="BV479" s="123"/>
      <c r="BW479" s="123"/>
      <c r="BX479" s="123"/>
      <c r="BY479" s="123"/>
      <c r="BZ479" s="123"/>
      <c r="CA479" s="123"/>
      <c r="CB479" s="123"/>
      <c r="CC479" s="123"/>
      <c r="CD479" s="123"/>
      <c r="CE479" s="123"/>
      <c r="CF479" s="123"/>
      <c r="CG479" s="123"/>
      <c r="CH479" s="123"/>
      <c r="CI479" s="123"/>
    </row>
    <row r="480" spans="1:87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123"/>
      <c r="T480" s="124"/>
      <c r="U480" s="123"/>
      <c r="V480" s="123"/>
      <c r="W480" s="124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123"/>
      <c r="BS480" s="123"/>
      <c r="BT480" s="123"/>
      <c r="BU480" s="123"/>
      <c r="BV480" s="123"/>
      <c r="BW480" s="123"/>
      <c r="BX480" s="123"/>
      <c r="BY480" s="123"/>
      <c r="BZ480" s="123"/>
      <c r="CA480" s="123"/>
      <c r="CB480" s="123"/>
      <c r="CC480" s="123"/>
      <c r="CD480" s="123"/>
      <c r="CE480" s="123"/>
      <c r="CF480" s="123"/>
      <c r="CG480" s="123"/>
      <c r="CH480" s="123"/>
      <c r="CI480" s="123"/>
    </row>
    <row r="481" spans="1:87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123"/>
      <c r="T481" s="124"/>
      <c r="U481" s="123"/>
      <c r="V481" s="123"/>
      <c r="W481" s="124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  <c r="BD481" s="123"/>
      <c r="BE481" s="123"/>
      <c r="BF481" s="123"/>
      <c r="BG481" s="123"/>
      <c r="BH481" s="123"/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123"/>
      <c r="BS481" s="123"/>
      <c r="BT481" s="123"/>
      <c r="BU481" s="123"/>
      <c r="BV481" s="123"/>
      <c r="BW481" s="123"/>
      <c r="BX481" s="123"/>
      <c r="BY481" s="123"/>
      <c r="BZ481" s="123"/>
      <c r="CA481" s="123"/>
      <c r="CB481" s="123"/>
      <c r="CC481" s="123"/>
      <c r="CD481" s="123"/>
      <c r="CE481" s="123"/>
      <c r="CF481" s="123"/>
      <c r="CG481" s="123"/>
      <c r="CH481" s="123"/>
      <c r="CI481" s="123"/>
    </row>
    <row r="482" spans="1:87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123"/>
      <c r="T482" s="124"/>
      <c r="U482" s="123"/>
      <c r="V482" s="123"/>
      <c r="W482" s="124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/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3"/>
      <c r="CE482" s="123"/>
      <c r="CF482" s="123"/>
      <c r="CG482" s="123"/>
      <c r="CH482" s="123"/>
      <c r="CI482" s="123"/>
    </row>
    <row r="483" spans="1:87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123"/>
      <c r="T483" s="124"/>
      <c r="U483" s="123"/>
      <c r="V483" s="123"/>
      <c r="W483" s="124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3"/>
      <c r="CE483" s="123"/>
      <c r="CF483" s="123"/>
      <c r="CG483" s="123"/>
      <c r="CH483" s="123"/>
      <c r="CI483" s="123"/>
    </row>
    <row r="484" spans="1:87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123"/>
      <c r="T484" s="124"/>
      <c r="U484" s="123"/>
      <c r="V484" s="123"/>
      <c r="W484" s="124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</row>
    <row r="485" spans="1:87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123"/>
      <c r="T485" s="124"/>
      <c r="U485" s="123"/>
      <c r="V485" s="123"/>
      <c r="W485" s="124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3"/>
      <c r="BW485" s="123"/>
      <c r="BX485" s="123"/>
      <c r="BY485" s="123"/>
      <c r="BZ485" s="123"/>
      <c r="CA485" s="123"/>
      <c r="CB485" s="123"/>
      <c r="CC485" s="123"/>
      <c r="CD485" s="123"/>
      <c r="CE485" s="123"/>
      <c r="CF485" s="123"/>
      <c r="CG485" s="123"/>
      <c r="CH485" s="123"/>
      <c r="CI485" s="123"/>
    </row>
    <row r="486" spans="1:87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123"/>
      <c r="T486" s="124"/>
      <c r="U486" s="123"/>
      <c r="V486" s="123"/>
      <c r="W486" s="124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123"/>
      <c r="BR486" s="123"/>
      <c r="BS486" s="123"/>
      <c r="BT486" s="123"/>
      <c r="BU486" s="123"/>
      <c r="BV486" s="123"/>
      <c r="BW486" s="123"/>
      <c r="BX486" s="123"/>
      <c r="BY486" s="123"/>
      <c r="BZ486" s="123"/>
      <c r="CA486" s="123"/>
      <c r="CB486" s="123"/>
      <c r="CC486" s="123"/>
      <c r="CD486" s="123"/>
      <c r="CE486" s="123"/>
      <c r="CF486" s="123"/>
      <c r="CG486" s="123"/>
      <c r="CH486" s="123"/>
      <c r="CI486" s="123"/>
    </row>
    <row r="487" spans="1:87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123"/>
      <c r="T487" s="124"/>
      <c r="U487" s="123"/>
      <c r="V487" s="123"/>
      <c r="W487" s="124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  <c r="CC487" s="123"/>
      <c r="CD487" s="123"/>
      <c r="CE487" s="123"/>
      <c r="CF487" s="123"/>
      <c r="CG487" s="123"/>
      <c r="CH487" s="123"/>
      <c r="CI487" s="123"/>
    </row>
    <row r="488" spans="1:87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123"/>
      <c r="T488" s="124"/>
      <c r="U488" s="123"/>
      <c r="V488" s="123"/>
      <c r="W488" s="124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  <c r="BD488" s="123"/>
      <c r="BE488" s="123"/>
      <c r="BF488" s="123"/>
      <c r="BG488" s="123"/>
      <c r="BH488" s="123"/>
      <c r="BI488" s="123"/>
      <c r="BJ488" s="123"/>
      <c r="BK488" s="123"/>
      <c r="BL488" s="123"/>
      <c r="BM488" s="123"/>
      <c r="BN488" s="123"/>
      <c r="BO488" s="123"/>
      <c r="BP488" s="123"/>
      <c r="BQ488" s="123"/>
      <c r="BR488" s="123"/>
      <c r="BS488" s="123"/>
      <c r="BT488" s="123"/>
      <c r="BU488" s="123"/>
      <c r="BV488" s="123"/>
      <c r="BW488" s="123"/>
      <c r="BX488" s="123"/>
      <c r="BY488" s="123"/>
      <c r="BZ488" s="123"/>
      <c r="CA488" s="123"/>
      <c r="CB488" s="123"/>
      <c r="CC488" s="123"/>
      <c r="CD488" s="123"/>
      <c r="CE488" s="123"/>
      <c r="CF488" s="123"/>
      <c r="CG488" s="123"/>
      <c r="CH488" s="123"/>
      <c r="CI488" s="123"/>
    </row>
    <row r="489" spans="1:87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123"/>
      <c r="T489" s="124"/>
      <c r="U489" s="123"/>
      <c r="V489" s="123"/>
      <c r="W489" s="124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3"/>
      <c r="CE489" s="123"/>
      <c r="CF489" s="123"/>
      <c r="CG489" s="123"/>
      <c r="CH489" s="123"/>
      <c r="CI489" s="123"/>
    </row>
    <row r="490" spans="1:87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123"/>
      <c r="T490" s="124"/>
      <c r="U490" s="123"/>
      <c r="V490" s="123"/>
      <c r="W490" s="124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123"/>
      <c r="BR490" s="123"/>
      <c r="BS490" s="123"/>
      <c r="BT490" s="123"/>
      <c r="BU490" s="123"/>
      <c r="BV490" s="123"/>
      <c r="BW490" s="123"/>
      <c r="BX490" s="123"/>
      <c r="BY490" s="123"/>
      <c r="BZ490" s="123"/>
      <c r="CA490" s="123"/>
      <c r="CB490" s="123"/>
      <c r="CC490" s="123"/>
      <c r="CD490" s="123"/>
      <c r="CE490" s="123"/>
      <c r="CF490" s="123"/>
      <c r="CG490" s="123"/>
      <c r="CH490" s="123"/>
      <c r="CI490" s="123"/>
    </row>
    <row r="491" spans="1:87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123"/>
      <c r="T491" s="124"/>
      <c r="U491" s="123"/>
      <c r="V491" s="123"/>
      <c r="W491" s="124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123"/>
      <c r="BR491" s="123"/>
      <c r="BS491" s="123"/>
      <c r="BT491" s="123"/>
      <c r="BU491" s="123"/>
      <c r="BV491" s="123"/>
      <c r="BW491" s="123"/>
      <c r="BX491" s="123"/>
      <c r="BY491" s="123"/>
      <c r="BZ491" s="123"/>
      <c r="CA491" s="123"/>
      <c r="CB491" s="123"/>
      <c r="CC491" s="123"/>
      <c r="CD491" s="123"/>
      <c r="CE491" s="123"/>
      <c r="CF491" s="123"/>
      <c r="CG491" s="123"/>
      <c r="CH491" s="123"/>
      <c r="CI491" s="123"/>
    </row>
    <row r="492" spans="1:87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123"/>
      <c r="T492" s="124"/>
      <c r="U492" s="123"/>
      <c r="V492" s="123"/>
      <c r="W492" s="124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123"/>
      <c r="BS492" s="123"/>
      <c r="BT492" s="123"/>
      <c r="BU492" s="123"/>
      <c r="BV492" s="123"/>
      <c r="BW492" s="123"/>
      <c r="BX492" s="123"/>
      <c r="BY492" s="123"/>
      <c r="BZ492" s="123"/>
      <c r="CA492" s="123"/>
      <c r="CB492" s="123"/>
      <c r="CC492" s="123"/>
      <c r="CD492" s="123"/>
      <c r="CE492" s="123"/>
      <c r="CF492" s="123"/>
      <c r="CG492" s="123"/>
      <c r="CH492" s="123"/>
      <c r="CI492" s="123"/>
    </row>
    <row r="493" spans="1:87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123"/>
      <c r="T493" s="124"/>
      <c r="U493" s="123"/>
      <c r="V493" s="123"/>
      <c r="W493" s="124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3"/>
      <c r="CE493" s="123"/>
      <c r="CF493" s="123"/>
      <c r="CG493" s="123"/>
      <c r="CH493" s="123"/>
      <c r="CI493" s="123"/>
    </row>
    <row r="494" spans="1:87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123"/>
      <c r="T494" s="124"/>
      <c r="U494" s="123"/>
      <c r="V494" s="123"/>
      <c r="W494" s="124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  <c r="BD494" s="123"/>
      <c r="BE494" s="123"/>
      <c r="BF494" s="123"/>
      <c r="BG494" s="123"/>
      <c r="BH494" s="123"/>
      <c r="BI494" s="123"/>
      <c r="BJ494" s="123"/>
      <c r="BK494" s="123"/>
      <c r="BL494" s="123"/>
      <c r="BM494" s="123"/>
      <c r="BN494" s="123"/>
      <c r="BO494" s="123"/>
      <c r="BP494" s="123"/>
      <c r="BQ494" s="123"/>
      <c r="BR494" s="123"/>
      <c r="BS494" s="123"/>
      <c r="BT494" s="123"/>
      <c r="BU494" s="123"/>
      <c r="BV494" s="123"/>
      <c r="BW494" s="123"/>
      <c r="BX494" s="123"/>
      <c r="BY494" s="123"/>
      <c r="BZ494" s="123"/>
      <c r="CA494" s="123"/>
      <c r="CB494" s="123"/>
      <c r="CC494" s="123"/>
      <c r="CD494" s="123"/>
      <c r="CE494" s="123"/>
      <c r="CF494" s="123"/>
      <c r="CG494" s="123"/>
      <c r="CH494" s="123"/>
      <c r="CI494" s="123"/>
    </row>
    <row r="495" spans="1:87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123"/>
      <c r="T495" s="124"/>
      <c r="U495" s="123"/>
      <c r="V495" s="123"/>
      <c r="W495" s="124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3"/>
      <c r="CH495" s="123"/>
      <c r="CI495" s="123"/>
    </row>
    <row r="496" spans="1:87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123"/>
      <c r="T496" s="124"/>
      <c r="U496" s="123"/>
      <c r="V496" s="123"/>
      <c r="W496" s="124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123"/>
      <c r="BR496" s="123"/>
      <c r="BS496" s="123"/>
      <c r="BT496" s="123"/>
      <c r="BU496" s="123"/>
      <c r="BV496" s="123"/>
      <c r="BW496" s="123"/>
      <c r="BX496" s="123"/>
      <c r="BY496" s="123"/>
      <c r="BZ496" s="123"/>
      <c r="CA496" s="123"/>
      <c r="CB496" s="123"/>
      <c r="CC496" s="123"/>
      <c r="CD496" s="123"/>
      <c r="CE496" s="123"/>
      <c r="CF496" s="123"/>
      <c r="CG496" s="123"/>
      <c r="CH496" s="123"/>
      <c r="CI496" s="123"/>
    </row>
    <row r="497" spans="1:87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123"/>
      <c r="T497" s="124"/>
      <c r="U497" s="123"/>
      <c r="V497" s="123"/>
      <c r="W497" s="124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</row>
    <row r="498" spans="1:87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123"/>
      <c r="T498" s="124"/>
      <c r="U498" s="123"/>
      <c r="V498" s="123"/>
      <c r="W498" s="124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123"/>
      <c r="BR498" s="123"/>
      <c r="BS498" s="123"/>
      <c r="BT498" s="123"/>
      <c r="BU498" s="123"/>
      <c r="BV498" s="123"/>
      <c r="BW498" s="123"/>
      <c r="BX498" s="123"/>
      <c r="BY498" s="123"/>
      <c r="BZ498" s="123"/>
      <c r="CA498" s="123"/>
      <c r="CB498" s="123"/>
      <c r="CC498" s="123"/>
      <c r="CD498" s="123"/>
      <c r="CE498" s="123"/>
      <c r="CF498" s="123"/>
      <c r="CG498" s="123"/>
      <c r="CH498" s="123"/>
      <c r="CI498" s="123"/>
    </row>
    <row r="499" spans="1:87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123"/>
      <c r="T499" s="124"/>
      <c r="U499" s="123"/>
      <c r="V499" s="123"/>
      <c r="W499" s="124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3"/>
      <c r="CE499" s="123"/>
      <c r="CF499" s="123"/>
      <c r="CG499" s="123"/>
      <c r="CH499" s="123"/>
      <c r="CI499" s="123"/>
    </row>
    <row r="500" spans="1:87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123"/>
      <c r="T500" s="124"/>
      <c r="U500" s="123"/>
      <c r="V500" s="123"/>
      <c r="W500" s="124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</row>
    <row r="501" spans="1:87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123"/>
      <c r="T501" s="124"/>
      <c r="U501" s="123"/>
      <c r="V501" s="123"/>
      <c r="W501" s="124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  <c r="AV501" s="123"/>
      <c r="AW501" s="123"/>
      <c r="AX501" s="123"/>
      <c r="AY501" s="123"/>
      <c r="AZ501" s="123"/>
      <c r="BA501" s="123"/>
      <c r="BB501" s="123"/>
      <c r="BC501" s="123"/>
      <c r="BD501" s="123"/>
      <c r="BE501" s="123"/>
      <c r="BF501" s="123"/>
      <c r="BG501" s="123"/>
      <c r="BH501" s="123"/>
      <c r="BI501" s="123"/>
      <c r="BJ501" s="123"/>
      <c r="BK501" s="123"/>
      <c r="BL501" s="123"/>
      <c r="BM501" s="123"/>
      <c r="BN501" s="123"/>
      <c r="BO501" s="123"/>
      <c r="BP501" s="123"/>
      <c r="BQ501" s="123"/>
      <c r="BR501" s="123"/>
      <c r="BS501" s="123"/>
      <c r="BT501" s="123"/>
      <c r="BU501" s="123"/>
      <c r="BV501" s="123"/>
      <c r="BW501" s="123"/>
      <c r="BX501" s="123"/>
      <c r="BY501" s="123"/>
      <c r="BZ501" s="123"/>
      <c r="CA501" s="123"/>
      <c r="CB501" s="123"/>
      <c r="CC501" s="123"/>
      <c r="CD501" s="123"/>
      <c r="CE501" s="123"/>
      <c r="CF501" s="123"/>
      <c r="CG501" s="123"/>
      <c r="CH501" s="123"/>
      <c r="CI501" s="123"/>
    </row>
    <row r="502" spans="1:87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123"/>
      <c r="T502" s="124"/>
      <c r="U502" s="123"/>
      <c r="V502" s="123"/>
      <c r="W502" s="124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  <c r="AV502" s="123"/>
      <c r="AW502" s="123"/>
      <c r="AX502" s="123"/>
      <c r="AY502" s="123"/>
      <c r="AZ502" s="123"/>
      <c r="BA502" s="123"/>
      <c r="BB502" s="123"/>
      <c r="BC502" s="123"/>
      <c r="BD502" s="123"/>
      <c r="BE502" s="123"/>
      <c r="BF502" s="123"/>
      <c r="BG502" s="123"/>
      <c r="BH502" s="123"/>
      <c r="BI502" s="123"/>
      <c r="BJ502" s="123"/>
      <c r="BK502" s="123"/>
      <c r="BL502" s="123"/>
      <c r="BM502" s="123"/>
      <c r="BN502" s="123"/>
      <c r="BO502" s="123"/>
      <c r="BP502" s="123"/>
      <c r="BQ502" s="123"/>
      <c r="BR502" s="123"/>
      <c r="BS502" s="123"/>
      <c r="BT502" s="123"/>
      <c r="BU502" s="123"/>
      <c r="BV502" s="123"/>
      <c r="BW502" s="123"/>
      <c r="BX502" s="123"/>
      <c r="BY502" s="123"/>
      <c r="BZ502" s="123"/>
      <c r="CA502" s="123"/>
      <c r="CB502" s="123"/>
      <c r="CC502" s="123"/>
      <c r="CD502" s="123"/>
      <c r="CE502" s="123"/>
      <c r="CF502" s="123"/>
      <c r="CG502" s="123"/>
      <c r="CH502" s="123"/>
      <c r="CI502" s="123"/>
    </row>
    <row r="503" spans="1:87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123"/>
      <c r="T503" s="124"/>
      <c r="U503" s="123"/>
      <c r="V503" s="123"/>
      <c r="W503" s="124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  <c r="AV503" s="123"/>
      <c r="AW503" s="123"/>
      <c r="AX503" s="123"/>
      <c r="AY503" s="123"/>
      <c r="AZ503" s="123"/>
      <c r="BA503" s="123"/>
      <c r="BB503" s="123"/>
      <c r="BC503" s="123"/>
      <c r="BD503" s="123"/>
      <c r="BE503" s="123"/>
      <c r="BF503" s="123"/>
      <c r="BG503" s="123"/>
      <c r="BH503" s="123"/>
      <c r="BI503" s="123"/>
      <c r="BJ503" s="123"/>
      <c r="BK503" s="123"/>
      <c r="BL503" s="123"/>
      <c r="BM503" s="123"/>
      <c r="BN503" s="123"/>
      <c r="BO503" s="123"/>
      <c r="BP503" s="123"/>
      <c r="BQ503" s="123"/>
      <c r="BR503" s="123"/>
      <c r="BS503" s="123"/>
      <c r="BT503" s="123"/>
      <c r="BU503" s="123"/>
      <c r="BV503" s="123"/>
      <c r="BW503" s="123"/>
      <c r="BX503" s="123"/>
      <c r="BY503" s="123"/>
      <c r="BZ503" s="123"/>
      <c r="CA503" s="123"/>
      <c r="CB503" s="123"/>
      <c r="CC503" s="123"/>
      <c r="CD503" s="123"/>
      <c r="CE503" s="123"/>
      <c r="CF503" s="123"/>
      <c r="CG503" s="123"/>
      <c r="CH503" s="123"/>
      <c r="CI503" s="123"/>
    </row>
    <row r="504" spans="1:87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123"/>
      <c r="T504" s="124"/>
      <c r="U504" s="123"/>
      <c r="V504" s="123"/>
      <c r="W504" s="124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  <c r="AV504" s="123"/>
      <c r="AW504" s="123"/>
      <c r="AX504" s="123"/>
      <c r="AY504" s="123"/>
      <c r="AZ504" s="123"/>
      <c r="BA504" s="123"/>
      <c r="BB504" s="123"/>
      <c r="BC504" s="123"/>
      <c r="BD504" s="123"/>
      <c r="BE504" s="123"/>
      <c r="BF504" s="123"/>
      <c r="BG504" s="123"/>
      <c r="BH504" s="123"/>
      <c r="BI504" s="123"/>
      <c r="BJ504" s="123"/>
      <c r="BK504" s="123"/>
      <c r="BL504" s="123"/>
      <c r="BM504" s="123"/>
      <c r="BN504" s="123"/>
      <c r="BO504" s="123"/>
      <c r="BP504" s="123"/>
      <c r="BQ504" s="123"/>
      <c r="BR504" s="123"/>
      <c r="BS504" s="123"/>
      <c r="BT504" s="123"/>
      <c r="BU504" s="123"/>
      <c r="BV504" s="123"/>
      <c r="BW504" s="123"/>
      <c r="BX504" s="123"/>
      <c r="BY504" s="123"/>
      <c r="BZ504" s="123"/>
      <c r="CA504" s="123"/>
      <c r="CB504" s="123"/>
      <c r="CC504" s="123"/>
      <c r="CD504" s="123"/>
      <c r="CE504" s="123"/>
      <c r="CF504" s="123"/>
      <c r="CG504" s="123"/>
      <c r="CH504" s="123"/>
      <c r="CI504" s="123"/>
    </row>
    <row r="505" spans="1:87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123"/>
      <c r="T505" s="124"/>
      <c r="U505" s="123"/>
      <c r="V505" s="123"/>
      <c r="W505" s="124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  <c r="AV505" s="123"/>
      <c r="AW505" s="123"/>
      <c r="AX505" s="123"/>
      <c r="AY505" s="123"/>
      <c r="AZ505" s="123"/>
      <c r="BA505" s="123"/>
      <c r="BB505" s="123"/>
      <c r="BC505" s="123"/>
      <c r="BD505" s="123"/>
      <c r="BE505" s="123"/>
      <c r="BF505" s="123"/>
      <c r="BG505" s="123"/>
      <c r="BH505" s="123"/>
      <c r="BI505" s="123"/>
      <c r="BJ505" s="123"/>
      <c r="BK505" s="123"/>
      <c r="BL505" s="123"/>
      <c r="BM505" s="123"/>
      <c r="BN505" s="123"/>
      <c r="BO505" s="123"/>
      <c r="BP505" s="123"/>
      <c r="BQ505" s="123"/>
      <c r="BR505" s="123"/>
      <c r="BS505" s="123"/>
      <c r="BT505" s="123"/>
      <c r="BU505" s="123"/>
      <c r="BV505" s="123"/>
      <c r="BW505" s="123"/>
      <c r="BX505" s="123"/>
      <c r="BY505" s="123"/>
      <c r="BZ505" s="123"/>
      <c r="CA505" s="123"/>
      <c r="CB505" s="123"/>
      <c r="CC505" s="123"/>
      <c r="CD505" s="123"/>
      <c r="CE505" s="123"/>
      <c r="CF505" s="123"/>
      <c r="CG505" s="123"/>
      <c r="CH505" s="123"/>
      <c r="CI505" s="123"/>
    </row>
    <row r="506" spans="1:87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123"/>
      <c r="T506" s="124"/>
      <c r="U506" s="123"/>
      <c r="V506" s="123"/>
      <c r="W506" s="124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  <c r="AV506" s="123"/>
      <c r="AW506" s="123"/>
      <c r="AX506" s="123"/>
      <c r="AY506" s="123"/>
      <c r="AZ506" s="123"/>
      <c r="BA506" s="123"/>
      <c r="BB506" s="123"/>
      <c r="BC506" s="123"/>
      <c r="BD506" s="123"/>
      <c r="BE506" s="123"/>
      <c r="BF506" s="123"/>
      <c r="BG506" s="123"/>
      <c r="BH506" s="123"/>
      <c r="BI506" s="123"/>
      <c r="BJ506" s="123"/>
      <c r="BK506" s="123"/>
      <c r="BL506" s="123"/>
      <c r="BM506" s="123"/>
      <c r="BN506" s="123"/>
      <c r="BO506" s="123"/>
      <c r="BP506" s="123"/>
      <c r="BQ506" s="123"/>
      <c r="BR506" s="123"/>
      <c r="BS506" s="123"/>
      <c r="BT506" s="123"/>
      <c r="BU506" s="123"/>
      <c r="BV506" s="123"/>
      <c r="BW506" s="123"/>
      <c r="BX506" s="123"/>
      <c r="BY506" s="123"/>
      <c r="BZ506" s="123"/>
      <c r="CA506" s="123"/>
      <c r="CB506" s="123"/>
      <c r="CC506" s="123"/>
      <c r="CD506" s="123"/>
      <c r="CE506" s="123"/>
      <c r="CF506" s="123"/>
      <c r="CG506" s="123"/>
      <c r="CH506" s="123"/>
      <c r="CI506" s="123"/>
    </row>
    <row r="507" spans="1:87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123"/>
      <c r="T507" s="124"/>
      <c r="U507" s="123"/>
      <c r="V507" s="123"/>
      <c r="W507" s="124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  <c r="AV507" s="123"/>
      <c r="AW507" s="123"/>
      <c r="AX507" s="123"/>
      <c r="AY507" s="123"/>
      <c r="AZ507" s="123"/>
      <c r="BA507" s="123"/>
      <c r="BB507" s="123"/>
      <c r="BC507" s="123"/>
      <c r="BD507" s="123"/>
      <c r="BE507" s="123"/>
      <c r="BF507" s="123"/>
      <c r="BG507" s="123"/>
      <c r="BH507" s="123"/>
      <c r="BI507" s="123"/>
      <c r="BJ507" s="123"/>
      <c r="BK507" s="123"/>
      <c r="BL507" s="123"/>
      <c r="BM507" s="123"/>
      <c r="BN507" s="123"/>
      <c r="BO507" s="123"/>
      <c r="BP507" s="123"/>
      <c r="BQ507" s="123"/>
      <c r="BR507" s="123"/>
      <c r="BS507" s="123"/>
      <c r="BT507" s="123"/>
      <c r="BU507" s="123"/>
      <c r="BV507" s="123"/>
      <c r="BW507" s="123"/>
      <c r="BX507" s="123"/>
      <c r="BY507" s="123"/>
      <c r="BZ507" s="123"/>
      <c r="CA507" s="123"/>
      <c r="CB507" s="123"/>
      <c r="CC507" s="123"/>
      <c r="CD507" s="123"/>
      <c r="CE507" s="123"/>
      <c r="CF507" s="123"/>
      <c r="CG507" s="123"/>
      <c r="CH507" s="123"/>
      <c r="CI507" s="123"/>
    </row>
    <row r="508" spans="1:87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123"/>
      <c r="T508" s="124"/>
      <c r="U508" s="123"/>
      <c r="V508" s="123"/>
      <c r="W508" s="124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3"/>
      <c r="BD508" s="123"/>
      <c r="BE508" s="123"/>
      <c r="BF508" s="123"/>
      <c r="BG508" s="123"/>
      <c r="BH508" s="123"/>
      <c r="BI508" s="123"/>
      <c r="BJ508" s="123"/>
      <c r="BK508" s="123"/>
      <c r="BL508" s="123"/>
      <c r="BM508" s="123"/>
      <c r="BN508" s="123"/>
      <c r="BO508" s="123"/>
      <c r="BP508" s="123"/>
      <c r="BQ508" s="123"/>
      <c r="BR508" s="123"/>
      <c r="BS508" s="123"/>
      <c r="BT508" s="123"/>
      <c r="BU508" s="123"/>
      <c r="BV508" s="123"/>
      <c r="BW508" s="123"/>
      <c r="BX508" s="123"/>
      <c r="BY508" s="123"/>
      <c r="BZ508" s="123"/>
      <c r="CA508" s="123"/>
      <c r="CB508" s="123"/>
      <c r="CC508" s="123"/>
      <c r="CD508" s="123"/>
      <c r="CE508" s="123"/>
      <c r="CF508" s="123"/>
      <c r="CG508" s="123"/>
      <c r="CH508" s="123"/>
      <c r="CI508" s="123"/>
    </row>
    <row r="509" spans="1:87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123"/>
      <c r="T509" s="124"/>
      <c r="U509" s="123"/>
      <c r="V509" s="123"/>
      <c r="W509" s="124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/>
      <c r="AW509" s="123"/>
      <c r="AX509" s="123"/>
      <c r="AY509" s="123"/>
      <c r="AZ509" s="123"/>
      <c r="BA509" s="123"/>
      <c r="BB509" s="123"/>
      <c r="BC509" s="123"/>
      <c r="BD509" s="123"/>
      <c r="BE509" s="123"/>
      <c r="BF509" s="123"/>
      <c r="BG509" s="123"/>
      <c r="BH509" s="123"/>
      <c r="BI509" s="123"/>
      <c r="BJ509" s="123"/>
      <c r="BK509" s="123"/>
      <c r="BL509" s="123"/>
      <c r="BM509" s="123"/>
      <c r="BN509" s="123"/>
      <c r="BO509" s="123"/>
      <c r="BP509" s="123"/>
      <c r="BQ509" s="123"/>
      <c r="BR509" s="123"/>
      <c r="BS509" s="123"/>
      <c r="BT509" s="123"/>
      <c r="BU509" s="123"/>
      <c r="BV509" s="123"/>
      <c r="BW509" s="123"/>
      <c r="BX509" s="123"/>
      <c r="BY509" s="123"/>
      <c r="BZ509" s="123"/>
      <c r="CA509" s="123"/>
      <c r="CB509" s="123"/>
      <c r="CC509" s="123"/>
      <c r="CD509" s="123"/>
      <c r="CE509" s="123"/>
      <c r="CF509" s="123"/>
      <c r="CG509" s="123"/>
      <c r="CH509" s="123"/>
      <c r="CI509" s="123"/>
    </row>
    <row r="510" spans="1:87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123"/>
      <c r="T510" s="124"/>
      <c r="U510" s="123"/>
      <c r="V510" s="123"/>
      <c r="W510" s="124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  <c r="AV510" s="123"/>
      <c r="AW510" s="123"/>
      <c r="AX510" s="123"/>
      <c r="AY510" s="123"/>
      <c r="AZ510" s="123"/>
      <c r="BA510" s="123"/>
      <c r="BB510" s="123"/>
      <c r="BC510" s="123"/>
      <c r="BD510" s="123"/>
      <c r="BE510" s="123"/>
      <c r="BF510" s="123"/>
      <c r="BG510" s="123"/>
      <c r="BH510" s="123"/>
      <c r="BI510" s="123"/>
      <c r="BJ510" s="123"/>
      <c r="BK510" s="123"/>
      <c r="BL510" s="123"/>
      <c r="BM510" s="123"/>
      <c r="BN510" s="123"/>
      <c r="BO510" s="123"/>
      <c r="BP510" s="123"/>
      <c r="BQ510" s="123"/>
      <c r="BR510" s="123"/>
      <c r="BS510" s="123"/>
      <c r="BT510" s="123"/>
      <c r="BU510" s="123"/>
      <c r="BV510" s="123"/>
      <c r="BW510" s="123"/>
      <c r="BX510" s="123"/>
      <c r="BY510" s="123"/>
      <c r="BZ510" s="123"/>
      <c r="CA510" s="123"/>
      <c r="CB510" s="123"/>
      <c r="CC510" s="123"/>
      <c r="CD510" s="123"/>
      <c r="CE510" s="123"/>
      <c r="CF510" s="123"/>
      <c r="CG510" s="123"/>
      <c r="CH510" s="123"/>
      <c r="CI510" s="123"/>
    </row>
    <row r="511" spans="1:87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123"/>
      <c r="T511" s="124"/>
      <c r="U511" s="123"/>
      <c r="V511" s="123"/>
      <c r="W511" s="124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  <c r="AV511" s="123"/>
      <c r="AW511" s="123"/>
      <c r="AX511" s="123"/>
      <c r="AY511" s="123"/>
      <c r="AZ511" s="123"/>
      <c r="BA511" s="123"/>
      <c r="BB511" s="123"/>
      <c r="BC511" s="123"/>
      <c r="BD511" s="123"/>
      <c r="BE511" s="123"/>
      <c r="BF511" s="123"/>
      <c r="BG511" s="123"/>
      <c r="BH511" s="123"/>
      <c r="BI511" s="123"/>
      <c r="BJ511" s="123"/>
      <c r="BK511" s="123"/>
      <c r="BL511" s="123"/>
      <c r="BM511" s="123"/>
      <c r="BN511" s="123"/>
      <c r="BO511" s="123"/>
      <c r="BP511" s="123"/>
      <c r="BQ511" s="123"/>
      <c r="BR511" s="123"/>
      <c r="BS511" s="123"/>
      <c r="BT511" s="123"/>
      <c r="BU511" s="123"/>
      <c r="BV511" s="123"/>
      <c r="BW511" s="123"/>
      <c r="BX511" s="123"/>
      <c r="BY511" s="123"/>
      <c r="BZ511" s="123"/>
      <c r="CA511" s="123"/>
      <c r="CB511" s="123"/>
      <c r="CC511" s="123"/>
      <c r="CD511" s="123"/>
      <c r="CE511" s="123"/>
      <c r="CF511" s="123"/>
      <c r="CG511" s="123"/>
      <c r="CH511" s="123"/>
      <c r="CI511" s="123"/>
    </row>
    <row r="512" spans="1:87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123"/>
      <c r="T512" s="124"/>
      <c r="U512" s="123"/>
      <c r="V512" s="123"/>
      <c r="W512" s="124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  <c r="AV512" s="123"/>
      <c r="AW512" s="123"/>
      <c r="AX512" s="123"/>
      <c r="AY512" s="123"/>
      <c r="AZ512" s="123"/>
      <c r="BA512" s="123"/>
      <c r="BB512" s="123"/>
      <c r="BC512" s="123"/>
      <c r="BD512" s="123"/>
      <c r="BE512" s="123"/>
      <c r="BF512" s="123"/>
      <c r="BG512" s="123"/>
      <c r="BH512" s="123"/>
      <c r="BI512" s="123"/>
      <c r="BJ512" s="123"/>
      <c r="BK512" s="123"/>
      <c r="BL512" s="123"/>
      <c r="BM512" s="123"/>
      <c r="BN512" s="123"/>
      <c r="BO512" s="123"/>
      <c r="BP512" s="123"/>
      <c r="BQ512" s="123"/>
      <c r="BR512" s="123"/>
      <c r="BS512" s="123"/>
      <c r="BT512" s="123"/>
      <c r="BU512" s="123"/>
      <c r="BV512" s="123"/>
      <c r="BW512" s="123"/>
      <c r="BX512" s="123"/>
      <c r="BY512" s="123"/>
      <c r="BZ512" s="123"/>
      <c r="CA512" s="123"/>
      <c r="CB512" s="123"/>
      <c r="CC512" s="123"/>
      <c r="CD512" s="123"/>
      <c r="CE512" s="123"/>
      <c r="CF512" s="123"/>
      <c r="CG512" s="123"/>
      <c r="CH512" s="123"/>
      <c r="CI512" s="123"/>
    </row>
    <row r="513" spans="1:87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123"/>
      <c r="T513" s="124"/>
      <c r="U513" s="123"/>
      <c r="V513" s="123"/>
      <c r="W513" s="124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  <c r="AV513" s="123"/>
      <c r="AW513" s="123"/>
      <c r="AX513" s="123"/>
      <c r="AY513" s="123"/>
      <c r="AZ513" s="123"/>
      <c r="BA513" s="123"/>
      <c r="BB513" s="123"/>
      <c r="BC513" s="123"/>
      <c r="BD513" s="123"/>
      <c r="BE513" s="123"/>
      <c r="BF513" s="123"/>
      <c r="BG513" s="123"/>
      <c r="BH513" s="123"/>
      <c r="BI513" s="123"/>
      <c r="BJ513" s="123"/>
      <c r="BK513" s="123"/>
      <c r="BL513" s="123"/>
      <c r="BM513" s="123"/>
      <c r="BN513" s="123"/>
      <c r="BO513" s="123"/>
      <c r="BP513" s="123"/>
      <c r="BQ513" s="123"/>
      <c r="BR513" s="123"/>
      <c r="BS513" s="123"/>
      <c r="BT513" s="123"/>
      <c r="BU513" s="123"/>
      <c r="BV513" s="123"/>
      <c r="BW513" s="123"/>
      <c r="BX513" s="123"/>
      <c r="BY513" s="123"/>
      <c r="BZ513" s="123"/>
      <c r="CA513" s="123"/>
      <c r="CB513" s="123"/>
      <c r="CC513" s="123"/>
      <c r="CD513" s="123"/>
      <c r="CE513" s="123"/>
      <c r="CF513" s="123"/>
      <c r="CG513" s="123"/>
      <c r="CH513" s="123"/>
      <c r="CI513" s="123"/>
    </row>
    <row r="514" spans="1:87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123"/>
      <c r="T514" s="124"/>
      <c r="U514" s="123"/>
      <c r="V514" s="123"/>
      <c r="W514" s="124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  <c r="AV514" s="123"/>
      <c r="AW514" s="123"/>
      <c r="AX514" s="123"/>
      <c r="AY514" s="123"/>
      <c r="AZ514" s="123"/>
      <c r="BA514" s="123"/>
      <c r="BB514" s="123"/>
      <c r="BC514" s="123"/>
      <c r="BD514" s="123"/>
      <c r="BE514" s="123"/>
      <c r="BF514" s="123"/>
      <c r="BG514" s="123"/>
      <c r="BH514" s="123"/>
      <c r="BI514" s="123"/>
      <c r="BJ514" s="123"/>
      <c r="BK514" s="123"/>
      <c r="BL514" s="123"/>
      <c r="BM514" s="123"/>
      <c r="BN514" s="123"/>
      <c r="BO514" s="123"/>
      <c r="BP514" s="123"/>
      <c r="BQ514" s="123"/>
      <c r="BR514" s="123"/>
      <c r="BS514" s="123"/>
      <c r="BT514" s="123"/>
      <c r="BU514" s="123"/>
      <c r="BV514" s="123"/>
      <c r="BW514" s="123"/>
      <c r="BX514" s="123"/>
      <c r="BY514" s="123"/>
      <c r="BZ514" s="123"/>
      <c r="CA514" s="123"/>
      <c r="CB514" s="123"/>
      <c r="CC514" s="123"/>
      <c r="CD514" s="123"/>
      <c r="CE514" s="123"/>
      <c r="CF514" s="123"/>
      <c r="CG514" s="123"/>
      <c r="CH514" s="123"/>
      <c r="CI514" s="123"/>
    </row>
    <row r="515" spans="1:87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123"/>
      <c r="T515" s="124"/>
      <c r="U515" s="123"/>
      <c r="V515" s="123"/>
      <c r="W515" s="124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  <c r="AV515" s="123"/>
      <c r="AW515" s="123"/>
      <c r="AX515" s="123"/>
      <c r="AY515" s="123"/>
      <c r="AZ515" s="123"/>
      <c r="BA515" s="123"/>
      <c r="BB515" s="123"/>
      <c r="BC515" s="123"/>
      <c r="BD515" s="123"/>
      <c r="BE515" s="123"/>
      <c r="BF515" s="123"/>
      <c r="BG515" s="123"/>
      <c r="BH515" s="123"/>
      <c r="BI515" s="123"/>
      <c r="BJ515" s="123"/>
      <c r="BK515" s="123"/>
      <c r="BL515" s="123"/>
      <c r="BM515" s="123"/>
      <c r="BN515" s="123"/>
      <c r="BO515" s="123"/>
      <c r="BP515" s="123"/>
      <c r="BQ515" s="123"/>
      <c r="BR515" s="123"/>
      <c r="BS515" s="123"/>
      <c r="BT515" s="123"/>
      <c r="BU515" s="123"/>
      <c r="BV515" s="123"/>
      <c r="BW515" s="123"/>
      <c r="BX515" s="123"/>
      <c r="BY515" s="123"/>
      <c r="BZ515" s="123"/>
      <c r="CA515" s="123"/>
      <c r="CB515" s="123"/>
      <c r="CC515" s="123"/>
      <c r="CD515" s="123"/>
      <c r="CE515" s="123"/>
      <c r="CF515" s="123"/>
      <c r="CG515" s="123"/>
      <c r="CH515" s="123"/>
      <c r="CI515" s="123"/>
    </row>
    <row r="516" spans="1:87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123"/>
      <c r="T516" s="124"/>
      <c r="U516" s="123"/>
      <c r="V516" s="123"/>
      <c r="W516" s="124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  <c r="AV516" s="123"/>
      <c r="AW516" s="123"/>
      <c r="AX516" s="123"/>
      <c r="AY516" s="123"/>
      <c r="AZ516" s="123"/>
      <c r="BA516" s="123"/>
      <c r="BB516" s="123"/>
      <c r="BC516" s="123"/>
      <c r="BD516" s="123"/>
      <c r="BE516" s="123"/>
      <c r="BF516" s="123"/>
      <c r="BG516" s="123"/>
      <c r="BH516" s="123"/>
      <c r="BI516" s="123"/>
      <c r="BJ516" s="123"/>
      <c r="BK516" s="123"/>
      <c r="BL516" s="123"/>
      <c r="BM516" s="123"/>
      <c r="BN516" s="123"/>
      <c r="BO516" s="123"/>
      <c r="BP516" s="123"/>
      <c r="BQ516" s="123"/>
      <c r="BR516" s="123"/>
      <c r="BS516" s="123"/>
      <c r="BT516" s="123"/>
      <c r="BU516" s="123"/>
      <c r="BV516" s="123"/>
      <c r="BW516" s="123"/>
      <c r="BX516" s="123"/>
      <c r="BY516" s="123"/>
      <c r="BZ516" s="123"/>
      <c r="CA516" s="123"/>
      <c r="CB516" s="123"/>
      <c r="CC516" s="123"/>
      <c r="CD516" s="123"/>
      <c r="CE516" s="123"/>
      <c r="CF516" s="123"/>
      <c r="CG516" s="123"/>
      <c r="CH516" s="123"/>
      <c r="CI516" s="123"/>
    </row>
    <row r="517" spans="1:87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123"/>
      <c r="T517" s="124"/>
      <c r="U517" s="123"/>
      <c r="V517" s="123"/>
      <c r="W517" s="124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  <c r="AV517" s="123"/>
      <c r="AW517" s="123"/>
      <c r="AX517" s="123"/>
      <c r="AY517" s="123"/>
      <c r="AZ517" s="123"/>
      <c r="BA517" s="123"/>
      <c r="BB517" s="123"/>
      <c r="BC517" s="123"/>
      <c r="BD517" s="123"/>
      <c r="BE517" s="123"/>
      <c r="BF517" s="123"/>
      <c r="BG517" s="123"/>
      <c r="BH517" s="123"/>
      <c r="BI517" s="123"/>
      <c r="BJ517" s="123"/>
      <c r="BK517" s="123"/>
      <c r="BL517" s="123"/>
      <c r="BM517" s="123"/>
      <c r="BN517" s="123"/>
      <c r="BO517" s="123"/>
      <c r="BP517" s="123"/>
      <c r="BQ517" s="123"/>
      <c r="BR517" s="123"/>
      <c r="BS517" s="123"/>
      <c r="BT517" s="123"/>
      <c r="BU517" s="123"/>
      <c r="BV517" s="123"/>
      <c r="BW517" s="123"/>
      <c r="BX517" s="123"/>
      <c r="BY517" s="123"/>
      <c r="BZ517" s="123"/>
      <c r="CA517" s="123"/>
      <c r="CB517" s="123"/>
      <c r="CC517" s="123"/>
      <c r="CD517" s="123"/>
      <c r="CE517" s="123"/>
      <c r="CF517" s="123"/>
      <c r="CG517" s="123"/>
      <c r="CH517" s="123"/>
      <c r="CI517" s="123"/>
    </row>
    <row r="518" spans="1:87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123"/>
      <c r="T518" s="124"/>
      <c r="U518" s="123"/>
      <c r="V518" s="123"/>
      <c r="W518" s="124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  <c r="AV518" s="123"/>
      <c r="AW518" s="123"/>
      <c r="AX518" s="123"/>
      <c r="AY518" s="123"/>
      <c r="AZ518" s="123"/>
      <c r="BA518" s="123"/>
      <c r="BB518" s="123"/>
      <c r="BC518" s="123"/>
      <c r="BD518" s="123"/>
      <c r="BE518" s="123"/>
      <c r="BF518" s="123"/>
      <c r="BG518" s="123"/>
      <c r="BH518" s="123"/>
      <c r="BI518" s="123"/>
      <c r="BJ518" s="123"/>
      <c r="BK518" s="123"/>
      <c r="BL518" s="123"/>
      <c r="BM518" s="123"/>
      <c r="BN518" s="123"/>
      <c r="BO518" s="123"/>
      <c r="BP518" s="123"/>
      <c r="BQ518" s="123"/>
      <c r="BR518" s="123"/>
      <c r="BS518" s="123"/>
      <c r="BT518" s="123"/>
      <c r="BU518" s="123"/>
      <c r="BV518" s="123"/>
      <c r="BW518" s="123"/>
      <c r="BX518" s="123"/>
      <c r="BY518" s="123"/>
      <c r="BZ518" s="123"/>
      <c r="CA518" s="123"/>
      <c r="CB518" s="123"/>
      <c r="CC518" s="123"/>
      <c r="CD518" s="123"/>
      <c r="CE518" s="123"/>
      <c r="CF518" s="123"/>
      <c r="CG518" s="123"/>
      <c r="CH518" s="123"/>
      <c r="CI518" s="123"/>
    </row>
    <row r="519" spans="1:87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123"/>
      <c r="T519" s="124"/>
      <c r="U519" s="123"/>
      <c r="V519" s="123"/>
      <c r="W519" s="124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  <c r="AV519" s="123"/>
      <c r="AW519" s="123"/>
      <c r="AX519" s="123"/>
      <c r="AY519" s="123"/>
      <c r="AZ519" s="123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  <c r="BM519" s="123"/>
      <c r="BN519" s="123"/>
      <c r="BO519" s="123"/>
      <c r="BP519" s="123"/>
      <c r="BQ519" s="123"/>
      <c r="BR519" s="123"/>
      <c r="BS519" s="123"/>
      <c r="BT519" s="123"/>
      <c r="BU519" s="123"/>
      <c r="BV519" s="123"/>
      <c r="BW519" s="123"/>
      <c r="BX519" s="123"/>
      <c r="BY519" s="123"/>
      <c r="BZ519" s="123"/>
      <c r="CA519" s="123"/>
      <c r="CB519" s="123"/>
      <c r="CC519" s="123"/>
      <c r="CD519" s="123"/>
      <c r="CE519" s="123"/>
      <c r="CF519" s="123"/>
      <c r="CG519" s="123"/>
      <c r="CH519" s="123"/>
      <c r="CI519" s="123"/>
    </row>
    <row r="520" spans="1:87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123"/>
      <c r="T520" s="124"/>
      <c r="U520" s="123"/>
      <c r="V520" s="123"/>
      <c r="W520" s="124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  <c r="AV520" s="123"/>
      <c r="AW520" s="123"/>
      <c r="AX520" s="123"/>
      <c r="AY520" s="123"/>
      <c r="AZ520" s="123"/>
      <c r="BA520" s="123"/>
      <c r="BB520" s="123"/>
      <c r="BC520" s="123"/>
      <c r="BD520" s="123"/>
      <c r="BE520" s="123"/>
      <c r="BF520" s="123"/>
      <c r="BG520" s="123"/>
      <c r="BH520" s="123"/>
      <c r="BI520" s="123"/>
      <c r="BJ520" s="123"/>
      <c r="BK520" s="123"/>
      <c r="BL520" s="123"/>
      <c r="BM520" s="123"/>
      <c r="BN520" s="123"/>
      <c r="BO520" s="123"/>
      <c r="BP520" s="123"/>
      <c r="BQ520" s="123"/>
      <c r="BR520" s="123"/>
      <c r="BS520" s="123"/>
      <c r="BT520" s="123"/>
      <c r="BU520" s="123"/>
      <c r="BV520" s="123"/>
      <c r="BW520" s="123"/>
      <c r="BX520" s="123"/>
      <c r="BY520" s="123"/>
      <c r="BZ520" s="123"/>
      <c r="CA520" s="123"/>
      <c r="CB520" s="123"/>
      <c r="CC520" s="123"/>
      <c r="CD520" s="123"/>
      <c r="CE520" s="123"/>
      <c r="CF520" s="123"/>
      <c r="CG520" s="123"/>
      <c r="CH520" s="123"/>
      <c r="CI520" s="123"/>
    </row>
    <row r="521" spans="1:87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123"/>
      <c r="T521" s="124"/>
      <c r="U521" s="123"/>
      <c r="V521" s="123"/>
      <c r="W521" s="124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  <c r="AV521" s="123"/>
      <c r="AW521" s="123"/>
      <c r="AX521" s="123"/>
      <c r="AY521" s="123"/>
      <c r="AZ521" s="123"/>
      <c r="BA521" s="123"/>
      <c r="BB521" s="123"/>
      <c r="BC521" s="123"/>
      <c r="BD521" s="123"/>
      <c r="BE521" s="123"/>
      <c r="BF521" s="123"/>
      <c r="BG521" s="123"/>
      <c r="BH521" s="123"/>
      <c r="BI521" s="123"/>
      <c r="BJ521" s="123"/>
      <c r="BK521" s="123"/>
      <c r="BL521" s="123"/>
      <c r="BM521" s="123"/>
      <c r="BN521" s="123"/>
      <c r="BO521" s="123"/>
      <c r="BP521" s="123"/>
      <c r="BQ521" s="123"/>
      <c r="BR521" s="123"/>
      <c r="BS521" s="123"/>
      <c r="BT521" s="123"/>
      <c r="BU521" s="123"/>
      <c r="BV521" s="123"/>
      <c r="BW521" s="123"/>
      <c r="BX521" s="123"/>
      <c r="BY521" s="123"/>
      <c r="BZ521" s="123"/>
      <c r="CA521" s="123"/>
      <c r="CB521" s="123"/>
      <c r="CC521" s="123"/>
      <c r="CD521" s="123"/>
      <c r="CE521" s="123"/>
      <c r="CF521" s="123"/>
      <c r="CG521" s="123"/>
      <c r="CH521" s="123"/>
      <c r="CI521" s="123"/>
    </row>
    <row r="522" spans="1:87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123"/>
      <c r="T522" s="124"/>
      <c r="U522" s="123"/>
      <c r="V522" s="123"/>
      <c r="W522" s="124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  <c r="AV522" s="123"/>
      <c r="AW522" s="123"/>
      <c r="AX522" s="123"/>
      <c r="AY522" s="123"/>
      <c r="AZ522" s="123"/>
      <c r="BA522" s="123"/>
      <c r="BB522" s="123"/>
      <c r="BC522" s="123"/>
      <c r="BD522" s="123"/>
      <c r="BE522" s="123"/>
      <c r="BF522" s="123"/>
      <c r="BG522" s="123"/>
      <c r="BH522" s="123"/>
      <c r="BI522" s="123"/>
      <c r="BJ522" s="123"/>
      <c r="BK522" s="123"/>
      <c r="BL522" s="123"/>
      <c r="BM522" s="123"/>
      <c r="BN522" s="123"/>
      <c r="BO522" s="123"/>
      <c r="BP522" s="123"/>
      <c r="BQ522" s="123"/>
      <c r="BR522" s="123"/>
      <c r="BS522" s="123"/>
      <c r="BT522" s="123"/>
      <c r="BU522" s="123"/>
      <c r="BV522" s="123"/>
      <c r="BW522" s="123"/>
      <c r="BX522" s="123"/>
      <c r="BY522" s="123"/>
      <c r="BZ522" s="123"/>
      <c r="CA522" s="123"/>
      <c r="CB522" s="123"/>
      <c r="CC522" s="123"/>
      <c r="CD522" s="123"/>
      <c r="CE522" s="123"/>
      <c r="CF522" s="123"/>
      <c r="CG522" s="123"/>
      <c r="CH522" s="123"/>
      <c r="CI522" s="123"/>
    </row>
    <row r="523" spans="1:87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123"/>
      <c r="T523" s="124"/>
      <c r="U523" s="123"/>
      <c r="V523" s="123"/>
      <c r="W523" s="124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  <c r="BM523" s="123"/>
      <c r="BN523" s="123"/>
      <c r="BO523" s="123"/>
      <c r="BP523" s="123"/>
      <c r="BQ523" s="123"/>
      <c r="BR523" s="123"/>
      <c r="BS523" s="123"/>
      <c r="BT523" s="123"/>
      <c r="BU523" s="123"/>
      <c r="BV523" s="123"/>
      <c r="BW523" s="123"/>
      <c r="BX523" s="123"/>
      <c r="BY523" s="123"/>
      <c r="BZ523" s="123"/>
      <c r="CA523" s="123"/>
      <c r="CB523" s="123"/>
      <c r="CC523" s="123"/>
      <c r="CD523" s="123"/>
      <c r="CE523" s="123"/>
      <c r="CF523" s="123"/>
      <c r="CG523" s="123"/>
      <c r="CH523" s="123"/>
      <c r="CI523" s="123"/>
    </row>
    <row r="524" spans="1:87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123"/>
      <c r="T524" s="124"/>
      <c r="U524" s="123"/>
      <c r="V524" s="123"/>
      <c r="W524" s="124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  <c r="AV524" s="123"/>
      <c r="AW524" s="123"/>
      <c r="AX524" s="123"/>
      <c r="AY524" s="123"/>
      <c r="AZ524" s="123"/>
      <c r="BA524" s="123"/>
      <c r="BB524" s="123"/>
      <c r="BC524" s="123"/>
      <c r="BD524" s="123"/>
      <c r="BE524" s="123"/>
      <c r="BF524" s="123"/>
      <c r="BG524" s="123"/>
      <c r="BH524" s="123"/>
      <c r="BI524" s="123"/>
      <c r="BJ524" s="123"/>
      <c r="BK524" s="123"/>
      <c r="BL524" s="123"/>
      <c r="BM524" s="123"/>
      <c r="BN524" s="123"/>
      <c r="BO524" s="123"/>
      <c r="BP524" s="123"/>
      <c r="BQ524" s="123"/>
      <c r="BR524" s="123"/>
      <c r="BS524" s="123"/>
      <c r="BT524" s="123"/>
      <c r="BU524" s="123"/>
      <c r="BV524" s="123"/>
      <c r="BW524" s="123"/>
      <c r="BX524" s="123"/>
      <c r="BY524" s="123"/>
      <c r="BZ524" s="123"/>
      <c r="CA524" s="123"/>
      <c r="CB524" s="123"/>
      <c r="CC524" s="123"/>
      <c r="CD524" s="123"/>
      <c r="CE524" s="123"/>
      <c r="CF524" s="123"/>
      <c r="CG524" s="123"/>
      <c r="CH524" s="123"/>
      <c r="CI524" s="123"/>
    </row>
    <row r="525" spans="1:87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123"/>
      <c r="T525" s="124"/>
      <c r="U525" s="123"/>
      <c r="V525" s="123"/>
      <c r="W525" s="124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  <c r="BM525" s="123"/>
      <c r="BN525" s="123"/>
      <c r="BO525" s="123"/>
      <c r="BP525" s="123"/>
      <c r="BQ525" s="123"/>
      <c r="BR525" s="123"/>
      <c r="BS525" s="123"/>
      <c r="BT525" s="123"/>
      <c r="BU525" s="123"/>
      <c r="BV525" s="123"/>
      <c r="BW525" s="123"/>
      <c r="BX525" s="123"/>
      <c r="BY525" s="123"/>
      <c r="BZ525" s="123"/>
      <c r="CA525" s="123"/>
      <c r="CB525" s="123"/>
      <c r="CC525" s="123"/>
      <c r="CD525" s="123"/>
      <c r="CE525" s="123"/>
      <c r="CF525" s="123"/>
      <c r="CG525" s="123"/>
      <c r="CH525" s="123"/>
      <c r="CI525" s="123"/>
    </row>
    <row r="526" spans="1:87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123"/>
      <c r="T526" s="124"/>
      <c r="U526" s="123"/>
      <c r="V526" s="123"/>
      <c r="W526" s="124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  <c r="AV526" s="123"/>
      <c r="AW526" s="123"/>
      <c r="AX526" s="123"/>
      <c r="AY526" s="123"/>
      <c r="AZ526" s="123"/>
      <c r="BA526" s="123"/>
      <c r="BB526" s="123"/>
      <c r="BC526" s="123"/>
      <c r="BD526" s="123"/>
      <c r="BE526" s="123"/>
      <c r="BF526" s="123"/>
      <c r="BG526" s="123"/>
      <c r="BH526" s="123"/>
      <c r="BI526" s="123"/>
      <c r="BJ526" s="123"/>
      <c r="BK526" s="123"/>
      <c r="BL526" s="123"/>
      <c r="BM526" s="123"/>
      <c r="BN526" s="123"/>
      <c r="BO526" s="123"/>
      <c r="BP526" s="123"/>
      <c r="BQ526" s="123"/>
      <c r="BR526" s="123"/>
      <c r="BS526" s="123"/>
      <c r="BT526" s="123"/>
      <c r="BU526" s="123"/>
      <c r="BV526" s="123"/>
      <c r="BW526" s="123"/>
      <c r="BX526" s="123"/>
      <c r="BY526" s="123"/>
      <c r="BZ526" s="123"/>
      <c r="CA526" s="123"/>
      <c r="CB526" s="123"/>
      <c r="CC526" s="123"/>
      <c r="CD526" s="123"/>
      <c r="CE526" s="123"/>
      <c r="CF526" s="123"/>
      <c r="CG526" s="123"/>
      <c r="CH526" s="123"/>
      <c r="CI526" s="123"/>
    </row>
    <row r="527" spans="1:87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123"/>
      <c r="T527" s="124"/>
      <c r="U527" s="123"/>
      <c r="V527" s="123"/>
      <c r="W527" s="124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  <c r="BM527" s="123"/>
      <c r="BN527" s="123"/>
      <c r="BO527" s="123"/>
      <c r="BP527" s="123"/>
      <c r="BQ527" s="123"/>
      <c r="BR527" s="123"/>
      <c r="BS527" s="123"/>
      <c r="BT527" s="123"/>
      <c r="BU527" s="123"/>
      <c r="BV527" s="123"/>
      <c r="BW527" s="123"/>
      <c r="BX527" s="123"/>
      <c r="BY527" s="123"/>
      <c r="BZ527" s="123"/>
      <c r="CA527" s="123"/>
      <c r="CB527" s="123"/>
      <c r="CC527" s="123"/>
      <c r="CD527" s="123"/>
      <c r="CE527" s="123"/>
      <c r="CF527" s="123"/>
      <c r="CG527" s="123"/>
      <c r="CH527" s="123"/>
      <c r="CI527" s="123"/>
    </row>
    <row r="528" spans="1:87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123"/>
      <c r="T528" s="124"/>
      <c r="U528" s="123"/>
      <c r="V528" s="123"/>
      <c r="W528" s="124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  <c r="BD528" s="123"/>
      <c r="BE528" s="123"/>
      <c r="BF528" s="123"/>
      <c r="BG528" s="123"/>
      <c r="BH528" s="123"/>
      <c r="BI528" s="123"/>
      <c r="BJ528" s="123"/>
      <c r="BK528" s="123"/>
      <c r="BL528" s="123"/>
      <c r="BM528" s="123"/>
      <c r="BN528" s="123"/>
      <c r="BO528" s="123"/>
      <c r="BP528" s="123"/>
      <c r="BQ528" s="123"/>
      <c r="BR528" s="123"/>
      <c r="BS528" s="123"/>
      <c r="BT528" s="123"/>
      <c r="BU528" s="123"/>
      <c r="BV528" s="123"/>
      <c r="BW528" s="123"/>
      <c r="BX528" s="123"/>
      <c r="BY528" s="123"/>
      <c r="BZ528" s="123"/>
      <c r="CA528" s="123"/>
      <c r="CB528" s="123"/>
      <c r="CC528" s="123"/>
      <c r="CD528" s="123"/>
      <c r="CE528" s="123"/>
      <c r="CF528" s="123"/>
      <c r="CG528" s="123"/>
      <c r="CH528" s="123"/>
      <c r="CI528" s="123"/>
    </row>
    <row r="529" spans="1:87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123"/>
      <c r="T529" s="124"/>
      <c r="U529" s="123"/>
      <c r="V529" s="123"/>
      <c r="W529" s="124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  <c r="AV529" s="123"/>
      <c r="AW529" s="123"/>
      <c r="AX529" s="123"/>
      <c r="AY529" s="123"/>
      <c r="AZ529" s="123"/>
      <c r="BA529" s="123"/>
      <c r="BB529" s="123"/>
      <c r="BC529" s="123"/>
      <c r="BD529" s="123"/>
      <c r="BE529" s="123"/>
      <c r="BF529" s="123"/>
      <c r="BG529" s="123"/>
      <c r="BH529" s="123"/>
      <c r="BI529" s="123"/>
      <c r="BJ529" s="123"/>
      <c r="BK529" s="123"/>
      <c r="BL529" s="123"/>
      <c r="BM529" s="123"/>
      <c r="BN529" s="123"/>
      <c r="BO529" s="123"/>
      <c r="BP529" s="123"/>
      <c r="BQ529" s="123"/>
      <c r="BR529" s="123"/>
      <c r="BS529" s="123"/>
      <c r="BT529" s="123"/>
      <c r="BU529" s="123"/>
      <c r="BV529" s="123"/>
      <c r="BW529" s="123"/>
      <c r="BX529" s="123"/>
      <c r="BY529" s="123"/>
      <c r="BZ529" s="123"/>
      <c r="CA529" s="123"/>
      <c r="CB529" s="123"/>
      <c r="CC529" s="123"/>
      <c r="CD529" s="123"/>
      <c r="CE529" s="123"/>
      <c r="CF529" s="123"/>
      <c r="CG529" s="123"/>
      <c r="CH529" s="123"/>
      <c r="CI529" s="123"/>
    </row>
    <row r="530" spans="1:87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123"/>
      <c r="T530" s="124"/>
      <c r="U530" s="123"/>
      <c r="V530" s="123"/>
      <c r="W530" s="124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  <c r="AV530" s="123"/>
      <c r="AW530" s="123"/>
      <c r="AX530" s="123"/>
      <c r="AY530" s="123"/>
      <c r="AZ530" s="123"/>
      <c r="BA530" s="123"/>
      <c r="BB530" s="123"/>
      <c r="BC530" s="123"/>
      <c r="BD530" s="123"/>
      <c r="BE530" s="123"/>
      <c r="BF530" s="123"/>
      <c r="BG530" s="123"/>
      <c r="BH530" s="123"/>
      <c r="BI530" s="123"/>
      <c r="BJ530" s="123"/>
      <c r="BK530" s="123"/>
      <c r="BL530" s="123"/>
      <c r="BM530" s="123"/>
      <c r="BN530" s="123"/>
      <c r="BO530" s="123"/>
      <c r="BP530" s="123"/>
      <c r="BQ530" s="123"/>
      <c r="BR530" s="123"/>
      <c r="BS530" s="123"/>
      <c r="BT530" s="123"/>
      <c r="BU530" s="123"/>
      <c r="BV530" s="123"/>
      <c r="BW530" s="123"/>
      <c r="BX530" s="123"/>
      <c r="BY530" s="123"/>
      <c r="BZ530" s="123"/>
      <c r="CA530" s="123"/>
      <c r="CB530" s="123"/>
      <c r="CC530" s="123"/>
      <c r="CD530" s="123"/>
      <c r="CE530" s="123"/>
      <c r="CF530" s="123"/>
      <c r="CG530" s="123"/>
      <c r="CH530" s="123"/>
      <c r="CI530" s="123"/>
    </row>
    <row r="531" spans="1:87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123"/>
      <c r="T531" s="124"/>
      <c r="U531" s="123"/>
      <c r="V531" s="123"/>
      <c r="W531" s="124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  <c r="AV531" s="123"/>
      <c r="AW531" s="123"/>
      <c r="AX531" s="123"/>
      <c r="AY531" s="123"/>
      <c r="AZ531" s="123"/>
      <c r="BA531" s="123"/>
      <c r="BB531" s="123"/>
      <c r="BC531" s="123"/>
      <c r="BD531" s="123"/>
      <c r="BE531" s="123"/>
      <c r="BF531" s="123"/>
      <c r="BG531" s="123"/>
      <c r="BH531" s="123"/>
      <c r="BI531" s="123"/>
      <c r="BJ531" s="123"/>
      <c r="BK531" s="123"/>
      <c r="BL531" s="123"/>
      <c r="BM531" s="123"/>
      <c r="BN531" s="123"/>
      <c r="BO531" s="123"/>
      <c r="BP531" s="123"/>
      <c r="BQ531" s="123"/>
      <c r="BR531" s="123"/>
      <c r="BS531" s="123"/>
      <c r="BT531" s="123"/>
      <c r="BU531" s="123"/>
      <c r="BV531" s="123"/>
      <c r="BW531" s="123"/>
      <c r="BX531" s="123"/>
      <c r="BY531" s="123"/>
      <c r="BZ531" s="123"/>
      <c r="CA531" s="123"/>
      <c r="CB531" s="123"/>
      <c r="CC531" s="123"/>
      <c r="CD531" s="123"/>
      <c r="CE531" s="123"/>
      <c r="CF531" s="123"/>
      <c r="CG531" s="123"/>
      <c r="CH531" s="123"/>
      <c r="CI531" s="123"/>
    </row>
    <row r="532" spans="1:87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123"/>
      <c r="T532" s="124"/>
      <c r="U532" s="123"/>
      <c r="V532" s="123"/>
      <c r="W532" s="124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  <c r="AV532" s="123"/>
      <c r="AW532" s="123"/>
      <c r="AX532" s="123"/>
      <c r="AY532" s="123"/>
      <c r="AZ532" s="123"/>
      <c r="BA532" s="123"/>
      <c r="BB532" s="123"/>
      <c r="BC532" s="123"/>
      <c r="BD532" s="123"/>
      <c r="BE532" s="123"/>
      <c r="BF532" s="123"/>
      <c r="BG532" s="123"/>
      <c r="BH532" s="123"/>
      <c r="BI532" s="123"/>
      <c r="BJ532" s="123"/>
      <c r="BK532" s="123"/>
      <c r="BL532" s="123"/>
      <c r="BM532" s="123"/>
      <c r="BN532" s="123"/>
      <c r="BO532" s="123"/>
      <c r="BP532" s="123"/>
      <c r="BQ532" s="123"/>
      <c r="BR532" s="123"/>
      <c r="BS532" s="123"/>
      <c r="BT532" s="123"/>
      <c r="BU532" s="123"/>
      <c r="BV532" s="123"/>
      <c r="BW532" s="123"/>
      <c r="BX532" s="123"/>
      <c r="BY532" s="123"/>
      <c r="BZ532" s="123"/>
      <c r="CA532" s="123"/>
      <c r="CB532" s="123"/>
      <c r="CC532" s="123"/>
      <c r="CD532" s="123"/>
      <c r="CE532" s="123"/>
      <c r="CF532" s="123"/>
      <c r="CG532" s="123"/>
      <c r="CH532" s="123"/>
      <c r="CI532" s="123"/>
    </row>
    <row r="533" spans="1:87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123"/>
      <c r="T533" s="124"/>
      <c r="U533" s="123"/>
      <c r="V533" s="123"/>
      <c r="W533" s="124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  <c r="AV533" s="123"/>
      <c r="AW533" s="123"/>
      <c r="AX533" s="123"/>
      <c r="AY533" s="123"/>
      <c r="AZ533" s="123"/>
      <c r="BA533" s="123"/>
      <c r="BB533" s="123"/>
      <c r="BC533" s="123"/>
      <c r="BD533" s="123"/>
      <c r="BE533" s="123"/>
      <c r="BF533" s="123"/>
      <c r="BG533" s="123"/>
      <c r="BH533" s="123"/>
      <c r="BI533" s="123"/>
      <c r="BJ533" s="123"/>
      <c r="BK533" s="123"/>
      <c r="BL533" s="123"/>
      <c r="BM533" s="123"/>
      <c r="BN533" s="123"/>
      <c r="BO533" s="123"/>
      <c r="BP533" s="123"/>
      <c r="BQ533" s="123"/>
      <c r="BR533" s="123"/>
      <c r="BS533" s="123"/>
      <c r="BT533" s="123"/>
      <c r="BU533" s="123"/>
      <c r="BV533" s="123"/>
      <c r="BW533" s="123"/>
      <c r="BX533" s="123"/>
      <c r="BY533" s="123"/>
      <c r="BZ533" s="123"/>
      <c r="CA533" s="123"/>
      <c r="CB533" s="123"/>
      <c r="CC533" s="123"/>
      <c r="CD533" s="123"/>
      <c r="CE533" s="123"/>
      <c r="CF533" s="123"/>
      <c r="CG533" s="123"/>
      <c r="CH533" s="123"/>
      <c r="CI533" s="123"/>
    </row>
    <row r="534" spans="1:87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123"/>
      <c r="T534" s="124"/>
      <c r="U534" s="123"/>
      <c r="V534" s="123"/>
      <c r="W534" s="124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  <c r="AV534" s="123"/>
      <c r="AW534" s="123"/>
      <c r="AX534" s="123"/>
      <c r="AY534" s="123"/>
      <c r="AZ534" s="123"/>
      <c r="BA534" s="123"/>
      <c r="BB534" s="123"/>
      <c r="BC534" s="123"/>
      <c r="BD534" s="123"/>
      <c r="BE534" s="123"/>
      <c r="BF534" s="123"/>
      <c r="BG534" s="123"/>
      <c r="BH534" s="123"/>
      <c r="BI534" s="123"/>
      <c r="BJ534" s="123"/>
      <c r="BK534" s="123"/>
      <c r="BL534" s="123"/>
      <c r="BM534" s="123"/>
      <c r="BN534" s="123"/>
      <c r="BO534" s="123"/>
      <c r="BP534" s="123"/>
      <c r="BQ534" s="123"/>
      <c r="BR534" s="123"/>
      <c r="BS534" s="123"/>
      <c r="BT534" s="123"/>
      <c r="BU534" s="123"/>
      <c r="BV534" s="123"/>
      <c r="BW534" s="123"/>
      <c r="BX534" s="123"/>
      <c r="BY534" s="123"/>
      <c r="BZ534" s="123"/>
      <c r="CA534" s="123"/>
      <c r="CB534" s="123"/>
      <c r="CC534" s="123"/>
      <c r="CD534" s="123"/>
      <c r="CE534" s="123"/>
      <c r="CF534" s="123"/>
      <c r="CG534" s="123"/>
      <c r="CH534" s="123"/>
      <c r="CI534" s="123"/>
    </row>
    <row r="535" spans="1:87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123"/>
      <c r="T535" s="124"/>
      <c r="U535" s="123"/>
      <c r="V535" s="123"/>
      <c r="W535" s="124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  <c r="AV535" s="123"/>
      <c r="AW535" s="123"/>
      <c r="AX535" s="123"/>
      <c r="AY535" s="123"/>
      <c r="AZ535" s="123"/>
      <c r="BA535" s="123"/>
      <c r="BB535" s="123"/>
      <c r="BC535" s="123"/>
      <c r="BD535" s="123"/>
      <c r="BE535" s="123"/>
      <c r="BF535" s="123"/>
      <c r="BG535" s="123"/>
      <c r="BH535" s="123"/>
      <c r="BI535" s="123"/>
      <c r="BJ535" s="123"/>
      <c r="BK535" s="123"/>
      <c r="BL535" s="123"/>
      <c r="BM535" s="123"/>
      <c r="BN535" s="123"/>
      <c r="BO535" s="123"/>
      <c r="BP535" s="123"/>
      <c r="BQ535" s="123"/>
      <c r="BR535" s="123"/>
      <c r="BS535" s="123"/>
      <c r="BT535" s="123"/>
      <c r="BU535" s="123"/>
      <c r="BV535" s="123"/>
      <c r="BW535" s="123"/>
      <c r="BX535" s="123"/>
      <c r="BY535" s="123"/>
      <c r="BZ535" s="123"/>
      <c r="CA535" s="123"/>
      <c r="CB535" s="123"/>
      <c r="CC535" s="123"/>
      <c r="CD535" s="123"/>
      <c r="CE535" s="123"/>
      <c r="CF535" s="123"/>
      <c r="CG535" s="123"/>
      <c r="CH535" s="123"/>
      <c r="CI535" s="123"/>
    </row>
    <row r="536" spans="1:87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123"/>
      <c r="T536" s="124"/>
      <c r="U536" s="123"/>
      <c r="V536" s="123"/>
      <c r="W536" s="124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  <c r="AY536" s="123"/>
      <c r="AZ536" s="123"/>
      <c r="BA536" s="123"/>
      <c r="BB536" s="123"/>
      <c r="BC536" s="123"/>
      <c r="BD536" s="123"/>
      <c r="BE536" s="123"/>
      <c r="BF536" s="123"/>
      <c r="BG536" s="123"/>
      <c r="BH536" s="123"/>
      <c r="BI536" s="123"/>
      <c r="BJ536" s="123"/>
      <c r="BK536" s="123"/>
      <c r="BL536" s="123"/>
      <c r="BM536" s="123"/>
      <c r="BN536" s="123"/>
      <c r="BO536" s="123"/>
      <c r="BP536" s="123"/>
      <c r="BQ536" s="123"/>
      <c r="BR536" s="123"/>
      <c r="BS536" s="123"/>
      <c r="BT536" s="123"/>
      <c r="BU536" s="123"/>
      <c r="BV536" s="123"/>
      <c r="BW536" s="123"/>
      <c r="BX536" s="123"/>
      <c r="BY536" s="123"/>
      <c r="BZ536" s="123"/>
      <c r="CA536" s="123"/>
      <c r="CB536" s="123"/>
      <c r="CC536" s="123"/>
      <c r="CD536" s="123"/>
      <c r="CE536" s="123"/>
      <c r="CF536" s="123"/>
      <c r="CG536" s="123"/>
      <c r="CH536" s="123"/>
      <c r="CI536" s="123"/>
    </row>
    <row r="537" spans="1:87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123"/>
      <c r="T537" s="124"/>
      <c r="U537" s="123"/>
      <c r="V537" s="123"/>
      <c r="W537" s="124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  <c r="AV537" s="123"/>
      <c r="AW537" s="123"/>
      <c r="AX537" s="123"/>
      <c r="AY537" s="123"/>
      <c r="AZ537" s="123"/>
      <c r="BA537" s="123"/>
      <c r="BB537" s="123"/>
      <c r="BC537" s="123"/>
      <c r="BD537" s="123"/>
      <c r="BE537" s="123"/>
      <c r="BF537" s="123"/>
      <c r="BG537" s="123"/>
      <c r="BH537" s="123"/>
      <c r="BI537" s="123"/>
      <c r="BJ537" s="123"/>
      <c r="BK537" s="123"/>
      <c r="BL537" s="123"/>
      <c r="BM537" s="123"/>
      <c r="BN537" s="123"/>
      <c r="BO537" s="123"/>
      <c r="BP537" s="123"/>
      <c r="BQ537" s="123"/>
      <c r="BR537" s="123"/>
      <c r="BS537" s="123"/>
      <c r="BT537" s="123"/>
      <c r="BU537" s="123"/>
      <c r="BV537" s="123"/>
      <c r="BW537" s="123"/>
      <c r="BX537" s="123"/>
      <c r="BY537" s="123"/>
      <c r="BZ537" s="123"/>
      <c r="CA537" s="123"/>
      <c r="CB537" s="123"/>
      <c r="CC537" s="123"/>
      <c r="CD537" s="123"/>
      <c r="CE537" s="123"/>
      <c r="CF537" s="123"/>
      <c r="CG537" s="123"/>
      <c r="CH537" s="123"/>
      <c r="CI537" s="123"/>
    </row>
    <row r="538" spans="1:87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123"/>
      <c r="T538" s="124"/>
      <c r="U538" s="123"/>
      <c r="V538" s="123"/>
      <c r="W538" s="124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  <c r="AV538" s="123"/>
      <c r="AW538" s="123"/>
      <c r="AX538" s="123"/>
      <c r="AY538" s="123"/>
      <c r="AZ538" s="123"/>
      <c r="BA538" s="123"/>
      <c r="BB538" s="123"/>
      <c r="BC538" s="123"/>
      <c r="BD538" s="123"/>
      <c r="BE538" s="123"/>
      <c r="BF538" s="123"/>
      <c r="BG538" s="123"/>
      <c r="BH538" s="123"/>
      <c r="BI538" s="123"/>
      <c r="BJ538" s="123"/>
      <c r="BK538" s="123"/>
      <c r="BL538" s="123"/>
      <c r="BM538" s="123"/>
      <c r="BN538" s="123"/>
      <c r="BO538" s="123"/>
      <c r="BP538" s="123"/>
      <c r="BQ538" s="123"/>
      <c r="BR538" s="123"/>
      <c r="BS538" s="123"/>
      <c r="BT538" s="123"/>
      <c r="BU538" s="123"/>
      <c r="BV538" s="123"/>
      <c r="BW538" s="123"/>
      <c r="BX538" s="123"/>
      <c r="BY538" s="123"/>
      <c r="BZ538" s="123"/>
      <c r="CA538" s="123"/>
      <c r="CB538" s="123"/>
      <c r="CC538" s="123"/>
      <c r="CD538" s="123"/>
      <c r="CE538" s="123"/>
      <c r="CF538" s="123"/>
      <c r="CG538" s="123"/>
      <c r="CH538" s="123"/>
      <c r="CI538" s="123"/>
    </row>
    <row r="539" spans="1:87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123"/>
      <c r="T539" s="124"/>
      <c r="U539" s="123"/>
      <c r="V539" s="123"/>
      <c r="W539" s="124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  <c r="AV539" s="123"/>
      <c r="AW539" s="123"/>
      <c r="AX539" s="123"/>
      <c r="AY539" s="123"/>
      <c r="AZ539" s="123"/>
      <c r="BA539" s="123"/>
      <c r="BB539" s="123"/>
      <c r="BC539" s="123"/>
      <c r="BD539" s="123"/>
      <c r="BE539" s="123"/>
      <c r="BF539" s="123"/>
      <c r="BG539" s="123"/>
      <c r="BH539" s="123"/>
      <c r="BI539" s="123"/>
      <c r="BJ539" s="123"/>
      <c r="BK539" s="123"/>
      <c r="BL539" s="123"/>
      <c r="BM539" s="123"/>
      <c r="BN539" s="123"/>
      <c r="BO539" s="123"/>
      <c r="BP539" s="123"/>
      <c r="BQ539" s="123"/>
      <c r="BR539" s="123"/>
      <c r="BS539" s="123"/>
      <c r="BT539" s="123"/>
      <c r="BU539" s="123"/>
      <c r="BV539" s="123"/>
      <c r="BW539" s="123"/>
      <c r="BX539" s="123"/>
      <c r="BY539" s="123"/>
      <c r="BZ539" s="123"/>
      <c r="CA539" s="123"/>
      <c r="CB539" s="123"/>
      <c r="CC539" s="123"/>
      <c r="CD539" s="123"/>
      <c r="CE539" s="123"/>
      <c r="CF539" s="123"/>
      <c r="CG539" s="123"/>
      <c r="CH539" s="123"/>
      <c r="CI539" s="123"/>
    </row>
    <row r="540" spans="1:87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123"/>
      <c r="T540" s="124"/>
      <c r="U540" s="123"/>
      <c r="V540" s="123"/>
      <c r="W540" s="124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  <c r="AV540" s="123"/>
      <c r="AW540" s="123"/>
      <c r="AX540" s="123"/>
      <c r="AY540" s="123"/>
      <c r="AZ540" s="123"/>
      <c r="BA540" s="123"/>
      <c r="BB540" s="123"/>
      <c r="BC540" s="123"/>
      <c r="BD540" s="123"/>
      <c r="BE540" s="123"/>
      <c r="BF540" s="123"/>
      <c r="BG540" s="123"/>
      <c r="BH540" s="123"/>
      <c r="BI540" s="123"/>
      <c r="BJ540" s="123"/>
      <c r="BK540" s="123"/>
      <c r="BL540" s="123"/>
      <c r="BM540" s="123"/>
      <c r="BN540" s="123"/>
      <c r="BO540" s="123"/>
      <c r="BP540" s="123"/>
      <c r="BQ540" s="123"/>
      <c r="BR540" s="123"/>
      <c r="BS540" s="123"/>
      <c r="BT540" s="123"/>
      <c r="BU540" s="123"/>
      <c r="BV540" s="123"/>
      <c r="BW540" s="123"/>
      <c r="BX540" s="123"/>
      <c r="BY540" s="123"/>
      <c r="BZ540" s="123"/>
      <c r="CA540" s="123"/>
      <c r="CB540" s="123"/>
      <c r="CC540" s="123"/>
      <c r="CD540" s="123"/>
      <c r="CE540" s="123"/>
      <c r="CF540" s="123"/>
      <c r="CG540" s="123"/>
      <c r="CH540" s="123"/>
      <c r="CI540" s="123"/>
    </row>
    <row r="541" spans="1:87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123"/>
      <c r="T541" s="124"/>
      <c r="U541" s="123"/>
      <c r="V541" s="123"/>
      <c r="W541" s="124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  <c r="BD541" s="123"/>
      <c r="BE541" s="123"/>
      <c r="BF541" s="123"/>
      <c r="BG541" s="123"/>
      <c r="BH541" s="123"/>
      <c r="BI541" s="123"/>
      <c r="BJ541" s="123"/>
      <c r="BK541" s="123"/>
      <c r="BL541" s="123"/>
      <c r="BM541" s="123"/>
      <c r="BN541" s="123"/>
      <c r="BO541" s="123"/>
      <c r="BP541" s="123"/>
      <c r="BQ541" s="123"/>
      <c r="BR541" s="123"/>
      <c r="BS541" s="123"/>
      <c r="BT541" s="123"/>
      <c r="BU541" s="123"/>
      <c r="BV541" s="123"/>
      <c r="BW541" s="123"/>
      <c r="BX541" s="123"/>
      <c r="BY541" s="123"/>
      <c r="BZ541" s="123"/>
      <c r="CA541" s="123"/>
      <c r="CB541" s="123"/>
      <c r="CC541" s="123"/>
      <c r="CD541" s="123"/>
      <c r="CE541" s="123"/>
      <c r="CF541" s="123"/>
      <c r="CG541" s="123"/>
      <c r="CH541" s="123"/>
      <c r="CI541" s="123"/>
    </row>
    <row r="542" spans="1:87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123"/>
      <c r="T542" s="124"/>
      <c r="U542" s="123"/>
      <c r="V542" s="123"/>
      <c r="W542" s="124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  <c r="AV542" s="123"/>
      <c r="AW542" s="123"/>
      <c r="AX542" s="123"/>
      <c r="AY542" s="123"/>
      <c r="AZ542" s="123"/>
      <c r="BA542" s="123"/>
      <c r="BB542" s="123"/>
      <c r="BC542" s="123"/>
      <c r="BD542" s="123"/>
      <c r="BE542" s="123"/>
      <c r="BF542" s="123"/>
      <c r="BG542" s="123"/>
      <c r="BH542" s="123"/>
      <c r="BI542" s="123"/>
      <c r="BJ542" s="123"/>
      <c r="BK542" s="123"/>
      <c r="BL542" s="123"/>
      <c r="BM542" s="123"/>
      <c r="BN542" s="123"/>
      <c r="BO542" s="123"/>
      <c r="BP542" s="123"/>
      <c r="BQ542" s="123"/>
      <c r="BR542" s="123"/>
      <c r="BS542" s="123"/>
      <c r="BT542" s="123"/>
      <c r="BU542" s="123"/>
      <c r="BV542" s="123"/>
      <c r="BW542" s="123"/>
      <c r="BX542" s="123"/>
      <c r="BY542" s="123"/>
      <c r="BZ542" s="123"/>
      <c r="CA542" s="123"/>
      <c r="CB542" s="123"/>
      <c r="CC542" s="123"/>
      <c r="CD542" s="123"/>
      <c r="CE542" s="123"/>
      <c r="CF542" s="123"/>
      <c r="CG542" s="123"/>
      <c r="CH542" s="123"/>
      <c r="CI542" s="123"/>
    </row>
    <row r="543" spans="1:87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123"/>
      <c r="T543" s="124"/>
      <c r="U543" s="123"/>
      <c r="V543" s="123"/>
      <c r="W543" s="124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  <c r="AV543" s="123"/>
      <c r="AW543" s="123"/>
      <c r="AX543" s="123"/>
      <c r="AY543" s="123"/>
      <c r="AZ543" s="123"/>
      <c r="BA543" s="123"/>
      <c r="BB543" s="123"/>
      <c r="BC543" s="123"/>
      <c r="BD543" s="123"/>
      <c r="BE543" s="123"/>
      <c r="BF543" s="123"/>
      <c r="BG543" s="123"/>
      <c r="BH543" s="123"/>
      <c r="BI543" s="123"/>
      <c r="BJ543" s="123"/>
      <c r="BK543" s="123"/>
      <c r="BL543" s="123"/>
      <c r="BM543" s="123"/>
      <c r="BN543" s="123"/>
      <c r="BO543" s="123"/>
      <c r="BP543" s="123"/>
      <c r="BQ543" s="123"/>
      <c r="BR543" s="123"/>
      <c r="BS543" s="123"/>
      <c r="BT543" s="123"/>
      <c r="BU543" s="123"/>
      <c r="BV543" s="123"/>
      <c r="BW543" s="123"/>
      <c r="BX543" s="123"/>
      <c r="BY543" s="123"/>
      <c r="BZ543" s="123"/>
      <c r="CA543" s="123"/>
      <c r="CB543" s="123"/>
      <c r="CC543" s="123"/>
      <c r="CD543" s="123"/>
      <c r="CE543" s="123"/>
      <c r="CF543" s="123"/>
      <c r="CG543" s="123"/>
      <c r="CH543" s="123"/>
      <c r="CI543" s="123"/>
    </row>
    <row r="544" spans="1:87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123"/>
      <c r="T544" s="124"/>
      <c r="U544" s="123"/>
      <c r="V544" s="123"/>
      <c r="W544" s="124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  <c r="AV544" s="123"/>
      <c r="AW544" s="123"/>
      <c r="AX544" s="123"/>
      <c r="AY544" s="123"/>
      <c r="AZ544" s="123"/>
      <c r="BA544" s="123"/>
      <c r="BB544" s="123"/>
      <c r="BC544" s="123"/>
      <c r="BD544" s="123"/>
      <c r="BE544" s="123"/>
      <c r="BF544" s="123"/>
      <c r="BG544" s="123"/>
      <c r="BH544" s="123"/>
      <c r="BI544" s="123"/>
      <c r="BJ544" s="123"/>
      <c r="BK544" s="123"/>
      <c r="BL544" s="123"/>
      <c r="BM544" s="123"/>
      <c r="BN544" s="123"/>
      <c r="BO544" s="123"/>
      <c r="BP544" s="123"/>
      <c r="BQ544" s="123"/>
      <c r="BR544" s="123"/>
      <c r="BS544" s="123"/>
      <c r="BT544" s="123"/>
      <c r="BU544" s="123"/>
      <c r="BV544" s="123"/>
      <c r="BW544" s="123"/>
      <c r="BX544" s="123"/>
      <c r="BY544" s="123"/>
      <c r="BZ544" s="123"/>
      <c r="CA544" s="123"/>
      <c r="CB544" s="123"/>
      <c r="CC544" s="123"/>
      <c r="CD544" s="123"/>
      <c r="CE544" s="123"/>
      <c r="CF544" s="123"/>
      <c r="CG544" s="123"/>
      <c r="CH544" s="123"/>
      <c r="CI544" s="123"/>
    </row>
    <row r="545" spans="1:87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123"/>
      <c r="T545" s="124"/>
      <c r="U545" s="123"/>
      <c r="V545" s="123"/>
      <c r="W545" s="124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  <c r="AV545" s="123"/>
      <c r="AW545" s="123"/>
      <c r="AX545" s="123"/>
      <c r="AY545" s="123"/>
      <c r="AZ545" s="123"/>
      <c r="BA545" s="123"/>
      <c r="BB545" s="123"/>
      <c r="BC545" s="123"/>
      <c r="BD545" s="123"/>
      <c r="BE545" s="123"/>
      <c r="BF545" s="123"/>
      <c r="BG545" s="123"/>
      <c r="BH545" s="123"/>
      <c r="BI545" s="123"/>
      <c r="BJ545" s="123"/>
      <c r="BK545" s="123"/>
      <c r="BL545" s="123"/>
      <c r="BM545" s="123"/>
      <c r="BN545" s="123"/>
      <c r="BO545" s="123"/>
      <c r="BP545" s="123"/>
      <c r="BQ545" s="123"/>
      <c r="BR545" s="123"/>
      <c r="BS545" s="123"/>
      <c r="BT545" s="123"/>
      <c r="BU545" s="123"/>
      <c r="BV545" s="123"/>
      <c r="BW545" s="123"/>
      <c r="BX545" s="123"/>
      <c r="BY545" s="123"/>
      <c r="BZ545" s="123"/>
      <c r="CA545" s="123"/>
      <c r="CB545" s="123"/>
      <c r="CC545" s="123"/>
      <c r="CD545" s="123"/>
      <c r="CE545" s="123"/>
      <c r="CF545" s="123"/>
      <c r="CG545" s="123"/>
      <c r="CH545" s="123"/>
      <c r="CI545" s="123"/>
    </row>
    <row r="546" spans="1:87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123"/>
      <c r="T546" s="124"/>
      <c r="U546" s="123"/>
      <c r="V546" s="123"/>
      <c r="W546" s="124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  <c r="AV546" s="123"/>
      <c r="AW546" s="123"/>
      <c r="AX546" s="123"/>
      <c r="AY546" s="123"/>
      <c r="AZ546" s="123"/>
      <c r="BA546" s="123"/>
      <c r="BB546" s="123"/>
      <c r="BC546" s="123"/>
      <c r="BD546" s="123"/>
      <c r="BE546" s="123"/>
      <c r="BF546" s="123"/>
      <c r="BG546" s="123"/>
      <c r="BH546" s="123"/>
      <c r="BI546" s="123"/>
      <c r="BJ546" s="123"/>
      <c r="BK546" s="123"/>
      <c r="BL546" s="123"/>
      <c r="BM546" s="123"/>
      <c r="BN546" s="123"/>
      <c r="BO546" s="123"/>
      <c r="BP546" s="123"/>
      <c r="BQ546" s="123"/>
      <c r="BR546" s="123"/>
      <c r="BS546" s="123"/>
      <c r="BT546" s="123"/>
      <c r="BU546" s="123"/>
      <c r="BV546" s="123"/>
      <c r="BW546" s="123"/>
      <c r="BX546" s="123"/>
      <c r="BY546" s="123"/>
      <c r="BZ546" s="123"/>
      <c r="CA546" s="123"/>
      <c r="CB546" s="123"/>
      <c r="CC546" s="123"/>
      <c r="CD546" s="123"/>
      <c r="CE546" s="123"/>
      <c r="CF546" s="123"/>
      <c r="CG546" s="123"/>
      <c r="CH546" s="123"/>
      <c r="CI546" s="123"/>
    </row>
    <row r="547" spans="1:87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123"/>
      <c r="T547" s="124"/>
      <c r="U547" s="123"/>
      <c r="V547" s="123"/>
      <c r="W547" s="124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  <c r="AV547" s="123"/>
      <c r="AW547" s="123"/>
      <c r="AX547" s="123"/>
      <c r="AY547" s="123"/>
      <c r="AZ547" s="123"/>
      <c r="BA547" s="123"/>
      <c r="BB547" s="123"/>
      <c r="BC547" s="123"/>
      <c r="BD547" s="123"/>
      <c r="BE547" s="123"/>
      <c r="BF547" s="123"/>
      <c r="BG547" s="123"/>
      <c r="BH547" s="123"/>
      <c r="BI547" s="123"/>
      <c r="BJ547" s="123"/>
      <c r="BK547" s="123"/>
      <c r="BL547" s="123"/>
      <c r="BM547" s="123"/>
      <c r="BN547" s="123"/>
      <c r="BO547" s="123"/>
      <c r="BP547" s="123"/>
      <c r="BQ547" s="123"/>
      <c r="BR547" s="123"/>
      <c r="BS547" s="123"/>
      <c r="BT547" s="123"/>
      <c r="BU547" s="123"/>
      <c r="BV547" s="123"/>
      <c r="BW547" s="123"/>
      <c r="BX547" s="123"/>
      <c r="BY547" s="123"/>
      <c r="BZ547" s="123"/>
      <c r="CA547" s="123"/>
      <c r="CB547" s="123"/>
      <c r="CC547" s="123"/>
      <c r="CD547" s="123"/>
      <c r="CE547" s="123"/>
      <c r="CF547" s="123"/>
      <c r="CG547" s="123"/>
      <c r="CH547" s="123"/>
      <c r="CI547" s="123"/>
    </row>
    <row r="548" spans="1:87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123"/>
      <c r="T548" s="124"/>
      <c r="U548" s="123"/>
      <c r="V548" s="123"/>
      <c r="W548" s="124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  <c r="AV548" s="123"/>
      <c r="AW548" s="123"/>
      <c r="AX548" s="123"/>
      <c r="AY548" s="123"/>
      <c r="AZ548" s="123"/>
      <c r="BA548" s="123"/>
      <c r="BB548" s="123"/>
      <c r="BC548" s="123"/>
      <c r="BD548" s="123"/>
      <c r="BE548" s="123"/>
      <c r="BF548" s="123"/>
      <c r="BG548" s="123"/>
      <c r="BH548" s="123"/>
      <c r="BI548" s="123"/>
      <c r="BJ548" s="123"/>
      <c r="BK548" s="123"/>
      <c r="BL548" s="123"/>
      <c r="BM548" s="123"/>
      <c r="BN548" s="123"/>
      <c r="BO548" s="123"/>
      <c r="BP548" s="123"/>
      <c r="BQ548" s="123"/>
      <c r="BR548" s="123"/>
      <c r="BS548" s="123"/>
      <c r="BT548" s="123"/>
      <c r="BU548" s="123"/>
      <c r="BV548" s="123"/>
      <c r="BW548" s="123"/>
      <c r="BX548" s="123"/>
      <c r="BY548" s="123"/>
      <c r="BZ548" s="123"/>
      <c r="CA548" s="123"/>
      <c r="CB548" s="123"/>
      <c r="CC548" s="123"/>
      <c r="CD548" s="123"/>
      <c r="CE548" s="123"/>
      <c r="CF548" s="123"/>
      <c r="CG548" s="123"/>
      <c r="CH548" s="123"/>
      <c r="CI548" s="123"/>
    </row>
    <row r="549" spans="1:87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123"/>
      <c r="T549" s="124"/>
      <c r="U549" s="123"/>
      <c r="V549" s="123"/>
      <c r="W549" s="124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  <c r="AV549" s="123"/>
      <c r="AW549" s="123"/>
      <c r="AX549" s="123"/>
      <c r="AY549" s="123"/>
      <c r="AZ549" s="123"/>
      <c r="BA549" s="123"/>
      <c r="BB549" s="123"/>
      <c r="BC549" s="123"/>
      <c r="BD549" s="123"/>
      <c r="BE549" s="123"/>
      <c r="BF549" s="123"/>
      <c r="BG549" s="123"/>
      <c r="BH549" s="123"/>
      <c r="BI549" s="123"/>
      <c r="BJ549" s="123"/>
      <c r="BK549" s="123"/>
      <c r="BL549" s="123"/>
      <c r="BM549" s="123"/>
      <c r="BN549" s="123"/>
      <c r="BO549" s="123"/>
      <c r="BP549" s="123"/>
      <c r="BQ549" s="123"/>
      <c r="BR549" s="123"/>
      <c r="BS549" s="123"/>
      <c r="BT549" s="123"/>
      <c r="BU549" s="123"/>
      <c r="BV549" s="123"/>
      <c r="BW549" s="123"/>
      <c r="BX549" s="123"/>
      <c r="BY549" s="123"/>
      <c r="BZ549" s="123"/>
      <c r="CA549" s="123"/>
      <c r="CB549" s="123"/>
      <c r="CC549" s="123"/>
      <c r="CD549" s="123"/>
      <c r="CE549" s="123"/>
      <c r="CF549" s="123"/>
      <c r="CG549" s="123"/>
      <c r="CH549" s="123"/>
      <c r="CI549" s="123"/>
    </row>
    <row r="550" spans="1:87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123"/>
      <c r="T550" s="124"/>
      <c r="U550" s="123"/>
      <c r="V550" s="123"/>
      <c r="W550" s="124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  <c r="AV550" s="123"/>
      <c r="AW550" s="123"/>
      <c r="AX550" s="123"/>
      <c r="AY550" s="123"/>
      <c r="AZ550" s="123"/>
      <c r="BA550" s="123"/>
      <c r="BB550" s="123"/>
      <c r="BC550" s="123"/>
      <c r="BD550" s="123"/>
      <c r="BE550" s="123"/>
      <c r="BF550" s="123"/>
      <c r="BG550" s="123"/>
      <c r="BH550" s="123"/>
      <c r="BI550" s="123"/>
      <c r="BJ550" s="123"/>
      <c r="BK550" s="123"/>
      <c r="BL550" s="123"/>
      <c r="BM550" s="123"/>
      <c r="BN550" s="123"/>
      <c r="BO550" s="123"/>
      <c r="BP550" s="123"/>
      <c r="BQ550" s="123"/>
      <c r="BR550" s="123"/>
      <c r="BS550" s="123"/>
      <c r="BT550" s="123"/>
      <c r="BU550" s="123"/>
      <c r="BV550" s="123"/>
      <c r="BW550" s="123"/>
      <c r="BX550" s="123"/>
      <c r="BY550" s="123"/>
      <c r="BZ550" s="123"/>
      <c r="CA550" s="123"/>
      <c r="CB550" s="123"/>
      <c r="CC550" s="123"/>
      <c r="CD550" s="123"/>
      <c r="CE550" s="123"/>
      <c r="CF550" s="123"/>
      <c r="CG550" s="123"/>
      <c r="CH550" s="123"/>
      <c r="CI550" s="123"/>
    </row>
    <row r="551" spans="1:87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123"/>
      <c r="T551" s="124"/>
      <c r="U551" s="123"/>
      <c r="V551" s="123"/>
      <c r="W551" s="124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  <c r="AV551" s="123"/>
      <c r="AW551" s="123"/>
      <c r="AX551" s="123"/>
      <c r="AY551" s="123"/>
      <c r="AZ551" s="123"/>
      <c r="BA551" s="123"/>
      <c r="BB551" s="123"/>
      <c r="BC551" s="123"/>
      <c r="BD551" s="123"/>
      <c r="BE551" s="123"/>
      <c r="BF551" s="123"/>
      <c r="BG551" s="123"/>
      <c r="BH551" s="123"/>
      <c r="BI551" s="123"/>
      <c r="BJ551" s="123"/>
      <c r="BK551" s="123"/>
      <c r="BL551" s="123"/>
      <c r="BM551" s="123"/>
      <c r="BN551" s="123"/>
      <c r="BO551" s="123"/>
      <c r="BP551" s="123"/>
      <c r="BQ551" s="123"/>
      <c r="BR551" s="123"/>
      <c r="BS551" s="123"/>
      <c r="BT551" s="123"/>
      <c r="BU551" s="123"/>
      <c r="BV551" s="123"/>
      <c r="BW551" s="123"/>
      <c r="BX551" s="123"/>
      <c r="BY551" s="123"/>
      <c r="BZ551" s="123"/>
      <c r="CA551" s="123"/>
      <c r="CB551" s="123"/>
      <c r="CC551" s="123"/>
      <c r="CD551" s="123"/>
      <c r="CE551" s="123"/>
      <c r="CF551" s="123"/>
      <c r="CG551" s="123"/>
      <c r="CH551" s="123"/>
      <c r="CI551" s="123"/>
    </row>
    <row r="552" spans="1:87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123"/>
      <c r="T552" s="124"/>
      <c r="U552" s="123"/>
      <c r="V552" s="123"/>
      <c r="W552" s="124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  <c r="AV552" s="123"/>
      <c r="AW552" s="123"/>
      <c r="AX552" s="123"/>
      <c r="AY552" s="123"/>
      <c r="AZ552" s="123"/>
      <c r="BA552" s="123"/>
      <c r="BB552" s="123"/>
      <c r="BC552" s="123"/>
      <c r="BD552" s="123"/>
      <c r="BE552" s="123"/>
      <c r="BF552" s="123"/>
      <c r="BG552" s="123"/>
      <c r="BH552" s="123"/>
      <c r="BI552" s="123"/>
      <c r="BJ552" s="123"/>
      <c r="BK552" s="123"/>
      <c r="BL552" s="123"/>
      <c r="BM552" s="123"/>
      <c r="BN552" s="123"/>
      <c r="BO552" s="123"/>
      <c r="BP552" s="123"/>
      <c r="BQ552" s="123"/>
      <c r="BR552" s="123"/>
      <c r="BS552" s="123"/>
      <c r="BT552" s="123"/>
      <c r="BU552" s="123"/>
      <c r="BV552" s="123"/>
      <c r="BW552" s="123"/>
      <c r="BX552" s="123"/>
      <c r="BY552" s="123"/>
      <c r="BZ552" s="123"/>
      <c r="CA552" s="123"/>
      <c r="CB552" s="123"/>
      <c r="CC552" s="123"/>
      <c r="CD552" s="123"/>
      <c r="CE552" s="123"/>
      <c r="CF552" s="123"/>
      <c r="CG552" s="123"/>
      <c r="CH552" s="123"/>
      <c r="CI552" s="123"/>
    </row>
    <row r="553" spans="1:87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123"/>
      <c r="T553" s="124"/>
      <c r="U553" s="123"/>
      <c r="V553" s="123"/>
      <c r="W553" s="124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  <c r="AV553" s="123"/>
      <c r="AW553" s="123"/>
      <c r="AX553" s="123"/>
      <c r="AY553" s="123"/>
      <c r="AZ553" s="123"/>
      <c r="BA553" s="123"/>
      <c r="BB553" s="123"/>
      <c r="BC553" s="123"/>
      <c r="BD553" s="123"/>
      <c r="BE553" s="123"/>
      <c r="BF553" s="123"/>
      <c r="BG553" s="123"/>
      <c r="BH553" s="123"/>
      <c r="BI553" s="123"/>
      <c r="BJ553" s="123"/>
      <c r="BK553" s="123"/>
      <c r="BL553" s="123"/>
      <c r="BM553" s="123"/>
      <c r="BN553" s="123"/>
      <c r="BO553" s="123"/>
      <c r="BP553" s="123"/>
      <c r="BQ553" s="123"/>
      <c r="BR553" s="123"/>
      <c r="BS553" s="123"/>
      <c r="BT553" s="123"/>
      <c r="BU553" s="123"/>
      <c r="BV553" s="123"/>
      <c r="BW553" s="123"/>
      <c r="BX553" s="123"/>
      <c r="BY553" s="123"/>
      <c r="BZ553" s="123"/>
      <c r="CA553" s="123"/>
      <c r="CB553" s="123"/>
      <c r="CC553" s="123"/>
      <c r="CD553" s="123"/>
      <c r="CE553" s="123"/>
      <c r="CF553" s="123"/>
      <c r="CG553" s="123"/>
      <c r="CH553" s="123"/>
      <c r="CI553" s="123"/>
    </row>
    <row r="554" spans="1:87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123"/>
      <c r="T554" s="124"/>
      <c r="U554" s="123"/>
      <c r="V554" s="123"/>
      <c r="W554" s="124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  <c r="AV554" s="123"/>
      <c r="AW554" s="123"/>
      <c r="AX554" s="123"/>
      <c r="AY554" s="123"/>
      <c r="AZ554" s="123"/>
      <c r="BA554" s="123"/>
      <c r="BB554" s="123"/>
      <c r="BC554" s="123"/>
      <c r="BD554" s="123"/>
      <c r="BE554" s="123"/>
      <c r="BF554" s="123"/>
      <c r="BG554" s="123"/>
      <c r="BH554" s="123"/>
      <c r="BI554" s="123"/>
      <c r="BJ554" s="123"/>
      <c r="BK554" s="123"/>
      <c r="BL554" s="123"/>
      <c r="BM554" s="123"/>
      <c r="BN554" s="123"/>
      <c r="BO554" s="123"/>
      <c r="BP554" s="123"/>
      <c r="BQ554" s="123"/>
      <c r="BR554" s="123"/>
      <c r="BS554" s="123"/>
      <c r="BT554" s="123"/>
      <c r="BU554" s="123"/>
      <c r="BV554" s="123"/>
      <c r="BW554" s="123"/>
      <c r="BX554" s="123"/>
      <c r="BY554" s="123"/>
      <c r="BZ554" s="123"/>
      <c r="CA554" s="123"/>
      <c r="CB554" s="123"/>
      <c r="CC554" s="123"/>
      <c r="CD554" s="123"/>
      <c r="CE554" s="123"/>
      <c r="CF554" s="123"/>
      <c r="CG554" s="123"/>
      <c r="CH554" s="123"/>
      <c r="CI554" s="123"/>
    </row>
    <row r="555" spans="1:87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123"/>
      <c r="T555" s="124"/>
      <c r="U555" s="123"/>
      <c r="V555" s="123"/>
      <c r="W555" s="124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  <c r="AV555" s="123"/>
      <c r="AW555" s="123"/>
      <c r="AX555" s="123"/>
      <c r="AY555" s="123"/>
      <c r="AZ555" s="123"/>
      <c r="BA555" s="123"/>
      <c r="BB555" s="123"/>
      <c r="BC555" s="123"/>
      <c r="BD555" s="123"/>
      <c r="BE555" s="123"/>
      <c r="BF555" s="123"/>
      <c r="BG555" s="123"/>
      <c r="BH555" s="123"/>
      <c r="BI555" s="123"/>
      <c r="BJ555" s="123"/>
      <c r="BK555" s="123"/>
      <c r="BL555" s="123"/>
      <c r="BM555" s="123"/>
      <c r="BN555" s="123"/>
      <c r="BO555" s="123"/>
      <c r="BP555" s="123"/>
      <c r="BQ555" s="123"/>
      <c r="BR555" s="123"/>
      <c r="BS555" s="123"/>
      <c r="BT555" s="123"/>
      <c r="BU555" s="123"/>
      <c r="BV555" s="123"/>
      <c r="BW555" s="123"/>
      <c r="BX555" s="123"/>
      <c r="BY555" s="123"/>
      <c r="BZ555" s="123"/>
      <c r="CA555" s="123"/>
      <c r="CB555" s="123"/>
      <c r="CC555" s="123"/>
      <c r="CD555" s="123"/>
      <c r="CE555" s="123"/>
      <c r="CF555" s="123"/>
      <c r="CG555" s="123"/>
      <c r="CH555" s="123"/>
      <c r="CI555" s="123"/>
    </row>
    <row r="556" spans="1:87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123"/>
      <c r="T556" s="124"/>
      <c r="U556" s="123"/>
      <c r="V556" s="123"/>
      <c r="W556" s="124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  <c r="AV556" s="123"/>
      <c r="AW556" s="123"/>
      <c r="AX556" s="123"/>
      <c r="AY556" s="123"/>
      <c r="AZ556" s="123"/>
      <c r="BA556" s="123"/>
      <c r="BB556" s="123"/>
      <c r="BC556" s="123"/>
      <c r="BD556" s="123"/>
      <c r="BE556" s="123"/>
      <c r="BF556" s="123"/>
      <c r="BG556" s="123"/>
      <c r="BH556" s="123"/>
      <c r="BI556" s="123"/>
      <c r="BJ556" s="123"/>
      <c r="BK556" s="123"/>
      <c r="BL556" s="123"/>
      <c r="BM556" s="123"/>
      <c r="BN556" s="123"/>
      <c r="BO556" s="123"/>
      <c r="BP556" s="123"/>
      <c r="BQ556" s="123"/>
      <c r="BR556" s="123"/>
      <c r="BS556" s="123"/>
      <c r="BT556" s="123"/>
      <c r="BU556" s="123"/>
      <c r="BV556" s="123"/>
      <c r="BW556" s="123"/>
      <c r="BX556" s="123"/>
      <c r="BY556" s="123"/>
      <c r="BZ556" s="123"/>
      <c r="CA556" s="123"/>
      <c r="CB556" s="123"/>
      <c r="CC556" s="123"/>
      <c r="CD556" s="123"/>
      <c r="CE556" s="123"/>
      <c r="CF556" s="123"/>
      <c r="CG556" s="123"/>
      <c r="CH556" s="123"/>
      <c r="CI556" s="123"/>
    </row>
    <row r="557" spans="1:87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123"/>
      <c r="T557" s="124"/>
      <c r="U557" s="123"/>
      <c r="V557" s="123"/>
      <c r="W557" s="124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  <c r="AV557" s="123"/>
      <c r="AW557" s="123"/>
      <c r="AX557" s="123"/>
      <c r="AY557" s="123"/>
      <c r="AZ557" s="123"/>
      <c r="BA557" s="123"/>
      <c r="BB557" s="123"/>
      <c r="BC557" s="123"/>
      <c r="BD557" s="123"/>
      <c r="BE557" s="123"/>
      <c r="BF557" s="123"/>
      <c r="BG557" s="123"/>
      <c r="BH557" s="123"/>
      <c r="BI557" s="123"/>
      <c r="BJ557" s="123"/>
      <c r="BK557" s="123"/>
      <c r="BL557" s="123"/>
      <c r="BM557" s="123"/>
      <c r="BN557" s="123"/>
      <c r="BO557" s="123"/>
      <c r="BP557" s="123"/>
      <c r="BQ557" s="123"/>
      <c r="BR557" s="123"/>
      <c r="BS557" s="123"/>
      <c r="BT557" s="123"/>
      <c r="BU557" s="123"/>
      <c r="BV557" s="123"/>
      <c r="BW557" s="123"/>
      <c r="BX557" s="123"/>
      <c r="BY557" s="123"/>
      <c r="BZ557" s="123"/>
      <c r="CA557" s="123"/>
      <c r="CB557" s="123"/>
      <c r="CC557" s="123"/>
      <c r="CD557" s="123"/>
      <c r="CE557" s="123"/>
      <c r="CF557" s="123"/>
      <c r="CG557" s="123"/>
      <c r="CH557" s="123"/>
      <c r="CI557" s="123"/>
    </row>
    <row r="558" spans="1:87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123"/>
      <c r="T558" s="124"/>
      <c r="U558" s="123"/>
      <c r="V558" s="123"/>
      <c r="W558" s="124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  <c r="AV558" s="123"/>
      <c r="AW558" s="123"/>
      <c r="AX558" s="123"/>
      <c r="AY558" s="123"/>
      <c r="AZ558" s="123"/>
      <c r="BA558" s="123"/>
      <c r="BB558" s="123"/>
      <c r="BC558" s="123"/>
      <c r="BD558" s="123"/>
      <c r="BE558" s="123"/>
      <c r="BF558" s="123"/>
      <c r="BG558" s="123"/>
      <c r="BH558" s="123"/>
      <c r="BI558" s="123"/>
      <c r="BJ558" s="123"/>
      <c r="BK558" s="123"/>
      <c r="BL558" s="123"/>
      <c r="BM558" s="123"/>
      <c r="BN558" s="123"/>
      <c r="BO558" s="123"/>
      <c r="BP558" s="123"/>
      <c r="BQ558" s="123"/>
      <c r="BR558" s="123"/>
      <c r="BS558" s="123"/>
      <c r="BT558" s="123"/>
      <c r="BU558" s="123"/>
      <c r="BV558" s="123"/>
      <c r="BW558" s="123"/>
      <c r="BX558" s="123"/>
      <c r="BY558" s="123"/>
      <c r="BZ558" s="123"/>
      <c r="CA558" s="123"/>
      <c r="CB558" s="123"/>
      <c r="CC558" s="123"/>
      <c r="CD558" s="123"/>
      <c r="CE558" s="123"/>
      <c r="CF558" s="123"/>
      <c r="CG558" s="123"/>
      <c r="CH558" s="123"/>
      <c r="CI558" s="123"/>
    </row>
    <row r="559" spans="1:87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123"/>
      <c r="T559" s="124"/>
      <c r="U559" s="123"/>
      <c r="V559" s="123"/>
      <c r="W559" s="124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  <c r="AV559" s="123"/>
      <c r="AW559" s="123"/>
      <c r="AX559" s="123"/>
      <c r="AY559" s="123"/>
      <c r="AZ559" s="123"/>
      <c r="BA559" s="123"/>
      <c r="BB559" s="123"/>
      <c r="BC559" s="123"/>
      <c r="BD559" s="123"/>
      <c r="BE559" s="123"/>
      <c r="BF559" s="123"/>
      <c r="BG559" s="123"/>
      <c r="BH559" s="123"/>
      <c r="BI559" s="123"/>
      <c r="BJ559" s="123"/>
      <c r="BK559" s="123"/>
      <c r="BL559" s="123"/>
      <c r="BM559" s="123"/>
      <c r="BN559" s="123"/>
      <c r="BO559" s="123"/>
      <c r="BP559" s="123"/>
      <c r="BQ559" s="123"/>
      <c r="BR559" s="123"/>
      <c r="BS559" s="123"/>
      <c r="BT559" s="123"/>
      <c r="BU559" s="123"/>
      <c r="BV559" s="123"/>
      <c r="BW559" s="123"/>
      <c r="BX559" s="123"/>
      <c r="BY559" s="123"/>
      <c r="BZ559" s="123"/>
      <c r="CA559" s="123"/>
      <c r="CB559" s="123"/>
      <c r="CC559" s="123"/>
      <c r="CD559" s="123"/>
      <c r="CE559" s="123"/>
      <c r="CF559" s="123"/>
      <c r="CG559" s="123"/>
      <c r="CH559" s="123"/>
      <c r="CI559" s="123"/>
    </row>
    <row r="560" spans="1:87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123"/>
      <c r="T560" s="124"/>
      <c r="U560" s="123"/>
      <c r="V560" s="123"/>
      <c r="W560" s="124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  <c r="AV560" s="123"/>
      <c r="AW560" s="123"/>
      <c r="AX560" s="123"/>
      <c r="AY560" s="123"/>
      <c r="AZ560" s="123"/>
      <c r="BA560" s="123"/>
      <c r="BB560" s="123"/>
      <c r="BC560" s="123"/>
      <c r="BD560" s="123"/>
      <c r="BE560" s="123"/>
      <c r="BF560" s="123"/>
      <c r="BG560" s="123"/>
      <c r="BH560" s="123"/>
      <c r="BI560" s="123"/>
      <c r="BJ560" s="123"/>
      <c r="BK560" s="123"/>
      <c r="BL560" s="123"/>
      <c r="BM560" s="123"/>
      <c r="BN560" s="123"/>
      <c r="BO560" s="123"/>
      <c r="BP560" s="123"/>
      <c r="BQ560" s="123"/>
      <c r="BR560" s="123"/>
      <c r="BS560" s="123"/>
      <c r="BT560" s="123"/>
      <c r="BU560" s="123"/>
      <c r="BV560" s="123"/>
      <c r="BW560" s="123"/>
      <c r="BX560" s="123"/>
      <c r="BY560" s="123"/>
      <c r="BZ560" s="123"/>
      <c r="CA560" s="123"/>
      <c r="CB560" s="123"/>
      <c r="CC560" s="123"/>
      <c r="CD560" s="123"/>
      <c r="CE560" s="123"/>
      <c r="CF560" s="123"/>
      <c r="CG560" s="123"/>
      <c r="CH560" s="123"/>
      <c r="CI560" s="123"/>
    </row>
    <row r="561" spans="1:87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123"/>
      <c r="T561" s="124"/>
      <c r="U561" s="123"/>
      <c r="V561" s="123"/>
      <c r="W561" s="124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  <c r="AV561" s="123"/>
      <c r="AW561" s="123"/>
      <c r="AX561" s="123"/>
      <c r="AY561" s="123"/>
      <c r="AZ561" s="123"/>
      <c r="BA561" s="123"/>
      <c r="BB561" s="123"/>
      <c r="BC561" s="123"/>
      <c r="BD561" s="123"/>
      <c r="BE561" s="123"/>
      <c r="BF561" s="123"/>
      <c r="BG561" s="123"/>
      <c r="BH561" s="123"/>
      <c r="BI561" s="123"/>
      <c r="BJ561" s="123"/>
      <c r="BK561" s="123"/>
      <c r="BL561" s="123"/>
      <c r="BM561" s="123"/>
      <c r="BN561" s="123"/>
      <c r="BO561" s="123"/>
      <c r="BP561" s="123"/>
      <c r="BQ561" s="123"/>
      <c r="BR561" s="123"/>
      <c r="BS561" s="123"/>
      <c r="BT561" s="123"/>
      <c r="BU561" s="123"/>
      <c r="BV561" s="123"/>
      <c r="BW561" s="123"/>
      <c r="BX561" s="123"/>
      <c r="BY561" s="123"/>
      <c r="BZ561" s="123"/>
      <c r="CA561" s="123"/>
      <c r="CB561" s="123"/>
      <c r="CC561" s="123"/>
      <c r="CD561" s="123"/>
      <c r="CE561" s="123"/>
      <c r="CF561" s="123"/>
      <c r="CG561" s="123"/>
      <c r="CH561" s="123"/>
      <c r="CI561" s="123"/>
    </row>
    <row r="562" spans="1:87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123"/>
      <c r="T562" s="124"/>
      <c r="U562" s="123"/>
      <c r="V562" s="123"/>
      <c r="W562" s="124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  <c r="AV562" s="123"/>
      <c r="AW562" s="123"/>
      <c r="AX562" s="123"/>
      <c r="AY562" s="123"/>
      <c r="AZ562" s="123"/>
      <c r="BA562" s="123"/>
      <c r="BB562" s="123"/>
      <c r="BC562" s="123"/>
      <c r="BD562" s="123"/>
      <c r="BE562" s="123"/>
      <c r="BF562" s="123"/>
      <c r="BG562" s="123"/>
      <c r="BH562" s="123"/>
      <c r="BI562" s="123"/>
      <c r="BJ562" s="123"/>
      <c r="BK562" s="123"/>
      <c r="BL562" s="123"/>
      <c r="BM562" s="123"/>
      <c r="BN562" s="123"/>
      <c r="BO562" s="123"/>
      <c r="BP562" s="123"/>
      <c r="BQ562" s="123"/>
      <c r="BR562" s="123"/>
      <c r="BS562" s="123"/>
      <c r="BT562" s="123"/>
      <c r="BU562" s="123"/>
      <c r="BV562" s="123"/>
      <c r="BW562" s="123"/>
      <c r="BX562" s="123"/>
      <c r="BY562" s="123"/>
      <c r="BZ562" s="123"/>
      <c r="CA562" s="123"/>
      <c r="CB562" s="123"/>
      <c r="CC562" s="123"/>
      <c r="CD562" s="123"/>
      <c r="CE562" s="123"/>
      <c r="CF562" s="123"/>
      <c r="CG562" s="123"/>
      <c r="CH562" s="123"/>
      <c r="CI562" s="123"/>
    </row>
    <row r="563" spans="1:87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123"/>
      <c r="T563" s="124"/>
      <c r="U563" s="123"/>
      <c r="V563" s="123"/>
      <c r="W563" s="124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  <c r="AV563" s="123"/>
      <c r="AW563" s="123"/>
      <c r="AX563" s="123"/>
      <c r="AY563" s="123"/>
      <c r="AZ563" s="123"/>
      <c r="BA563" s="123"/>
      <c r="BB563" s="123"/>
      <c r="BC563" s="123"/>
      <c r="BD563" s="123"/>
      <c r="BE563" s="123"/>
      <c r="BF563" s="123"/>
      <c r="BG563" s="123"/>
      <c r="BH563" s="123"/>
      <c r="BI563" s="123"/>
      <c r="BJ563" s="123"/>
      <c r="BK563" s="123"/>
      <c r="BL563" s="123"/>
      <c r="BM563" s="123"/>
      <c r="BN563" s="123"/>
      <c r="BO563" s="123"/>
      <c r="BP563" s="123"/>
      <c r="BQ563" s="123"/>
      <c r="BR563" s="123"/>
      <c r="BS563" s="123"/>
      <c r="BT563" s="123"/>
      <c r="BU563" s="123"/>
      <c r="BV563" s="123"/>
      <c r="BW563" s="123"/>
      <c r="BX563" s="123"/>
      <c r="BY563" s="123"/>
      <c r="BZ563" s="123"/>
      <c r="CA563" s="123"/>
      <c r="CB563" s="123"/>
      <c r="CC563" s="123"/>
      <c r="CD563" s="123"/>
      <c r="CE563" s="123"/>
      <c r="CF563" s="123"/>
      <c r="CG563" s="123"/>
      <c r="CH563" s="123"/>
      <c r="CI563" s="123"/>
    </row>
    <row r="564" spans="1:87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123"/>
      <c r="T564" s="124"/>
      <c r="U564" s="123"/>
      <c r="V564" s="123"/>
      <c r="W564" s="124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  <c r="AV564" s="123"/>
      <c r="AW564" s="123"/>
      <c r="AX564" s="123"/>
      <c r="AY564" s="123"/>
      <c r="AZ564" s="123"/>
      <c r="BA564" s="123"/>
      <c r="BB564" s="123"/>
      <c r="BC564" s="123"/>
      <c r="BD564" s="123"/>
      <c r="BE564" s="123"/>
      <c r="BF564" s="123"/>
      <c r="BG564" s="123"/>
      <c r="BH564" s="123"/>
      <c r="BI564" s="123"/>
      <c r="BJ564" s="123"/>
      <c r="BK564" s="123"/>
      <c r="BL564" s="123"/>
      <c r="BM564" s="123"/>
      <c r="BN564" s="123"/>
      <c r="BO564" s="123"/>
      <c r="BP564" s="123"/>
      <c r="BQ564" s="123"/>
      <c r="BR564" s="123"/>
      <c r="BS564" s="123"/>
      <c r="BT564" s="123"/>
      <c r="BU564" s="123"/>
      <c r="BV564" s="123"/>
      <c r="BW564" s="123"/>
      <c r="BX564" s="123"/>
      <c r="BY564" s="123"/>
      <c r="BZ564" s="123"/>
      <c r="CA564" s="123"/>
      <c r="CB564" s="123"/>
      <c r="CC564" s="123"/>
      <c r="CD564" s="123"/>
      <c r="CE564" s="123"/>
      <c r="CF564" s="123"/>
      <c r="CG564" s="123"/>
      <c r="CH564" s="123"/>
      <c r="CI564" s="123"/>
    </row>
    <row r="565" spans="1:87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123"/>
      <c r="T565" s="124"/>
      <c r="U565" s="123"/>
      <c r="V565" s="123"/>
      <c r="W565" s="124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  <c r="AV565" s="123"/>
      <c r="AW565" s="123"/>
      <c r="AX565" s="123"/>
      <c r="AY565" s="123"/>
      <c r="AZ565" s="123"/>
      <c r="BA565" s="123"/>
      <c r="BB565" s="123"/>
      <c r="BC565" s="123"/>
      <c r="BD565" s="123"/>
      <c r="BE565" s="123"/>
      <c r="BF565" s="123"/>
      <c r="BG565" s="123"/>
      <c r="BH565" s="123"/>
      <c r="BI565" s="123"/>
      <c r="BJ565" s="123"/>
      <c r="BK565" s="123"/>
      <c r="BL565" s="123"/>
      <c r="BM565" s="123"/>
      <c r="BN565" s="123"/>
      <c r="BO565" s="123"/>
      <c r="BP565" s="123"/>
      <c r="BQ565" s="123"/>
      <c r="BR565" s="123"/>
      <c r="BS565" s="123"/>
      <c r="BT565" s="123"/>
      <c r="BU565" s="123"/>
      <c r="BV565" s="123"/>
      <c r="BW565" s="123"/>
      <c r="BX565" s="123"/>
      <c r="BY565" s="123"/>
      <c r="BZ565" s="123"/>
      <c r="CA565" s="123"/>
      <c r="CB565" s="123"/>
      <c r="CC565" s="123"/>
      <c r="CD565" s="123"/>
      <c r="CE565" s="123"/>
      <c r="CF565" s="123"/>
      <c r="CG565" s="123"/>
      <c r="CH565" s="123"/>
      <c r="CI565" s="123"/>
    </row>
    <row r="566" spans="1:87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123"/>
      <c r="T566" s="124"/>
      <c r="U566" s="123"/>
      <c r="V566" s="123"/>
      <c r="W566" s="124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  <c r="AV566" s="123"/>
      <c r="AW566" s="123"/>
      <c r="AX566" s="123"/>
      <c r="AY566" s="123"/>
      <c r="AZ566" s="123"/>
      <c r="BA566" s="123"/>
      <c r="BB566" s="123"/>
      <c r="BC566" s="123"/>
      <c r="BD566" s="123"/>
      <c r="BE566" s="123"/>
      <c r="BF566" s="123"/>
      <c r="BG566" s="123"/>
      <c r="BH566" s="123"/>
      <c r="BI566" s="123"/>
      <c r="BJ566" s="123"/>
      <c r="BK566" s="123"/>
      <c r="BL566" s="123"/>
      <c r="BM566" s="123"/>
      <c r="BN566" s="123"/>
      <c r="BO566" s="123"/>
      <c r="BP566" s="123"/>
      <c r="BQ566" s="123"/>
      <c r="BR566" s="123"/>
      <c r="BS566" s="123"/>
      <c r="BT566" s="123"/>
      <c r="BU566" s="123"/>
      <c r="BV566" s="123"/>
      <c r="BW566" s="123"/>
      <c r="BX566" s="123"/>
      <c r="BY566" s="123"/>
      <c r="BZ566" s="123"/>
      <c r="CA566" s="123"/>
      <c r="CB566" s="123"/>
      <c r="CC566" s="123"/>
      <c r="CD566" s="123"/>
      <c r="CE566" s="123"/>
      <c r="CF566" s="123"/>
      <c r="CG566" s="123"/>
      <c r="CH566" s="123"/>
      <c r="CI566" s="123"/>
    </row>
    <row r="567" spans="1:87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123"/>
      <c r="T567" s="124"/>
      <c r="U567" s="123"/>
      <c r="V567" s="123"/>
      <c r="W567" s="124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  <c r="AV567" s="123"/>
      <c r="AW567" s="123"/>
      <c r="AX567" s="123"/>
      <c r="AY567" s="123"/>
      <c r="AZ567" s="123"/>
      <c r="BA567" s="123"/>
      <c r="BB567" s="123"/>
      <c r="BC567" s="123"/>
      <c r="BD567" s="123"/>
      <c r="BE567" s="123"/>
      <c r="BF567" s="123"/>
      <c r="BG567" s="123"/>
      <c r="BH567" s="123"/>
      <c r="BI567" s="123"/>
      <c r="BJ567" s="123"/>
      <c r="BK567" s="123"/>
      <c r="BL567" s="123"/>
      <c r="BM567" s="123"/>
      <c r="BN567" s="123"/>
      <c r="BO567" s="123"/>
      <c r="BP567" s="123"/>
      <c r="BQ567" s="123"/>
      <c r="BR567" s="123"/>
      <c r="BS567" s="123"/>
      <c r="BT567" s="123"/>
      <c r="BU567" s="123"/>
      <c r="BV567" s="123"/>
      <c r="BW567" s="123"/>
      <c r="BX567" s="123"/>
      <c r="BY567" s="123"/>
      <c r="BZ567" s="123"/>
      <c r="CA567" s="123"/>
      <c r="CB567" s="123"/>
      <c r="CC567" s="123"/>
      <c r="CD567" s="123"/>
      <c r="CE567" s="123"/>
      <c r="CF567" s="123"/>
      <c r="CG567" s="123"/>
      <c r="CH567" s="123"/>
      <c r="CI567" s="123"/>
    </row>
    <row r="568" spans="1:87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123"/>
      <c r="T568" s="124"/>
      <c r="U568" s="123"/>
      <c r="V568" s="123"/>
      <c r="W568" s="124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  <c r="AV568" s="123"/>
      <c r="AW568" s="123"/>
      <c r="AX568" s="123"/>
      <c r="AY568" s="123"/>
      <c r="AZ568" s="123"/>
      <c r="BA568" s="123"/>
      <c r="BB568" s="123"/>
      <c r="BC568" s="123"/>
      <c r="BD568" s="123"/>
      <c r="BE568" s="123"/>
      <c r="BF568" s="123"/>
      <c r="BG568" s="123"/>
      <c r="BH568" s="123"/>
      <c r="BI568" s="123"/>
      <c r="BJ568" s="123"/>
      <c r="BK568" s="123"/>
      <c r="BL568" s="123"/>
      <c r="BM568" s="123"/>
      <c r="BN568" s="123"/>
      <c r="BO568" s="123"/>
      <c r="BP568" s="123"/>
      <c r="BQ568" s="123"/>
      <c r="BR568" s="123"/>
      <c r="BS568" s="123"/>
      <c r="BT568" s="123"/>
      <c r="BU568" s="123"/>
      <c r="BV568" s="123"/>
      <c r="BW568" s="123"/>
      <c r="BX568" s="123"/>
      <c r="BY568" s="123"/>
      <c r="BZ568" s="123"/>
      <c r="CA568" s="123"/>
      <c r="CB568" s="123"/>
      <c r="CC568" s="123"/>
      <c r="CD568" s="123"/>
      <c r="CE568" s="123"/>
      <c r="CF568" s="123"/>
      <c r="CG568" s="123"/>
      <c r="CH568" s="123"/>
      <c r="CI568" s="123"/>
    </row>
    <row r="569" spans="1:87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123"/>
      <c r="T569" s="124"/>
      <c r="U569" s="123"/>
      <c r="V569" s="123"/>
      <c r="W569" s="124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  <c r="AV569" s="123"/>
      <c r="AW569" s="123"/>
      <c r="AX569" s="123"/>
      <c r="AY569" s="123"/>
      <c r="AZ569" s="123"/>
      <c r="BA569" s="123"/>
      <c r="BB569" s="123"/>
      <c r="BC569" s="123"/>
      <c r="BD569" s="123"/>
      <c r="BE569" s="123"/>
      <c r="BF569" s="123"/>
      <c r="BG569" s="123"/>
      <c r="BH569" s="123"/>
      <c r="BI569" s="123"/>
      <c r="BJ569" s="123"/>
      <c r="BK569" s="123"/>
      <c r="BL569" s="123"/>
      <c r="BM569" s="123"/>
      <c r="BN569" s="123"/>
      <c r="BO569" s="123"/>
      <c r="BP569" s="123"/>
      <c r="BQ569" s="123"/>
      <c r="BR569" s="123"/>
      <c r="BS569" s="123"/>
      <c r="BT569" s="123"/>
      <c r="BU569" s="123"/>
      <c r="BV569" s="123"/>
      <c r="BW569" s="123"/>
      <c r="BX569" s="123"/>
      <c r="BY569" s="123"/>
      <c r="BZ569" s="123"/>
      <c r="CA569" s="123"/>
      <c r="CB569" s="123"/>
      <c r="CC569" s="123"/>
      <c r="CD569" s="123"/>
      <c r="CE569" s="123"/>
      <c r="CF569" s="123"/>
      <c r="CG569" s="123"/>
      <c r="CH569" s="123"/>
      <c r="CI569" s="123"/>
    </row>
    <row r="570" spans="1:87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123"/>
      <c r="T570" s="124"/>
      <c r="U570" s="123"/>
      <c r="V570" s="123"/>
      <c r="W570" s="124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  <c r="AV570" s="123"/>
      <c r="AW570" s="123"/>
      <c r="AX570" s="123"/>
      <c r="AY570" s="123"/>
      <c r="AZ570" s="123"/>
      <c r="BA570" s="123"/>
      <c r="BB570" s="123"/>
      <c r="BC570" s="123"/>
      <c r="BD570" s="123"/>
      <c r="BE570" s="123"/>
      <c r="BF570" s="123"/>
      <c r="BG570" s="123"/>
      <c r="BH570" s="123"/>
      <c r="BI570" s="123"/>
      <c r="BJ570" s="123"/>
      <c r="BK570" s="123"/>
      <c r="BL570" s="123"/>
      <c r="BM570" s="123"/>
      <c r="BN570" s="123"/>
      <c r="BO570" s="123"/>
      <c r="BP570" s="123"/>
      <c r="BQ570" s="123"/>
      <c r="BR570" s="123"/>
      <c r="BS570" s="123"/>
      <c r="BT570" s="123"/>
      <c r="BU570" s="123"/>
      <c r="BV570" s="123"/>
      <c r="BW570" s="123"/>
      <c r="BX570" s="123"/>
      <c r="BY570" s="123"/>
      <c r="BZ570" s="123"/>
      <c r="CA570" s="123"/>
      <c r="CB570" s="123"/>
      <c r="CC570" s="123"/>
      <c r="CD570" s="123"/>
      <c r="CE570" s="123"/>
      <c r="CF570" s="123"/>
      <c r="CG570" s="123"/>
      <c r="CH570" s="123"/>
      <c r="CI570" s="123"/>
    </row>
    <row r="571" spans="1:87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123"/>
      <c r="T571" s="124"/>
      <c r="U571" s="123"/>
      <c r="V571" s="123"/>
      <c r="W571" s="124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  <c r="AV571" s="123"/>
      <c r="AW571" s="123"/>
      <c r="AX571" s="123"/>
      <c r="AY571" s="123"/>
      <c r="AZ571" s="123"/>
      <c r="BA571" s="123"/>
      <c r="BB571" s="123"/>
      <c r="BC571" s="123"/>
      <c r="BD571" s="123"/>
      <c r="BE571" s="123"/>
      <c r="BF571" s="123"/>
      <c r="BG571" s="123"/>
      <c r="BH571" s="123"/>
      <c r="BI571" s="123"/>
      <c r="BJ571" s="123"/>
      <c r="BK571" s="123"/>
      <c r="BL571" s="123"/>
      <c r="BM571" s="123"/>
      <c r="BN571" s="123"/>
      <c r="BO571" s="123"/>
      <c r="BP571" s="123"/>
      <c r="BQ571" s="123"/>
      <c r="BR571" s="123"/>
      <c r="BS571" s="123"/>
      <c r="BT571" s="123"/>
      <c r="BU571" s="123"/>
      <c r="BV571" s="123"/>
      <c r="BW571" s="123"/>
      <c r="BX571" s="123"/>
      <c r="BY571" s="123"/>
      <c r="BZ571" s="123"/>
      <c r="CA571" s="123"/>
      <c r="CB571" s="123"/>
      <c r="CC571" s="123"/>
      <c r="CD571" s="123"/>
      <c r="CE571" s="123"/>
      <c r="CF571" s="123"/>
      <c r="CG571" s="123"/>
      <c r="CH571" s="123"/>
      <c r="CI571" s="123"/>
    </row>
    <row r="572" spans="1:87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123"/>
      <c r="T572" s="124"/>
      <c r="U572" s="123"/>
      <c r="V572" s="123"/>
      <c r="W572" s="124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  <c r="AV572" s="123"/>
      <c r="AW572" s="123"/>
      <c r="AX572" s="123"/>
      <c r="AY572" s="123"/>
      <c r="AZ572" s="123"/>
      <c r="BA572" s="123"/>
      <c r="BB572" s="123"/>
      <c r="BC572" s="123"/>
      <c r="BD572" s="123"/>
      <c r="BE572" s="123"/>
      <c r="BF572" s="123"/>
      <c r="BG572" s="123"/>
      <c r="BH572" s="123"/>
      <c r="BI572" s="123"/>
      <c r="BJ572" s="123"/>
      <c r="BK572" s="123"/>
      <c r="BL572" s="123"/>
      <c r="BM572" s="123"/>
      <c r="BN572" s="123"/>
      <c r="BO572" s="123"/>
      <c r="BP572" s="123"/>
      <c r="BQ572" s="123"/>
      <c r="BR572" s="123"/>
      <c r="BS572" s="123"/>
      <c r="BT572" s="123"/>
      <c r="BU572" s="123"/>
      <c r="BV572" s="123"/>
      <c r="BW572" s="123"/>
      <c r="BX572" s="123"/>
      <c r="BY572" s="123"/>
      <c r="BZ572" s="123"/>
      <c r="CA572" s="123"/>
      <c r="CB572" s="123"/>
      <c r="CC572" s="123"/>
      <c r="CD572" s="123"/>
      <c r="CE572" s="123"/>
      <c r="CF572" s="123"/>
      <c r="CG572" s="123"/>
      <c r="CH572" s="123"/>
      <c r="CI572" s="123"/>
    </row>
    <row r="573" spans="1:87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123"/>
      <c r="T573" s="124"/>
      <c r="U573" s="123"/>
      <c r="V573" s="123"/>
      <c r="W573" s="124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  <c r="AV573" s="123"/>
      <c r="AW573" s="123"/>
      <c r="AX573" s="123"/>
      <c r="AY573" s="123"/>
      <c r="AZ573" s="123"/>
      <c r="BA573" s="123"/>
      <c r="BB573" s="123"/>
      <c r="BC573" s="123"/>
      <c r="BD573" s="123"/>
      <c r="BE573" s="123"/>
      <c r="BF573" s="123"/>
      <c r="BG573" s="123"/>
      <c r="BH573" s="123"/>
      <c r="BI573" s="123"/>
      <c r="BJ573" s="123"/>
      <c r="BK573" s="123"/>
      <c r="BL573" s="123"/>
      <c r="BM573" s="123"/>
      <c r="BN573" s="123"/>
      <c r="BO573" s="123"/>
      <c r="BP573" s="123"/>
      <c r="BQ573" s="123"/>
      <c r="BR573" s="123"/>
      <c r="BS573" s="123"/>
      <c r="BT573" s="123"/>
      <c r="BU573" s="123"/>
      <c r="BV573" s="123"/>
      <c r="BW573" s="123"/>
      <c r="BX573" s="123"/>
      <c r="BY573" s="123"/>
      <c r="BZ573" s="123"/>
      <c r="CA573" s="123"/>
      <c r="CB573" s="123"/>
      <c r="CC573" s="123"/>
      <c r="CD573" s="123"/>
      <c r="CE573" s="123"/>
      <c r="CF573" s="123"/>
      <c r="CG573" s="123"/>
      <c r="CH573" s="123"/>
      <c r="CI573" s="123"/>
    </row>
    <row r="574" spans="1:87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123"/>
      <c r="T574" s="124"/>
      <c r="U574" s="123"/>
      <c r="V574" s="123"/>
      <c r="W574" s="124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  <c r="AV574" s="123"/>
      <c r="AW574" s="123"/>
      <c r="AX574" s="123"/>
      <c r="AY574" s="123"/>
      <c r="AZ574" s="123"/>
      <c r="BA574" s="123"/>
      <c r="BB574" s="123"/>
      <c r="BC574" s="123"/>
      <c r="BD574" s="123"/>
      <c r="BE574" s="123"/>
      <c r="BF574" s="123"/>
      <c r="BG574" s="123"/>
      <c r="BH574" s="123"/>
      <c r="BI574" s="123"/>
      <c r="BJ574" s="123"/>
      <c r="BK574" s="123"/>
      <c r="BL574" s="123"/>
      <c r="BM574" s="123"/>
      <c r="BN574" s="123"/>
      <c r="BO574" s="123"/>
      <c r="BP574" s="123"/>
      <c r="BQ574" s="123"/>
      <c r="BR574" s="123"/>
      <c r="BS574" s="123"/>
      <c r="BT574" s="123"/>
      <c r="BU574" s="123"/>
      <c r="BV574" s="123"/>
      <c r="BW574" s="123"/>
      <c r="BX574" s="123"/>
      <c r="BY574" s="123"/>
      <c r="BZ574" s="123"/>
      <c r="CA574" s="123"/>
      <c r="CB574" s="123"/>
      <c r="CC574" s="123"/>
      <c r="CD574" s="123"/>
      <c r="CE574" s="123"/>
      <c r="CF574" s="123"/>
      <c r="CG574" s="123"/>
      <c r="CH574" s="123"/>
      <c r="CI574" s="123"/>
    </row>
    <row r="575" spans="1:87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123"/>
      <c r="T575" s="124"/>
      <c r="U575" s="123"/>
      <c r="V575" s="123"/>
      <c r="W575" s="124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  <c r="AV575" s="123"/>
      <c r="AW575" s="123"/>
      <c r="AX575" s="123"/>
      <c r="AY575" s="123"/>
      <c r="AZ575" s="123"/>
      <c r="BA575" s="123"/>
      <c r="BB575" s="123"/>
      <c r="BC575" s="123"/>
      <c r="BD575" s="123"/>
      <c r="BE575" s="123"/>
      <c r="BF575" s="123"/>
      <c r="BG575" s="123"/>
      <c r="BH575" s="123"/>
      <c r="BI575" s="123"/>
      <c r="BJ575" s="123"/>
      <c r="BK575" s="123"/>
      <c r="BL575" s="123"/>
      <c r="BM575" s="123"/>
      <c r="BN575" s="123"/>
      <c r="BO575" s="123"/>
      <c r="BP575" s="123"/>
      <c r="BQ575" s="123"/>
      <c r="BR575" s="123"/>
      <c r="BS575" s="123"/>
      <c r="BT575" s="123"/>
      <c r="BU575" s="123"/>
      <c r="BV575" s="123"/>
      <c r="BW575" s="123"/>
      <c r="BX575" s="123"/>
      <c r="BY575" s="123"/>
      <c r="BZ575" s="123"/>
      <c r="CA575" s="123"/>
      <c r="CB575" s="123"/>
      <c r="CC575" s="123"/>
      <c r="CD575" s="123"/>
      <c r="CE575" s="123"/>
      <c r="CF575" s="123"/>
      <c r="CG575" s="123"/>
      <c r="CH575" s="123"/>
      <c r="CI575" s="123"/>
    </row>
    <row r="576" spans="1:87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123"/>
      <c r="T576" s="124"/>
      <c r="U576" s="123"/>
      <c r="V576" s="123"/>
      <c r="W576" s="124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  <c r="AV576" s="123"/>
      <c r="AW576" s="123"/>
      <c r="AX576" s="123"/>
      <c r="AY576" s="123"/>
      <c r="AZ576" s="123"/>
      <c r="BA576" s="123"/>
      <c r="BB576" s="123"/>
      <c r="BC576" s="123"/>
      <c r="BD576" s="123"/>
      <c r="BE576" s="123"/>
      <c r="BF576" s="123"/>
      <c r="BG576" s="123"/>
      <c r="BH576" s="123"/>
      <c r="BI576" s="123"/>
      <c r="BJ576" s="123"/>
      <c r="BK576" s="123"/>
      <c r="BL576" s="123"/>
      <c r="BM576" s="123"/>
      <c r="BN576" s="123"/>
      <c r="BO576" s="123"/>
      <c r="BP576" s="123"/>
      <c r="BQ576" s="123"/>
      <c r="BR576" s="123"/>
      <c r="BS576" s="123"/>
      <c r="BT576" s="123"/>
      <c r="BU576" s="123"/>
      <c r="BV576" s="123"/>
      <c r="BW576" s="123"/>
      <c r="BX576" s="123"/>
      <c r="BY576" s="123"/>
      <c r="BZ576" s="123"/>
      <c r="CA576" s="123"/>
      <c r="CB576" s="123"/>
      <c r="CC576" s="123"/>
      <c r="CD576" s="123"/>
      <c r="CE576" s="123"/>
      <c r="CF576" s="123"/>
      <c r="CG576" s="123"/>
      <c r="CH576" s="123"/>
      <c r="CI576" s="123"/>
    </row>
    <row r="577" spans="1:87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123"/>
      <c r="T577" s="124"/>
      <c r="U577" s="123"/>
      <c r="V577" s="123"/>
      <c r="W577" s="124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  <c r="AV577" s="123"/>
      <c r="AW577" s="123"/>
      <c r="AX577" s="123"/>
      <c r="AY577" s="123"/>
      <c r="AZ577" s="123"/>
      <c r="BA577" s="123"/>
      <c r="BB577" s="123"/>
      <c r="BC577" s="123"/>
      <c r="BD577" s="123"/>
      <c r="BE577" s="123"/>
      <c r="BF577" s="123"/>
      <c r="BG577" s="123"/>
      <c r="BH577" s="123"/>
      <c r="BI577" s="123"/>
      <c r="BJ577" s="123"/>
      <c r="BK577" s="123"/>
      <c r="BL577" s="123"/>
      <c r="BM577" s="123"/>
      <c r="BN577" s="123"/>
      <c r="BO577" s="123"/>
      <c r="BP577" s="123"/>
      <c r="BQ577" s="123"/>
      <c r="BR577" s="123"/>
      <c r="BS577" s="123"/>
      <c r="BT577" s="123"/>
      <c r="BU577" s="123"/>
      <c r="BV577" s="123"/>
      <c r="BW577" s="123"/>
      <c r="BX577" s="123"/>
      <c r="BY577" s="123"/>
      <c r="BZ577" s="123"/>
      <c r="CA577" s="123"/>
      <c r="CB577" s="123"/>
      <c r="CC577" s="123"/>
      <c r="CD577" s="123"/>
      <c r="CE577" s="123"/>
      <c r="CF577" s="123"/>
      <c r="CG577" s="123"/>
      <c r="CH577" s="123"/>
      <c r="CI577" s="123"/>
    </row>
    <row r="578" spans="1:87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123"/>
      <c r="T578" s="124"/>
      <c r="U578" s="123"/>
      <c r="V578" s="123"/>
      <c r="W578" s="124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  <c r="AV578" s="123"/>
      <c r="AW578" s="123"/>
      <c r="AX578" s="123"/>
      <c r="AY578" s="123"/>
      <c r="AZ578" s="123"/>
      <c r="BA578" s="123"/>
      <c r="BB578" s="123"/>
      <c r="BC578" s="123"/>
      <c r="BD578" s="123"/>
      <c r="BE578" s="123"/>
      <c r="BF578" s="123"/>
      <c r="BG578" s="123"/>
      <c r="BH578" s="123"/>
      <c r="BI578" s="123"/>
      <c r="BJ578" s="123"/>
      <c r="BK578" s="123"/>
      <c r="BL578" s="123"/>
      <c r="BM578" s="123"/>
      <c r="BN578" s="123"/>
      <c r="BO578" s="123"/>
      <c r="BP578" s="123"/>
      <c r="BQ578" s="123"/>
      <c r="BR578" s="123"/>
      <c r="BS578" s="123"/>
      <c r="BT578" s="123"/>
      <c r="BU578" s="123"/>
      <c r="BV578" s="123"/>
      <c r="BW578" s="123"/>
      <c r="BX578" s="123"/>
      <c r="BY578" s="123"/>
      <c r="BZ578" s="123"/>
      <c r="CA578" s="123"/>
      <c r="CB578" s="123"/>
      <c r="CC578" s="123"/>
      <c r="CD578" s="123"/>
      <c r="CE578" s="123"/>
      <c r="CF578" s="123"/>
      <c r="CG578" s="123"/>
      <c r="CH578" s="123"/>
      <c r="CI578" s="123"/>
    </row>
    <row r="579" spans="1:87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123"/>
      <c r="T579" s="124"/>
      <c r="U579" s="123"/>
      <c r="V579" s="123"/>
      <c r="W579" s="124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  <c r="AV579" s="123"/>
      <c r="AW579" s="123"/>
      <c r="AX579" s="123"/>
      <c r="AY579" s="123"/>
      <c r="AZ579" s="123"/>
      <c r="BA579" s="123"/>
      <c r="BB579" s="123"/>
      <c r="BC579" s="123"/>
      <c r="BD579" s="123"/>
      <c r="BE579" s="123"/>
      <c r="BF579" s="123"/>
      <c r="BG579" s="123"/>
      <c r="BH579" s="123"/>
      <c r="BI579" s="123"/>
      <c r="BJ579" s="123"/>
      <c r="BK579" s="123"/>
      <c r="BL579" s="123"/>
      <c r="BM579" s="123"/>
      <c r="BN579" s="123"/>
      <c r="BO579" s="123"/>
      <c r="BP579" s="123"/>
      <c r="BQ579" s="123"/>
      <c r="BR579" s="123"/>
      <c r="BS579" s="123"/>
      <c r="BT579" s="123"/>
      <c r="BU579" s="123"/>
      <c r="BV579" s="123"/>
      <c r="BW579" s="123"/>
      <c r="BX579" s="123"/>
      <c r="BY579" s="123"/>
      <c r="BZ579" s="123"/>
      <c r="CA579" s="123"/>
      <c r="CB579" s="123"/>
      <c r="CC579" s="123"/>
      <c r="CD579" s="123"/>
      <c r="CE579" s="123"/>
      <c r="CF579" s="123"/>
      <c r="CG579" s="123"/>
      <c r="CH579" s="123"/>
      <c r="CI579" s="123"/>
    </row>
    <row r="580" spans="1:87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123"/>
      <c r="T580" s="124"/>
      <c r="U580" s="123"/>
      <c r="V580" s="123"/>
      <c r="W580" s="124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  <c r="AV580" s="123"/>
      <c r="AW580" s="123"/>
      <c r="AX580" s="123"/>
      <c r="AY580" s="123"/>
      <c r="AZ580" s="123"/>
      <c r="BA580" s="123"/>
      <c r="BB580" s="123"/>
      <c r="BC580" s="123"/>
      <c r="BD580" s="123"/>
      <c r="BE580" s="123"/>
      <c r="BF580" s="123"/>
      <c r="BG580" s="123"/>
      <c r="BH580" s="123"/>
      <c r="BI580" s="123"/>
      <c r="BJ580" s="123"/>
      <c r="BK580" s="123"/>
      <c r="BL580" s="123"/>
      <c r="BM580" s="123"/>
      <c r="BN580" s="123"/>
      <c r="BO580" s="123"/>
      <c r="BP580" s="123"/>
      <c r="BQ580" s="123"/>
      <c r="BR580" s="123"/>
      <c r="BS580" s="123"/>
      <c r="BT580" s="123"/>
      <c r="BU580" s="123"/>
      <c r="BV580" s="123"/>
      <c r="BW580" s="123"/>
      <c r="BX580" s="123"/>
      <c r="BY580" s="123"/>
      <c r="BZ580" s="123"/>
      <c r="CA580" s="123"/>
      <c r="CB580" s="123"/>
      <c r="CC580" s="123"/>
      <c r="CD580" s="123"/>
      <c r="CE580" s="123"/>
      <c r="CF580" s="123"/>
      <c r="CG580" s="123"/>
      <c r="CH580" s="123"/>
      <c r="CI580" s="123"/>
    </row>
    <row r="581" spans="1:87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123"/>
      <c r="T581" s="124"/>
      <c r="U581" s="123"/>
      <c r="V581" s="123"/>
      <c r="W581" s="124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  <c r="AV581" s="123"/>
      <c r="AW581" s="123"/>
      <c r="AX581" s="123"/>
      <c r="AY581" s="123"/>
      <c r="AZ581" s="123"/>
      <c r="BA581" s="123"/>
      <c r="BB581" s="123"/>
      <c r="BC581" s="123"/>
      <c r="BD581" s="123"/>
      <c r="BE581" s="123"/>
      <c r="BF581" s="123"/>
      <c r="BG581" s="123"/>
      <c r="BH581" s="123"/>
      <c r="BI581" s="123"/>
      <c r="BJ581" s="123"/>
      <c r="BK581" s="123"/>
      <c r="BL581" s="123"/>
      <c r="BM581" s="123"/>
      <c r="BN581" s="123"/>
      <c r="BO581" s="123"/>
      <c r="BP581" s="123"/>
      <c r="BQ581" s="123"/>
      <c r="BR581" s="123"/>
      <c r="BS581" s="123"/>
      <c r="BT581" s="123"/>
      <c r="BU581" s="123"/>
      <c r="BV581" s="123"/>
      <c r="BW581" s="123"/>
      <c r="BX581" s="123"/>
      <c r="BY581" s="123"/>
      <c r="BZ581" s="123"/>
      <c r="CA581" s="123"/>
      <c r="CB581" s="123"/>
      <c r="CC581" s="123"/>
      <c r="CD581" s="123"/>
      <c r="CE581" s="123"/>
      <c r="CF581" s="123"/>
      <c r="CG581" s="123"/>
      <c r="CH581" s="123"/>
      <c r="CI581" s="123"/>
    </row>
    <row r="582" spans="1:87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123"/>
      <c r="T582" s="124"/>
      <c r="U582" s="123"/>
      <c r="V582" s="123"/>
      <c r="W582" s="124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  <c r="AV582" s="123"/>
      <c r="AW582" s="123"/>
      <c r="AX582" s="123"/>
      <c r="AY582" s="123"/>
      <c r="AZ582" s="123"/>
      <c r="BA582" s="123"/>
      <c r="BB582" s="123"/>
      <c r="BC582" s="123"/>
      <c r="BD582" s="123"/>
      <c r="BE582" s="123"/>
      <c r="BF582" s="123"/>
      <c r="BG582" s="123"/>
      <c r="BH582" s="123"/>
      <c r="BI582" s="123"/>
      <c r="BJ582" s="123"/>
      <c r="BK582" s="123"/>
      <c r="BL582" s="123"/>
      <c r="BM582" s="123"/>
      <c r="BN582" s="123"/>
      <c r="BO582" s="123"/>
      <c r="BP582" s="123"/>
      <c r="BQ582" s="123"/>
      <c r="BR582" s="123"/>
      <c r="BS582" s="123"/>
      <c r="BT582" s="123"/>
      <c r="BU582" s="123"/>
      <c r="BV582" s="123"/>
      <c r="BW582" s="123"/>
      <c r="BX582" s="123"/>
      <c r="BY582" s="123"/>
      <c r="BZ582" s="123"/>
      <c r="CA582" s="123"/>
      <c r="CB582" s="123"/>
      <c r="CC582" s="123"/>
      <c r="CD582" s="123"/>
      <c r="CE582" s="123"/>
      <c r="CF582" s="123"/>
      <c r="CG582" s="123"/>
      <c r="CH582" s="123"/>
      <c r="CI582" s="123"/>
    </row>
    <row r="583" spans="1:87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123"/>
      <c r="T583" s="124"/>
      <c r="U583" s="123"/>
      <c r="V583" s="123"/>
      <c r="W583" s="124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  <c r="AV583" s="123"/>
      <c r="AW583" s="123"/>
      <c r="AX583" s="123"/>
      <c r="AY583" s="123"/>
      <c r="AZ583" s="123"/>
      <c r="BA583" s="123"/>
      <c r="BB583" s="123"/>
      <c r="BC583" s="123"/>
      <c r="BD583" s="123"/>
      <c r="BE583" s="123"/>
      <c r="BF583" s="123"/>
      <c r="BG583" s="123"/>
      <c r="BH583" s="123"/>
      <c r="BI583" s="123"/>
      <c r="BJ583" s="123"/>
      <c r="BK583" s="123"/>
      <c r="BL583" s="123"/>
      <c r="BM583" s="123"/>
      <c r="BN583" s="123"/>
      <c r="BO583" s="123"/>
      <c r="BP583" s="123"/>
      <c r="BQ583" s="123"/>
      <c r="BR583" s="123"/>
      <c r="BS583" s="123"/>
      <c r="BT583" s="123"/>
      <c r="BU583" s="123"/>
      <c r="BV583" s="123"/>
      <c r="BW583" s="123"/>
      <c r="BX583" s="123"/>
      <c r="BY583" s="123"/>
      <c r="BZ583" s="123"/>
      <c r="CA583" s="123"/>
      <c r="CB583" s="123"/>
      <c r="CC583" s="123"/>
      <c r="CD583" s="123"/>
      <c r="CE583" s="123"/>
      <c r="CF583" s="123"/>
      <c r="CG583" s="123"/>
      <c r="CH583" s="123"/>
      <c r="CI583" s="123"/>
    </row>
    <row r="584" spans="1:87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123"/>
      <c r="T584" s="124"/>
      <c r="U584" s="123"/>
      <c r="V584" s="123"/>
      <c r="W584" s="124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  <c r="AV584" s="123"/>
      <c r="AW584" s="123"/>
      <c r="AX584" s="123"/>
      <c r="AY584" s="123"/>
      <c r="AZ584" s="123"/>
      <c r="BA584" s="123"/>
      <c r="BB584" s="123"/>
      <c r="BC584" s="123"/>
      <c r="BD584" s="123"/>
      <c r="BE584" s="123"/>
      <c r="BF584" s="123"/>
      <c r="BG584" s="123"/>
      <c r="BH584" s="123"/>
      <c r="BI584" s="123"/>
      <c r="BJ584" s="123"/>
      <c r="BK584" s="123"/>
      <c r="BL584" s="123"/>
      <c r="BM584" s="123"/>
      <c r="BN584" s="123"/>
      <c r="BO584" s="123"/>
      <c r="BP584" s="123"/>
      <c r="BQ584" s="123"/>
      <c r="BR584" s="123"/>
      <c r="BS584" s="123"/>
      <c r="BT584" s="123"/>
      <c r="BU584" s="123"/>
      <c r="BV584" s="123"/>
      <c r="BW584" s="123"/>
      <c r="BX584" s="123"/>
      <c r="BY584" s="123"/>
      <c r="BZ584" s="123"/>
      <c r="CA584" s="123"/>
      <c r="CB584" s="123"/>
      <c r="CC584" s="123"/>
      <c r="CD584" s="123"/>
      <c r="CE584" s="123"/>
      <c r="CF584" s="123"/>
      <c r="CG584" s="123"/>
      <c r="CH584" s="123"/>
      <c r="CI584" s="123"/>
    </row>
    <row r="585" spans="1:87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123"/>
      <c r="T585" s="124"/>
      <c r="U585" s="123"/>
      <c r="V585" s="123"/>
      <c r="W585" s="124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  <c r="AV585" s="123"/>
      <c r="AW585" s="123"/>
      <c r="AX585" s="123"/>
      <c r="AY585" s="123"/>
      <c r="AZ585" s="123"/>
      <c r="BA585" s="123"/>
      <c r="BB585" s="123"/>
      <c r="BC585" s="123"/>
      <c r="BD585" s="123"/>
      <c r="BE585" s="123"/>
      <c r="BF585" s="123"/>
      <c r="BG585" s="123"/>
      <c r="BH585" s="123"/>
      <c r="BI585" s="123"/>
      <c r="BJ585" s="123"/>
      <c r="BK585" s="123"/>
      <c r="BL585" s="123"/>
      <c r="BM585" s="123"/>
      <c r="BN585" s="123"/>
      <c r="BO585" s="123"/>
      <c r="BP585" s="123"/>
      <c r="BQ585" s="123"/>
      <c r="BR585" s="123"/>
      <c r="BS585" s="123"/>
      <c r="BT585" s="123"/>
      <c r="BU585" s="123"/>
      <c r="BV585" s="123"/>
      <c r="BW585" s="123"/>
      <c r="BX585" s="123"/>
      <c r="BY585" s="123"/>
      <c r="BZ585" s="123"/>
      <c r="CA585" s="123"/>
      <c r="CB585" s="123"/>
      <c r="CC585" s="123"/>
      <c r="CD585" s="123"/>
      <c r="CE585" s="123"/>
      <c r="CF585" s="123"/>
      <c r="CG585" s="123"/>
      <c r="CH585" s="123"/>
      <c r="CI585" s="123"/>
    </row>
    <row r="586" spans="1:87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123"/>
      <c r="T586" s="124"/>
      <c r="U586" s="123"/>
      <c r="V586" s="123"/>
      <c r="W586" s="124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  <c r="AV586" s="123"/>
      <c r="AW586" s="123"/>
      <c r="AX586" s="123"/>
      <c r="AY586" s="123"/>
      <c r="AZ586" s="123"/>
      <c r="BA586" s="123"/>
      <c r="BB586" s="123"/>
      <c r="BC586" s="123"/>
      <c r="BD586" s="123"/>
      <c r="BE586" s="123"/>
      <c r="BF586" s="123"/>
      <c r="BG586" s="123"/>
      <c r="BH586" s="123"/>
      <c r="BI586" s="123"/>
      <c r="BJ586" s="123"/>
      <c r="BK586" s="123"/>
      <c r="BL586" s="123"/>
      <c r="BM586" s="123"/>
      <c r="BN586" s="123"/>
      <c r="BO586" s="123"/>
      <c r="BP586" s="123"/>
      <c r="BQ586" s="123"/>
      <c r="BR586" s="123"/>
      <c r="BS586" s="123"/>
      <c r="BT586" s="123"/>
      <c r="BU586" s="123"/>
      <c r="BV586" s="123"/>
      <c r="BW586" s="123"/>
      <c r="BX586" s="123"/>
      <c r="BY586" s="123"/>
      <c r="BZ586" s="123"/>
      <c r="CA586" s="123"/>
      <c r="CB586" s="123"/>
      <c r="CC586" s="123"/>
      <c r="CD586" s="123"/>
      <c r="CE586" s="123"/>
      <c r="CF586" s="123"/>
      <c r="CG586" s="123"/>
      <c r="CH586" s="123"/>
      <c r="CI586" s="123"/>
    </row>
    <row r="587" spans="1:87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123"/>
      <c r="T587" s="124"/>
      <c r="U587" s="123"/>
      <c r="V587" s="123"/>
      <c r="W587" s="124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  <c r="AV587" s="123"/>
      <c r="AW587" s="123"/>
      <c r="AX587" s="123"/>
      <c r="AY587" s="123"/>
      <c r="AZ587" s="123"/>
      <c r="BA587" s="123"/>
      <c r="BB587" s="123"/>
      <c r="BC587" s="123"/>
      <c r="BD587" s="123"/>
      <c r="BE587" s="123"/>
      <c r="BF587" s="123"/>
      <c r="BG587" s="123"/>
      <c r="BH587" s="123"/>
      <c r="BI587" s="123"/>
      <c r="BJ587" s="123"/>
      <c r="BK587" s="123"/>
      <c r="BL587" s="123"/>
      <c r="BM587" s="123"/>
      <c r="BN587" s="123"/>
      <c r="BO587" s="123"/>
      <c r="BP587" s="123"/>
      <c r="BQ587" s="123"/>
      <c r="BR587" s="123"/>
      <c r="BS587" s="123"/>
      <c r="BT587" s="123"/>
      <c r="BU587" s="123"/>
      <c r="BV587" s="123"/>
      <c r="BW587" s="123"/>
      <c r="BX587" s="123"/>
      <c r="BY587" s="123"/>
      <c r="BZ587" s="123"/>
      <c r="CA587" s="123"/>
      <c r="CB587" s="123"/>
      <c r="CC587" s="123"/>
      <c r="CD587" s="123"/>
      <c r="CE587" s="123"/>
      <c r="CF587" s="123"/>
      <c r="CG587" s="123"/>
      <c r="CH587" s="123"/>
      <c r="CI587" s="123"/>
    </row>
    <row r="588" spans="1:87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123"/>
      <c r="T588" s="124"/>
      <c r="U588" s="123"/>
      <c r="V588" s="123"/>
      <c r="W588" s="124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  <c r="AV588" s="123"/>
      <c r="AW588" s="123"/>
      <c r="AX588" s="123"/>
      <c r="AY588" s="123"/>
      <c r="AZ588" s="123"/>
      <c r="BA588" s="123"/>
      <c r="BB588" s="123"/>
      <c r="BC588" s="123"/>
      <c r="BD588" s="123"/>
      <c r="BE588" s="123"/>
      <c r="BF588" s="123"/>
      <c r="BG588" s="123"/>
      <c r="BH588" s="123"/>
      <c r="BI588" s="123"/>
      <c r="BJ588" s="123"/>
      <c r="BK588" s="123"/>
      <c r="BL588" s="123"/>
      <c r="BM588" s="123"/>
      <c r="BN588" s="123"/>
      <c r="BO588" s="123"/>
      <c r="BP588" s="123"/>
      <c r="BQ588" s="123"/>
      <c r="BR588" s="123"/>
      <c r="BS588" s="123"/>
      <c r="BT588" s="123"/>
      <c r="BU588" s="123"/>
      <c r="BV588" s="123"/>
      <c r="BW588" s="123"/>
      <c r="BX588" s="123"/>
      <c r="BY588" s="123"/>
      <c r="BZ588" s="123"/>
      <c r="CA588" s="123"/>
      <c r="CB588" s="123"/>
      <c r="CC588" s="123"/>
      <c r="CD588" s="123"/>
      <c r="CE588" s="123"/>
      <c r="CF588" s="123"/>
      <c r="CG588" s="123"/>
      <c r="CH588" s="123"/>
      <c r="CI588" s="123"/>
    </row>
    <row r="589" spans="1:87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123"/>
      <c r="T589" s="124"/>
      <c r="U589" s="123"/>
      <c r="V589" s="123"/>
      <c r="W589" s="124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  <c r="AV589" s="123"/>
      <c r="AW589" s="123"/>
      <c r="AX589" s="123"/>
      <c r="AY589" s="123"/>
      <c r="AZ589" s="123"/>
      <c r="BA589" s="123"/>
      <c r="BB589" s="123"/>
      <c r="BC589" s="123"/>
      <c r="BD589" s="123"/>
      <c r="BE589" s="123"/>
      <c r="BF589" s="123"/>
      <c r="BG589" s="123"/>
      <c r="BH589" s="123"/>
      <c r="BI589" s="123"/>
      <c r="BJ589" s="123"/>
      <c r="BK589" s="123"/>
      <c r="BL589" s="123"/>
      <c r="BM589" s="123"/>
      <c r="BN589" s="123"/>
      <c r="BO589" s="123"/>
      <c r="BP589" s="123"/>
      <c r="BQ589" s="123"/>
      <c r="BR589" s="123"/>
      <c r="BS589" s="123"/>
      <c r="BT589" s="123"/>
      <c r="BU589" s="123"/>
      <c r="BV589" s="123"/>
      <c r="BW589" s="123"/>
      <c r="BX589" s="123"/>
      <c r="BY589" s="123"/>
      <c r="BZ589" s="123"/>
      <c r="CA589" s="123"/>
      <c r="CB589" s="123"/>
      <c r="CC589" s="123"/>
      <c r="CD589" s="123"/>
      <c r="CE589" s="123"/>
      <c r="CF589" s="123"/>
      <c r="CG589" s="123"/>
      <c r="CH589" s="123"/>
      <c r="CI589" s="123"/>
    </row>
    <row r="590" spans="1:87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123"/>
      <c r="T590" s="124"/>
      <c r="U590" s="123"/>
      <c r="V590" s="123"/>
      <c r="W590" s="124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  <c r="AV590" s="123"/>
      <c r="AW590" s="123"/>
      <c r="AX590" s="123"/>
      <c r="AY590" s="123"/>
      <c r="AZ590" s="123"/>
      <c r="BA590" s="123"/>
      <c r="BB590" s="123"/>
      <c r="BC590" s="123"/>
      <c r="BD590" s="123"/>
      <c r="BE590" s="123"/>
      <c r="BF590" s="123"/>
      <c r="BG590" s="123"/>
      <c r="BH590" s="123"/>
      <c r="BI590" s="123"/>
      <c r="BJ590" s="123"/>
      <c r="BK590" s="123"/>
      <c r="BL590" s="123"/>
      <c r="BM590" s="123"/>
      <c r="BN590" s="123"/>
      <c r="BO590" s="123"/>
      <c r="BP590" s="123"/>
      <c r="BQ590" s="123"/>
      <c r="BR590" s="123"/>
      <c r="BS590" s="123"/>
      <c r="BT590" s="123"/>
      <c r="BU590" s="123"/>
      <c r="BV590" s="123"/>
      <c r="BW590" s="123"/>
      <c r="BX590" s="123"/>
      <c r="BY590" s="123"/>
      <c r="BZ590" s="123"/>
      <c r="CA590" s="123"/>
      <c r="CB590" s="123"/>
      <c r="CC590" s="123"/>
      <c r="CD590" s="123"/>
      <c r="CE590" s="123"/>
      <c r="CF590" s="123"/>
      <c r="CG590" s="123"/>
      <c r="CH590" s="123"/>
      <c r="CI590" s="123"/>
    </row>
    <row r="591" spans="1:87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123"/>
      <c r="T591" s="124"/>
      <c r="U591" s="123"/>
      <c r="V591" s="123"/>
      <c r="W591" s="124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  <c r="AV591" s="123"/>
      <c r="AW591" s="123"/>
      <c r="AX591" s="123"/>
      <c r="AY591" s="123"/>
      <c r="AZ591" s="123"/>
      <c r="BA591" s="123"/>
      <c r="BB591" s="123"/>
      <c r="BC591" s="123"/>
      <c r="BD591" s="123"/>
      <c r="BE591" s="123"/>
      <c r="BF591" s="123"/>
      <c r="BG591" s="123"/>
      <c r="BH591" s="123"/>
      <c r="BI591" s="123"/>
      <c r="BJ591" s="123"/>
      <c r="BK591" s="123"/>
      <c r="BL591" s="123"/>
      <c r="BM591" s="123"/>
      <c r="BN591" s="123"/>
      <c r="BO591" s="123"/>
      <c r="BP591" s="123"/>
      <c r="BQ591" s="123"/>
      <c r="BR591" s="123"/>
      <c r="BS591" s="123"/>
      <c r="BT591" s="123"/>
      <c r="BU591" s="123"/>
      <c r="BV591" s="123"/>
      <c r="BW591" s="123"/>
      <c r="BX591" s="123"/>
      <c r="BY591" s="123"/>
      <c r="BZ591" s="123"/>
      <c r="CA591" s="123"/>
      <c r="CB591" s="123"/>
      <c r="CC591" s="123"/>
      <c r="CD591" s="123"/>
      <c r="CE591" s="123"/>
      <c r="CF591" s="123"/>
      <c r="CG591" s="123"/>
      <c r="CH591" s="123"/>
      <c r="CI591" s="123"/>
    </row>
    <row r="592" spans="1:87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123"/>
      <c r="T592" s="124"/>
      <c r="U592" s="123"/>
      <c r="V592" s="123"/>
      <c r="W592" s="124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  <c r="AV592" s="123"/>
      <c r="AW592" s="123"/>
      <c r="AX592" s="123"/>
      <c r="AY592" s="123"/>
      <c r="AZ592" s="123"/>
      <c r="BA592" s="123"/>
      <c r="BB592" s="123"/>
      <c r="BC592" s="123"/>
      <c r="BD592" s="123"/>
      <c r="BE592" s="123"/>
      <c r="BF592" s="123"/>
      <c r="BG592" s="123"/>
      <c r="BH592" s="123"/>
      <c r="BI592" s="123"/>
      <c r="BJ592" s="123"/>
      <c r="BK592" s="123"/>
      <c r="BL592" s="123"/>
      <c r="BM592" s="123"/>
      <c r="BN592" s="123"/>
      <c r="BO592" s="123"/>
      <c r="BP592" s="123"/>
      <c r="BQ592" s="123"/>
      <c r="BR592" s="123"/>
      <c r="BS592" s="123"/>
      <c r="BT592" s="123"/>
      <c r="BU592" s="123"/>
      <c r="BV592" s="123"/>
      <c r="BW592" s="123"/>
      <c r="BX592" s="123"/>
      <c r="BY592" s="123"/>
      <c r="BZ592" s="123"/>
      <c r="CA592" s="123"/>
      <c r="CB592" s="123"/>
      <c r="CC592" s="123"/>
      <c r="CD592" s="123"/>
      <c r="CE592" s="123"/>
      <c r="CF592" s="123"/>
      <c r="CG592" s="123"/>
      <c r="CH592" s="123"/>
      <c r="CI592" s="123"/>
    </row>
    <row r="593" spans="1:87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123"/>
      <c r="T593" s="124"/>
      <c r="U593" s="123"/>
      <c r="V593" s="123"/>
      <c r="W593" s="124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  <c r="AV593" s="123"/>
      <c r="AW593" s="123"/>
      <c r="AX593" s="123"/>
      <c r="AY593" s="123"/>
      <c r="AZ593" s="123"/>
      <c r="BA593" s="123"/>
      <c r="BB593" s="123"/>
      <c r="BC593" s="123"/>
      <c r="BD593" s="123"/>
      <c r="BE593" s="123"/>
      <c r="BF593" s="123"/>
      <c r="BG593" s="123"/>
      <c r="BH593" s="123"/>
      <c r="BI593" s="123"/>
      <c r="BJ593" s="123"/>
      <c r="BK593" s="123"/>
      <c r="BL593" s="123"/>
      <c r="BM593" s="123"/>
      <c r="BN593" s="123"/>
      <c r="BO593" s="123"/>
      <c r="BP593" s="123"/>
      <c r="BQ593" s="123"/>
      <c r="BR593" s="123"/>
      <c r="BS593" s="123"/>
      <c r="BT593" s="123"/>
      <c r="BU593" s="123"/>
      <c r="BV593" s="123"/>
      <c r="BW593" s="123"/>
      <c r="BX593" s="123"/>
      <c r="BY593" s="123"/>
      <c r="BZ593" s="123"/>
      <c r="CA593" s="123"/>
      <c r="CB593" s="123"/>
      <c r="CC593" s="123"/>
      <c r="CD593" s="123"/>
      <c r="CE593" s="123"/>
      <c r="CF593" s="123"/>
      <c r="CG593" s="123"/>
      <c r="CH593" s="123"/>
      <c r="CI593" s="123"/>
    </row>
    <row r="594" spans="1:87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123"/>
      <c r="T594" s="124"/>
      <c r="U594" s="123"/>
      <c r="V594" s="123"/>
      <c r="W594" s="124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  <c r="AV594" s="123"/>
      <c r="AW594" s="123"/>
      <c r="AX594" s="123"/>
      <c r="AY594" s="123"/>
      <c r="AZ594" s="123"/>
      <c r="BA594" s="123"/>
      <c r="BB594" s="123"/>
      <c r="BC594" s="123"/>
      <c r="BD594" s="123"/>
      <c r="BE594" s="123"/>
      <c r="BF594" s="123"/>
      <c r="BG594" s="123"/>
      <c r="BH594" s="123"/>
      <c r="BI594" s="123"/>
      <c r="BJ594" s="123"/>
      <c r="BK594" s="123"/>
      <c r="BL594" s="123"/>
      <c r="BM594" s="123"/>
      <c r="BN594" s="123"/>
      <c r="BO594" s="123"/>
      <c r="BP594" s="123"/>
      <c r="BQ594" s="123"/>
      <c r="BR594" s="123"/>
      <c r="BS594" s="123"/>
      <c r="BT594" s="123"/>
      <c r="BU594" s="123"/>
      <c r="BV594" s="123"/>
      <c r="BW594" s="123"/>
      <c r="BX594" s="123"/>
      <c r="BY594" s="123"/>
      <c r="BZ594" s="123"/>
      <c r="CA594" s="123"/>
      <c r="CB594" s="123"/>
      <c r="CC594" s="123"/>
      <c r="CD594" s="123"/>
      <c r="CE594" s="123"/>
      <c r="CF594" s="123"/>
      <c r="CG594" s="123"/>
      <c r="CH594" s="123"/>
      <c r="CI594" s="123"/>
    </row>
    <row r="595" spans="1:87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123"/>
      <c r="T595" s="124"/>
      <c r="U595" s="123"/>
      <c r="V595" s="123"/>
      <c r="W595" s="124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  <c r="AV595" s="123"/>
      <c r="AW595" s="123"/>
      <c r="AX595" s="123"/>
      <c r="AY595" s="123"/>
      <c r="AZ595" s="123"/>
      <c r="BA595" s="123"/>
      <c r="BB595" s="123"/>
      <c r="BC595" s="123"/>
      <c r="BD595" s="123"/>
      <c r="BE595" s="123"/>
      <c r="BF595" s="123"/>
      <c r="BG595" s="123"/>
      <c r="BH595" s="123"/>
      <c r="BI595" s="123"/>
      <c r="BJ595" s="123"/>
      <c r="BK595" s="123"/>
      <c r="BL595" s="123"/>
      <c r="BM595" s="123"/>
      <c r="BN595" s="123"/>
      <c r="BO595" s="123"/>
      <c r="BP595" s="123"/>
      <c r="BQ595" s="123"/>
      <c r="BR595" s="123"/>
      <c r="BS595" s="123"/>
      <c r="BT595" s="123"/>
      <c r="BU595" s="123"/>
      <c r="BV595" s="123"/>
      <c r="BW595" s="123"/>
      <c r="BX595" s="123"/>
      <c r="BY595" s="123"/>
      <c r="BZ595" s="123"/>
      <c r="CA595" s="123"/>
      <c r="CB595" s="123"/>
      <c r="CC595" s="123"/>
      <c r="CD595" s="123"/>
      <c r="CE595" s="123"/>
      <c r="CF595" s="123"/>
      <c r="CG595" s="123"/>
      <c r="CH595" s="123"/>
      <c r="CI595" s="123"/>
    </row>
    <row r="596" spans="1:87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123"/>
      <c r="T596" s="124"/>
      <c r="U596" s="123"/>
      <c r="V596" s="123"/>
      <c r="W596" s="124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  <c r="AV596" s="123"/>
      <c r="AW596" s="123"/>
      <c r="AX596" s="123"/>
      <c r="AY596" s="123"/>
      <c r="AZ596" s="123"/>
      <c r="BA596" s="123"/>
      <c r="BB596" s="123"/>
      <c r="BC596" s="123"/>
      <c r="BD596" s="123"/>
      <c r="BE596" s="123"/>
      <c r="BF596" s="123"/>
      <c r="BG596" s="123"/>
      <c r="BH596" s="123"/>
      <c r="BI596" s="123"/>
      <c r="BJ596" s="123"/>
      <c r="BK596" s="123"/>
      <c r="BL596" s="123"/>
      <c r="BM596" s="123"/>
      <c r="BN596" s="123"/>
      <c r="BO596" s="123"/>
      <c r="BP596" s="123"/>
      <c r="BQ596" s="123"/>
      <c r="BR596" s="123"/>
      <c r="BS596" s="123"/>
      <c r="BT596" s="123"/>
      <c r="BU596" s="123"/>
      <c r="BV596" s="123"/>
      <c r="BW596" s="123"/>
      <c r="BX596" s="123"/>
      <c r="BY596" s="123"/>
      <c r="BZ596" s="123"/>
      <c r="CA596" s="123"/>
      <c r="CB596" s="123"/>
      <c r="CC596" s="123"/>
      <c r="CD596" s="123"/>
      <c r="CE596" s="123"/>
      <c r="CF596" s="123"/>
      <c r="CG596" s="123"/>
      <c r="CH596" s="123"/>
      <c r="CI596" s="123"/>
    </row>
    <row r="597" spans="1:87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123"/>
      <c r="T597" s="124"/>
      <c r="U597" s="123"/>
      <c r="V597" s="123"/>
      <c r="W597" s="124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  <c r="AV597" s="123"/>
      <c r="AW597" s="123"/>
      <c r="AX597" s="123"/>
      <c r="AY597" s="123"/>
      <c r="AZ597" s="123"/>
      <c r="BA597" s="123"/>
      <c r="BB597" s="123"/>
      <c r="BC597" s="123"/>
      <c r="BD597" s="123"/>
      <c r="BE597" s="123"/>
      <c r="BF597" s="123"/>
      <c r="BG597" s="123"/>
      <c r="BH597" s="123"/>
      <c r="BI597" s="123"/>
      <c r="BJ597" s="123"/>
      <c r="BK597" s="123"/>
      <c r="BL597" s="123"/>
      <c r="BM597" s="123"/>
      <c r="BN597" s="123"/>
      <c r="BO597" s="123"/>
      <c r="BP597" s="123"/>
      <c r="BQ597" s="123"/>
      <c r="BR597" s="123"/>
      <c r="BS597" s="123"/>
      <c r="BT597" s="123"/>
      <c r="BU597" s="123"/>
      <c r="BV597" s="123"/>
      <c r="BW597" s="123"/>
      <c r="BX597" s="123"/>
      <c r="BY597" s="123"/>
      <c r="BZ597" s="123"/>
      <c r="CA597" s="123"/>
      <c r="CB597" s="123"/>
      <c r="CC597" s="123"/>
      <c r="CD597" s="123"/>
      <c r="CE597" s="123"/>
      <c r="CF597" s="123"/>
      <c r="CG597" s="123"/>
      <c r="CH597" s="123"/>
      <c r="CI597" s="123"/>
    </row>
    <row r="598" spans="1:87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123"/>
      <c r="T598" s="124"/>
      <c r="U598" s="123"/>
      <c r="V598" s="123"/>
      <c r="W598" s="124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  <c r="AV598" s="123"/>
      <c r="AW598" s="123"/>
      <c r="AX598" s="123"/>
      <c r="AY598" s="123"/>
      <c r="AZ598" s="123"/>
      <c r="BA598" s="123"/>
      <c r="BB598" s="123"/>
      <c r="BC598" s="123"/>
      <c r="BD598" s="123"/>
      <c r="BE598" s="123"/>
      <c r="BF598" s="123"/>
      <c r="BG598" s="123"/>
      <c r="BH598" s="123"/>
      <c r="BI598" s="123"/>
      <c r="BJ598" s="123"/>
      <c r="BK598" s="123"/>
      <c r="BL598" s="123"/>
      <c r="BM598" s="123"/>
      <c r="BN598" s="123"/>
      <c r="BO598" s="123"/>
      <c r="BP598" s="123"/>
      <c r="BQ598" s="123"/>
      <c r="BR598" s="123"/>
      <c r="BS598" s="123"/>
      <c r="BT598" s="123"/>
      <c r="BU598" s="123"/>
      <c r="BV598" s="123"/>
      <c r="BW598" s="123"/>
      <c r="BX598" s="123"/>
      <c r="BY598" s="123"/>
      <c r="BZ598" s="123"/>
      <c r="CA598" s="123"/>
      <c r="CB598" s="123"/>
      <c r="CC598" s="123"/>
      <c r="CD598" s="123"/>
      <c r="CE598" s="123"/>
      <c r="CF598" s="123"/>
      <c r="CG598" s="123"/>
      <c r="CH598" s="123"/>
      <c r="CI598" s="123"/>
    </row>
    <row r="599" spans="1:87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123"/>
      <c r="T599" s="124"/>
      <c r="U599" s="123"/>
      <c r="V599" s="123"/>
      <c r="W599" s="124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  <c r="AV599" s="123"/>
      <c r="AW599" s="123"/>
      <c r="AX599" s="123"/>
      <c r="AY599" s="123"/>
      <c r="AZ599" s="123"/>
      <c r="BA599" s="123"/>
      <c r="BB599" s="123"/>
      <c r="BC599" s="123"/>
      <c r="BD599" s="123"/>
      <c r="BE599" s="123"/>
      <c r="BF599" s="123"/>
      <c r="BG599" s="123"/>
      <c r="BH599" s="123"/>
      <c r="BI599" s="123"/>
      <c r="BJ599" s="123"/>
      <c r="BK599" s="123"/>
      <c r="BL599" s="123"/>
      <c r="BM599" s="123"/>
      <c r="BN599" s="123"/>
      <c r="BO599" s="123"/>
      <c r="BP599" s="123"/>
      <c r="BQ599" s="123"/>
      <c r="BR599" s="123"/>
      <c r="BS599" s="123"/>
      <c r="BT599" s="123"/>
      <c r="BU599" s="123"/>
      <c r="BV599" s="123"/>
      <c r="BW599" s="123"/>
      <c r="BX599" s="123"/>
      <c r="BY599" s="123"/>
      <c r="BZ599" s="123"/>
      <c r="CA599" s="123"/>
      <c r="CB599" s="123"/>
      <c r="CC599" s="123"/>
      <c r="CD599" s="123"/>
      <c r="CE599" s="123"/>
      <c r="CF599" s="123"/>
      <c r="CG599" s="123"/>
      <c r="CH599" s="123"/>
      <c r="CI599" s="123"/>
    </row>
    <row r="600" spans="1:87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123"/>
      <c r="T600" s="124"/>
      <c r="U600" s="123"/>
      <c r="V600" s="123"/>
      <c r="W600" s="124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  <c r="AV600" s="123"/>
      <c r="AW600" s="123"/>
      <c r="AX600" s="123"/>
      <c r="AY600" s="123"/>
      <c r="AZ600" s="123"/>
      <c r="BA600" s="123"/>
      <c r="BB600" s="123"/>
      <c r="BC600" s="123"/>
      <c r="BD600" s="123"/>
      <c r="BE600" s="123"/>
      <c r="BF600" s="123"/>
      <c r="BG600" s="123"/>
      <c r="BH600" s="123"/>
      <c r="BI600" s="123"/>
      <c r="BJ600" s="123"/>
      <c r="BK600" s="123"/>
      <c r="BL600" s="123"/>
      <c r="BM600" s="123"/>
      <c r="BN600" s="123"/>
      <c r="BO600" s="123"/>
      <c r="BP600" s="123"/>
      <c r="BQ600" s="123"/>
      <c r="BR600" s="123"/>
      <c r="BS600" s="123"/>
      <c r="BT600" s="123"/>
      <c r="BU600" s="123"/>
      <c r="BV600" s="123"/>
      <c r="BW600" s="123"/>
      <c r="BX600" s="123"/>
      <c r="BY600" s="123"/>
      <c r="BZ600" s="123"/>
      <c r="CA600" s="123"/>
      <c r="CB600" s="123"/>
      <c r="CC600" s="123"/>
      <c r="CD600" s="123"/>
      <c r="CE600" s="123"/>
      <c r="CF600" s="123"/>
      <c r="CG600" s="123"/>
      <c r="CH600" s="123"/>
      <c r="CI600" s="123"/>
    </row>
    <row r="601" spans="1:87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123"/>
      <c r="T601" s="124"/>
      <c r="U601" s="123"/>
      <c r="V601" s="123"/>
      <c r="W601" s="124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  <c r="AV601" s="123"/>
      <c r="AW601" s="123"/>
      <c r="AX601" s="123"/>
      <c r="AY601" s="123"/>
      <c r="AZ601" s="123"/>
      <c r="BA601" s="123"/>
      <c r="BB601" s="123"/>
      <c r="BC601" s="123"/>
      <c r="BD601" s="123"/>
      <c r="BE601" s="123"/>
      <c r="BF601" s="123"/>
      <c r="BG601" s="123"/>
      <c r="BH601" s="123"/>
      <c r="BI601" s="123"/>
      <c r="BJ601" s="123"/>
      <c r="BK601" s="123"/>
      <c r="BL601" s="123"/>
      <c r="BM601" s="123"/>
      <c r="BN601" s="123"/>
      <c r="BO601" s="123"/>
      <c r="BP601" s="123"/>
      <c r="BQ601" s="123"/>
      <c r="BR601" s="123"/>
      <c r="BS601" s="123"/>
      <c r="BT601" s="123"/>
      <c r="BU601" s="123"/>
      <c r="BV601" s="123"/>
      <c r="BW601" s="123"/>
      <c r="BX601" s="123"/>
      <c r="BY601" s="123"/>
      <c r="BZ601" s="123"/>
      <c r="CA601" s="123"/>
      <c r="CB601" s="123"/>
      <c r="CC601" s="123"/>
      <c r="CD601" s="123"/>
      <c r="CE601" s="123"/>
      <c r="CF601" s="123"/>
      <c r="CG601" s="123"/>
      <c r="CH601" s="123"/>
      <c r="CI601" s="123"/>
    </row>
    <row r="602" spans="1:87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123"/>
      <c r="T602" s="124"/>
      <c r="U602" s="123"/>
      <c r="V602" s="123"/>
      <c r="W602" s="124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  <c r="AV602" s="123"/>
      <c r="AW602" s="123"/>
      <c r="AX602" s="123"/>
      <c r="AY602" s="123"/>
      <c r="AZ602" s="123"/>
      <c r="BA602" s="123"/>
      <c r="BB602" s="123"/>
      <c r="BC602" s="123"/>
      <c r="BD602" s="123"/>
      <c r="BE602" s="123"/>
      <c r="BF602" s="123"/>
      <c r="BG602" s="123"/>
      <c r="BH602" s="123"/>
      <c r="BI602" s="123"/>
      <c r="BJ602" s="123"/>
      <c r="BK602" s="123"/>
      <c r="BL602" s="123"/>
      <c r="BM602" s="123"/>
      <c r="BN602" s="123"/>
      <c r="BO602" s="123"/>
      <c r="BP602" s="123"/>
      <c r="BQ602" s="123"/>
      <c r="BR602" s="123"/>
      <c r="BS602" s="123"/>
      <c r="BT602" s="123"/>
      <c r="BU602" s="123"/>
      <c r="BV602" s="123"/>
      <c r="BW602" s="123"/>
      <c r="BX602" s="123"/>
      <c r="BY602" s="123"/>
      <c r="BZ602" s="123"/>
      <c r="CA602" s="123"/>
      <c r="CB602" s="123"/>
      <c r="CC602" s="123"/>
      <c r="CD602" s="123"/>
      <c r="CE602" s="123"/>
      <c r="CF602" s="123"/>
      <c r="CG602" s="123"/>
      <c r="CH602" s="123"/>
      <c r="CI602" s="123"/>
    </row>
    <row r="603" spans="1:87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123"/>
      <c r="T603" s="124"/>
      <c r="U603" s="123"/>
      <c r="V603" s="123"/>
      <c r="W603" s="124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  <c r="AV603" s="123"/>
      <c r="AW603" s="123"/>
      <c r="AX603" s="123"/>
      <c r="AY603" s="123"/>
      <c r="AZ603" s="123"/>
      <c r="BA603" s="123"/>
      <c r="BB603" s="123"/>
      <c r="BC603" s="123"/>
      <c r="BD603" s="123"/>
      <c r="BE603" s="123"/>
      <c r="BF603" s="123"/>
      <c r="BG603" s="123"/>
      <c r="BH603" s="123"/>
      <c r="BI603" s="123"/>
      <c r="BJ603" s="123"/>
      <c r="BK603" s="123"/>
      <c r="BL603" s="123"/>
      <c r="BM603" s="123"/>
      <c r="BN603" s="123"/>
      <c r="BO603" s="123"/>
      <c r="BP603" s="123"/>
      <c r="BQ603" s="123"/>
      <c r="BR603" s="123"/>
      <c r="BS603" s="123"/>
      <c r="BT603" s="123"/>
      <c r="BU603" s="123"/>
      <c r="BV603" s="123"/>
      <c r="BW603" s="123"/>
      <c r="BX603" s="123"/>
      <c r="BY603" s="123"/>
      <c r="BZ603" s="123"/>
      <c r="CA603" s="123"/>
      <c r="CB603" s="123"/>
      <c r="CC603" s="123"/>
      <c r="CD603" s="123"/>
      <c r="CE603" s="123"/>
      <c r="CF603" s="123"/>
      <c r="CG603" s="123"/>
      <c r="CH603" s="123"/>
      <c r="CI603" s="123"/>
    </row>
    <row r="604" spans="1:87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123"/>
      <c r="T604" s="124"/>
      <c r="U604" s="123"/>
      <c r="V604" s="123"/>
      <c r="W604" s="124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  <c r="AV604" s="123"/>
      <c r="AW604" s="123"/>
      <c r="AX604" s="123"/>
      <c r="AY604" s="123"/>
      <c r="AZ604" s="123"/>
      <c r="BA604" s="123"/>
      <c r="BB604" s="123"/>
      <c r="BC604" s="123"/>
      <c r="BD604" s="123"/>
      <c r="BE604" s="123"/>
      <c r="BF604" s="123"/>
      <c r="BG604" s="123"/>
      <c r="BH604" s="123"/>
      <c r="BI604" s="123"/>
      <c r="BJ604" s="123"/>
      <c r="BK604" s="123"/>
      <c r="BL604" s="123"/>
      <c r="BM604" s="123"/>
      <c r="BN604" s="123"/>
      <c r="BO604" s="123"/>
      <c r="BP604" s="123"/>
      <c r="BQ604" s="123"/>
      <c r="BR604" s="123"/>
      <c r="BS604" s="123"/>
      <c r="BT604" s="123"/>
      <c r="BU604" s="123"/>
      <c r="BV604" s="123"/>
      <c r="BW604" s="123"/>
      <c r="BX604" s="123"/>
      <c r="BY604" s="123"/>
      <c r="BZ604" s="123"/>
      <c r="CA604" s="123"/>
      <c r="CB604" s="123"/>
      <c r="CC604" s="123"/>
      <c r="CD604" s="123"/>
      <c r="CE604" s="123"/>
      <c r="CF604" s="123"/>
      <c r="CG604" s="123"/>
      <c r="CH604" s="123"/>
      <c r="CI604" s="123"/>
    </row>
    <row r="605" spans="1:87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123"/>
      <c r="T605" s="124"/>
      <c r="U605" s="123"/>
      <c r="V605" s="123"/>
      <c r="W605" s="124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  <c r="AV605" s="123"/>
      <c r="AW605" s="123"/>
      <c r="AX605" s="123"/>
      <c r="AY605" s="123"/>
      <c r="AZ605" s="123"/>
      <c r="BA605" s="123"/>
      <c r="BB605" s="123"/>
      <c r="BC605" s="123"/>
      <c r="BD605" s="123"/>
      <c r="BE605" s="123"/>
      <c r="BF605" s="123"/>
      <c r="BG605" s="123"/>
      <c r="BH605" s="123"/>
      <c r="BI605" s="123"/>
      <c r="BJ605" s="123"/>
      <c r="BK605" s="123"/>
      <c r="BL605" s="123"/>
      <c r="BM605" s="123"/>
      <c r="BN605" s="123"/>
      <c r="BO605" s="123"/>
      <c r="BP605" s="123"/>
      <c r="BQ605" s="123"/>
      <c r="BR605" s="123"/>
      <c r="BS605" s="123"/>
      <c r="BT605" s="123"/>
      <c r="BU605" s="123"/>
      <c r="BV605" s="123"/>
      <c r="BW605" s="123"/>
      <c r="BX605" s="123"/>
      <c r="BY605" s="123"/>
      <c r="BZ605" s="123"/>
      <c r="CA605" s="123"/>
      <c r="CB605" s="123"/>
      <c r="CC605" s="123"/>
      <c r="CD605" s="123"/>
      <c r="CE605" s="123"/>
      <c r="CF605" s="123"/>
      <c r="CG605" s="123"/>
      <c r="CH605" s="123"/>
      <c r="CI605" s="123"/>
    </row>
    <row r="606" spans="1:87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123"/>
      <c r="T606" s="124"/>
      <c r="U606" s="123"/>
      <c r="V606" s="123"/>
      <c r="W606" s="124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  <c r="AV606" s="123"/>
      <c r="AW606" s="123"/>
      <c r="AX606" s="123"/>
      <c r="AY606" s="123"/>
      <c r="AZ606" s="123"/>
      <c r="BA606" s="123"/>
      <c r="BB606" s="123"/>
      <c r="BC606" s="123"/>
      <c r="BD606" s="123"/>
      <c r="BE606" s="123"/>
      <c r="BF606" s="123"/>
      <c r="BG606" s="123"/>
      <c r="BH606" s="123"/>
      <c r="BI606" s="123"/>
      <c r="BJ606" s="123"/>
      <c r="BK606" s="123"/>
      <c r="BL606" s="123"/>
      <c r="BM606" s="123"/>
      <c r="BN606" s="123"/>
      <c r="BO606" s="123"/>
      <c r="BP606" s="123"/>
      <c r="BQ606" s="123"/>
      <c r="BR606" s="123"/>
      <c r="BS606" s="123"/>
      <c r="BT606" s="123"/>
      <c r="BU606" s="123"/>
      <c r="BV606" s="123"/>
      <c r="BW606" s="123"/>
      <c r="BX606" s="123"/>
      <c r="BY606" s="123"/>
      <c r="BZ606" s="123"/>
      <c r="CA606" s="123"/>
      <c r="CB606" s="123"/>
      <c r="CC606" s="123"/>
      <c r="CD606" s="123"/>
      <c r="CE606" s="123"/>
      <c r="CF606" s="123"/>
      <c r="CG606" s="123"/>
      <c r="CH606" s="123"/>
      <c r="CI606" s="123"/>
    </row>
    <row r="607" spans="1:87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123"/>
      <c r="T607" s="124"/>
      <c r="U607" s="123"/>
      <c r="V607" s="123"/>
      <c r="W607" s="124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  <c r="AV607" s="123"/>
      <c r="AW607" s="123"/>
      <c r="AX607" s="123"/>
      <c r="AY607" s="123"/>
      <c r="AZ607" s="123"/>
      <c r="BA607" s="123"/>
      <c r="BB607" s="123"/>
      <c r="BC607" s="123"/>
      <c r="BD607" s="123"/>
      <c r="BE607" s="123"/>
      <c r="BF607" s="123"/>
      <c r="BG607" s="123"/>
      <c r="BH607" s="123"/>
      <c r="BI607" s="123"/>
      <c r="BJ607" s="123"/>
      <c r="BK607" s="123"/>
      <c r="BL607" s="123"/>
      <c r="BM607" s="123"/>
      <c r="BN607" s="123"/>
      <c r="BO607" s="123"/>
      <c r="BP607" s="123"/>
      <c r="BQ607" s="123"/>
      <c r="BR607" s="123"/>
      <c r="BS607" s="123"/>
      <c r="BT607" s="123"/>
      <c r="BU607" s="123"/>
      <c r="BV607" s="123"/>
      <c r="BW607" s="123"/>
      <c r="BX607" s="123"/>
      <c r="BY607" s="123"/>
      <c r="BZ607" s="123"/>
      <c r="CA607" s="123"/>
      <c r="CB607" s="123"/>
      <c r="CC607" s="123"/>
      <c r="CD607" s="123"/>
      <c r="CE607" s="123"/>
      <c r="CF607" s="123"/>
      <c r="CG607" s="123"/>
      <c r="CH607" s="123"/>
      <c r="CI607" s="123"/>
    </row>
    <row r="608" spans="1:87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123"/>
      <c r="T608" s="124"/>
      <c r="U608" s="123"/>
      <c r="V608" s="123"/>
      <c r="W608" s="124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  <c r="AV608" s="123"/>
      <c r="AW608" s="123"/>
      <c r="AX608" s="123"/>
      <c r="AY608" s="123"/>
      <c r="AZ608" s="123"/>
      <c r="BA608" s="123"/>
      <c r="BB608" s="123"/>
      <c r="BC608" s="123"/>
      <c r="BD608" s="123"/>
      <c r="BE608" s="123"/>
      <c r="BF608" s="123"/>
      <c r="BG608" s="123"/>
      <c r="BH608" s="123"/>
      <c r="BI608" s="123"/>
      <c r="BJ608" s="123"/>
      <c r="BK608" s="123"/>
      <c r="BL608" s="123"/>
      <c r="BM608" s="123"/>
      <c r="BN608" s="123"/>
      <c r="BO608" s="123"/>
      <c r="BP608" s="123"/>
      <c r="BQ608" s="123"/>
      <c r="BR608" s="123"/>
      <c r="BS608" s="123"/>
      <c r="BT608" s="123"/>
      <c r="BU608" s="123"/>
      <c r="BV608" s="123"/>
      <c r="BW608" s="123"/>
      <c r="BX608" s="123"/>
      <c r="BY608" s="123"/>
      <c r="BZ608" s="123"/>
      <c r="CA608" s="123"/>
      <c r="CB608" s="123"/>
      <c r="CC608" s="123"/>
      <c r="CD608" s="123"/>
      <c r="CE608" s="123"/>
      <c r="CF608" s="123"/>
      <c r="CG608" s="123"/>
      <c r="CH608" s="123"/>
      <c r="CI608" s="123"/>
    </row>
    <row r="609" spans="1:87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123"/>
      <c r="T609" s="124"/>
      <c r="U609" s="123"/>
      <c r="V609" s="123"/>
      <c r="W609" s="124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  <c r="AV609" s="123"/>
      <c r="AW609" s="123"/>
      <c r="AX609" s="123"/>
      <c r="AY609" s="123"/>
      <c r="AZ609" s="123"/>
      <c r="BA609" s="123"/>
      <c r="BB609" s="123"/>
      <c r="BC609" s="123"/>
      <c r="BD609" s="123"/>
      <c r="BE609" s="123"/>
      <c r="BF609" s="123"/>
      <c r="BG609" s="123"/>
      <c r="BH609" s="123"/>
      <c r="BI609" s="123"/>
      <c r="BJ609" s="123"/>
      <c r="BK609" s="123"/>
      <c r="BL609" s="123"/>
      <c r="BM609" s="123"/>
      <c r="BN609" s="123"/>
      <c r="BO609" s="123"/>
      <c r="BP609" s="123"/>
      <c r="BQ609" s="123"/>
      <c r="BR609" s="123"/>
      <c r="BS609" s="123"/>
      <c r="BT609" s="123"/>
      <c r="BU609" s="123"/>
      <c r="BV609" s="123"/>
      <c r="BW609" s="123"/>
      <c r="BX609" s="123"/>
      <c r="BY609" s="123"/>
      <c r="BZ609" s="123"/>
      <c r="CA609" s="123"/>
      <c r="CB609" s="123"/>
      <c r="CC609" s="123"/>
      <c r="CD609" s="123"/>
      <c r="CE609" s="123"/>
      <c r="CF609" s="123"/>
      <c r="CG609" s="123"/>
      <c r="CH609" s="123"/>
      <c r="CI609" s="123"/>
    </row>
    <row r="610" spans="1:87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123"/>
      <c r="T610" s="124"/>
      <c r="U610" s="123"/>
      <c r="V610" s="123"/>
      <c r="W610" s="124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  <c r="AV610" s="123"/>
      <c r="AW610" s="123"/>
      <c r="AX610" s="123"/>
      <c r="AY610" s="123"/>
      <c r="AZ610" s="123"/>
      <c r="BA610" s="123"/>
      <c r="BB610" s="123"/>
      <c r="BC610" s="123"/>
      <c r="BD610" s="123"/>
      <c r="BE610" s="123"/>
      <c r="BF610" s="123"/>
      <c r="BG610" s="123"/>
      <c r="BH610" s="123"/>
      <c r="BI610" s="123"/>
      <c r="BJ610" s="123"/>
      <c r="BK610" s="123"/>
      <c r="BL610" s="123"/>
      <c r="BM610" s="123"/>
      <c r="BN610" s="123"/>
      <c r="BO610" s="123"/>
      <c r="BP610" s="123"/>
      <c r="BQ610" s="123"/>
      <c r="BR610" s="123"/>
      <c r="BS610" s="123"/>
      <c r="BT610" s="123"/>
      <c r="BU610" s="123"/>
      <c r="BV610" s="123"/>
      <c r="BW610" s="123"/>
      <c r="BX610" s="123"/>
      <c r="BY610" s="123"/>
      <c r="BZ610" s="123"/>
      <c r="CA610" s="123"/>
      <c r="CB610" s="123"/>
      <c r="CC610" s="123"/>
      <c r="CD610" s="123"/>
      <c r="CE610" s="123"/>
      <c r="CF610" s="123"/>
      <c r="CG610" s="123"/>
      <c r="CH610" s="123"/>
      <c r="CI610" s="123"/>
    </row>
    <row r="611" spans="1:87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123"/>
      <c r="T611" s="124"/>
      <c r="U611" s="123"/>
      <c r="V611" s="123"/>
      <c r="W611" s="124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  <c r="AV611" s="123"/>
      <c r="AW611" s="123"/>
      <c r="AX611" s="123"/>
      <c r="AY611" s="123"/>
      <c r="AZ611" s="123"/>
      <c r="BA611" s="123"/>
      <c r="BB611" s="123"/>
      <c r="BC611" s="123"/>
      <c r="BD611" s="123"/>
      <c r="BE611" s="123"/>
      <c r="BF611" s="123"/>
      <c r="BG611" s="123"/>
      <c r="BH611" s="123"/>
      <c r="BI611" s="123"/>
      <c r="BJ611" s="123"/>
      <c r="BK611" s="123"/>
      <c r="BL611" s="123"/>
      <c r="BM611" s="123"/>
      <c r="BN611" s="123"/>
      <c r="BO611" s="123"/>
      <c r="BP611" s="123"/>
      <c r="BQ611" s="123"/>
      <c r="BR611" s="123"/>
      <c r="BS611" s="123"/>
      <c r="BT611" s="123"/>
      <c r="BU611" s="123"/>
      <c r="BV611" s="123"/>
      <c r="BW611" s="123"/>
      <c r="BX611" s="123"/>
      <c r="BY611" s="123"/>
      <c r="BZ611" s="123"/>
      <c r="CA611" s="123"/>
      <c r="CB611" s="123"/>
      <c r="CC611" s="123"/>
      <c r="CD611" s="123"/>
      <c r="CE611" s="123"/>
      <c r="CF611" s="123"/>
      <c r="CG611" s="123"/>
      <c r="CH611" s="123"/>
      <c r="CI611" s="123"/>
    </row>
    <row r="612" spans="1:87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123"/>
      <c r="T612" s="124"/>
      <c r="U612" s="123"/>
      <c r="V612" s="123"/>
      <c r="W612" s="124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  <c r="AV612" s="123"/>
      <c r="AW612" s="123"/>
      <c r="AX612" s="123"/>
      <c r="AY612" s="123"/>
      <c r="AZ612" s="123"/>
      <c r="BA612" s="123"/>
      <c r="BB612" s="123"/>
      <c r="BC612" s="123"/>
      <c r="BD612" s="123"/>
      <c r="BE612" s="123"/>
      <c r="BF612" s="123"/>
      <c r="BG612" s="123"/>
      <c r="BH612" s="123"/>
      <c r="BI612" s="123"/>
      <c r="BJ612" s="123"/>
      <c r="BK612" s="123"/>
      <c r="BL612" s="123"/>
      <c r="BM612" s="123"/>
      <c r="BN612" s="123"/>
      <c r="BO612" s="123"/>
      <c r="BP612" s="123"/>
      <c r="BQ612" s="123"/>
      <c r="BR612" s="123"/>
      <c r="BS612" s="123"/>
      <c r="BT612" s="123"/>
      <c r="BU612" s="123"/>
      <c r="BV612" s="123"/>
      <c r="BW612" s="123"/>
      <c r="BX612" s="123"/>
      <c r="BY612" s="123"/>
      <c r="BZ612" s="123"/>
      <c r="CA612" s="123"/>
      <c r="CB612" s="123"/>
      <c r="CC612" s="123"/>
      <c r="CD612" s="123"/>
      <c r="CE612" s="123"/>
      <c r="CF612" s="123"/>
      <c r="CG612" s="123"/>
      <c r="CH612" s="123"/>
      <c r="CI612" s="123"/>
    </row>
    <row r="613" spans="1:87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123"/>
      <c r="T613" s="124"/>
      <c r="U613" s="123"/>
      <c r="V613" s="123"/>
      <c r="W613" s="124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  <c r="AV613" s="123"/>
      <c r="AW613" s="123"/>
      <c r="AX613" s="123"/>
      <c r="AY613" s="123"/>
      <c r="AZ613" s="123"/>
      <c r="BA613" s="123"/>
      <c r="BB613" s="123"/>
      <c r="BC613" s="123"/>
      <c r="BD613" s="123"/>
      <c r="BE613" s="123"/>
      <c r="BF613" s="123"/>
      <c r="BG613" s="123"/>
      <c r="BH613" s="123"/>
      <c r="BI613" s="123"/>
      <c r="BJ613" s="123"/>
      <c r="BK613" s="123"/>
      <c r="BL613" s="123"/>
      <c r="BM613" s="123"/>
      <c r="BN613" s="123"/>
      <c r="BO613" s="123"/>
      <c r="BP613" s="123"/>
      <c r="BQ613" s="123"/>
      <c r="BR613" s="123"/>
      <c r="BS613" s="123"/>
      <c r="BT613" s="123"/>
      <c r="BU613" s="123"/>
      <c r="BV613" s="123"/>
      <c r="BW613" s="123"/>
      <c r="BX613" s="123"/>
      <c r="BY613" s="123"/>
      <c r="BZ613" s="123"/>
      <c r="CA613" s="123"/>
      <c r="CB613" s="123"/>
      <c r="CC613" s="123"/>
      <c r="CD613" s="123"/>
      <c r="CE613" s="123"/>
      <c r="CF613" s="123"/>
      <c r="CG613" s="123"/>
      <c r="CH613" s="123"/>
      <c r="CI613" s="123"/>
    </row>
    <row r="614" spans="1:87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123"/>
      <c r="T614" s="124"/>
      <c r="U614" s="123"/>
      <c r="V614" s="123"/>
      <c r="W614" s="124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  <c r="AV614" s="123"/>
      <c r="AW614" s="123"/>
      <c r="AX614" s="123"/>
      <c r="AY614" s="123"/>
      <c r="AZ614" s="123"/>
      <c r="BA614" s="123"/>
      <c r="BB614" s="123"/>
      <c r="BC614" s="123"/>
      <c r="BD614" s="123"/>
      <c r="BE614" s="123"/>
      <c r="BF614" s="123"/>
      <c r="BG614" s="123"/>
      <c r="BH614" s="123"/>
      <c r="BI614" s="123"/>
      <c r="BJ614" s="123"/>
      <c r="BK614" s="123"/>
      <c r="BL614" s="123"/>
      <c r="BM614" s="123"/>
      <c r="BN614" s="123"/>
      <c r="BO614" s="123"/>
      <c r="BP614" s="123"/>
      <c r="BQ614" s="123"/>
      <c r="BR614" s="123"/>
      <c r="BS614" s="123"/>
      <c r="BT614" s="123"/>
      <c r="BU614" s="123"/>
      <c r="BV614" s="123"/>
      <c r="BW614" s="123"/>
      <c r="BX614" s="123"/>
      <c r="BY614" s="123"/>
      <c r="BZ614" s="123"/>
      <c r="CA614" s="123"/>
      <c r="CB614" s="123"/>
      <c r="CC614" s="123"/>
      <c r="CD614" s="123"/>
      <c r="CE614" s="123"/>
      <c r="CF614" s="123"/>
      <c r="CG614" s="123"/>
      <c r="CH614" s="123"/>
      <c r="CI614" s="123"/>
    </row>
    <row r="615" spans="1:87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123"/>
      <c r="T615" s="124"/>
      <c r="U615" s="123"/>
      <c r="V615" s="123"/>
      <c r="W615" s="124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  <c r="AV615" s="123"/>
      <c r="AW615" s="123"/>
      <c r="AX615" s="123"/>
      <c r="AY615" s="123"/>
      <c r="AZ615" s="123"/>
      <c r="BA615" s="123"/>
      <c r="BB615" s="123"/>
      <c r="BC615" s="123"/>
      <c r="BD615" s="123"/>
      <c r="BE615" s="123"/>
      <c r="BF615" s="123"/>
      <c r="BG615" s="123"/>
      <c r="BH615" s="123"/>
      <c r="BI615" s="123"/>
      <c r="BJ615" s="123"/>
      <c r="BK615" s="123"/>
      <c r="BL615" s="123"/>
      <c r="BM615" s="123"/>
      <c r="BN615" s="123"/>
      <c r="BO615" s="123"/>
      <c r="BP615" s="123"/>
      <c r="BQ615" s="123"/>
      <c r="BR615" s="123"/>
      <c r="BS615" s="123"/>
      <c r="BT615" s="123"/>
      <c r="BU615" s="123"/>
      <c r="BV615" s="123"/>
      <c r="BW615" s="123"/>
      <c r="BX615" s="123"/>
      <c r="BY615" s="123"/>
      <c r="BZ615" s="123"/>
      <c r="CA615" s="123"/>
      <c r="CB615" s="123"/>
      <c r="CC615" s="123"/>
      <c r="CD615" s="123"/>
      <c r="CE615" s="123"/>
      <c r="CF615" s="123"/>
      <c r="CG615" s="123"/>
      <c r="CH615" s="123"/>
      <c r="CI615" s="123"/>
    </row>
    <row r="616" spans="1:87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123"/>
      <c r="T616" s="124"/>
      <c r="U616" s="123"/>
      <c r="V616" s="123"/>
      <c r="W616" s="124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  <c r="AV616" s="123"/>
      <c r="AW616" s="123"/>
      <c r="AX616" s="123"/>
      <c r="AY616" s="123"/>
      <c r="AZ616" s="123"/>
      <c r="BA616" s="123"/>
      <c r="BB616" s="123"/>
      <c r="BC616" s="123"/>
      <c r="BD616" s="123"/>
      <c r="BE616" s="123"/>
      <c r="BF616" s="123"/>
      <c r="BG616" s="123"/>
      <c r="BH616" s="123"/>
      <c r="BI616" s="123"/>
      <c r="BJ616" s="123"/>
      <c r="BK616" s="123"/>
      <c r="BL616" s="123"/>
      <c r="BM616" s="123"/>
      <c r="BN616" s="123"/>
      <c r="BO616" s="123"/>
      <c r="BP616" s="123"/>
      <c r="BQ616" s="123"/>
      <c r="BR616" s="123"/>
      <c r="BS616" s="123"/>
      <c r="BT616" s="123"/>
      <c r="BU616" s="123"/>
      <c r="BV616" s="123"/>
      <c r="BW616" s="123"/>
      <c r="BX616" s="123"/>
      <c r="BY616" s="123"/>
      <c r="BZ616" s="123"/>
      <c r="CA616" s="123"/>
      <c r="CB616" s="123"/>
      <c r="CC616" s="123"/>
      <c r="CD616" s="123"/>
      <c r="CE616" s="123"/>
      <c r="CF616" s="123"/>
      <c r="CG616" s="123"/>
      <c r="CH616" s="123"/>
      <c r="CI616" s="123"/>
    </row>
    <row r="617" spans="1:87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123"/>
      <c r="T617" s="124"/>
      <c r="U617" s="123"/>
      <c r="V617" s="123"/>
      <c r="W617" s="124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  <c r="AV617" s="123"/>
      <c r="AW617" s="123"/>
      <c r="AX617" s="123"/>
      <c r="AY617" s="123"/>
      <c r="AZ617" s="123"/>
      <c r="BA617" s="123"/>
      <c r="BB617" s="123"/>
      <c r="BC617" s="123"/>
      <c r="BD617" s="123"/>
      <c r="BE617" s="123"/>
      <c r="BF617" s="123"/>
      <c r="BG617" s="123"/>
      <c r="BH617" s="123"/>
      <c r="BI617" s="123"/>
      <c r="BJ617" s="123"/>
      <c r="BK617" s="123"/>
      <c r="BL617" s="123"/>
      <c r="BM617" s="123"/>
      <c r="BN617" s="123"/>
      <c r="BO617" s="123"/>
      <c r="BP617" s="123"/>
      <c r="BQ617" s="123"/>
      <c r="BR617" s="123"/>
      <c r="BS617" s="123"/>
      <c r="BT617" s="123"/>
      <c r="BU617" s="123"/>
      <c r="BV617" s="123"/>
      <c r="BW617" s="123"/>
      <c r="BX617" s="123"/>
      <c r="BY617" s="123"/>
      <c r="BZ617" s="123"/>
      <c r="CA617" s="123"/>
      <c r="CB617" s="123"/>
      <c r="CC617" s="123"/>
      <c r="CD617" s="123"/>
      <c r="CE617" s="123"/>
      <c r="CF617" s="123"/>
      <c r="CG617" s="123"/>
      <c r="CH617" s="123"/>
      <c r="CI617" s="123"/>
    </row>
    <row r="618" spans="1:87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123"/>
      <c r="T618" s="124"/>
      <c r="U618" s="123"/>
      <c r="V618" s="123"/>
      <c r="W618" s="124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  <c r="AV618" s="123"/>
      <c r="AW618" s="123"/>
      <c r="AX618" s="123"/>
      <c r="AY618" s="123"/>
      <c r="AZ618" s="123"/>
      <c r="BA618" s="123"/>
      <c r="BB618" s="123"/>
      <c r="BC618" s="123"/>
      <c r="BD618" s="123"/>
      <c r="BE618" s="123"/>
      <c r="BF618" s="123"/>
      <c r="BG618" s="123"/>
      <c r="BH618" s="123"/>
      <c r="BI618" s="123"/>
      <c r="BJ618" s="123"/>
      <c r="BK618" s="123"/>
      <c r="BL618" s="123"/>
      <c r="BM618" s="123"/>
      <c r="BN618" s="123"/>
      <c r="BO618" s="123"/>
      <c r="BP618" s="123"/>
      <c r="BQ618" s="123"/>
      <c r="BR618" s="123"/>
      <c r="BS618" s="123"/>
      <c r="BT618" s="123"/>
      <c r="BU618" s="123"/>
      <c r="BV618" s="123"/>
      <c r="BW618" s="123"/>
      <c r="BX618" s="123"/>
      <c r="BY618" s="123"/>
      <c r="BZ618" s="123"/>
      <c r="CA618" s="123"/>
      <c r="CB618" s="123"/>
      <c r="CC618" s="123"/>
      <c r="CD618" s="123"/>
      <c r="CE618" s="123"/>
      <c r="CF618" s="123"/>
      <c r="CG618" s="123"/>
      <c r="CH618" s="123"/>
      <c r="CI618" s="123"/>
    </row>
    <row r="619" spans="1:87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123"/>
      <c r="T619" s="124"/>
      <c r="U619" s="123"/>
      <c r="V619" s="123"/>
      <c r="W619" s="124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  <c r="AV619" s="123"/>
      <c r="AW619" s="123"/>
      <c r="AX619" s="123"/>
      <c r="AY619" s="123"/>
      <c r="AZ619" s="123"/>
      <c r="BA619" s="123"/>
      <c r="BB619" s="123"/>
      <c r="BC619" s="123"/>
      <c r="BD619" s="123"/>
      <c r="BE619" s="123"/>
      <c r="BF619" s="123"/>
      <c r="BG619" s="123"/>
      <c r="BH619" s="123"/>
      <c r="BI619" s="123"/>
      <c r="BJ619" s="123"/>
      <c r="BK619" s="123"/>
      <c r="BL619" s="123"/>
      <c r="BM619" s="123"/>
      <c r="BN619" s="123"/>
      <c r="BO619" s="123"/>
      <c r="BP619" s="123"/>
      <c r="BQ619" s="123"/>
      <c r="BR619" s="123"/>
      <c r="BS619" s="123"/>
      <c r="BT619" s="123"/>
      <c r="BU619" s="123"/>
      <c r="BV619" s="123"/>
      <c r="BW619" s="123"/>
      <c r="BX619" s="123"/>
      <c r="BY619" s="123"/>
      <c r="BZ619" s="123"/>
      <c r="CA619" s="123"/>
      <c r="CB619" s="123"/>
      <c r="CC619" s="123"/>
      <c r="CD619" s="123"/>
      <c r="CE619" s="123"/>
      <c r="CF619" s="123"/>
      <c r="CG619" s="123"/>
      <c r="CH619" s="123"/>
      <c r="CI619" s="123"/>
    </row>
    <row r="620" spans="1:87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123"/>
      <c r="T620" s="124"/>
      <c r="U620" s="123"/>
      <c r="V620" s="123"/>
      <c r="W620" s="124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  <c r="AV620" s="123"/>
      <c r="AW620" s="123"/>
      <c r="AX620" s="123"/>
      <c r="AY620" s="123"/>
      <c r="AZ620" s="123"/>
      <c r="BA620" s="123"/>
      <c r="BB620" s="123"/>
      <c r="BC620" s="123"/>
      <c r="BD620" s="123"/>
      <c r="BE620" s="123"/>
      <c r="BF620" s="123"/>
      <c r="BG620" s="123"/>
      <c r="BH620" s="123"/>
      <c r="BI620" s="123"/>
      <c r="BJ620" s="123"/>
      <c r="BK620" s="123"/>
      <c r="BL620" s="123"/>
      <c r="BM620" s="123"/>
      <c r="BN620" s="123"/>
      <c r="BO620" s="123"/>
      <c r="BP620" s="123"/>
      <c r="BQ620" s="123"/>
      <c r="BR620" s="123"/>
      <c r="BS620" s="123"/>
      <c r="BT620" s="123"/>
      <c r="BU620" s="123"/>
      <c r="BV620" s="123"/>
      <c r="BW620" s="123"/>
      <c r="BX620" s="123"/>
      <c r="BY620" s="123"/>
      <c r="BZ620" s="123"/>
      <c r="CA620" s="123"/>
      <c r="CB620" s="123"/>
      <c r="CC620" s="123"/>
      <c r="CD620" s="123"/>
      <c r="CE620" s="123"/>
      <c r="CF620" s="123"/>
      <c r="CG620" s="123"/>
      <c r="CH620" s="123"/>
      <c r="CI620" s="123"/>
    </row>
    <row r="621" spans="1:87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123"/>
      <c r="T621" s="124"/>
      <c r="U621" s="123"/>
      <c r="V621" s="123"/>
      <c r="W621" s="124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  <c r="AV621" s="123"/>
      <c r="AW621" s="123"/>
      <c r="AX621" s="123"/>
      <c r="AY621" s="123"/>
      <c r="AZ621" s="123"/>
      <c r="BA621" s="123"/>
      <c r="BB621" s="123"/>
      <c r="BC621" s="123"/>
      <c r="BD621" s="123"/>
      <c r="BE621" s="123"/>
      <c r="BF621" s="123"/>
      <c r="BG621" s="123"/>
      <c r="BH621" s="123"/>
      <c r="BI621" s="123"/>
      <c r="BJ621" s="123"/>
      <c r="BK621" s="123"/>
      <c r="BL621" s="123"/>
      <c r="BM621" s="123"/>
      <c r="BN621" s="123"/>
      <c r="BO621" s="123"/>
      <c r="BP621" s="123"/>
      <c r="BQ621" s="123"/>
      <c r="BR621" s="123"/>
      <c r="BS621" s="123"/>
      <c r="BT621" s="123"/>
      <c r="BU621" s="123"/>
      <c r="BV621" s="123"/>
      <c r="BW621" s="123"/>
      <c r="BX621" s="123"/>
      <c r="BY621" s="123"/>
      <c r="BZ621" s="123"/>
      <c r="CA621" s="123"/>
      <c r="CB621" s="123"/>
      <c r="CC621" s="123"/>
      <c r="CD621" s="123"/>
      <c r="CE621" s="123"/>
      <c r="CF621" s="123"/>
      <c r="CG621" s="123"/>
      <c r="CH621" s="123"/>
      <c r="CI621" s="123"/>
    </row>
    <row r="622" spans="1:87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123"/>
      <c r="T622" s="124"/>
      <c r="U622" s="123"/>
      <c r="V622" s="123"/>
      <c r="W622" s="124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  <c r="AV622" s="123"/>
      <c r="AW622" s="123"/>
      <c r="AX622" s="123"/>
      <c r="AY622" s="123"/>
      <c r="AZ622" s="123"/>
      <c r="BA622" s="123"/>
      <c r="BB622" s="123"/>
      <c r="BC622" s="123"/>
      <c r="BD622" s="123"/>
      <c r="BE622" s="123"/>
      <c r="BF622" s="123"/>
      <c r="BG622" s="123"/>
      <c r="BH622" s="123"/>
      <c r="BI622" s="123"/>
      <c r="BJ622" s="123"/>
      <c r="BK622" s="123"/>
      <c r="BL622" s="123"/>
      <c r="BM622" s="123"/>
      <c r="BN622" s="123"/>
      <c r="BO622" s="123"/>
      <c r="BP622" s="123"/>
      <c r="BQ622" s="123"/>
      <c r="BR622" s="123"/>
      <c r="BS622" s="123"/>
      <c r="BT622" s="123"/>
      <c r="BU622" s="123"/>
      <c r="BV622" s="123"/>
      <c r="BW622" s="123"/>
      <c r="BX622" s="123"/>
      <c r="BY622" s="123"/>
      <c r="BZ622" s="123"/>
      <c r="CA622" s="123"/>
      <c r="CB622" s="123"/>
      <c r="CC622" s="123"/>
      <c r="CD622" s="123"/>
      <c r="CE622" s="123"/>
      <c r="CF622" s="123"/>
      <c r="CG622" s="123"/>
      <c r="CH622" s="123"/>
      <c r="CI622" s="123"/>
    </row>
    <row r="623" spans="1:87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123"/>
      <c r="T623" s="124"/>
      <c r="U623" s="123"/>
      <c r="V623" s="123"/>
      <c r="W623" s="124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  <c r="AV623" s="123"/>
      <c r="AW623" s="123"/>
      <c r="AX623" s="123"/>
      <c r="AY623" s="123"/>
      <c r="AZ623" s="123"/>
      <c r="BA623" s="123"/>
      <c r="BB623" s="123"/>
      <c r="BC623" s="123"/>
      <c r="BD623" s="123"/>
      <c r="BE623" s="123"/>
      <c r="BF623" s="123"/>
      <c r="BG623" s="123"/>
      <c r="BH623" s="123"/>
      <c r="BI623" s="123"/>
      <c r="BJ623" s="123"/>
      <c r="BK623" s="123"/>
      <c r="BL623" s="123"/>
      <c r="BM623" s="123"/>
      <c r="BN623" s="123"/>
      <c r="BO623" s="123"/>
      <c r="BP623" s="123"/>
      <c r="BQ623" s="123"/>
      <c r="BR623" s="123"/>
      <c r="BS623" s="123"/>
      <c r="BT623" s="123"/>
      <c r="BU623" s="123"/>
      <c r="BV623" s="123"/>
      <c r="BW623" s="123"/>
      <c r="BX623" s="123"/>
      <c r="BY623" s="123"/>
      <c r="BZ623" s="123"/>
      <c r="CA623" s="123"/>
      <c r="CB623" s="123"/>
      <c r="CC623" s="123"/>
      <c r="CD623" s="123"/>
      <c r="CE623" s="123"/>
      <c r="CF623" s="123"/>
      <c r="CG623" s="123"/>
      <c r="CH623" s="123"/>
      <c r="CI623" s="123"/>
    </row>
    <row r="624" spans="1:87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123"/>
      <c r="T624" s="124"/>
      <c r="U624" s="123"/>
      <c r="V624" s="123"/>
      <c r="W624" s="124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  <c r="AV624" s="123"/>
      <c r="AW624" s="123"/>
      <c r="AX624" s="123"/>
      <c r="AY624" s="123"/>
      <c r="AZ624" s="123"/>
      <c r="BA624" s="123"/>
      <c r="BB624" s="123"/>
      <c r="BC624" s="123"/>
      <c r="BD624" s="123"/>
      <c r="BE624" s="123"/>
      <c r="BF624" s="123"/>
      <c r="BG624" s="123"/>
      <c r="BH624" s="123"/>
      <c r="BI624" s="123"/>
      <c r="BJ624" s="123"/>
      <c r="BK624" s="123"/>
      <c r="BL624" s="123"/>
      <c r="BM624" s="123"/>
      <c r="BN624" s="123"/>
      <c r="BO624" s="123"/>
      <c r="BP624" s="123"/>
      <c r="BQ624" s="123"/>
      <c r="BR624" s="123"/>
      <c r="BS624" s="123"/>
      <c r="BT624" s="123"/>
      <c r="BU624" s="123"/>
      <c r="BV624" s="123"/>
      <c r="BW624" s="123"/>
      <c r="BX624" s="123"/>
      <c r="BY624" s="123"/>
      <c r="BZ624" s="123"/>
      <c r="CA624" s="123"/>
      <c r="CB624" s="123"/>
      <c r="CC624" s="123"/>
      <c r="CD624" s="123"/>
      <c r="CE624" s="123"/>
      <c r="CF624" s="123"/>
      <c r="CG624" s="123"/>
      <c r="CH624" s="123"/>
      <c r="CI624" s="123"/>
    </row>
    <row r="625" spans="1:87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123"/>
      <c r="T625" s="124"/>
      <c r="U625" s="123"/>
      <c r="V625" s="123"/>
      <c r="W625" s="124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  <c r="AV625" s="123"/>
      <c r="AW625" s="123"/>
      <c r="AX625" s="123"/>
      <c r="AY625" s="123"/>
      <c r="AZ625" s="123"/>
      <c r="BA625" s="123"/>
      <c r="BB625" s="123"/>
      <c r="BC625" s="123"/>
      <c r="BD625" s="123"/>
      <c r="BE625" s="123"/>
      <c r="BF625" s="123"/>
      <c r="BG625" s="123"/>
      <c r="BH625" s="123"/>
      <c r="BI625" s="123"/>
      <c r="BJ625" s="123"/>
      <c r="BK625" s="123"/>
      <c r="BL625" s="123"/>
      <c r="BM625" s="123"/>
      <c r="BN625" s="123"/>
      <c r="BO625" s="123"/>
      <c r="BP625" s="123"/>
      <c r="BQ625" s="123"/>
      <c r="BR625" s="123"/>
      <c r="BS625" s="123"/>
      <c r="BT625" s="123"/>
      <c r="BU625" s="123"/>
      <c r="BV625" s="123"/>
      <c r="BW625" s="123"/>
      <c r="BX625" s="123"/>
      <c r="BY625" s="123"/>
      <c r="BZ625" s="123"/>
      <c r="CA625" s="123"/>
      <c r="CB625" s="123"/>
      <c r="CC625" s="123"/>
      <c r="CD625" s="123"/>
      <c r="CE625" s="123"/>
      <c r="CF625" s="123"/>
      <c r="CG625" s="123"/>
      <c r="CH625" s="123"/>
      <c r="CI625" s="123"/>
    </row>
    <row r="626" spans="1:87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123"/>
      <c r="T626" s="124"/>
      <c r="U626" s="123"/>
      <c r="V626" s="123"/>
      <c r="W626" s="124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  <c r="AV626" s="123"/>
      <c r="AW626" s="123"/>
      <c r="AX626" s="123"/>
      <c r="AY626" s="123"/>
      <c r="AZ626" s="123"/>
      <c r="BA626" s="123"/>
      <c r="BB626" s="123"/>
      <c r="BC626" s="123"/>
      <c r="BD626" s="123"/>
      <c r="BE626" s="123"/>
      <c r="BF626" s="123"/>
      <c r="BG626" s="123"/>
      <c r="BH626" s="123"/>
      <c r="BI626" s="123"/>
      <c r="BJ626" s="123"/>
      <c r="BK626" s="123"/>
      <c r="BL626" s="123"/>
      <c r="BM626" s="123"/>
      <c r="BN626" s="123"/>
      <c r="BO626" s="123"/>
      <c r="BP626" s="123"/>
      <c r="BQ626" s="123"/>
      <c r="BR626" s="123"/>
      <c r="BS626" s="123"/>
      <c r="BT626" s="123"/>
      <c r="BU626" s="123"/>
      <c r="BV626" s="123"/>
      <c r="BW626" s="123"/>
      <c r="BX626" s="123"/>
      <c r="BY626" s="123"/>
      <c r="BZ626" s="123"/>
      <c r="CA626" s="123"/>
      <c r="CB626" s="123"/>
      <c r="CC626" s="123"/>
      <c r="CD626" s="123"/>
      <c r="CE626" s="123"/>
      <c r="CF626" s="123"/>
      <c r="CG626" s="123"/>
      <c r="CH626" s="123"/>
      <c r="CI626" s="123"/>
    </row>
    <row r="627" spans="1:87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123"/>
      <c r="T627" s="124"/>
      <c r="U627" s="123"/>
      <c r="V627" s="123"/>
      <c r="W627" s="124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  <c r="AV627" s="123"/>
      <c r="AW627" s="123"/>
      <c r="AX627" s="123"/>
      <c r="AY627" s="123"/>
      <c r="AZ627" s="123"/>
      <c r="BA627" s="123"/>
      <c r="BB627" s="123"/>
      <c r="BC627" s="123"/>
      <c r="BD627" s="123"/>
      <c r="BE627" s="123"/>
      <c r="BF627" s="123"/>
      <c r="BG627" s="123"/>
      <c r="BH627" s="123"/>
      <c r="BI627" s="123"/>
      <c r="BJ627" s="123"/>
      <c r="BK627" s="123"/>
      <c r="BL627" s="123"/>
      <c r="BM627" s="123"/>
      <c r="BN627" s="123"/>
      <c r="BO627" s="123"/>
      <c r="BP627" s="123"/>
      <c r="BQ627" s="123"/>
      <c r="BR627" s="123"/>
      <c r="BS627" s="123"/>
      <c r="BT627" s="123"/>
      <c r="BU627" s="123"/>
      <c r="BV627" s="123"/>
      <c r="BW627" s="123"/>
      <c r="BX627" s="123"/>
      <c r="BY627" s="123"/>
      <c r="BZ627" s="123"/>
      <c r="CA627" s="123"/>
      <c r="CB627" s="123"/>
      <c r="CC627" s="123"/>
      <c r="CD627" s="123"/>
      <c r="CE627" s="123"/>
      <c r="CF627" s="123"/>
      <c r="CG627" s="123"/>
      <c r="CH627" s="123"/>
      <c r="CI627" s="123"/>
    </row>
    <row r="628" spans="1:87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123"/>
      <c r="T628" s="124"/>
      <c r="U628" s="123"/>
      <c r="V628" s="123"/>
      <c r="W628" s="124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  <c r="AV628" s="123"/>
      <c r="AW628" s="123"/>
      <c r="AX628" s="123"/>
      <c r="AY628" s="123"/>
      <c r="AZ628" s="123"/>
      <c r="BA628" s="123"/>
      <c r="BB628" s="123"/>
      <c r="BC628" s="123"/>
      <c r="BD628" s="123"/>
      <c r="BE628" s="123"/>
      <c r="BF628" s="123"/>
      <c r="BG628" s="123"/>
      <c r="BH628" s="123"/>
      <c r="BI628" s="123"/>
      <c r="BJ628" s="123"/>
      <c r="BK628" s="123"/>
      <c r="BL628" s="123"/>
      <c r="BM628" s="123"/>
      <c r="BN628" s="123"/>
      <c r="BO628" s="123"/>
      <c r="BP628" s="123"/>
      <c r="BQ628" s="123"/>
      <c r="BR628" s="123"/>
      <c r="BS628" s="123"/>
      <c r="BT628" s="123"/>
      <c r="BU628" s="123"/>
      <c r="BV628" s="123"/>
      <c r="BW628" s="123"/>
      <c r="BX628" s="123"/>
      <c r="BY628" s="123"/>
      <c r="BZ628" s="123"/>
      <c r="CA628" s="123"/>
      <c r="CB628" s="123"/>
      <c r="CC628" s="123"/>
      <c r="CD628" s="123"/>
      <c r="CE628" s="123"/>
      <c r="CF628" s="123"/>
      <c r="CG628" s="123"/>
      <c r="CH628" s="123"/>
      <c r="CI628" s="123"/>
    </row>
    <row r="629" spans="1:87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123"/>
      <c r="T629" s="124"/>
      <c r="U629" s="123"/>
      <c r="V629" s="123"/>
      <c r="W629" s="124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  <c r="AV629" s="123"/>
      <c r="AW629" s="123"/>
      <c r="AX629" s="123"/>
      <c r="AY629" s="123"/>
      <c r="AZ629" s="123"/>
      <c r="BA629" s="123"/>
      <c r="BB629" s="123"/>
      <c r="BC629" s="123"/>
      <c r="BD629" s="123"/>
      <c r="BE629" s="123"/>
      <c r="BF629" s="123"/>
      <c r="BG629" s="123"/>
      <c r="BH629" s="123"/>
      <c r="BI629" s="123"/>
      <c r="BJ629" s="123"/>
      <c r="BK629" s="123"/>
      <c r="BL629" s="123"/>
      <c r="BM629" s="123"/>
      <c r="BN629" s="123"/>
      <c r="BO629" s="123"/>
      <c r="BP629" s="123"/>
      <c r="BQ629" s="123"/>
      <c r="BR629" s="123"/>
      <c r="BS629" s="123"/>
      <c r="BT629" s="123"/>
      <c r="BU629" s="123"/>
      <c r="BV629" s="123"/>
      <c r="BW629" s="123"/>
      <c r="BX629" s="123"/>
      <c r="BY629" s="123"/>
      <c r="BZ629" s="123"/>
      <c r="CA629" s="123"/>
      <c r="CB629" s="123"/>
      <c r="CC629" s="123"/>
      <c r="CD629" s="123"/>
      <c r="CE629" s="123"/>
      <c r="CF629" s="123"/>
      <c r="CG629" s="123"/>
      <c r="CH629" s="123"/>
      <c r="CI629" s="123"/>
    </row>
    <row r="630" spans="1:87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123"/>
      <c r="T630" s="124"/>
      <c r="U630" s="123"/>
      <c r="V630" s="123"/>
      <c r="W630" s="124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  <c r="AV630" s="123"/>
      <c r="AW630" s="123"/>
      <c r="AX630" s="123"/>
      <c r="AY630" s="123"/>
      <c r="AZ630" s="123"/>
      <c r="BA630" s="123"/>
      <c r="BB630" s="123"/>
      <c r="BC630" s="123"/>
      <c r="BD630" s="123"/>
      <c r="BE630" s="123"/>
      <c r="BF630" s="123"/>
      <c r="BG630" s="123"/>
      <c r="BH630" s="123"/>
      <c r="BI630" s="123"/>
      <c r="BJ630" s="123"/>
      <c r="BK630" s="123"/>
      <c r="BL630" s="123"/>
      <c r="BM630" s="123"/>
      <c r="BN630" s="123"/>
      <c r="BO630" s="123"/>
      <c r="BP630" s="123"/>
      <c r="BQ630" s="123"/>
      <c r="BR630" s="123"/>
      <c r="BS630" s="123"/>
      <c r="BT630" s="123"/>
      <c r="BU630" s="123"/>
      <c r="BV630" s="123"/>
      <c r="BW630" s="123"/>
      <c r="BX630" s="123"/>
      <c r="BY630" s="123"/>
      <c r="BZ630" s="123"/>
      <c r="CA630" s="123"/>
      <c r="CB630" s="123"/>
      <c r="CC630" s="123"/>
      <c r="CD630" s="123"/>
      <c r="CE630" s="123"/>
      <c r="CF630" s="123"/>
      <c r="CG630" s="123"/>
      <c r="CH630" s="123"/>
      <c r="CI630" s="123"/>
    </row>
    <row r="631" spans="1:87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123"/>
      <c r="T631" s="124"/>
      <c r="U631" s="123"/>
      <c r="V631" s="123"/>
      <c r="W631" s="124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  <c r="AV631" s="123"/>
      <c r="AW631" s="123"/>
      <c r="AX631" s="123"/>
      <c r="AY631" s="123"/>
      <c r="AZ631" s="123"/>
      <c r="BA631" s="123"/>
      <c r="BB631" s="123"/>
      <c r="BC631" s="123"/>
      <c r="BD631" s="123"/>
      <c r="BE631" s="123"/>
      <c r="BF631" s="123"/>
      <c r="BG631" s="123"/>
      <c r="BH631" s="123"/>
      <c r="BI631" s="123"/>
      <c r="BJ631" s="123"/>
      <c r="BK631" s="123"/>
      <c r="BL631" s="123"/>
      <c r="BM631" s="123"/>
      <c r="BN631" s="123"/>
      <c r="BO631" s="123"/>
      <c r="BP631" s="123"/>
      <c r="BQ631" s="123"/>
      <c r="BR631" s="123"/>
      <c r="BS631" s="123"/>
      <c r="BT631" s="123"/>
      <c r="BU631" s="123"/>
      <c r="BV631" s="123"/>
      <c r="BW631" s="123"/>
      <c r="BX631" s="123"/>
      <c r="BY631" s="123"/>
      <c r="BZ631" s="123"/>
      <c r="CA631" s="123"/>
      <c r="CB631" s="123"/>
      <c r="CC631" s="123"/>
      <c r="CD631" s="123"/>
      <c r="CE631" s="123"/>
      <c r="CF631" s="123"/>
      <c r="CG631" s="123"/>
      <c r="CH631" s="123"/>
      <c r="CI631" s="123"/>
    </row>
    <row r="632" spans="1:87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123"/>
      <c r="T632" s="124"/>
      <c r="U632" s="123"/>
      <c r="V632" s="123"/>
      <c r="W632" s="124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  <c r="AV632" s="123"/>
      <c r="AW632" s="123"/>
      <c r="AX632" s="123"/>
      <c r="AY632" s="123"/>
      <c r="AZ632" s="123"/>
      <c r="BA632" s="123"/>
      <c r="BB632" s="123"/>
      <c r="BC632" s="123"/>
      <c r="BD632" s="123"/>
      <c r="BE632" s="123"/>
      <c r="BF632" s="123"/>
      <c r="BG632" s="123"/>
      <c r="BH632" s="123"/>
      <c r="BI632" s="123"/>
      <c r="BJ632" s="123"/>
      <c r="BK632" s="123"/>
      <c r="BL632" s="123"/>
      <c r="BM632" s="123"/>
      <c r="BN632" s="123"/>
      <c r="BO632" s="123"/>
      <c r="BP632" s="123"/>
      <c r="BQ632" s="123"/>
      <c r="BR632" s="123"/>
      <c r="BS632" s="123"/>
      <c r="BT632" s="123"/>
      <c r="BU632" s="123"/>
      <c r="BV632" s="123"/>
      <c r="BW632" s="123"/>
      <c r="BX632" s="123"/>
      <c r="BY632" s="123"/>
      <c r="BZ632" s="123"/>
      <c r="CA632" s="123"/>
      <c r="CB632" s="123"/>
      <c r="CC632" s="123"/>
      <c r="CD632" s="123"/>
      <c r="CE632" s="123"/>
      <c r="CF632" s="123"/>
      <c r="CG632" s="123"/>
      <c r="CH632" s="123"/>
      <c r="CI632" s="123"/>
    </row>
    <row r="633" spans="1:87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123"/>
      <c r="T633" s="124"/>
      <c r="U633" s="123"/>
      <c r="V633" s="123"/>
      <c r="W633" s="124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  <c r="AV633" s="123"/>
      <c r="AW633" s="123"/>
      <c r="AX633" s="123"/>
      <c r="AY633" s="123"/>
      <c r="AZ633" s="123"/>
      <c r="BA633" s="123"/>
      <c r="BB633" s="123"/>
      <c r="BC633" s="123"/>
      <c r="BD633" s="123"/>
      <c r="BE633" s="123"/>
      <c r="BF633" s="123"/>
      <c r="BG633" s="123"/>
      <c r="BH633" s="123"/>
      <c r="BI633" s="123"/>
      <c r="BJ633" s="123"/>
      <c r="BK633" s="123"/>
      <c r="BL633" s="123"/>
      <c r="BM633" s="123"/>
      <c r="BN633" s="123"/>
      <c r="BO633" s="123"/>
      <c r="BP633" s="123"/>
      <c r="BQ633" s="123"/>
      <c r="BR633" s="123"/>
      <c r="BS633" s="123"/>
      <c r="BT633" s="123"/>
      <c r="BU633" s="123"/>
      <c r="BV633" s="123"/>
      <c r="BW633" s="123"/>
      <c r="BX633" s="123"/>
      <c r="BY633" s="123"/>
      <c r="BZ633" s="123"/>
      <c r="CA633" s="123"/>
      <c r="CB633" s="123"/>
      <c r="CC633" s="123"/>
      <c r="CD633" s="123"/>
      <c r="CE633" s="123"/>
      <c r="CF633" s="123"/>
      <c r="CG633" s="123"/>
      <c r="CH633" s="123"/>
      <c r="CI633" s="123"/>
    </row>
    <row r="634" spans="1:87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123"/>
      <c r="T634" s="124"/>
      <c r="U634" s="123"/>
      <c r="V634" s="123"/>
      <c r="W634" s="124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  <c r="AV634" s="123"/>
      <c r="AW634" s="123"/>
      <c r="AX634" s="123"/>
      <c r="AY634" s="123"/>
      <c r="AZ634" s="123"/>
      <c r="BA634" s="123"/>
      <c r="BB634" s="123"/>
      <c r="BC634" s="123"/>
      <c r="BD634" s="123"/>
      <c r="BE634" s="123"/>
      <c r="BF634" s="123"/>
      <c r="BG634" s="123"/>
      <c r="BH634" s="123"/>
      <c r="BI634" s="123"/>
      <c r="BJ634" s="123"/>
      <c r="BK634" s="123"/>
      <c r="BL634" s="123"/>
      <c r="BM634" s="123"/>
      <c r="BN634" s="123"/>
      <c r="BO634" s="123"/>
      <c r="BP634" s="123"/>
      <c r="BQ634" s="123"/>
      <c r="BR634" s="123"/>
      <c r="BS634" s="123"/>
      <c r="BT634" s="123"/>
      <c r="BU634" s="123"/>
      <c r="BV634" s="123"/>
      <c r="BW634" s="123"/>
      <c r="BX634" s="123"/>
      <c r="BY634" s="123"/>
      <c r="BZ634" s="123"/>
      <c r="CA634" s="123"/>
      <c r="CB634" s="123"/>
      <c r="CC634" s="123"/>
      <c r="CD634" s="123"/>
      <c r="CE634" s="123"/>
      <c r="CF634" s="123"/>
      <c r="CG634" s="123"/>
      <c r="CH634" s="123"/>
      <c r="CI634" s="123"/>
    </row>
    <row r="635" spans="1:87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123"/>
      <c r="T635" s="124"/>
      <c r="U635" s="123"/>
      <c r="V635" s="123"/>
      <c r="W635" s="124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  <c r="AV635" s="123"/>
      <c r="AW635" s="123"/>
      <c r="AX635" s="123"/>
      <c r="AY635" s="123"/>
      <c r="AZ635" s="123"/>
      <c r="BA635" s="123"/>
      <c r="BB635" s="123"/>
      <c r="BC635" s="123"/>
      <c r="BD635" s="123"/>
      <c r="BE635" s="123"/>
      <c r="BF635" s="123"/>
      <c r="BG635" s="123"/>
      <c r="BH635" s="123"/>
      <c r="BI635" s="123"/>
      <c r="BJ635" s="123"/>
      <c r="BK635" s="123"/>
      <c r="BL635" s="123"/>
      <c r="BM635" s="123"/>
      <c r="BN635" s="123"/>
      <c r="BO635" s="123"/>
      <c r="BP635" s="123"/>
      <c r="BQ635" s="123"/>
      <c r="BR635" s="123"/>
      <c r="BS635" s="123"/>
      <c r="BT635" s="123"/>
      <c r="BU635" s="123"/>
      <c r="BV635" s="123"/>
      <c r="BW635" s="123"/>
      <c r="BX635" s="123"/>
      <c r="BY635" s="123"/>
      <c r="BZ635" s="123"/>
      <c r="CA635" s="123"/>
      <c r="CB635" s="123"/>
      <c r="CC635" s="123"/>
      <c r="CD635" s="123"/>
      <c r="CE635" s="123"/>
      <c r="CF635" s="123"/>
      <c r="CG635" s="123"/>
      <c r="CH635" s="123"/>
      <c r="CI635" s="123"/>
    </row>
    <row r="636" spans="1:87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123"/>
      <c r="T636" s="124"/>
      <c r="U636" s="123"/>
      <c r="V636" s="123"/>
      <c r="W636" s="124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  <c r="AV636" s="123"/>
      <c r="AW636" s="123"/>
      <c r="AX636" s="123"/>
      <c r="AY636" s="123"/>
      <c r="AZ636" s="123"/>
      <c r="BA636" s="123"/>
      <c r="BB636" s="123"/>
      <c r="BC636" s="123"/>
      <c r="BD636" s="123"/>
      <c r="BE636" s="123"/>
      <c r="BF636" s="123"/>
      <c r="BG636" s="123"/>
      <c r="BH636" s="123"/>
      <c r="BI636" s="123"/>
      <c r="BJ636" s="123"/>
      <c r="BK636" s="123"/>
      <c r="BL636" s="123"/>
      <c r="BM636" s="123"/>
      <c r="BN636" s="123"/>
      <c r="BO636" s="123"/>
      <c r="BP636" s="123"/>
      <c r="BQ636" s="123"/>
      <c r="BR636" s="123"/>
      <c r="BS636" s="123"/>
      <c r="BT636" s="123"/>
      <c r="BU636" s="123"/>
      <c r="BV636" s="123"/>
      <c r="BW636" s="123"/>
      <c r="BX636" s="123"/>
      <c r="BY636" s="123"/>
      <c r="BZ636" s="123"/>
      <c r="CA636" s="123"/>
      <c r="CB636" s="123"/>
      <c r="CC636" s="123"/>
      <c r="CD636" s="123"/>
      <c r="CE636" s="123"/>
      <c r="CF636" s="123"/>
      <c r="CG636" s="123"/>
      <c r="CH636" s="123"/>
      <c r="CI636" s="123"/>
    </row>
    <row r="637" spans="1:87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123"/>
      <c r="T637" s="124"/>
      <c r="U637" s="123"/>
      <c r="V637" s="123"/>
      <c r="W637" s="124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  <c r="AV637" s="123"/>
      <c r="AW637" s="123"/>
      <c r="AX637" s="123"/>
      <c r="AY637" s="123"/>
      <c r="AZ637" s="123"/>
      <c r="BA637" s="123"/>
      <c r="BB637" s="123"/>
      <c r="BC637" s="123"/>
      <c r="BD637" s="123"/>
      <c r="BE637" s="123"/>
      <c r="BF637" s="123"/>
      <c r="BG637" s="123"/>
      <c r="BH637" s="123"/>
      <c r="BI637" s="123"/>
      <c r="BJ637" s="123"/>
      <c r="BK637" s="123"/>
      <c r="BL637" s="123"/>
      <c r="BM637" s="123"/>
      <c r="BN637" s="123"/>
      <c r="BO637" s="123"/>
      <c r="BP637" s="123"/>
      <c r="BQ637" s="123"/>
      <c r="BR637" s="123"/>
      <c r="BS637" s="123"/>
      <c r="BT637" s="123"/>
      <c r="BU637" s="123"/>
      <c r="BV637" s="123"/>
      <c r="BW637" s="123"/>
      <c r="BX637" s="123"/>
      <c r="BY637" s="123"/>
      <c r="BZ637" s="123"/>
      <c r="CA637" s="123"/>
      <c r="CB637" s="123"/>
      <c r="CC637" s="123"/>
      <c r="CD637" s="123"/>
      <c r="CE637" s="123"/>
      <c r="CF637" s="123"/>
      <c r="CG637" s="123"/>
      <c r="CH637" s="123"/>
      <c r="CI637" s="123"/>
    </row>
    <row r="638" spans="1:87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123"/>
      <c r="T638" s="124"/>
      <c r="U638" s="123"/>
      <c r="V638" s="123"/>
      <c r="W638" s="124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  <c r="AV638" s="123"/>
      <c r="AW638" s="123"/>
      <c r="AX638" s="123"/>
      <c r="AY638" s="123"/>
      <c r="AZ638" s="123"/>
      <c r="BA638" s="123"/>
      <c r="BB638" s="123"/>
      <c r="BC638" s="123"/>
      <c r="BD638" s="123"/>
      <c r="BE638" s="123"/>
      <c r="BF638" s="123"/>
      <c r="BG638" s="123"/>
      <c r="BH638" s="123"/>
      <c r="BI638" s="123"/>
      <c r="BJ638" s="123"/>
      <c r="BK638" s="123"/>
      <c r="BL638" s="123"/>
      <c r="BM638" s="123"/>
      <c r="BN638" s="123"/>
      <c r="BO638" s="123"/>
      <c r="BP638" s="123"/>
      <c r="BQ638" s="123"/>
      <c r="BR638" s="123"/>
      <c r="BS638" s="123"/>
      <c r="BT638" s="123"/>
      <c r="BU638" s="123"/>
      <c r="BV638" s="123"/>
      <c r="BW638" s="123"/>
      <c r="BX638" s="123"/>
      <c r="BY638" s="123"/>
      <c r="BZ638" s="123"/>
      <c r="CA638" s="123"/>
      <c r="CB638" s="123"/>
      <c r="CC638" s="123"/>
      <c r="CD638" s="123"/>
      <c r="CE638" s="123"/>
      <c r="CF638" s="123"/>
      <c r="CG638" s="123"/>
      <c r="CH638" s="123"/>
      <c r="CI638" s="123"/>
    </row>
    <row r="639" spans="1:87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123"/>
      <c r="T639" s="124"/>
      <c r="U639" s="123"/>
      <c r="V639" s="123"/>
      <c r="W639" s="124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  <c r="AV639" s="123"/>
      <c r="AW639" s="123"/>
      <c r="AX639" s="123"/>
      <c r="AY639" s="123"/>
      <c r="AZ639" s="123"/>
      <c r="BA639" s="123"/>
      <c r="BB639" s="123"/>
      <c r="BC639" s="123"/>
      <c r="BD639" s="123"/>
      <c r="BE639" s="123"/>
      <c r="BF639" s="123"/>
      <c r="BG639" s="123"/>
      <c r="BH639" s="123"/>
      <c r="BI639" s="123"/>
      <c r="BJ639" s="123"/>
      <c r="BK639" s="123"/>
      <c r="BL639" s="123"/>
      <c r="BM639" s="123"/>
      <c r="BN639" s="123"/>
      <c r="BO639" s="123"/>
      <c r="BP639" s="123"/>
      <c r="BQ639" s="123"/>
      <c r="BR639" s="123"/>
      <c r="BS639" s="123"/>
      <c r="BT639" s="123"/>
      <c r="BU639" s="123"/>
      <c r="BV639" s="123"/>
      <c r="BW639" s="123"/>
      <c r="BX639" s="123"/>
      <c r="BY639" s="123"/>
      <c r="BZ639" s="123"/>
      <c r="CA639" s="123"/>
      <c r="CB639" s="123"/>
      <c r="CC639" s="123"/>
      <c r="CD639" s="123"/>
      <c r="CE639" s="123"/>
      <c r="CF639" s="123"/>
      <c r="CG639" s="123"/>
      <c r="CH639" s="123"/>
      <c r="CI639" s="123"/>
    </row>
    <row r="640" spans="1:87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123"/>
      <c r="T640" s="124"/>
      <c r="U640" s="123"/>
      <c r="V640" s="123"/>
      <c r="W640" s="124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  <c r="AV640" s="123"/>
      <c r="AW640" s="123"/>
      <c r="AX640" s="123"/>
      <c r="AY640" s="123"/>
      <c r="AZ640" s="123"/>
      <c r="BA640" s="123"/>
      <c r="BB640" s="123"/>
      <c r="BC640" s="123"/>
      <c r="BD640" s="123"/>
      <c r="BE640" s="123"/>
      <c r="BF640" s="123"/>
      <c r="BG640" s="123"/>
      <c r="BH640" s="123"/>
      <c r="BI640" s="123"/>
      <c r="BJ640" s="123"/>
      <c r="BK640" s="123"/>
      <c r="BL640" s="123"/>
      <c r="BM640" s="123"/>
      <c r="BN640" s="123"/>
      <c r="BO640" s="123"/>
      <c r="BP640" s="123"/>
      <c r="BQ640" s="123"/>
      <c r="BR640" s="123"/>
      <c r="BS640" s="123"/>
      <c r="BT640" s="123"/>
      <c r="BU640" s="123"/>
      <c r="BV640" s="123"/>
      <c r="BW640" s="123"/>
      <c r="BX640" s="123"/>
      <c r="BY640" s="123"/>
      <c r="BZ640" s="123"/>
      <c r="CA640" s="123"/>
      <c r="CB640" s="123"/>
      <c r="CC640" s="123"/>
      <c r="CD640" s="123"/>
      <c r="CE640" s="123"/>
      <c r="CF640" s="123"/>
      <c r="CG640" s="123"/>
      <c r="CH640" s="123"/>
      <c r="CI640" s="123"/>
    </row>
    <row r="641" spans="1:87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123"/>
      <c r="T641" s="124"/>
      <c r="U641" s="123"/>
      <c r="V641" s="123"/>
      <c r="W641" s="124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  <c r="AV641" s="123"/>
      <c r="AW641" s="123"/>
      <c r="AX641" s="123"/>
      <c r="AY641" s="123"/>
      <c r="AZ641" s="123"/>
      <c r="BA641" s="123"/>
      <c r="BB641" s="123"/>
      <c r="BC641" s="123"/>
      <c r="BD641" s="123"/>
      <c r="BE641" s="123"/>
      <c r="BF641" s="123"/>
      <c r="BG641" s="123"/>
      <c r="BH641" s="123"/>
      <c r="BI641" s="123"/>
      <c r="BJ641" s="123"/>
      <c r="BK641" s="123"/>
      <c r="BL641" s="123"/>
      <c r="BM641" s="123"/>
      <c r="BN641" s="123"/>
      <c r="BO641" s="123"/>
      <c r="BP641" s="123"/>
      <c r="BQ641" s="123"/>
      <c r="BR641" s="123"/>
      <c r="BS641" s="123"/>
      <c r="BT641" s="123"/>
      <c r="BU641" s="123"/>
      <c r="BV641" s="123"/>
      <c r="BW641" s="123"/>
      <c r="BX641" s="123"/>
      <c r="BY641" s="123"/>
      <c r="BZ641" s="123"/>
      <c r="CA641" s="123"/>
      <c r="CB641" s="123"/>
      <c r="CC641" s="123"/>
      <c r="CD641" s="123"/>
      <c r="CE641" s="123"/>
      <c r="CF641" s="123"/>
      <c r="CG641" s="123"/>
      <c r="CH641" s="123"/>
      <c r="CI641" s="123"/>
    </row>
    <row r="642" spans="1:87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123"/>
      <c r="T642" s="124"/>
      <c r="U642" s="123"/>
      <c r="V642" s="123"/>
      <c r="W642" s="124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  <c r="AV642" s="123"/>
      <c r="AW642" s="123"/>
      <c r="AX642" s="123"/>
      <c r="AY642" s="123"/>
      <c r="AZ642" s="123"/>
      <c r="BA642" s="123"/>
      <c r="BB642" s="123"/>
      <c r="BC642" s="123"/>
      <c r="BD642" s="123"/>
      <c r="BE642" s="123"/>
      <c r="BF642" s="123"/>
      <c r="BG642" s="123"/>
      <c r="BH642" s="123"/>
      <c r="BI642" s="123"/>
      <c r="BJ642" s="123"/>
      <c r="BK642" s="123"/>
      <c r="BL642" s="123"/>
      <c r="BM642" s="123"/>
      <c r="BN642" s="123"/>
      <c r="BO642" s="123"/>
      <c r="BP642" s="123"/>
      <c r="BQ642" s="123"/>
      <c r="BR642" s="123"/>
      <c r="BS642" s="123"/>
      <c r="BT642" s="123"/>
      <c r="BU642" s="123"/>
      <c r="BV642" s="123"/>
      <c r="BW642" s="123"/>
      <c r="BX642" s="123"/>
      <c r="BY642" s="123"/>
      <c r="BZ642" s="123"/>
      <c r="CA642" s="123"/>
      <c r="CB642" s="123"/>
      <c r="CC642" s="123"/>
      <c r="CD642" s="123"/>
      <c r="CE642" s="123"/>
      <c r="CF642" s="123"/>
      <c r="CG642" s="123"/>
      <c r="CH642" s="123"/>
      <c r="CI642" s="123"/>
    </row>
    <row r="643" spans="1:87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123"/>
      <c r="T643" s="124"/>
      <c r="U643" s="123"/>
      <c r="V643" s="123"/>
      <c r="W643" s="124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  <c r="AV643" s="123"/>
      <c r="AW643" s="123"/>
      <c r="AX643" s="123"/>
      <c r="AY643" s="123"/>
      <c r="AZ643" s="123"/>
      <c r="BA643" s="123"/>
      <c r="BB643" s="123"/>
      <c r="BC643" s="123"/>
      <c r="BD643" s="123"/>
      <c r="BE643" s="123"/>
      <c r="BF643" s="123"/>
      <c r="BG643" s="123"/>
      <c r="BH643" s="123"/>
      <c r="BI643" s="123"/>
      <c r="BJ643" s="123"/>
      <c r="BK643" s="123"/>
      <c r="BL643" s="123"/>
      <c r="BM643" s="123"/>
      <c r="BN643" s="123"/>
      <c r="BO643" s="123"/>
      <c r="BP643" s="123"/>
      <c r="BQ643" s="123"/>
      <c r="BR643" s="123"/>
      <c r="BS643" s="123"/>
      <c r="BT643" s="123"/>
      <c r="BU643" s="123"/>
      <c r="BV643" s="123"/>
      <c r="BW643" s="123"/>
      <c r="BX643" s="123"/>
      <c r="BY643" s="123"/>
      <c r="BZ643" s="123"/>
      <c r="CA643" s="123"/>
      <c r="CB643" s="123"/>
      <c r="CC643" s="123"/>
      <c r="CD643" s="123"/>
      <c r="CE643" s="123"/>
      <c r="CF643" s="123"/>
      <c r="CG643" s="123"/>
      <c r="CH643" s="123"/>
      <c r="CI643" s="123"/>
    </row>
    <row r="644" spans="1:87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123"/>
      <c r="T644" s="124"/>
      <c r="U644" s="123"/>
      <c r="V644" s="123"/>
      <c r="W644" s="124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  <c r="AV644" s="123"/>
      <c r="AW644" s="123"/>
      <c r="AX644" s="123"/>
      <c r="AY644" s="123"/>
      <c r="AZ644" s="123"/>
      <c r="BA644" s="123"/>
      <c r="BB644" s="123"/>
      <c r="BC644" s="123"/>
      <c r="BD644" s="123"/>
      <c r="BE644" s="123"/>
      <c r="BF644" s="123"/>
      <c r="BG644" s="123"/>
      <c r="BH644" s="123"/>
      <c r="BI644" s="123"/>
      <c r="BJ644" s="123"/>
      <c r="BK644" s="123"/>
      <c r="BL644" s="123"/>
      <c r="BM644" s="123"/>
      <c r="BN644" s="123"/>
      <c r="BO644" s="123"/>
      <c r="BP644" s="123"/>
      <c r="BQ644" s="123"/>
      <c r="BR644" s="123"/>
      <c r="BS644" s="123"/>
      <c r="BT644" s="123"/>
      <c r="BU644" s="123"/>
      <c r="BV644" s="123"/>
      <c r="BW644" s="123"/>
      <c r="BX644" s="123"/>
      <c r="BY644" s="123"/>
      <c r="BZ644" s="123"/>
      <c r="CA644" s="123"/>
      <c r="CB644" s="123"/>
      <c r="CC644" s="123"/>
      <c r="CD644" s="123"/>
      <c r="CE644" s="123"/>
      <c r="CF644" s="123"/>
      <c r="CG644" s="123"/>
      <c r="CH644" s="123"/>
      <c r="CI644" s="123"/>
    </row>
    <row r="645" spans="1:87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123"/>
      <c r="T645" s="124"/>
      <c r="U645" s="123"/>
      <c r="V645" s="123"/>
      <c r="W645" s="124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  <c r="AV645" s="123"/>
      <c r="AW645" s="123"/>
      <c r="AX645" s="123"/>
      <c r="AY645" s="123"/>
      <c r="AZ645" s="123"/>
      <c r="BA645" s="123"/>
      <c r="BB645" s="123"/>
      <c r="BC645" s="123"/>
      <c r="BD645" s="123"/>
      <c r="BE645" s="123"/>
      <c r="BF645" s="123"/>
      <c r="BG645" s="123"/>
      <c r="BH645" s="123"/>
      <c r="BI645" s="123"/>
      <c r="BJ645" s="123"/>
      <c r="BK645" s="123"/>
      <c r="BL645" s="123"/>
      <c r="BM645" s="123"/>
      <c r="BN645" s="123"/>
      <c r="BO645" s="123"/>
      <c r="BP645" s="123"/>
      <c r="BQ645" s="123"/>
      <c r="BR645" s="123"/>
      <c r="BS645" s="123"/>
      <c r="BT645" s="123"/>
      <c r="BU645" s="123"/>
      <c r="BV645" s="123"/>
      <c r="BW645" s="123"/>
      <c r="BX645" s="123"/>
      <c r="BY645" s="123"/>
      <c r="BZ645" s="123"/>
      <c r="CA645" s="123"/>
      <c r="CB645" s="123"/>
      <c r="CC645" s="123"/>
      <c r="CD645" s="123"/>
      <c r="CE645" s="123"/>
      <c r="CF645" s="123"/>
      <c r="CG645" s="123"/>
      <c r="CH645" s="123"/>
      <c r="CI645" s="123"/>
    </row>
    <row r="646" spans="1:87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123"/>
      <c r="T646" s="124"/>
      <c r="U646" s="123"/>
      <c r="V646" s="123"/>
      <c r="W646" s="124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  <c r="AV646" s="123"/>
      <c r="AW646" s="123"/>
      <c r="AX646" s="123"/>
      <c r="AY646" s="123"/>
      <c r="AZ646" s="123"/>
      <c r="BA646" s="123"/>
      <c r="BB646" s="123"/>
      <c r="BC646" s="123"/>
      <c r="BD646" s="123"/>
      <c r="BE646" s="123"/>
      <c r="BF646" s="123"/>
      <c r="BG646" s="123"/>
      <c r="BH646" s="123"/>
      <c r="BI646" s="123"/>
      <c r="BJ646" s="123"/>
      <c r="BK646" s="123"/>
      <c r="BL646" s="123"/>
      <c r="BM646" s="123"/>
      <c r="BN646" s="123"/>
      <c r="BO646" s="123"/>
      <c r="BP646" s="123"/>
      <c r="BQ646" s="123"/>
      <c r="BR646" s="123"/>
      <c r="BS646" s="123"/>
      <c r="BT646" s="123"/>
      <c r="BU646" s="123"/>
      <c r="BV646" s="123"/>
      <c r="BW646" s="123"/>
      <c r="BX646" s="123"/>
      <c r="BY646" s="123"/>
      <c r="BZ646" s="123"/>
      <c r="CA646" s="123"/>
      <c r="CB646" s="123"/>
      <c r="CC646" s="123"/>
      <c r="CD646" s="123"/>
      <c r="CE646" s="123"/>
      <c r="CF646" s="123"/>
      <c r="CG646" s="123"/>
      <c r="CH646" s="123"/>
      <c r="CI646" s="123"/>
    </row>
    <row r="647" spans="1:87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123"/>
      <c r="T647" s="124"/>
      <c r="U647" s="123"/>
      <c r="V647" s="123"/>
      <c r="W647" s="124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  <c r="AV647" s="123"/>
      <c r="AW647" s="123"/>
      <c r="AX647" s="123"/>
      <c r="AY647" s="123"/>
      <c r="AZ647" s="123"/>
      <c r="BA647" s="123"/>
      <c r="BB647" s="123"/>
      <c r="BC647" s="123"/>
      <c r="BD647" s="123"/>
      <c r="BE647" s="123"/>
      <c r="BF647" s="123"/>
      <c r="BG647" s="123"/>
      <c r="BH647" s="123"/>
      <c r="BI647" s="123"/>
      <c r="BJ647" s="123"/>
      <c r="BK647" s="123"/>
      <c r="BL647" s="123"/>
      <c r="BM647" s="123"/>
      <c r="BN647" s="123"/>
      <c r="BO647" s="123"/>
      <c r="BP647" s="123"/>
      <c r="BQ647" s="123"/>
      <c r="BR647" s="123"/>
      <c r="BS647" s="123"/>
      <c r="BT647" s="123"/>
      <c r="BU647" s="123"/>
      <c r="BV647" s="123"/>
      <c r="BW647" s="123"/>
      <c r="BX647" s="123"/>
      <c r="BY647" s="123"/>
      <c r="BZ647" s="123"/>
      <c r="CA647" s="123"/>
      <c r="CB647" s="123"/>
      <c r="CC647" s="123"/>
      <c r="CD647" s="123"/>
      <c r="CE647" s="123"/>
      <c r="CF647" s="123"/>
      <c r="CG647" s="123"/>
      <c r="CH647" s="123"/>
      <c r="CI647" s="123"/>
    </row>
    <row r="648" spans="1:87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123"/>
      <c r="T648" s="124"/>
      <c r="U648" s="123"/>
      <c r="V648" s="123"/>
      <c r="W648" s="124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  <c r="AV648" s="123"/>
      <c r="AW648" s="123"/>
      <c r="AX648" s="123"/>
      <c r="AY648" s="123"/>
      <c r="AZ648" s="123"/>
      <c r="BA648" s="123"/>
      <c r="BB648" s="123"/>
      <c r="BC648" s="123"/>
      <c r="BD648" s="123"/>
      <c r="BE648" s="123"/>
      <c r="BF648" s="123"/>
      <c r="BG648" s="123"/>
      <c r="BH648" s="123"/>
      <c r="BI648" s="123"/>
      <c r="BJ648" s="123"/>
      <c r="BK648" s="123"/>
      <c r="BL648" s="123"/>
      <c r="BM648" s="123"/>
      <c r="BN648" s="123"/>
      <c r="BO648" s="123"/>
      <c r="BP648" s="123"/>
      <c r="BQ648" s="123"/>
      <c r="BR648" s="123"/>
      <c r="BS648" s="123"/>
      <c r="BT648" s="123"/>
      <c r="BU648" s="123"/>
      <c r="BV648" s="123"/>
      <c r="BW648" s="123"/>
      <c r="BX648" s="123"/>
      <c r="BY648" s="123"/>
      <c r="BZ648" s="123"/>
      <c r="CA648" s="123"/>
      <c r="CB648" s="123"/>
      <c r="CC648" s="123"/>
      <c r="CD648" s="123"/>
      <c r="CE648" s="123"/>
      <c r="CF648" s="123"/>
      <c r="CG648" s="123"/>
      <c r="CH648" s="123"/>
      <c r="CI648" s="123"/>
    </row>
    <row r="649" spans="1:87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123"/>
      <c r="T649" s="124"/>
      <c r="U649" s="123"/>
      <c r="V649" s="123"/>
      <c r="W649" s="124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  <c r="AV649" s="123"/>
      <c r="AW649" s="123"/>
      <c r="AX649" s="123"/>
      <c r="AY649" s="123"/>
      <c r="AZ649" s="123"/>
      <c r="BA649" s="123"/>
      <c r="BB649" s="123"/>
      <c r="BC649" s="123"/>
      <c r="BD649" s="123"/>
      <c r="BE649" s="123"/>
      <c r="BF649" s="123"/>
      <c r="BG649" s="123"/>
      <c r="BH649" s="123"/>
      <c r="BI649" s="123"/>
      <c r="BJ649" s="123"/>
      <c r="BK649" s="123"/>
      <c r="BL649" s="123"/>
      <c r="BM649" s="123"/>
      <c r="BN649" s="123"/>
      <c r="BO649" s="123"/>
      <c r="BP649" s="123"/>
      <c r="BQ649" s="123"/>
      <c r="BR649" s="123"/>
      <c r="BS649" s="123"/>
      <c r="BT649" s="123"/>
      <c r="BU649" s="123"/>
      <c r="BV649" s="123"/>
      <c r="BW649" s="123"/>
      <c r="BX649" s="123"/>
      <c r="BY649" s="123"/>
      <c r="BZ649" s="123"/>
      <c r="CA649" s="123"/>
      <c r="CB649" s="123"/>
      <c r="CC649" s="123"/>
      <c r="CD649" s="123"/>
      <c r="CE649" s="123"/>
      <c r="CF649" s="123"/>
      <c r="CG649" s="123"/>
      <c r="CH649" s="123"/>
      <c r="CI649" s="123"/>
    </row>
    <row r="650" spans="1:87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123"/>
      <c r="T650" s="124"/>
      <c r="U650" s="123"/>
      <c r="V650" s="123"/>
      <c r="W650" s="124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  <c r="AV650" s="123"/>
      <c r="AW650" s="123"/>
      <c r="AX650" s="123"/>
      <c r="AY650" s="123"/>
      <c r="AZ650" s="123"/>
      <c r="BA650" s="123"/>
      <c r="BB650" s="123"/>
      <c r="BC650" s="123"/>
      <c r="BD650" s="123"/>
      <c r="BE650" s="123"/>
      <c r="BF650" s="123"/>
      <c r="BG650" s="123"/>
      <c r="BH650" s="123"/>
      <c r="BI650" s="123"/>
      <c r="BJ650" s="123"/>
      <c r="BK650" s="123"/>
      <c r="BL650" s="123"/>
      <c r="BM650" s="123"/>
      <c r="BN650" s="123"/>
      <c r="BO650" s="123"/>
      <c r="BP650" s="123"/>
      <c r="BQ650" s="123"/>
      <c r="BR650" s="123"/>
      <c r="BS650" s="123"/>
      <c r="BT650" s="123"/>
      <c r="BU650" s="123"/>
      <c r="BV650" s="123"/>
      <c r="BW650" s="123"/>
      <c r="BX650" s="123"/>
      <c r="BY650" s="123"/>
      <c r="BZ650" s="123"/>
      <c r="CA650" s="123"/>
      <c r="CB650" s="123"/>
      <c r="CC650" s="123"/>
      <c r="CD650" s="123"/>
      <c r="CE650" s="123"/>
      <c r="CF650" s="123"/>
      <c r="CG650" s="123"/>
      <c r="CH650" s="123"/>
      <c r="CI650" s="123"/>
    </row>
    <row r="651" spans="1:87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123"/>
      <c r="T651" s="124"/>
      <c r="U651" s="123"/>
      <c r="V651" s="123"/>
      <c r="W651" s="124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  <c r="AV651" s="123"/>
      <c r="AW651" s="123"/>
      <c r="AX651" s="123"/>
      <c r="AY651" s="123"/>
      <c r="AZ651" s="123"/>
      <c r="BA651" s="123"/>
      <c r="BB651" s="123"/>
      <c r="BC651" s="123"/>
      <c r="BD651" s="123"/>
      <c r="BE651" s="123"/>
      <c r="BF651" s="123"/>
      <c r="BG651" s="123"/>
      <c r="BH651" s="123"/>
      <c r="BI651" s="123"/>
      <c r="BJ651" s="123"/>
      <c r="BK651" s="123"/>
      <c r="BL651" s="123"/>
      <c r="BM651" s="123"/>
      <c r="BN651" s="123"/>
      <c r="BO651" s="123"/>
      <c r="BP651" s="123"/>
      <c r="BQ651" s="123"/>
      <c r="BR651" s="123"/>
      <c r="BS651" s="123"/>
      <c r="BT651" s="123"/>
      <c r="BU651" s="123"/>
      <c r="BV651" s="123"/>
      <c r="BW651" s="123"/>
      <c r="BX651" s="123"/>
      <c r="BY651" s="123"/>
      <c r="BZ651" s="123"/>
      <c r="CA651" s="123"/>
      <c r="CB651" s="123"/>
      <c r="CC651" s="123"/>
      <c r="CD651" s="123"/>
      <c r="CE651" s="123"/>
      <c r="CF651" s="123"/>
      <c r="CG651" s="123"/>
      <c r="CH651" s="123"/>
      <c r="CI651" s="123"/>
    </row>
    <row r="652" spans="1:87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123"/>
      <c r="T652" s="124"/>
      <c r="U652" s="123"/>
      <c r="V652" s="123"/>
      <c r="W652" s="124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  <c r="AV652" s="123"/>
      <c r="AW652" s="123"/>
      <c r="AX652" s="123"/>
      <c r="AY652" s="123"/>
      <c r="AZ652" s="123"/>
      <c r="BA652" s="123"/>
      <c r="BB652" s="123"/>
      <c r="BC652" s="123"/>
      <c r="BD652" s="123"/>
      <c r="BE652" s="123"/>
      <c r="BF652" s="123"/>
      <c r="BG652" s="123"/>
      <c r="BH652" s="123"/>
      <c r="BI652" s="123"/>
      <c r="BJ652" s="123"/>
      <c r="BK652" s="123"/>
      <c r="BL652" s="123"/>
      <c r="BM652" s="123"/>
      <c r="BN652" s="123"/>
      <c r="BO652" s="123"/>
      <c r="BP652" s="123"/>
      <c r="BQ652" s="123"/>
      <c r="BR652" s="123"/>
      <c r="BS652" s="123"/>
      <c r="BT652" s="123"/>
      <c r="BU652" s="123"/>
      <c r="BV652" s="123"/>
      <c r="BW652" s="123"/>
      <c r="BX652" s="123"/>
      <c r="BY652" s="123"/>
      <c r="BZ652" s="123"/>
      <c r="CA652" s="123"/>
      <c r="CB652" s="123"/>
      <c r="CC652" s="123"/>
      <c r="CD652" s="123"/>
      <c r="CE652" s="123"/>
      <c r="CF652" s="123"/>
      <c r="CG652" s="123"/>
      <c r="CH652" s="123"/>
      <c r="CI652" s="123"/>
    </row>
    <row r="653" spans="1:87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123"/>
      <c r="T653" s="124"/>
      <c r="U653" s="123"/>
      <c r="V653" s="123"/>
      <c r="W653" s="124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  <c r="AV653" s="123"/>
      <c r="AW653" s="123"/>
      <c r="AX653" s="123"/>
      <c r="AY653" s="123"/>
      <c r="AZ653" s="123"/>
      <c r="BA653" s="123"/>
      <c r="BB653" s="123"/>
      <c r="BC653" s="123"/>
      <c r="BD653" s="123"/>
      <c r="BE653" s="123"/>
      <c r="BF653" s="123"/>
      <c r="BG653" s="123"/>
      <c r="BH653" s="123"/>
      <c r="BI653" s="123"/>
      <c r="BJ653" s="123"/>
      <c r="BK653" s="123"/>
      <c r="BL653" s="123"/>
      <c r="BM653" s="123"/>
      <c r="BN653" s="123"/>
      <c r="BO653" s="123"/>
      <c r="BP653" s="123"/>
      <c r="BQ653" s="123"/>
      <c r="BR653" s="123"/>
      <c r="BS653" s="123"/>
      <c r="BT653" s="123"/>
      <c r="BU653" s="123"/>
      <c r="BV653" s="123"/>
      <c r="BW653" s="123"/>
      <c r="BX653" s="123"/>
      <c r="BY653" s="123"/>
      <c r="BZ653" s="123"/>
      <c r="CA653" s="123"/>
      <c r="CB653" s="123"/>
      <c r="CC653" s="123"/>
      <c r="CD653" s="123"/>
      <c r="CE653" s="123"/>
      <c r="CF653" s="123"/>
      <c r="CG653" s="123"/>
      <c r="CH653" s="123"/>
      <c r="CI653" s="123"/>
    </row>
    <row r="654" spans="1:87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123"/>
      <c r="T654" s="124"/>
      <c r="U654" s="123"/>
      <c r="V654" s="123"/>
      <c r="W654" s="124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  <c r="AV654" s="123"/>
      <c r="AW654" s="123"/>
      <c r="AX654" s="123"/>
      <c r="AY654" s="123"/>
      <c r="AZ654" s="123"/>
      <c r="BA654" s="123"/>
      <c r="BB654" s="123"/>
      <c r="BC654" s="123"/>
      <c r="BD654" s="123"/>
      <c r="BE654" s="123"/>
      <c r="BF654" s="123"/>
      <c r="BG654" s="123"/>
      <c r="BH654" s="123"/>
      <c r="BI654" s="123"/>
      <c r="BJ654" s="123"/>
      <c r="BK654" s="123"/>
      <c r="BL654" s="123"/>
      <c r="BM654" s="123"/>
      <c r="BN654" s="123"/>
      <c r="BO654" s="123"/>
      <c r="BP654" s="123"/>
      <c r="BQ654" s="123"/>
      <c r="BR654" s="123"/>
      <c r="BS654" s="123"/>
      <c r="BT654" s="123"/>
      <c r="BU654" s="123"/>
      <c r="BV654" s="123"/>
      <c r="BW654" s="123"/>
      <c r="BX654" s="123"/>
      <c r="BY654" s="123"/>
      <c r="BZ654" s="123"/>
      <c r="CA654" s="123"/>
      <c r="CB654" s="123"/>
      <c r="CC654" s="123"/>
      <c r="CD654" s="123"/>
      <c r="CE654" s="123"/>
      <c r="CF654" s="123"/>
      <c r="CG654" s="123"/>
      <c r="CH654" s="123"/>
      <c r="CI654" s="123"/>
    </row>
    <row r="655" spans="1:87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123"/>
      <c r="T655" s="124"/>
      <c r="U655" s="123"/>
      <c r="V655" s="123"/>
      <c r="W655" s="124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  <c r="AV655" s="123"/>
      <c r="AW655" s="123"/>
      <c r="AX655" s="123"/>
      <c r="AY655" s="123"/>
      <c r="AZ655" s="123"/>
      <c r="BA655" s="123"/>
      <c r="BB655" s="123"/>
      <c r="BC655" s="123"/>
      <c r="BD655" s="123"/>
      <c r="BE655" s="123"/>
      <c r="BF655" s="123"/>
      <c r="BG655" s="123"/>
      <c r="BH655" s="123"/>
      <c r="BI655" s="123"/>
      <c r="BJ655" s="123"/>
      <c r="BK655" s="123"/>
      <c r="BL655" s="123"/>
      <c r="BM655" s="123"/>
      <c r="BN655" s="123"/>
      <c r="BO655" s="123"/>
      <c r="BP655" s="123"/>
      <c r="BQ655" s="123"/>
      <c r="BR655" s="123"/>
      <c r="BS655" s="123"/>
      <c r="BT655" s="123"/>
      <c r="BU655" s="123"/>
      <c r="BV655" s="123"/>
      <c r="BW655" s="123"/>
      <c r="BX655" s="123"/>
      <c r="BY655" s="123"/>
      <c r="BZ655" s="123"/>
      <c r="CA655" s="123"/>
      <c r="CB655" s="123"/>
      <c r="CC655" s="123"/>
      <c r="CD655" s="123"/>
      <c r="CE655" s="123"/>
      <c r="CF655" s="123"/>
      <c r="CG655" s="123"/>
      <c r="CH655" s="123"/>
      <c r="CI655" s="123"/>
    </row>
    <row r="656" spans="1:87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123"/>
      <c r="T656" s="124"/>
      <c r="U656" s="123"/>
      <c r="V656" s="123"/>
      <c r="W656" s="124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  <c r="AV656" s="123"/>
      <c r="AW656" s="123"/>
      <c r="AX656" s="123"/>
      <c r="AY656" s="123"/>
      <c r="AZ656" s="123"/>
      <c r="BA656" s="123"/>
      <c r="BB656" s="123"/>
      <c r="BC656" s="123"/>
      <c r="BD656" s="123"/>
      <c r="BE656" s="123"/>
      <c r="BF656" s="123"/>
      <c r="BG656" s="123"/>
      <c r="BH656" s="123"/>
      <c r="BI656" s="123"/>
      <c r="BJ656" s="123"/>
      <c r="BK656" s="123"/>
      <c r="BL656" s="123"/>
      <c r="BM656" s="123"/>
      <c r="BN656" s="123"/>
      <c r="BO656" s="123"/>
      <c r="BP656" s="123"/>
      <c r="BQ656" s="123"/>
      <c r="BR656" s="123"/>
      <c r="BS656" s="123"/>
      <c r="BT656" s="123"/>
      <c r="BU656" s="123"/>
      <c r="BV656" s="123"/>
      <c r="BW656" s="123"/>
      <c r="BX656" s="123"/>
      <c r="BY656" s="123"/>
      <c r="BZ656" s="123"/>
      <c r="CA656" s="123"/>
      <c r="CB656" s="123"/>
      <c r="CC656" s="123"/>
      <c r="CD656" s="123"/>
      <c r="CE656" s="123"/>
      <c r="CF656" s="123"/>
      <c r="CG656" s="123"/>
      <c r="CH656" s="123"/>
      <c r="CI656" s="123"/>
    </row>
    <row r="657" spans="1:87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123"/>
      <c r="T657" s="124"/>
      <c r="U657" s="123"/>
      <c r="V657" s="123"/>
      <c r="W657" s="124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  <c r="AV657" s="123"/>
      <c r="AW657" s="123"/>
      <c r="AX657" s="123"/>
      <c r="AY657" s="123"/>
      <c r="AZ657" s="123"/>
      <c r="BA657" s="123"/>
      <c r="BB657" s="123"/>
      <c r="BC657" s="123"/>
      <c r="BD657" s="123"/>
      <c r="BE657" s="123"/>
      <c r="BF657" s="123"/>
      <c r="BG657" s="123"/>
      <c r="BH657" s="123"/>
      <c r="BI657" s="123"/>
      <c r="BJ657" s="123"/>
      <c r="BK657" s="123"/>
      <c r="BL657" s="123"/>
      <c r="BM657" s="123"/>
      <c r="BN657" s="123"/>
      <c r="BO657" s="123"/>
      <c r="BP657" s="123"/>
      <c r="BQ657" s="123"/>
      <c r="BR657" s="123"/>
      <c r="BS657" s="123"/>
      <c r="BT657" s="123"/>
      <c r="BU657" s="123"/>
      <c r="BV657" s="123"/>
      <c r="BW657" s="123"/>
      <c r="BX657" s="123"/>
      <c r="BY657" s="123"/>
      <c r="BZ657" s="123"/>
      <c r="CA657" s="123"/>
      <c r="CB657" s="123"/>
      <c r="CC657" s="123"/>
      <c r="CD657" s="123"/>
      <c r="CE657" s="123"/>
      <c r="CF657" s="123"/>
      <c r="CG657" s="123"/>
      <c r="CH657" s="123"/>
      <c r="CI657" s="123"/>
    </row>
    <row r="658" spans="1:87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123"/>
      <c r="T658" s="124"/>
      <c r="U658" s="123"/>
      <c r="V658" s="123"/>
      <c r="W658" s="124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  <c r="AV658" s="123"/>
      <c r="AW658" s="123"/>
      <c r="AX658" s="123"/>
      <c r="AY658" s="123"/>
      <c r="AZ658" s="123"/>
      <c r="BA658" s="123"/>
      <c r="BB658" s="123"/>
      <c r="BC658" s="123"/>
      <c r="BD658" s="123"/>
      <c r="BE658" s="123"/>
      <c r="BF658" s="123"/>
      <c r="BG658" s="123"/>
      <c r="BH658" s="123"/>
      <c r="BI658" s="123"/>
      <c r="BJ658" s="123"/>
      <c r="BK658" s="123"/>
      <c r="BL658" s="123"/>
      <c r="BM658" s="123"/>
      <c r="BN658" s="123"/>
      <c r="BO658" s="123"/>
      <c r="BP658" s="123"/>
      <c r="BQ658" s="123"/>
      <c r="BR658" s="123"/>
      <c r="BS658" s="123"/>
      <c r="BT658" s="123"/>
      <c r="BU658" s="123"/>
      <c r="BV658" s="123"/>
      <c r="BW658" s="123"/>
      <c r="BX658" s="123"/>
      <c r="BY658" s="123"/>
      <c r="BZ658" s="123"/>
      <c r="CA658" s="123"/>
      <c r="CB658" s="123"/>
      <c r="CC658" s="123"/>
      <c r="CD658" s="123"/>
      <c r="CE658" s="123"/>
      <c r="CF658" s="123"/>
      <c r="CG658" s="123"/>
      <c r="CH658" s="123"/>
      <c r="CI658" s="123"/>
    </row>
    <row r="659" spans="1:87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123"/>
      <c r="T659" s="124"/>
      <c r="U659" s="123"/>
      <c r="V659" s="123"/>
      <c r="W659" s="124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  <c r="AV659" s="123"/>
      <c r="AW659" s="123"/>
      <c r="AX659" s="123"/>
      <c r="AY659" s="123"/>
      <c r="AZ659" s="123"/>
      <c r="BA659" s="123"/>
      <c r="BB659" s="123"/>
      <c r="BC659" s="123"/>
      <c r="BD659" s="123"/>
      <c r="BE659" s="123"/>
      <c r="BF659" s="123"/>
      <c r="BG659" s="123"/>
      <c r="BH659" s="123"/>
      <c r="BI659" s="123"/>
      <c r="BJ659" s="123"/>
      <c r="BK659" s="123"/>
      <c r="BL659" s="123"/>
      <c r="BM659" s="123"/>
      <c r="BN659" s="123"/>
      <c r="BO659" s="123"/>
      <c r="BP659" s="123"/>
      <c r="BQ659" s="123"/>
      <c r="BR659" s="123"/>
      <c r="BS659" s="123"/>
      <c r="BT659" s="123"/>
      <c r="BU659" s="123"/>
      <c r="BV659" s="123"/>
      <c r="BW659" s="123"/>
      <c r="BX659" s="123"/>
      <c r="BY659" s="123"/>
      <c r="BZ659" s="123"/>
      <c r="CA659" s="123"/>
      <c r="CB659" s="123"/>
      <c r="CC659" s="123"/>
      <c r="CD659" s="123"/>
      <c r="CE659" s="123"/>
      <c r="CF659" s="123"/>
      <c r="CG659" s="123"/>
      <c r="CH659" s="123"/>
      <c r="CI659" s="123"/>
    </row>
    <row r="660" spans="1:87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123"/>
      <c r="T660" s="124"/>
      <c r="U660" s="123"/>
      <c r="V660" s="123"/>
      <c r="W660" s="124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  <c r="AV660" s="123"/>
      <c r="AW660" s="123"/>
      <c r="AX660" s="123"/>
      <c r="AY660" s="123"/>
      <c r="AZ660" s="123"/>
      <c r="BA660" s="123"/>
      <c r="BB660" s="123"/>
      <c r="BC660" s="123"/>
      <c r="BD660" s="123"/>
      <c r="BE660" s="123"/>
      <c r="BF660" s="123"/>
      <c r="BG660" s="123"/>
      <c r="BH660" s="123"/>
      <c r="BI660" s="123"/>
      <c r="BJ660" s="123"/>
      <c r="BK660" s="123"/>
      <c r="BL660" s="123"/>
      <c r="BM660" s="123"/>
      <c r="BN660" s="123"/>
      <c r="BO660" s="123"/>
      <c r="BP660" s="123"/>
      <c r="BQ660" s="123"/>
      <c r="BR660" s="123"/>
      <c r="BS660" s="123"/>
      <c r="BT660" s="123"/>
      <c r="BU660" s="123"/>
      <c r="BV660" s="123"/>
      <c r="BW660" s="123"/>
      <c r="BX660" s="123"/>
      <c r="BY660" s="123"/>
      <c r="BZ660" s="123"/>
      <c r="CA660" s="123"/>
      <c r="CB660" s="123"/>
      <c r="CC660" s="123"/>
      <c r="CD660" s="123"/>
      <c r="CE660" s="123"/>
      <c r="CF660" s="123"/>
      <c r="CG660" s="123"/>
      <c r="CH660" s="123"/>
      <c r="CI660" s="123"/>
    </row>
    <row r="661" spans="1:87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123"/>
      <c r="T661" s="124"/>
      <c r="U661" s="123"/>
      <c r="V661" s="123"/>
      <c r="W661" s="124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  <c r="AV661" s="123"/>
      <c r="AW661" s="123"/>
      <c r="AX661" s="123"/>
      <c r="AY661" s="123"/>
      <c r="AZ661" s="123"/>
      <c r="BA661" s="123"/>
      <c r="BB661" s="123"/>
      <c r="BC661" s="123"/>
      <c r="BD661" s="123"/>
      <c r="BE661" s="123"/>
      <c r="BF661" s="123"/>
      <c r="BG661" s="123"/>
      <c r="BH661" s="123"/>
      <c r="BI661" s="123"/>
      <c r="BJ661" s="123"/>
      <c r="BK661" s="123"/>
      <c r="BL661" s="123"/>
      <c r="BM661" s="123"/>
      <c r="BN661" s="123"/>
      <c r="BO661" s="123"/>
      <c r="BP661" s="123"/>
      <c r="BQ661" s="123"/>
      <c r="BR661" s="123"/>
      <c r="BS661" s="123"/>
      <c r="BT661" s="123"/>
      <c r="BU661" s="123"/>
      <c r="BV661" s="123"/>
      <c r="BW661" s="123"/>
      <c r="BX661" s="123"/>
      <c r="BY661" s="123"/>
      <c r="BZ661" s="123"/>
      <c r="CA661" s="123"/>
      <c r="CB661" s="123"/>
      <c r="CC661" s="123"/>
      <c r="CD661" s="123"/>
      <c r="CE661" s="123"/>
      <c r="CF661" s="123"/>
      <c r="CG661" s="123"/>
      <c r="CH661" s="123"/>
      <c r="CI661" s="123"/>
    </row>
    <row r="662" spans="1:87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123"/>
      <c r="T662" s="124"/>
      <c r="U662" s="123"/>
      <c r="V662" s="123"/>
      <c r="W662" s="124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  <c r="AV662" s="123"/>
      <c r="AW662" s="123"/>
      <c r="AX662" s="123"/>
      <c r="AY662" s="123"/>
      <c r="AZ662" s="123"/>
      <c r="BA662" s="123"/>
      <c r="BB662" s="123"/>
      <c r="BC662" s="123"/>
      <c r="BD662" s="123"/>
      <c r="BE662" s="123"/>
      <c r="BF662" s="123"/>
      <c r="BG662" s="123"/>
      <c r="BH662" s="123"/>
      <c r="BI662" s="123"/>
      <c r="BJ662" s="123"/>
      <c r="BK662" s="123"/>
      <c r="BL662" s="123"/>
      <c r="BM662" s="123"/>
      <c r="BN662" s="123"/>
      <c r="BO662" s="123"/>
      <c r="BP662" s="123"/>
      <c r="BQ662" s="123"/>
      <c r="BR662" s="123"/>
      <c r="BS662" s="123"/>
      <c r="BT662" s="123"/>
      <c r="BU662" s="123"/>
      <c r="BV662" s="123"/>
      <c r="BW662" s="123"/>
      <c r="BX662" s="123"/>
      <c r="BY662" s="123"/>
      <c r="BZ662" s="123"/>
      <c r="CA662" s="123"/>
      <c r="CB662" s="123"/>
      <c r="CC662" s="123"/>
      <c r="CD662" s="123"/>
      <c r="CE662" s="123"/>
      <c r="CF662" s="123"/>
      <c r="CG662" s="123"/>
      <c r="CH662" s="123"/>
      <c r="CI662" s="123"/>
    </row>
    <row r="663" spans="1:87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123"/>
      <c r="T663" s="124"/>
      <c r="U663" s="123"/>
      <c r="V663" s="123"/>
      <c r="W663" s="124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  <c r="AV663" s="123"/>
      <c r="AW663" s="123"/>
      <c r="AX663" s="123"/>
      <c r="AY663" s="123"/>
      <c r="AZ663" s="123"/>
      <c r="BA663" s="123"/>
      <c r="BB663" s="123"/>
      <c r="BC663" s="123"/>
      <c r="BD663" s="123"/>
      <c r="BE663" s="123"/>
      <c r="BF663" s="123"/>
      <c r="BG663" s="123"/>
      <c r="BH663" s="123"/>
      <c r="BI663" s="123"/>
      <c r="BJ663" s="123"/>
      <c r="BK663" s="123"/>
      <c r="BL663" s="123"/>
      <c r="BM663" s="123"/>
      <c r="BN663" s="123"/>
      <c r="BO663" s="123"/>
      <c r="BP663" s="123"/>
      <c r="BQ663" s="123"/>
      <c r="BR663" s="123"/>
      <c r="BS663" s="123"/>
      <c r="BT663" s="123"/>
      <c r="BU663" s="123"/>
      <c r="BV663" s="123"/>
      <c r="BW663" s="123"/>
      <c r="BX663" s="123"/>
      <c r="BY663" s="123"/>
      <c r="BZ663" s="123"/>
      <c r="CA663" s="123"/>
      <c r="CB663" s="123"/>
      <c r="CC663" s="123"/>
      <c r="CD663" s="123"/>
      <c r="CE663" s="123"/>
      <c r="CF663" s="123"/>
      <c r="CG663" s="123"/>
      <c r="CH663" s="123"/>
      <c r="CI663" s="123"/>
    </row>
    <row r="664" spans="1:87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123"/>
      <c r="T664" s="124"/>
      <c r="U664" s="123"/>
      <c r="V664" s="123"/>
      <c r="W664" s="124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  <c r="AV664" s="123"/>
      <c r="AW664" s="123"/>
      <c r="AX664" s="123"/>
      <c r="AY664" s="123"/>
      <c r="AZ664" s="123"/>
      <c r="BA664" s="123"/>
      <c r="BB664" s="123"/>
      <c r="BC664" s="123"/>
      <c r="BD664" s="123"/>
      <c r="BE664" s="123"/>
      <c r="BF664" s="123"/>
      <c r="BG664" s="123"/>
      <c r="BH664" s="123"/>
      <c r="BI664" s="123"/>
      <c r="BJ664" s="123"/>
      <c r="BK664" s="123"/>
      <c r="BL664" s="123"/>
      <c r="BM664" s="123"/>
      <c r="BN664" s="123"/>
      <c r="BO664" s="123"/>
      <c r="BP664" s="123"/>
      <c r="BQ664" s="123"/>
      <c r="BR664" s="123"/>
      <c r="BS664" s="123"/>
      <c r="BT664" s="123"/>
      <c r="BU664" s="123"/>
      <c r="BV664" s="123"/>
      <c r="BW664" s="123"/>
      <c r="BX664" s="123"/>
      <c r="BY664" s="123"/>
      <c r="BZ664" s="123"/>
      <c r="CA664" s="123"/>
      <c r="CB664" s="123"/>
      <c r="CC664" s="123"/>
      <c r="CD664" s="123"/>
      <c r="CE664" s="123"/>
      <c r="CF664" s="123"/>
      <c r="CG664" s="123"/>
      <c r="CH664" s="123"/>
      <c r="CI664" s="123"/>
    </row>
    <row r="665" spans="1:87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123"/>
      <c r="T665" s="124"/>
      <c r="U665" s="123"/>
      <c r="V665" s="123"/>
      <c r="W665" s="124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  <c r="AV665" s="123"/>
      <c r="AW665" s="123"/>
      <c r="AX665" s="123"/>
      <c r="AY665" s="123"/>
      <c r="AZ665" s="123"/>
      <c r="BA665" s="123"/>
      <c r="BB665" s="123"/>
      <c r="BC665" s="123"/>
      <c r="BD665" s="123"/>
      <c r="BE665" s="123"/>
      <c r="BF665" s="123"/>
      <c r="BG665" s="123"/>
      <c r="BH665" s="123"/>
      <c r="BI665" s="123"/>
      <c r="BJ665" s="123"/>
      <c r="BK665" s="123"/>
      <c r="BL665" s="123"/>
      <c r="BM665" s="123"/>
      <c r="BN665" s="123"/>
      <c r="BO665" s="123"/>
      <c r="BP665" s="123"/>
      <c r="BQ665" s="123"/>
      <c r="BR665" s="123"/>
      <c r="BS665" s="123"/>
      <c r="BT665" s="123"/>
      <c r="BU665" s="123"/>
      <c r="BV665" s="123"/>
      <c r="BW665" s="123"/>
      <c r="BX665" s="123"/>
      <c r="BY665" s="123"/>
      <c r="BZ665" s="123"/>
      <c r="CA665" s="123"/>
      <c r="CB665" s="123"/>
      <c r="CC665" s="123"/>
      <c r="CD665" s="123"/>
      <c r="CE665" s="123"/>
      <c r="CF665" s="123"/>
      <c r="CG665" s="123"/>
      <c r="CH665" s="123"/>
      <c r="CI665" s="123"/>
    </row>
    <row r="666" spans="1:87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123"/>
      <c r="T666" s="124"/>
      <c r="U666" s="123"/>
      <c r="V666" s="123"/>
      <c r="W666" s="124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  <c r="AV666" s="123"/>
      <c r="AW666" s="123"/>
      <c r="AX666" s="123"/>
      <c r="AY666" s="123"/>
      <c r="AZ666" s="123"/>
      <c r="BA666" s="123"/>
      <c r="BB666" s="123"/>
      <c r="BC666" s="123"/>
      <c r="BD666" s="123"/>
      <c r="BE666" s="123"/>
      <c r="BF666" s="123"/>
      <c r="BG666" s="123"/>
      <c r="BH666" s="123"/>
      <c r="BI666" s="123"/>
      <c r="BJ666" s="123"/>
      <c r="BK666" s="123"/>
      <c r="BL666" s="123"/>
      <c r="BM666" s="123"/>
      <c r="BN666" s="123"/>
      <c r="BO666" s="123"/>
      <c r="BP666" s="123"/>
      <c r="BQ666" s="123"/>
      <c r="BR666" s="123"/>
      <c r="BS666" s="123"/>
      <c r="BT666" s="123"/>
      <c r="BU666" s="123"/>
      <c r="BV666" s="123"/>
      <c r="BW666" s="123"/>
      <c r="BX666" s="123"/>
      <c r="BY666" s="123"/>
      <c r="BZ666" s="123"/>
      <c r="CA666" s="123"/>
      <c r="CB666" s="123"/>
      <c r="CC666" s="123"/>
      <c r="CD666" s="123"/>
      <c r="CE666" s="123"/>
      <c r="CF666" s="123"/>
      <c r="CG666" s="123"/>
      <c r="CH666" s="123"/>
      <c r="CI666" s="123"/>
    </row>
    <row r="667" spans="1:87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123"/>
      <c r="T667" s="124"/>
      <c r="U667" s="123"/>
      <c r="V667" s="123"/>
      <c r="W667" s="124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  <c r="AV667" s="123"/>
      <c r="AW667" s="123"/>
      <c r="AX667" s="123"/>
      <c r="AY667" s="123"/>
      <c r="AZ667" s="123"/>
      <c r="BA667" s="123"/>
      <c r="BB667" s="123"/>
      <c r="BC667" s="123"/>
      <c r="BD667" s="123"/>
      <c r="BE667" s="123"/>
      <c r="BF667" s="123"/>
      <c r="BG667" s="123"/>
      <c r="BH667" s="123"/>
      <c r="BI667" s="123"/>
      <c r="BJ667" s="123"/>
      <c r="BK667" s="123"/>
      <c r="BL667" s="123"/>
      <c r="BM667" s="123"/>
      <c r="BN667" s="123"/>
      <c r="BO667" s="123"/>
      <c r="BP667" s="123"/>
      <c r="BQ667" s="123"/>
      <c r="BR667" s="123"/>
      <c r="BS667" s="123"/>
      <c r="BT667" s="123"/>
      <c r="BU667" s="123"/>
      <c r="BV667" s="123"/>
      <c r="BW667" s="123"/>
      <c r="BX667" s="123"/>
      <c r="BY667" s="123"/>
      <c r="BZ667" s="123"/>
      <c r="CA667" s="123"/>
      <c r="CB667" s="123"/>
      <c r="CC667" s="123"/>
      <c r="CD667" s="123"/>
      <c r="CE667" s="123"/>
      <c r="CF667" s="123"/>
      <c r="CG667" s="123"/>
      <c r="CH667" s="123"/>
      <c r="CI667" s="123"/>
    </row>
    <row r="668" spans="1:87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123"/>
      <c r="T668" s="124"/>
      <c r="U668" s="123"/>
      <c r="V668" s="123"/>
      <c r="W668" s="124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  <c r="AV668" s="123"/>
      <c r="AW668" s="123"/>
      <c r="AX668" s="123"/>
      <c r="AY668" s="123"/>
      <c r="AZ668" s="123"/>
      <c r="BA668" s="123"/>
      <c r="BB668" s="123"/>
      <c r="BC668" s="123"/>
      <c r="BD668" s="123"/>
      <c r="BE668" s="123"/>
      <c r="BF668" s="123"/>
      <c r="BG668" s="123"/>
      <c r="BH668" s="123"/>
      <c r="BI668" s="123"/>
      <c r="BJ668" s="123"/>
      <c r="BK668" s="123"/>
      <c r="BL668" s="123"/>
      <c r="BM668" s="123"/>
      <c r="BN668" s="123"/>
      <c r="BO668" s="123"/>
      <c r="BP668" s="123"/>
      <c r="BQ668" s="123"/>
      <c r="BR668" s="123"/>
      <c r="BS668" s="123"/>
      <c r="BT668" s="123"/>
      <c r="BU668" s="123"/>
      <c r="BV668" s="123"/>
      <c r="BW668" s="123"/>
      <c r="BX668" s="123"/>
      <c r="BY668" s="123"/>
      <c r="BZ668" s="123"/>
      <c r="CA668" s="123"/>
      <c r="CB668" s="123"/>
      <c r="CC668" s="123"/>
      <c r="CD668" s="123"/>
      <c r="CE668" s="123"/>
      <c r="CF668" s="123"/>
      <c r="CG668" s="123"/>
      <c r="CH668" s="123"/>
      <c r="CI668" s="123"/>
    </row>
    <row r="669" spans="1:87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123"/>
      <c r="T669" s="124"/>
      <c r="U669" s="123"/>
      <c r="V669" s="123"/>
      <c r="W669" s="124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  <c r="AV669" s="123"/>
      <c r="AW669" s="123"/>
      <c r="AX669" s="123"/>
      <c r="AY669" s="123"/>
      <c r="AZ669" s="123"/>
      <c r="BA669" s="123"/>
      <c r="BB669" s="123"/>
      <c r="BC669" s="123"/>
      <c r="BD669" s="123"/>
      <c r="BE669" s="123"/>
      <c r="BF669" s="123"/>
      <c r="BG669" s="123"/>
      <c r="BH669" s="123"/>
      <c r="BI669" s="123"/>
      <c r="BJ669" s="123"/>
      <c r="BK669" s="123"/>
      <c r="BL669" s="123"/>
      <c r="BM669" s="123"/>
      <c r="BN669" s="123"/>
      <c r="BO669" s="123"/>
      <c r="BP669" s="123"/>
      <c r="BQ669" s="123"/>
      <c r="BR669" s="123"/>
      <c r="BS669" s="123"/>
      <c r="BT669" s="123"/>
      <c r="BU669" s="123"/>
      <c r="BV669" s="123"/>
      <c r="BW669" s="123"/>
      <c r="BX669" s="123"/>
      <c r="BY669" s="123"/>
      <c r="BZ669" s="123"/>
      <c r="CA669" s="123"/>
      <c r="CB669" s="123"/>
      <c r="CC669" s="123"/>
      <c r="CD669" s="123"/>
      <c r="CE669" s="123"/>
      <c r="CF669" s="123"/>
      <c r="CG669" s="123"/>
      <c r="CH669" s="123"/>
      <c r="CI669" s="123"/>
    </row>
    <row r="670" spans="1:87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123"/>
      <c r="T670" s="124"/>
      <c r="U670" s="123"/>
      <c r="V670" s="123"/>
      <c r="W670" s="124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  <c r="AV670" s="123"/>
      <c r="AW670" s="123"/>
      <c r="AX670" s="123"/>
      <c r="AY670" s="123"/>
      <c r="AZ670" s="123"/>
      <c r="BA670" s="123"/>
      <c r="BB670" s="123"/>
      <c r="BC670" s="123"/>
      <c r="BD670" s="123"/>
      <c r="BE670" s="123"/>
      <c r="BF670" s="123"/>
      <c r="BG670" s="123"/>
      <c r="BH670" s="123"/>
      <c r="BI670" s="123"/>
      <c r="BJ670" s="123"/>
      <c r="BK670" s="123"/>
      <c r="BL670" s="123"/>
      <c r="BM670" s="123"/>
      <c r="BN670" s="123"/>
      <c r="BO670" s="123"/>
      <c r="BP670" s="123"/>
      <c r="BQ670" s="123"/>
      <c r="BR670" s="123"/>
      <c r="BS670" s="123"/>
      <c r="BT670" s="123"/>
      <c r="BU670" s="123"/>
      <c r="BV670" s="123"/>
      <c r="BW670" s="123"/>
      <c r="BX670" s="123"/>
      <c r="BY670" s="123"/>
      <c r="BZ670" s="123"/>
      <c r="CA670" s="123"/>
      <c r="CB670" s="123"/>
      <c r="CC670" s="123"/>
      <c r="CD670" s="123"/>
      <c r="CE670" s="123"/>
      <c r="CF670" s="123"/>
      <c r="CG670" s="123"/>
      <c r="CH670" s="123"/>
      <c r="CI670" s="123"/>
    </row>
    <row r="671" spans="1:87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123"/>
      <c r="T671" s="124"/>
      <c r="U671" s="123"/>
      <c r="V671" s="123"/>
      <c r="W671" s="124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  <c r="AV671" s="123"/>
      <c r="AW671" s="123"/>
      <c r="AX671" s="123"/>
      <c r="AY671" s="123"/>
      <c r="AZ671" s="123"/>
      <c r="BA671" s="123"/>
      <c r="BB671" s="123"/>
      <c r="BC671" s="123"/>
      <c r="BD671" s="123"/>
      <c r="BE671" s="123"/>
      <c r="BF671" s="123"/>
      <c r="BG671" s="123"/>
      <c r="BH671" s="123"/>
      <c r="BI671" s="123"/>
      <c r="BJ671" s="123"/>
      <c r="BK671" s="123"/>
      <c r="BL671" s="123"/>
      <c r="BM671" s="123"/>
      <c r="BN671" s="123"/>
      <c r="BO671" s="123"/>
      <c r="BP671" s="123"/>
      <c r="BQ671" s="123"/>
      <c r="BR671" s="123"/>
      <c r="BS671" s="123"/>
      <c r="BT671" s="123"/>
      <c r="BU671" s="123"/>
      <c r="BV671" s="123"/>
      <c r="BW671" s="123"/>
      <c r="BX671" s="123"/>
      <c r="BY671" s="123"/>
      <c r="BZ671" s="123"/>
      <c r="CA671" s="123"/>
      <c r="CB671" s="123"/>
      <c r="CC671" s="123"/>
      <c r="CD671" s="123"/>
      <c r="CE671" s="123"/>
      <c r="CF671" s="123"/>
      <c r="CG671" s="123"/>
      <c r="CH671" s="123"/>
      <c r="CI671" s="123"/>
    </row>
    <row r="672" spans="1:87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123"/>
      <c r="T672" s="124"/>
      <c r="U672" s="123"/>
      <c r="V672" s="123"/>
      <c r="W672" s="124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  <c r="AV672" s="123"/>
      <c r="AW672" s="123"/>
      <c r="AX672" s="123"/>
      <c r="AY672" s="123"/>
      <c r="AZ672" s="123"/>
      <c r="BA672" s="123"/>
      <c r="BB672" s="123"/>
      <c r="BC672" s="123"/>
      <c r="BD672" s="123"/>
      <c r="BE672" s="123"/>
      <c r="BF672" s="123"/>
      <c r="BG672" s="123"/>
      <c r="BH672" s="123"/>
      <c r="BI672" s="123"/>
      <c r="BJ672" s="123"/>
      <c r="BK672" s="123"/>
      <c r="BL672" s="123"/>
      <c r="BM672" s="123"/>
      <c r="BN672" s="123"/>
      <c r="BO672" s="123"/>
      <c r="BP672" s="123"/>
      <c r="BQ672" s="123"/>
      <c r="BR672" s="123"/>
      <c r="BS672" s="123"/>
      <c r="BT672" s="123"/>
      <c r="BU672" s="123"/>
      <c r="BV672" s="123"/>
      <c r="BW672" s="123"/>
      <c r="BX672" s="123"/>
      <c r="BY672" s="123"/>
      <c r="BZ672" s="123"/>
      <c r="CA672" s="123"/>
      <c r="CB672" s="123"/>
      <c r="CC672" s="123"/>
      <c r="CD672" s="123"/>
      <c r="CE672" s="123"/>
      <c r="CF672" s="123"/>
      <c r="CG672" s="123"/>
      <c r="CH672" s="123"/>
      <c r="CI672" s="123"/>
    </row>
    <row r="673" spans="1:87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123"/>
      <c r="T673" s="124"/>
      <c r="U673" s="123"/>
      <c r="V673" s="123"/>
      <c r="W673" s="124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  <c r="AV673" s="123"/>
      <c r="AW673" s="123"/>
      <c r="AX673" s="123"/>
      <c r="AY673" s="123"/>
      <c r="AZ673" s="123"/>
      <c r="BA673" s="123"/>
      <c r="BB673" s="123"/>
      <c r="BC673" s="123"/>
      <c r="BD673" s="123"/>
      <c r="BE673" s="123"/>
      <c r="BF673" s="123"/>
      <c r="BG673" s="123"/>
      <c r="BH673" s="123"/>
      <c r="BI673" s="123"/>
      <c r="BJ673" s="123"/>
      <c r="BK673" s="123"/>
      <c r="BL673" s="123"/>
      <c r="BM673" s="123"/>
      <c r="BN673" s="123"/>
      <c r="BO673" s="123"/>
      <c r="BP673" s="123"/>
      <c r="BQ673" s="123"/>
      <c r="BR673" s="123"/>
      <c r="BS673" s="123"/>
      <c r="BT673" s="123"/>
      <c r="BU673" s="123"/>
      <c r="BV673" s="123"/>
      <c r="BW673" s="123"/>
      <c r="BX673" s="123"/>
      <c r="BY673" s="123"/>
      <c r="BZ673" s="123"/>
      <c r="CA673" s="123"/>
      <c r="CB673" s="123"/>
      <c r="CC673" s="123"/>
      <c r="CD673" s="123"/>
      <c r="CE673" s="123"/>
      <c r="CF673" s="123"/>
      <c r="CG673" s="123"/>
      <c r="CH673" s="123"/>
      <c r="CI673" s="123"/>
    </row>
    <row r="674" spans="1:87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123"/>
      <c r="T674" s="124"/>
      <c r="U674" s="123"/>
      <c r="V674" s="123"/>
      <c r="W674" s="124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  <c r="AV674" s="123"/>
      <c r="AW674" s="123"/>
      <c r="AX674" s="123"/>
      <c r="AY674" s="123"/>
      <c r="AZ674" s="123"/>
      <c r="BA674" s="123"/>
      <c r="BB674" s="123"/>
      <c r="BC674" s="123"/>
      <c r="BD674" s="123"/>
      <c r="BE674" s="123"/>
      <c r="BF674" s="123"/>
      <c r="BG674" s="123"/>
      <c r="BH674" s="123"/>
      <c r="BI674" s="123"/>
      <c r="BJ674" s="123"/>
      <c r="BK674" s="123"/>
      <c r="BL674" s="123"/>
      <c r="BM674" s="123"/>
      <c r="BN674" s="123"/>
      <c r="BO674" s="123"/>
      <c r="BP674" s="123"/>
      <c r="BQ674" s="123"/>
      <c r="BR674" s="123"/>
      <c r="BS674" s="123"/>
      <c r="BT674" s="123"/>
      <c r="BU674" s="123"/>
      <c r="BV674" s="123"/>
      <c r="BW674" s="123"/>
      <c r="BX674" s="123"/>
      <c r="BY674" s="123"/>
      <c r="BZ674" s="123"/>
      <c r="CA674" s="123"/>
      <c r="CB674" s="123"/>
      <c r="CC674" s="123"/>
      <c r="CD674" s="123"/>
      <c r="CE674" s="123"/>
      <c r="CF674" s="123"/>
      <c r="CG674" s="123"/>
      <c r="CH674" s="123"/>
      <c r="CI674" s="123"/>
    </row>
    <row r="675" spans="1:87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123"/>
      <c r="T675" s="124"/>
      <c r="U675" s="123"/>
      <c r="V675" s="123"/>
      <c r="W675" s="124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  <c r="AV675" s="123"/>
      <c r="AW675" s="123"/>
      <c r="AX675" s="123"/>
      <c r="AY675" s="123"/>
      <c r="AZ675" s="123"/>
      <c r="BA675" s="123"/>
      <c r="BB675" s="123"/>
      <c r="BC675" s="123"/>
      <c r="BD675" s="123"/>
      <c r="BE675" s="123"/>
      <c r="BF675" s="123"/>
      <c r="BG675" s="123"/>
      <c r="BH675" s="123"/>
      <c r="BI675" s="123"/>
      <c r="BJ675" s="123"/>
      <c r="BK675" s="123"/>
      <c r="BL675" s="123"/>
      <c r="BM675" s="123"/>
      <c r="BN675" s="123"/>
      <c r="BO675" s="123"/>
      <c r="BP675" s="123"/>
      <c r="BQ675" s="123"/>
      <c r="BR675" s="123"/>
      <c r="BS675" s="123"/>
      <c r="BT675" s="123"/>
      <c r="BU675" s="123"/>
      <c r="BV675" s="123"/>
      <c r="BW675" s="123"/>
      <c r="BX675" s="123"/>
      <c r="BY675" s="123"/>
      <c r="BZ675" s="123"/>
      <c r="CA675" s="123"/>
      <c r="CB675" s="123"/>
      <c r="CC675" s="123"/>
      <c r="CD675" s="123"/>
      <c r="CE675" s="123"/>
      <c r="CF675" s="123"/>
      <c r="CG675" s="123"/>
      <c r="CH675" s="123"/>
      <c r="CI675" s="123"/>
    </row>
    <row r="676" spans="1:87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123"/>
      <c r="T676" s="124"/>
      <c r="U676" s="123"/>
      <c r="V676" s="123"/>
      <c r="W676" s="124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  <c r="AV676" s="123"/>
      <c r="AW676" s="123"/>
      <c r="AX676" s="123"/>
      <c r="AY676" s="123"/>
      <c r="AZ676" s="123"/>
      <c r="BA676" s="123"/>
      <c r="BB676" s="123"/>
      <c r="BC676" s="123"/>
      <c r="BD676" s="123"/>
      <c r="BE676" s="123"/>
      <c r="BF676" s="123"/>
      <c r="BG676" s="123"/>
      <c r="BH676" s="123"/>
      <c r="BI676" s="123"/>
      <c r="BJ676" s="123"/>
      <c r="BK676" s="123"/>
      <c r="BL676" s="123"/>
      <c r="BM676" s="123"/>
      <c r="BN676" s="123"/>
      <c r="BO676" s="123"/>
      <c r="BP676" s="123"/>
      <c r="BQ676" s="123"/>
      <c r="BR676" s="123"/>
      <c r="BS676" s="123"/>
      <c r="BT676" s="123"/>
      <c r="BU676" s="123"/>
      <c r="BV676" s="123"/>
      <c r="BW676" s="123"/>
      <c r="BX676" s="123"/>
      <c r="BY676" s="123"/>
      <c r="BZ676" s="123"/>
      <c r="CA676" s="123"/>
      <c r="CB676" s="123"/>
      <c r="CC676" s="123"/>
      <c r="CD676" s="123"/>
      <c r="CE676" s="123"/>
      <c r="CF676" s="123"/>
      <c r="CG676" s="123"/>
      <c r="CH676" s="123"/>
      <c r="CI676" s="123"/>
    </row>
    <row r="677" spans="1:87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123"/>
      <c r="T677" s="124"/>
      <c r="U677" s="123"/>
      <c r="V677" s="123"/>
      <c r="W677" s="124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  <c r="AV677" s="123"/>
      <c r="AW677" s="123"/>
      <c r="AX677" s="123"/>
      <c r="AY677" s="123"/>
      <c r="AZ677" s="123"/>
      <c r="BA677" s="123"/>
      <c r="BB677" s="123"/>
      <c r="BC677" s="123"/>
      <c r="BD677" s="123"/>
      <c r="BE677" s="123"/>
      <c r="BF677" s="123"/>
      <c r="BG677" s="123"/>
      <c r="BH677" s="123"/>
      <c r="BI677" s="123"/>
      <c r="BJ677" s="123"/>
      <c r="BK677" s="123"/>
      <c r="BL677" s="123"/>
      <c r="BM677" s="123"/>
      <c r="BN677" s="123"/>
      <c r="BO677" s="123"/>
      <c r="BP677" s="123"/>
      <c r="BQ677" s="123"/>
      <c r="BR677" s="123"/>
      <c r="BS677" s="123"/>
      <c r="BT677" s="123"/>
      <c r="BU677" s="123"/>
      <c r="BV677" s="123"/>
      <c r="BW677" s="123"/>
      <c r="BX677" s="123"/>
      <c r="BY677" s="123"/>
      <c r="BZ677" s="123"/>
      <c r="CA677" s="123"/>
      <c r="CB677" s="123"/>
      <c r="CC677" s="123"/>
      <c r="CD677" s="123"/>
      <c r="CE677" s="123"/>
      <c r="CF677" s="123"/>
      <c r="CG677" s="123"/>
      <c r="CH677" s="123"/>
      <c r="CI677" s="123"/>
    </row>
    <row r="678" spans="1:87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123"/>
      <c r="T678" s="124"/>
      <c r="U678" s="123"/>
      <c r="V678" s="123"/>
      <c r="W678" s="124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  <c r="AV678" s="123"/>
      <c r="AW678" s="123"/>
      <c r="AX678" s="123"/>
      <c r="AY678" s="123"/>
      <c r="AZ678" s="123"/>
      <c r="BA678" s="123"/>
      <c r="BB678" s="123"/>
      <c r="BC678" s="123"/>
      <c r="BD678" s="123"/>
      <c r="BE678" s="123"/>
      <c r="BF678" s="123"/>
      <c r="BG678" s="123"/>
      <c r="BH678" s="123"/>
      <c r="BI678" s="123"/>
      <c r="BJ678" s="123"/>
      <c r="BK678" s="123"/>
      <c r="BL678" s="123"/>
      <c r="BM678" s="123"/>
      <c r="BN678" s="123"/>
      <c r="BO678" s="123"/>
      <c r="BP678" s="123"/>
      <c r="BQ678" s="123"/>
      <c r="BR678" s="123"/>
      <c r="BS678" s="123"/>
      <c r="BT678" s="123"/>
      <c r="BU678" s="123"/>
      <c r="BV678" s="123"/>
      <c r="BW678" s="123"/>
      <c r="BX678" s="123"/>
      <c r="BY678" s="123"/>
      <c r="BZ678" s="123"/>
      <c r="CA678" s="123"/>
      <c r="CB678" s="123"/>
      <c r="CC678" s="123"/>
      <c r="CD678" s="123"/>
      <c r="CE678" s="123"/>
      <c r="CF678" s="123"/>
      <c r="CG678" s="123"/>
      <c r="CH678" s="123"/>
      <c r="CI678" s="123"/>
    </row>
    <row r="679" spans="1:87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123"/>
      <c r="T679" s="124"/>
      <c r="U679" s="123"/>
      <c r="V679" s="123"/>
      <c r="W679" s="124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123"/>
      <c r="BR679" s="123"/>
      <c r="BS679" s="123"/>
      <c r="BT679" s="123"/>
      <c r="BU679" s="123"/>
      <c r="BV679" s="123"/>
      <c r="BW679" s="123"/>
      <c r="BX679" s="123"/>
      <c r="BY679" s="123"/>
      <c r="BZ679" s="123"/>
      <c r="CA679" s="123"/>
      <c r="CB679" s="123"/>
      <c r="CC679" s="123"/>
      <c r="CD679" s="123"/>
      <c r="CE679" s="123"/>
      <c r="CF679" s="123"/>
      <c r="CG679" s="123"/>
      <c r="CH679" s="123"/>
      <c r="CI679" s="123"/>
    </row>
    <row r="680" spans="1:87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123"/>
      <c r="T680" s="124"/>
      <c r="U680" s="123"/>
      <c r="V680" s="123"/>
      <c r="W680" s="124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  <c r="AV680" s="123"/>
      <c r="AW680" s="123"/>
      <c r="AX680" s="123"/>
      <c r="AY680" s="123"/>
      <c r="AZ680" s="123"/>
      <c r="BA680" s="123"/>
      <c r="BB680" s="123"/>
      <c r="BC680" s="123"/>
      <c r="BD680" s="123"/>
      <c r="BE680" s="123"/>
      <c r="BF680" s="123"/>
      <c r="BG680" s="123"/>
      <c r="BH680" s="123"/>
      <c r="BI680" s="123"/>
      <c r="BJ680" s="123"/>
      <c r="BK680" s="123"/>
      <c r="BL680" s="123"/>
      <c r="BM680" s="123"/>
      <c r="BN680" s="123"/>
      <c r="BO680" s="123"/>
      <c r="BP680" s="123"/>
      <c r="BQ680" s="123"/>
      <c r="BR680" s="123"/>
      <c r="BS680" s="123"/>
      <c r="BT680" s="123"/>
      <c r="BU680" s="123"/>
      <c r="BV680" s="123"/>
      <c r="BW680" s="123"/>
      <c r="BX680" s="123"/>
      <c r="BY680" s="123"/>
      <c r="BZ680" s="123"/>
      <c r="CA680" s="123"/>
      <c r="CB680" s="123"/>
      <c r="CC680" s="123"/>
      <c r="CD680" s="123"/>
      <c r="CE680" s="123"/>
      <c r="CF680" s="123"/>
      <c r="CG680" s="123"/>
      <c r="CH680" s="123"/>
      <c r="CI680" s="123"/>
    </row>
    <row r="681" spans="1:87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123"/>
      <c r="T681" s="124"/>
      <c r="U681" s="123"/>
      <c r="V681" s="123"/>
      <c r="W681" s="124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  <c r="AV681" s="123"/>
      <c r="AW681" s="123"/>
      <c r="AX681" s="123"/>
      <c r="AY681" s="123"/>
      <c r="AZ681" s="123"/>
      <c r="BA681" s="123"/>
      <c r="BB681" s="123"/>
      <c r="BC681" s="123"/>
      <c r="BD681" s="123"/>
      <c r="BE681" s="123"/>
      <c r="BF681" s="123"/>
      <c r="BG681" s="123"/>
      <c r="BH681" s="123"/>
      <c r="BI681" s="123"/>
      <c r="BJ681" s="123"/>
      <c r="BK681" s="123"/>
      <c r="BL681" s="123"/>
      <c r="BM681" s="123"/>
      <c r="BN681" s="123"/>
      <c r="BO681" s="123"/>
      <c r="BP681" s="123"/>
      <c r="BQ681" s="123"/>
      <c r="BR681" s="123"/>
      <c r="BS681" s="123"/>
      <c r="BT681" s="123"/>
      <c r="BU681" s="123"/>
      <c r="BV681" s="123"/>
      <c r="BW681" s="123"/>
      <c r="BX681" s="123"/>
      <c r="BY681" s="123"/>
      <c r="BZ681" s="123"/>
      <c r="CA681" s="123"/>
      <c r="CB681" s="123"/>
      <c r="CC681" s="123"/>
      <c r="CD681" s="123"/>
      <c r="CE681" s="123"/>
      <c r="CF681" s="123"/>
      <c r="CG681" s="123"/>
      <c r="CH681" s="123"/>
      <c r="CI681" s="123"/>
    </row>
    <row r="682" spans="1:87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123"/>
      <c r="T682" s="124"/>
      <c r="U682" s="123"/>
      <c r="V682" s="123"/>
      <c r="W682" s="124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3"/>
      <c r="BC682" s="123"/>
      <c r="BD682" s="123"/>
      <c r="BE682" s="123"/>
      <c r="BF682" s="123"/>
      <c r="BG682" s="123"/>
      <c r="BH682" s="123"/>
      <c r="BI682" s="123"/>
      <c r="BJ682" s="123"/>
      <c r="BK682" s="123"/>
      <c r="BL682" s="123"/>
      <c r="BM682" s="123"/>
      <c r="BN682" s="123"/>
      <c r="BO682" s="123"/>
      <c r="BP682" s="123"/>
      <c r="BQ682" s="123"/>
      <c r="BR682" s="123"/>
      <c r="BS682" s="123"/>
      <c r="BT682" s="123"/>
      <c r="BU682" s="123"/>
      <c r="BV682" s="123"/>
      <c r="BW682" s="123"/>
      <c r="BX682" s="123"/>
      <c r="BY682" s="123"/>
      <c r="BZ682" s="123"/>
      <c r="CA682" s="123"/>
      <c r="CB682" s="123"/>
      <c r="CC682" s="123"/>
      <c r="CD682" s="123"/>
      <c r="CE682" s="123"/>
      <c r="CF682" s="123"/>
      <c r="CG682" s="123"/>
      <c r="CH682" s="123"/>
      <c r="CI682" s="123"/>
    </row>
    <row r="683" spans="1:87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123"/>
      <c r="T683" s="124"/>
      <c r="U683" s="123"/>
      <c r="V683" s="123"/>
      <c r="W683" s="124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  <c r="AV683" s="123"/>
      <c r="AW683" s="123"/>
      <c r="AX683" s="123"/>
      <c r="AY683" s="123"/>
      <c r="AZ683" s="123"/>
      <c r="BA683" s="123"/>
      <c r="BB683" s="123"/>
      <c r="BC683" s="123"/>
      <c r="BD683" s="123"/>
      <c r="BE683" s="123"/>
      <c r="BF683" s="123"/>
      <c r="BG683" s="123"/>
      <c r="BH683" s="123"/>
      <c r="BI683" s="123"/>
      <c r="BJ683" s="123"/>
      <c r="BK683" s="123"/>
      <c r="BL683" s="123"/>
      <c r="BM683" s="123"/>
      <c r="BN683" s="123"/>
      <c r="BO683" s="123"/>
      <c r="BP683" s="123"/>
      <c r="BQ683" s="123"/>
      <c r="BR683" s="123"/>
      <c r="BS683" s="123"/>
      <c r="BT683" s="123"/>
      <c r="BU683" s="123"/>
      <c r="BV683" s="123"/>
      <c r="BW683" s="123"/>
      <c r="BX683" s="123"/>
      <c r="BY683" s="123"/>
      <c r="BZ683" s="123"/>
      <c r="CA683" s="123"/>
      <c r="CB683" s="123"/>
      <c r="CC683" s="123"/>
      <c r="CD683" s="123"/>
      <c r="CE683" s="123"/>
      <c r="CF683" s="123"/>
      <c r="CG683" s="123"/>
      <c r="CH683" s="123"/>
      <c r="CI683" s="123"/>
    </row>
    <row r="684" spans="1:87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123"/>
      <c r="T684" s="124"/>
      <c r="U684" s="123"/>
      <c r="V684" s="123"/>
      <c r="W684" s="124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  <c r="AV684" s="123"/>
      <c r="AW684" s="123"/>
      <c r="AX684" s="123"/>
      <c r="AY684" s="123"/>
      <c r="AZ684" s="123"/>
      <c r="BA684" s="123"/>
      <c r="BB684" s="123"/>
      <c r="BC684" s="123"/>
      <c r="BD684" s="123"/>
      <c r="BE684" s="123"/>
      <c r="BF684" s="123"/>
      <c r="BG684" s="123"/>
      <c r="BH684" s="123"/>
      <c r="BI684" s="123"/>
      <c r="BJ684" s="123"/>
      <c r="BK684" s="123"/>
      <c r="BL684" s="123"/>
      <c r="BM684" s="123"/>
      <c r="BN684" s="123"/>
      <c r="BO684" s="123"/>
      <c r="BP684" s="123"/>
      <c r="BQ684" s="123"/>
      <c r="BR684" s="123"/>
      <c r="BS684" s="123"/>
      <c r="BT684" s="123"/>
      <c r="BU684" s="123"/>
      <c r="BV684" s="123"/>
      <c r="BW684" s="123"/>
      <c r="BX684" s="123"/>
      <c r="BY684" s="123"/>
      <c r="BZ684" s="123"/>
      <c r="CA684" s="123"/>
      <c r="CB684" s="123"/>
      <c r="CC684" s="123"/>
      <c r="CD684" s="123"/>
      <c r="CE684" s="123"/>
      <c r="CF684" s="123"/>
      <c r="CG684" s="123"/>
      <c r="CH684" s="123"/>
      <c r="CI684" s="123"/>
    </row>
    <row r="685" spans="1:87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123"/>
      <c r="T685" s="124"/>
      <c r="U685" s="123"/>
      <c r="V685" s="123"/>
      <c r="W685" s="124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123"/>
      <c r="AY685" s="123"/>
      <c r="AZ685" s="123"/>
      <c r="BA685" s="123"/>
      <c r="BB685" s="123"/>
      <c r="BC685" s="123"/>
      <c r="BD685" s="123"/>
      <c r="BE685" s="123"/>
      <c r="BF685" s="123"/>
      <c r="BG685" s="123"/>
      <c r="BH685" s="123"/>
      <c r="BI685" s="123"/>
      <c r="BJ685" s="123"/>
      <c r="BK685" s="123"/>
      <c r="BL685" s="123"/>
      <c r="BM685" s="123"/>
      <c r="BN685" s="123"/>
      <c r="BO685" s="123"/>
      <c r="BP685" s="123"/>
      <c r="BQ685" s="123"/>
      <c r="BR685" s="123"/>
      <c r="BS685" s="123"/>
      <c r="BT685" s="123"/>
      <c r="BU685" s="123"/>
      <c r="BV685" s="123"/>
      <c r="BW685" s="123"/>
      <c r="BX685" s="123"/>
      <c r="BY685" s="123"/>
      <c r="BZ685" s="123"/>
      <c r="CA685" s="123"/>
      <c r="CB685" s="123"/>
      <c r="CC685" s="123"/>
      <c r="CD685" s="123"/>
      <c r="CE685" s="123"/>
      <c r="CF685" s="123"/>
      <c r="CG685" s="123"/>
      <c r="CH685" s="123"/>
      <c r="CI685" s="123"/>
    </row>
    <row r="686" spans="1:87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123"/>
      <c r="T686" s="124"/>
      <c r="U686" s="123"/>
      <c r="V686" s="123"/>
      <c r="W686" s="124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123"/>
      <c r="AY686" s="123"/>
      <c r="AZ686" s="123"/>
      <c r="BA686" s="123"/>
      <c r="BB686" s="123"/>
      <c r="BC686" s="123"/>
      <c r="BD686" s="123"/>
      <c r="BE686" s="123"/>
      <c r="BF686" s="123"/>
      <c r="BG686" s="123"/>
      <c r="BH686" s="123"/>
      <c r="BI686" s="123"/>
      <c r="BJ686" s="123"/>
      <c r="BK686" s="123"/>
      <c r="BL686" s="123"/>
      <c r="BM686" s="123"/>
      <c r="BN686" s="123"/>
      <c r="BO686" s="123"/>
      <c r="BP686" s="123"/>
      <c r="BQ686" s="123"/>
      <c r="BR686" s="123"/>
      <c r="BS686" s="123"/>
      <c r="BT686" s="123"/>
      <c r="BU686" s="123"/>
      <c r="BV686" s="123"/>
      <c r="BW686" s="123"/>
      <c r="BX686" s="123"/>
      <c r="BY686" s="123"/>
      <c r="BZ686" s="123"/>
      <c r="CA686" s="123"/>
      <c r="CB686" s="123"/>
      <c r="CC686" s="123"/>
      <c r="CD686" s="123"/>
      <c r="CE686" s="123"/>
      <c r="CF686" s="123"/>
      <c r="CG686" s="123"/>
      <c r="CH686" s="123"/>
      <c r="CI686" s="123"/>
    </row>
    <row r="687" spans="1:87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123"/>
      <c r="T687" s="124"/>
      <c r="U687" s="123"/>
      <c r="V687" s="123"/>
      <c r="W687" s="124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  <c r="AV687" s="123"/>
      <c r="AW687" s="123"/>
      <c r="AX687" s="123"/>
      <c r="AY687" s="123"/>
      <c r="AZ687" s="123"/>
      <c r="BA687" s="123"/>
      <c r="BB687" s="123"/>
      <c r="BC687" s="123"/>
      <c r="BD687" s="123"/>
      <c r="BE687" s="123"/>
      <c r="BF687" s="123"/>
      <c r="BG687" s="123"/>
      <c r="BH687" s="123"/>
      <c r="BI687" s="123"/>
      <c r="BJ687" s="123"/>
      <c r="BK687" s="123"/>
      <c r="BL687" s="123"/>
      <c r="BM687" s="123"/>
      <c r="BN687" s="123"/>
      <c r="BO687" s="123"/>
      <c r="BP687" s="123"/>
      <c r="BQ687" s="123"/>
      <c r="BR687" s="123"/>
      <c r="BS687" s="123"/>
      <c r="BT687" s="123"/>
      <c r="BU687" s="123"/>
      <c r="BV687" s="123"/>
      <c r="BW687" s="123"/>
      <c r="BX687" s="123"/>
      <c r="BY687" s="123"/>
      <c r="BZ687" s="123"/>
      <c r="CA687" s="123"/>
      <c r="CB687" s="123"/>
      <c r="CC687" s="123"/>
      <c r="CD687" s="123"/>
      <c r="CE687" s="123"/>
      <c r="CF687" s="123"/>
      <c r="CG687" s="123"/>
      <c r="CH687" s="123"/>
      <c r="CI687" s="123"/>
    </row>
    <row r="688" spans="1:87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123"/>
      <c r="T688" s="124"/>
      <c r="U688" s="123"/>
      <c r="V688" s="123"/>
      <c r="W688" s="124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  <c r="AV688" s="123"/>
      <c r="AW688" s="123"/>
      <c r="AX688" s="123"/>
      <c r="AY688" s="123"/>
      <c r="AZ688" s="123"/>
      <c r="BA688" s="123"/>
      <c r="BB688" s="123"/>
      <c r="BC688" s="123"/>
      <c r="BD688" s="123"/>
      <c r="BE688" s="123"/>
      <c r="BF688" s="123"/>
      <c r="BG688" s="123"/>
      <c r="BH688" s="123"/>
      <c r="BI688" s="123"/>
      <c r="BJ688" s="123"/>
      <c r="BK688" s="123"/>
      <c r="BL688" s="123"/>
      <c r="BM688" s="123"/>
      <c r="BN688" s="123"/>
      <c r="BO688" s="123"/>
      <c r="BP688" s="123"/>
      <c r="BQ688" s="123"/>
      <c r="BR688" s="123"/>
      <c r="BS688" s="123"/>
      <c r="BT688" s="123"/>
      <c r="BU688" s="123"/>
      <c r="BV688" s="123"/>
      <c r="BW688" s="123"/>
      <c r="BX688" s="123"/>
      <c r="BY688" s="123"/>
      <c r="BZ688" s="123"/>
      <c r="CA688" s="123"/>
      <c r="CB688" s="123"/>
      <c r="CC688" s="123"/>
      <c r="CD688" s="123"/>
      <c r="CE688" s="123"/>
      <c r="CF688" s="123"/>
      <c r="CG688" s="123"/>
      <c r="CH688" s="123"/>
      <c r="CI688" s="123"/>
    </row>
    <row r="689" spans="1:87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123"/>
      <c r="T689" s="124"/>
      <c r="U689" s="123"/>
      <c r="V689" s="123"/>
      <c r="W689" s="124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  <c r="AV689" s="123"/>
      <c r="AW689" s="123"/>
      <c r="AX689" s="123"/>
      <c r="AY689" s="123"/>
      <c r="AZ689" s="123"/>
      <c r="BA689" s="123"/>
      <c r="BB689" s="123"/>
      <c r="BC689" s="123"/>
      <c r="BD689" s="123"/>
      <c r="BE689" s="123"/>
      <c r="BF689" s="123"/>
      <c r="BG689" s="123"/>
      <c r="BH689" s="123"/>
      <c r="BI689" s="123"/>
      <c r="BJ689" s="123"/>
      <c r="BK689" s="123"/>
      <c r="BL689" s="123"/>
      <c r="BM689" s="123"/>
      <c r="BN689" s="123"/>
      <c r="BO689" s="123"/>
      <c r="BP689" s="123"/>
      <c r="BQ689" s="123"/>
      <c r="BR689" s="123"/>
      <c r="BS689" s="123"/>
      <c r="BT689" s="123"/>
      <c r="BU689" s="123"/>
      <c r="BV689" s="123"/>
      <c r="BW689" s="123"/>
      <c r="BX689" s="123"/>
      <c r="BY689" s="123"/>
      <c r="BZ689" s="123"/>
      <c r="CA689" s="123"/>
      <c r="CB689" s="123"/>
      <c r="CC689" s="123"/>
      <c r="CD689" s="123"/>
      <c r="CE689" s="123"/>
      <c r="CF689" s="123"/>
      <c r="CG689" s="123"/>
      <c r="CH689" s="123"/>
      <c r="CI689" s="123"/>
    </row>
    <row r="690" spans="1:87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123"/>
      <c r="T690" s="124"/>
      <c r="U690" s="123"/>
      <c r="V690" s="123"/>
      <c r="W690" s="124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  <c r="AV690" s="123"/>
      <c r="AW690" s="123"/>
      <c r="AX690" s="123"/>
      <c r="AY690" s="123"/>
      <c r="AZ690" s="123"/>
      <c r="BA690" s="123"/>
      <c r="BB690" s="123"/>
      <c r="BC690" s="123"/>
      <c r="BD690" s="123"/>
      <c r="BE690" s="123"/>
      <c r="BF690" s="123"/>
      <c r="BG690" s="123"/>
      <c r="BH690" s="123"/>
      <c r="BI690" s="123"/>
      <c r="BJ690" s="123"/>
      <c r="BK690" s="123"/>
      <c r="BL690" s="123"/>
      <c r="BM690" s="123"/>
      <c r="BN690" s="123"/>
      <c r="BO690" s="123"/>
      <c r="BP690" s="123"/>
      <c r="BQ690" s="123"/>
      <c r="BR690" s="123"/>
      <c r="BS690" s="123"/>
      <c r="BT690" s="123"/>
      <c r="BU690" s="123"/>
      <c r="BV690" s="123"/>
      <c r="BW690" s="123"/>
      <c r="BX690" s="123"/>
      <c r="BY690" s="123"/>
      <c r="BZ690" s="123"/>
      <c r="CA690" s="123"/>
      <c r="CB690" s="123"/>
      <c r="CC690" s="123"/>
      <c r="CD690" s="123"/>
      <c r="CE690" s="123"/>
      <c r="CF690" s="123"/>
      <c r="CG690" s="123"/>
      <c r="CH690" s="123"/>
      <c r="CI690" s="123"/>
    </row>
    <row r="691" spans="1:87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123"/>
      <c r="T691" s="124"/>
      <c r="U691" s="123"/>
      <c r="V691" s="123"/>
      <c r="W691" s="124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  <c r="AV691" s="123"/>
      <c r="AW691" s="123"/>
      <c r="AX691" s="123"/>
      <c r="AY691" s="123"/>
      <c r="AZ691" s="123"/>
      <c r="BA691" s="123"/>
      <c r="BB691" s="123"/>
      <c r="BC691" s="123"/>
      <c r="BD691" s="123"/>
      <c r="BE691" s="123"/>
      <c r="BF691" s="123"/>
      <c r="BG691" s="123"/>
      <c r="BH691" s="123"/>
      <c r="BI691" s="123"/>
      <c r="BJ691" s="123"/>
      <c r="BK691" s="123"/>
      <c r="BL691" s="123"/>
      <c r="BM691" s="123"/>
      <c r="BN691" s="123"/>
      <c r="BO691" s="123"/>
      <c r="BP691" s="123"/>
      <c r="BQ691" s="123"/>
      <c r="BR691" s="123"/>
      <c r="BS691" s="123"/>
      <c r="BT691" s="123"/>
      <c r="BU691" s="123"/>
      <c r="BV691" s="123"/>
      <c r="BW691" s="123"/>
      <c r="BX691" s="123"/>
      <c r="BY691" s="123"/>
      <c r="BZ691" s="123"/>
      <c r="CA691" s="123"/>
      <c r="CB691" s="123"/>
      <c r="CC691" s="123"/>
      <c r="CD691" s="123"/>
      <c r="CE691" s="123"/>
      <c r="CF691" s="123"/>
      <c r="CG691" s="123"/>
      <c r="CH691" s="123"/>
      <c r="CI691" s="123"/>
    </row>
    <row r="692" spans="1:87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123"/>
      <c r="T692" s="124"/>
      <c r="U692" s="123"/>
      <c r="V692" s="123"/>
      <c r="W692" s="124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  <c r="AV692" s="123"/>
      <c r="AW692" s="123"/>
      <c r="AX692" s="123"/>
      <c r="AY692" s="123"/>
      <c r="AZ692" s="123"/>
      <c r="BA692" s="123"/>
      <c r="BB692" s="123"/>
      <c r="BC692" s="123"/>
      <c r="BD692" s="123"/>
      <c r="BE692" s="123"/>
      <c r="BF692" s="123"/>
      <c r="BG692" s="123"/>
      <c r="BH692" s="123"/>
      <c r="BI692" s="123"/>
      <c r="BJ692" s="123"/>
      <c r="BK692" s="123"/>
      <c r="BL692" s="123"/>
      <c r="BM692" s="123"/>
      <c r="BN692" s="123"/>
      <c r="BO692" s="123"/>
      <c r="BP692" s="123"/>
      <c r="BQ692" s="123"/>
      <c r="BR692" s="123"/>
      <c r="BS692" s="123"/>
      <c r="BT692" s="123"/>
      <c r="BU692" s="123"/>
      <c r="BV692" s="123"/>
      <c r="BW692" s="123"/>
      <c r="BX692" s="123"/>
      <c r="BY692" s="123"/>
      <c r="BZ692" s="123"/>
      <c r="CA692" s="123"/>
      <c r="CB692" s="123"/>
      <c r="CC692" s="123"/>
      <c r="CD692" s="123"/>
      <c r="CE692" s="123"/>
      <c r="CF692" s="123"/>
      <c r="CG692" s="123"/>
      <c r="CH692" s="123"/>
      <c r="CI692" s="123"/>
    </row>
    <row r="693" spans="1:87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123"/>
      <c r="T693" s="124"/>
      <c r="U693" s="123"/>
      <c r="V693" s="123"/>
      <c r="W693" s="124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  <c r="AV693" s="123"/>
      <c r="AW693" s="123"/>
      <c r="AX693" s="123"/>
      <c r="AY693" s="123"/>
      <c r="AZ693" s="123"/>
      <c r="BA693" s="123"/>
      <c r="BB693" s="123"/>
      <c r="BC693" s="123"/>
      <c r="BD693" s="123"/>
      <c r="BE693" s="123"/>
      <c r="BF693" s="123"/>
      <c r="BG693" s="123"/>
      <c r="BH693" s="123"/>
      <c r="BI693" s="123"/>
      <c r="BJ693" s="123"/>
      <c r="BK693" s="123"/>
      <c r="BL693" s="123"/>
      <c r="BM693" s="123"/>
      <c r="BN693" s="123"/>
      <c r="BO693" s="123"/>
      <c r="BP693" s="123"/>
      <c r="BQ693" s="123"/>
      <c r="BR693" s="123"/>
      <c r="BS693" s="123"/>
      <c r="BT693" s="123"/>
      <c r="BU693" s="123"/>
      <c r="BV693" s="123"/>
      <c r="BW693" s="123"/>
      <c r="BX693" s="123"/>
      <c r="BY693" s="123"/>
      <c r="BZ693" s="123"/>
      <c r="CA693" s="123"/>
      <c r="CB693" s="123"/>
      <c r="CC693" s="123"/>
      <c r="CD693" s="123"/>
      <c r="CE693" s="123"/>
      <c r="CF693" s="123"/>
      <c r="CG693" s="123"/>
      <c r="CH693" s="123"/>
      <c r="CI693" s="123"/>
    </row>
    <row r="694" spans="1:87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123"/>
      <c r="T694" s="124"/>
      <c r="U694" s="123"/>
      <c r="V694" s="123"/>
      <c r="W694" s="124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  <c r="AV694" s="123"/>
      <c r="AW694" s="123"/>
      <c r="AX694" s="123"/>
      <c r="AY694" s="123"/>
      <c r="AZ694" s="123"/>
      <c r="BA694" s="123"/>
      <c r="BB694" s="123"/>
      <c r="BC694" s="123"/>
      <c r="BD694" s="123"/>
      <c r="BE694" s="123"/>
      <c r="BF694" s="123"/>
      <c r="BG694" s="123"/>
      <c r="BH694" s="123"/>
      <c r="BI694" s="123"/>
      <c r="BJ694" s="123"/>
      <c r="BK694" s="123"/>
      <c r="BL694" s="123"/>
      <c r="BM694" s="123"/>
      <c r="BN694" s="123"/>
      <c r="BO694" s="123"/>
      <c r="BP694" s="123"/>
      <c r="BQ694" s="123"/>
      <c r="BR694" s="123"/>
      <c r="BS694" s="123"/>
      <c r="BT694" s="123"/>
      <c r="BU694" s="123"/>
      <c r="BV694" s="123"/>
      <c r="BW694" s="123"/>
      <c r="BX694" s="123"/>
      <c r="BY694" s="123"/>
      <c r="BZ694" s="123"/>
      <c r="CA694" s="123"/>
      <c r="CB694" s="123"/>
      <c r="CC694" s="123"/>
      <c r="CD694" s="123"/>
      <c r="CE694" s="123"/>
      <c r="CF694" s="123"/>
      <c r="CG694" s="123"/>
      <c r="CH694" s="123"/>
      <c r="CI694" s="123"/>
    </row>
    <row r="695" spans="1:87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123"/>
      <c r="T695" s="124"/>
      <c r="U695" s="123"/>
      <c r="V695" s="123"/>
      <c r="W695" s="124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  <c r="AV695" s="123"/>
      <c r="AW695" s="123"/>
      <c r="AX695" s="123"/>
      <c r="AY695" s="123"/>
      <c r="AZ695" s="123"/>
      <c r="BA695" s="123"/>
      <c r="BB695" s="123"/>
      <c r="BC695" s="123"/>
      <c r="BD695" s="123"/>
      <c r="BE695" s="123"/>
      <c r="BF695" s="123"/>
      <c r="BG695" s="123"/>
      <c r="BH695" s="123"/>
      <c r="BI695" s="123"/>
      <c r="BJ695" s="123"/>
      <c r="BK695" s="123"/>
      <c r="BL695" s="123"/>
      <c r="BM695" s="123"/>
      <c r="BN695" s="123"/>
      <c r="BO695" s="123"/>
      <c r="BP695" s="123"/>
      <c r="BQ695" s="123"/>
      <c r="BR695" s="123"/>
      <c r="BS695" s="123"/>
      <c r="BT695" s="123"/>
      <c r="BU695" s="123"/>
      <c r="BV695" s="123"/>
      <c r="BW695" s="123"/>
      <c r="BX695" s="123"/>
      <c r="BY695" s="123"/>
      <c r="BZ695" s="123"/>
      <c r="CA695" s="123"/>
      <c r="CB695" s="123"/>
      <c r="CC695" s="123"/>
      <c r="CD695" s="123"/>
      <c r="CE695" s="123"/>
      <c r="CF695" s="123"/>
      <c r="CG695" s="123"/>
      <c r="CH695" s="123"/>
      <c r="CI695" s="123"/>
    </row>
    <row r="696" spans="1:87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123"/>
      <c r="T696" s="124"/>
      <c r="U696" s="123"/>
      <c r="V696" s="123"/>
      <c r="W696" s="124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  <c r="AV696" s="123"/>
      <c r="AW696" s="123"/>
      <c r="AX696" s="123"/>
      <c r="AY696" s="123"/>
      <c r="AZ696" s="123"/>
      <c r="BA696" s="123"/>
      <c r="BB696" s="123"/>
      <c r="BC696" s="123"/>
      <c r="BD696" s="123"/>
      <c r="BE696" s="123"/>
      <c r="BF696" s="123"/>
      <c r="BG696" s="123"/>
      <c r="BH696" s="123"/>
      <c r="BI696" s="123"/>
      <c r="BJ696" s="123"/>
      <c r="BK696" s="123"/>
      <c r="BL696" s="123"/>
      <c r="BM696" s="123"/>
      <c r="BN696" s="123"/>
      <c r="BO696" s="123"/>
      <c r="BP696" s="123"/>
      <c r="BQ696" s="123"/>
      <c r="BR696" s="123"/>
      <c r="BS696" s="123"/>
      <c r="BT696" s="123"/>
      <c r="BU696" s="123"/>
      <c r="BV696" s="123"/>
      <c r="BW696" s="123"/>
      <c r="BX696" s="123"/>
      <c r="BY696" s="123"/>
      <c r="BZ696" s="123"/>
      <c r="CA696" s="123"/>
      <c r="CB696" s="123"/>
      <c r="CC696" s="123"/>
      <c r="CD696" s="123"/>
      <c r="CE696" s="123"/>
      <c r="CF696" s="123"/>
      <c r="CG696" s="123"/>
      <c r="CH696" s="123"/>
      <c r="CI696" s="123"/>
    </row>
    <row r="697" spans="1:87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123"/>
      <c r="T697" s="124"/>
      <c r="U697" s="123"/>
      <c r="V697" s="123"/>
      <c r="W697" s="124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  <c r="AV697" s="123"/>
      <c r="AW697" s="123"/>
      <c r="AX697" s="123"/>
      <c r="AY697" s="123"/>
      <c r="AZ697" s="123"/>
      <c r="BA697" s="123"/>
      <c r="BB697" s="123"/>
      <c r="BC697" s="123"/>
      <c r="BD697" s="123"/>
      <c r="BE697" s="123"/>
      <c r="BF697" s="123"/>
      <c r="BG697" s="123"/>
      <c r="BH697" s="123"/>
      <c r="BI697" s="123"/>
      <c r="BJ697" s="123"/>
      <c r="BK697" s="123"/>
      <c r="BL697" s="123"/>
      <c r="BM697" s="123"/>
      <c r="BN697" s="123"/>
      <c r="BO697" s="123"/>
      <c r="BP697" s="123"/>
      <c r="BQ697" s="123"/>
      <c r="BR697" s="123"/>
      <c r="BS697" s="123"/>
      <c r="BT697" s="123"/>
      <c r="BU697" s="123"/>
      <c r="BV697" s="123"/>
      <c r="BW697" s="123"/>
      <c r="BX697" s="123"/>
      <c r="BY697" s="123"/>
      <c r="BZ697" s="123"/>
      <c r="CA697" s="123"/>
      <c r="CB697" s="123"/>
      <c r="CC697" s="123"/>
      <c r="CD697" s="123"/>
      <c r="CE697" s="123"/>
      <c r="CF697" s="123"/>
      <c r="CG697" s="123"/>
      <c r="CH697" s="123"/>
      <c r="CI697" s="123"/>
    </row>
    <row r="698" spans="1:87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123"/>
      <c r="T698" s="124"/>
      <c r="U698" s="123"/>
      <c r="V698" s="123"/>
      <c r="W698" s="124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  <c r="AV698" s="123"/>
      <c r="AW698" s="123"/>
      <c r="AX698" s="123"/>
      <c r="AY698" s="123"/>
      <c r="AZ698" s="123"/>
      <c r="BA698" s="123"/>
      <c r="BB698" s="123"/>
      <c r="BC698" s="123"/>
      <c r="BD698" s="123"/>
      <c r="BE698" s="123"/>
      <c r="BF698" s="123"/>
      <c r="BG698" s="123"/>
      <c r="BH698" s="123"/>
      <c r="BI698" s="123"/>
      <c r="BJ698" s="123"/>
      <c r="BK698" s="123"/>
      <c r="BL698" s="123"/>
      <c r="BM698" s="123"/>
      <c r="BN698" s="123"/>
      <c r="BO698" s="123"/>
      <c r="BP698" s="123"/>
      <c r="BQ698" s="123"/>
      <c r="BR698" s="123"/>
      <c r="BS698" s="123"/>
      <c r="BT698" s="123"/>
      <c r="BU698" s="123"/>
      <c r="BV698" s="123"/>
      <c r="BW698" s="123"/>
      <c r="BX698" s="123"/>
      <c r="BY698" s="123"/>
      <c r="BZ698" s="123"/>
      <c r="CA698" s="123"/>
      <c r="CB698" s="123"/>
      <c r="CC698" s="123"/>
      <c r="CD698" s="123"/>
      <c r="CE698" s="123"/>
      <c r="CF698" s="123"/>
      <c r="CG698" s="123"/>
      <c r="CH698" s="123"/>
      <c r="CI698" s="123"/>
    </row>
    <row r="699" spans="1:87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123"/>
      <c r="T699" s="124"/>
      <c r="U699" s="123"/>
      <c r="V699" s="123"/>
      <c r="W699" s="124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  <c r="AV699" s="123"/>
      <c r="AW699" s="123"/>
      <c r="AX699" s="123"/>
      <c r="AY699" s="123"/>
      <c r="AZ699" s="123"/>
      <c r="BA699" s="123"/>
      <c r="BB699" s="123"/>
      <c r="BC699" s="123"/>
      <c r="BD699" s="123"/>
      <c r="BE699" s="123"/>
      <c r="BF699" s="123"/>
      <c r="BG699" s="123"/>
      <c r="BH699" s="123"/>
      <c r="BI699" s="123"/>
      <c r="BJ699" s="123"/>
      <c r="BK699" s="123"/>
      <c r="BL699" s="123"/>
      <c r="BM699" s="123"/>
      <c r="BN699" s="123"/>
      <c r="BO699" s="123"/>
      <c r="BP699" s="123"/>
      <c r="BQ699" s="123"/>
      <c r="BR699" s="123"/>
      <c r="BS699" s="123"/>
      <c r="BT699" s="123"/>
      <c r="BU699" s="123"/>
      <c r="BV699" s="123"/>
      <c r="BW699" s="123"/>
      <c r="BX699" s="123"/>
      <c r="BY699" s="123"/>
      <c r="BZ699" s="123"/>
      <c r="CA699" s="123"/>
      <c r="CB699" s="123"/>
      <c r="CC699" s="123"/>
      <c r="CD699" s="123"/>
      <c r="CE699" s="123"/>
      <c r="CF699" s="123"/>
      <c r="CG699" s="123"/>
      <c r="CH699" s="123"/>
      <c r="CI699" s="123"/>
    </row>
    <row r="700" spans="1:87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123"/>
      <c r="T700" s="124"/>
      <c r="U700" s="123"/>
      <c r="V700" s="123"/>
      <c r="W700" s="124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  <c r="AV700" s="123"/>
      <c r="AW700" s="123"/>
      <c r="AX700" s="123"/>
      <c r="AY700" s="123"/>
      <c r="AZ700" s="123"/>
      <c r="BA700" s="123"/>
      <c r="BB700" s="123"/>
      <c r="BC700" s="123"/>
      <c r="BD700" s="123"/>
      <c r="BE700" s="123"/>
      <c r="BF700" s="123"/>
      <c r="BG700" s="123"/>
      <c r="BH700" s="123"/>
      <c r="BI700" s="123"/>
      <c r="BJ700" s="123"/>
      <c r="BK700" s="123"/>
      <c r="BL700" s="123"/>
      <c r="BM700" s="123"/>
      <c r="BN700" s="123"/>
      <c r="BO700" s="123"/>
      <c r="BP700" s="123"/>
      <c r="BQ700" s="123"/>
      <c r="BR700" s="123"/>
      <c r="BS700" s="123"/>
      <c r="BT700" s="123"/>
      <c r="BU700" s="123"/>
      <c r="BV700" s="123"/>
      <c r="BW700" s="123"/>
      <c r="BX700" s="123"/>
      <c r="BY700" s="123"/>
      <c r="BZ700" s="123"/>
      <c r="CA700" s="123"/>
      <c r="CB700" s="123"/>
      <c r="CC700" s="123"/>
      <c r="CD700" s="123"/>
      <c r="CE700" s="123"/>
      <c r="CF700" s="123"/>
      <c r="CG700" s="123"/>
      <c r="CH700" s="123"/>
      <c r="CI700" s="123"/>
    </row>
    <row r="701" spans="1:87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123"/>
      <c r="T701" s="124"/>
      <c r="U701" s="123"/>
      <c r="V701" s="123"/>
      <c r="W701" s="124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  <c r="AV701" s="123"/>
      <c r="AW701" s="123"/>
      <c r="AX701" s="123"/>
      <c r="AY701" s="123"/>
      <c r="AZ701" s="123"/>
      <c r="BA701" s="123"/>
      <c r="BB701" s="123"/>
      <c r="BC701" s="123"/>
      <c r="BD701" s="123"/>
      <c r="BE701" s="123"/>
      <c r="BF701" s="123"/>
      <c r="BG701" s="123"/>
      <c r="BH701" s="123"/>
      <c r="BI701" s="123"/>
      <c r="BJ701" s="123"/>
      <c r="BK701" s="123"/>
      <c r="BL701" s="123"/>
      <c r="BM701" s="123"/>
      <c r="BN701" s="123"/>
      <c r="BO701" s="123"/>
      <c r="BP701" s="123"/>
      <c r="BQ701" s="123"/>
      <c r="BR701" s="123"/>
      <c r="BS701" s="123"/>
      <c r="BT701" s="123"/>
      <c r="BU701" s="123"/>
      <c r="BV701" s="123"/>
      <c r="BW701" s="123"/>
      <c r="BX701" s="123"/>
      <c r="BY701" s="123"/>
      <c r="BZ701" s="123"/>
      <c r="CA701" s="123"/>
      <c r="CB701" s="123"/>
      <c r="CC701" s="123"/>
      <c r="CD701" s="123"/>
      <c r="CE701" s="123"/>
      <c r="CF701" s="123"/>
      <c r="CG701" s="123"/>
      <c r="CH701" s="123"/>
      <c r="CI701" s="123"/>
    </row>
    <row r="702" spans="1:87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123"/>
      <c r="T702" s="124"/>
      <c r="U702" s="123"/>
      <c r="V702" s="123"/>
      <c r="W702" s="124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  <c r="AV702" s="123"/>
      <c r="AW702" s="123"/>
      <c r="AX702" s="123"/>
      <c r="AY702" s="123"/>
      <c r="AZ702" s="123"/>
      <c r="BA702" s="123"/>
      <c r="BB702" s="123"/>
      <c r="BC702" s="123"/>
      <c r="BD702" s="123"/>
      <c r="BE702" s="123"/>
      <c r="BF702" s="123"/>
      <c r="BG702" s="123"/>
      <c r="BH702" s="123"/>
      <c r="BI702" s="123"/>
      <c r="BJ702" s="123"/>
      <c r="BK702" s="123"/>
      <c r="BL702" s="123"/>
      <c r="BM702" s="123"/>
      <c r="BN702" s="123"/>
      <c r="BO702" s="123"/>
      <c r="BP702" s="123"/>
      <c r="BQ702" s="123"/>
      <c r="BR702" s="123"/>
      <c r="BS702" s="123"/>
      <c r="BT702" s="123"/>
      <c r="BU702" s="123"/>
      <c r="BV702" s="123"/>
      <c r="BW702" s="123"/>
      <c r="BX702" s="123"/>
      <c r="BY702" s="123"/>
      <c r="BZ702" s="123"/>
      <c r="CA702" s="123"/>
      <c r="CB702" s="123"/>
      <c r="CC702" s="123"/>
      <c r="CD702" s="123"/>
      <c r="CE702" s="123"/>
      <c r="CF702" s="123"/>
      <c r="CG702" s="123"/>
      <c r="CH702" s="123"/>
      <c r="CI702" s="123"/>
    </row>
    <row r="703" spans="1:87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123"/>
      <c r="T703" s="124"/>
      <c r="U703" s="123"/>
      <c r="V703" s="123"/>
      <c r="W703" s="124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  <c r="AV703" s="123"/>
      <c r="AW703" s="123"/>
      <c r="AX703" s="123"/>
      <c r="AY703" s="123"/>
      <c r="AZ703" s="123"/>
      <c r="BA703" s="123"/>
      <c r="BB703" s="123"/>
      <c r="BC703" s="123"/>
      <c r="BD703" s="123"/>
      <c r="BE703" s="123"/>
      <c r="BF703" s="123"/>
      <c r="BG703" s="123"/>
      <c r="BH703" s="123"/>
      <c r="BI703" s="123"/>
      <c r="BJ703" s="123"/>
      <c r="BK703" s="123"/>
      <c r="BL703" s="123"/>
      <c r="BM703" s="123"/>
      <c r="BN703" s="123"/>
      <c r="BO703" s="123"/>
      <c r="BP703" s="123"/>
      <c r="BQ703" s="123"/>
      <c r="BR703" s="123"/>
      <c r="BS703" s="123"/>
      <c r="BT703" s="123"/>
      <c r="BU703" s="123"/>
      <c r="BV703" s="123"/>
      <c r="BW703" s="123"/>
      <c r="BX703" s="123"/>
      <c r="BY703" s="123"/>
      <c r="BZ703" s="123"/>
      <c r="CA703" s="123"/>
      <c r="CB703" s="123"/>
      <c r="CC703" s="123"/>
      <c r="CD703" s="123"/>
      <c r="CE703" s="123"/>
      <c r="CF703" s="123"/>
      <c r="CG703" s="123"/>
      <c r="CH703" s="123"/>
      <c r="CI703" s="123"/>
    </row>
    <row r="704" spans="1:87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123"/>
      <c r="T704" s="124"/>
      <c r="U704" s="123"/>
      <c r="V704" s="123"/>
      <c r="W704" s="124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  <c r="AV704" s="123"/>
      <c r="AW704" s="123"/>
      <c r="AX704" s="123"/>
      <c r="AY704" s="123"/>
      <c r="AZ704" s="123"/>
      <c r="BA704" s="123"/>
      <c r="BB704" s="123"/>
      <c r="BC704" s="123"/>
      <c r="BD704" s="123"/>
      <c r="BE704" s="123"/>
      <c r="BF704" s="123"/>
      <c r="BG704" s="123"/>
      <c r="BH704" s="123"/>
      <c r="BI704" s="123"/>
      <c r="BJ704" s="123"/>
      <c r="BK704" s="123"/>
      <c r="BL704" s="123"/>
      <c r="BM704" s="123"/>
      <c r="BN704" s="123"/>
      <c r="BO704" s="123"/>
      <c r="BP704" s="123"/>
      <c r="BQ704" s="123"/>
      <c r="BR704" s="123"/>
      <c r="BS704" s="123"/>
      <c r="BT704" s="123"/>
      <c r="BU704" s="123"/>
      <c r="BV704" s="123"/>
      <c r="BW704" s="123"/>
      <c r="BX704" s="123"/>
      <c r="BY704" s="123"/>
      <c r="BZ704" s="123"/>
      <c r="CA704" s="123"/>
      <c r="CB704" s="123"/>
      <c r="CC704" s="123"/>
      <c r="CD704" s="123"/>
      <c r="CE704" s="123"/>
      <c r="CF704" s="123"/>
      <c r="CG704" s="123"/>
      <c r="CH704" s="123"/>
      <c r="CI704" s="123"/>
    </row>
    <row r="705" spans="1:87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123"/>
      <c r="T705" s="124"/>
      <c r="U705" s="123"/>
      <c r="V705" s="123"/>
      <c r="W705" s="124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  <c r="AV705" s="123"/>
      <c r="AW705" s="123"/>
      <c r="AX705" s="123"/>
      <c r="AY705" s="123"/>
      <c r="AZ705" s="123"/>
      <c r="BA705" s="123"/>
      <c r="BB705" s="123"/>
      <c r="BC705" s="123"/>
      <c r="BD705" s="123"/>
      <c r="BE705" s="123"/>
      <c r="BF705" s="123"/>
      <c r="BG705" s="123"/>
      <c r="BH705" s="123"/>
      <c r="BI705" s="123"/>
      <c r="BJ705" s="123"/>
      <c r="BK705" s="123"/>
      <c r="BL705" s="123"/>
      <c r="BM705" s="123"/>
      <c r="BN705" s="123"/>
      <c r="BO705" s="123"/>
      <c r="BP705" s="123"/>
      <c r="BQ705" s="123"/>
      <c r="BR705" s="123"/>
      <c r="BS705" s="123"/>
      <c r="BT705" s="123"/>
      <c r="BU705" s="123"/>
      <c r="BV705" s="123"/>
      <c r="BW705" s="123"/>
      <c r="BX705" s="123"/>
      <c r="BY705" s="123"/>
      <c r="BZ705" s="123"/>
      <c r="CA705" s="123"/>
      <c r="CB705" s="123"/>
      <c r="CC705" s="123"/>
      <c r="CD705" s="123"/>
      <c r="CE705" s="123"/>
      <c r="CF705" s="123"/>
      <c r="CG705" s="123"/>
      <c r="CH705" s="123"/>
      <c r="CI705" s="123"/>
    </row>
    <row r="706" spans="1:87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123"/>
      <c r="T706" s="124"/>
      <c r="U706" s="123"/>
      <c r="V706" s="123"/>
      <c r="W706" s="124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  <c r="AV706" s="123"/>
      <c r="AW706" s="123"/>
      <c r="AX706" s="123"/>
      <c r="AY706" s="123"/>
      <c r="AZ706" s="123"/>
      <c r="BA706" s="123"/>
      <c r="BB706" s="123"/>
      <c r="BC706" s="123"/>
      <c r="BD706" s="123"/>
      <c r="BE706" s="123"/>
      <c r="BF706" s="123"/>
      <c r="BG706" s="123"/>
      <c r="BH706" s="123"/>
      <c r="BI706" s="123"/>
      <c r="BJ706" s="123"/>
      <c r="BK706" s="123"/>
      <c r="BL706" s="123"/>
      <c r="BM706" s="123"/>
      <c r="BN706" s="123"/>
      <c r="BO706" s="123"/>
      <c r="BP706" s="123"/>
      <c r="BQ706" s="123"/>
      <c r="BR706" s="123"/>
      <c r="BS706" s="123"/>
      <c r="BT706" s="123"/>
      <c r="BU706" s="123"/>
      <c r="BV706" s="123"/>
      <c r="BW706" s="123"/>
      <c r="BX706" s="123"/>
      <c r="BY706" s="123"/>
      <c r="BZ706" s="123"/>
      <c r="CA706" s="123"/>
      <c r="CB706" s="123"/>
      <c r="CC706" s="123"/>
      <c r="CD706" s="123"/>
      <c r="CE706" s="123"/>
      <c r="CF706" s="123"/>
      <c r="CG706" s="123"/>
      <c r="CH706" s="123"/>
      <c r="CI706" s="123"/>
    </row>
    <row r="707" spans="1:87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123"/>
      <c r="T707" s="124"/>
      <c r="U707" s="123"/>
      <c r="V707" s="123"/>
      <c r="W707" s="124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  <c r="AV707" s="123"/>
      <c r="AW707" s="123"/>
      <c r="AX707" s="123"/>
      <c r="AY707" s="123"/>
      <c r="AZ707" s="123"/>
      <c r="BA707" s="123"/>
      <c r="BB707" s="123"/>
      <c r="BC707" s="123"/>
      <c r="BD707" s="123"/>
      <c r="BE707" s="123"/>
      <c r="BF707" s="123"/>
      <c r="BG707" s="123"/>
      <c r="BH707" s="123"/>
      <c r="BI707" s="123"/>
      <c r="BJ707" s="123"/>
      <c r="BK707" s="123"/>
      <c r="BL707" s="123"/>
      <c r="BM707" s="123"/>
      <c r="BN707" s="123"/>
      <c r="BO707" s="123"/>
      <c r="BP707" s="123"/>
      <c r="BQ707" s="123"/>
      <c r="BR707" s="123"/>
      <c r="BS707" s="123"/>
      <c r="BT707" s="123"/>
      <c r="BU707" s="123"/>
      <c r="BV707" s="123"/>
      <c r="BW707" s="123"/>
      <c r="BX707" s="123"/>
      <c r="BY707" s="123"/>
      <c r="BZ707" s="123"/>
      <c r="CA707" s="123"/>
      <c r="CB707" s="123"/>
      <c r="CC707" s="123"/>
      <c r="CD707" s="123"/>
      <c r="CE707" s="123"/>
      <c r="CF707" s="123"/>
      <c r="CG707" s="123"/>
      <c r="CH707" s="123"/>
      <c r="CI707" s="123"/>
    </row>
    <row r="708" spans="1:87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123"/>
      <c r="T708" s="124"/>
      <c r="U708" s="123"/>
      <c r="V708" s="123"/>
      <c r="W708" s="124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  <c r="AV708" s="123"/>
      <c r="AW708" s="123"/>
      <c r="AX708" s="123"/>
      <c r="AY708" s="123"/>
      <c r="AZ708" s="123"/>
      <c r="BA708" s="123"/>
      <c r="BB708" s="123"/>
      <c r="BC708" s="123"/>
      <c r="BD708" s="123"/>
      <c r="BE708" s="123"/>
      <c r="BF708" s="123"/>
      <c r="BG708" s="123"/>
      <c r="BH708" s="123"/>
      <c r="BI708" s="123"/>
      <c r="BJ708" s="123"/>
      <c r="BK708" s="123"/>
      <c r="BL708" s="123"/>
      <c r="BM708" s="123"/>
      <c r="BN708" s="123"/>
      <c r="BO708" s="123"/>
      <c r="BP708" s="123"/>
      <c r="BQ708" s="123"/>
      <c r="BR708" s="123"/>
      <c r="BS708" s="123"/>
      <c r="BT708" s="123"/>
      <c r="BU708" s="123"/>
      <c r="BV708" s="123"/>
      <c r="BW708" s="123"/>
      <c r="BX708" s="123"/>
      <c r="BY708" s="123"/>
      <c r="BZ708" s="123"/>
      <c r="CA708" s="123"/>
      <c r="CB708" s="123"/>
      <c r="CC708" s="123"/>
      <c r="CD708" s="123"/>
      <c r="CE708" s="123"/>
      <c r="CF708" s="123"/>
      <c r="CG708" s="123"/>
      <c r="CH708" s="123"/>
      <c r="CI708" s="123"/>
    </row>
    <row r="709" spans="1:87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123"/>
      <c r="T709" s="124"/>
      <c r="U709" s="123"/>
      <c r="V709" s="123"/>
      <c r="W709" s="124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  <c r="AV709" s="123"/>
      <c r="AW709" s="123"/>
      <c r="AX709" s="123"/>
      <c r="AY709" s="123"/>
      <c r="AZ709" s="123"/>
      <c r="BA709" s="123"/>
      <c r="BB709" s="123"/>
      <c r="BC709" s="123"/>
      <c r="BD709" s="123"/>
      <c r="BE709" s="123"/>
      <c r="BF709" s="123"/>
      <c r="BG709" s="123"/>
      <c r="BH709" s="123"/>
      <c r="BI709" s="123"/>
      <c r="BJ709" s="123"/>
      <c r="BK709" s="123"/>
      <c r="BL709" s="123"/>
      <c r="BM709" s="123"/>
      <c r="BN709" s="123"/>
      <c r="BO709" s="123"/>
      <c r="BP709" s="123"/>
      <c r="BQ709" s="123"/>
      <c r="BR709" s="123"/>
      <c r="BS709" s="123"/>
      <c r="BT709" s="123"/>
      <c r="BU709" s="123"/>
      <c r="BV709" s="123"/>
      <c r="BW709" s="123"/>
      <c r="BX709" s="123"/>
      <c r="BY709" s="123"/>
      <c r="BZ709" s="123"/>
      <c r="CA709" s="123"/>
      <c r="CB709" s="123"/>
      <c r="CC709" s="123"/>
      <c r="CD709" s="123"/>
      <c r="CE709" s="123"/>
      <c r="CF709" s="123"/>
      <c r="CG709" s="123"/>
      <c r="CH709" s="123"/>
      <c r="CI709" s="123"/>
    </row>
    <row r="710" spans="1:87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123"/>
      <c r="T710" s="124"/>
      <c r="U710" s="123"/>
      <c r="V710" s="123"/>
      <c r="W710" s="124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  <c r="AV710" s="123"/>
      <c r="AW710" s="123"/>
      <c r="AX710" s="123"/>
      <c r="AY710" s="123"/>
      <c r="AZ710" s="123"/>
      <c r="BA710" s="123"/>
      <c r="BB710" s="123"/>
      <c r="BC710" s="123"/>
      <c r="BD710" s="123"/>
      <c r="BE710" s="123"/>
      <c r="BF710" s="123"/>
      <c r="BG710" s="123"/>
      <c r="BH710" s="123"/>
      <c r="BI710" s="123"/>
      <c r="BJ710" s="123"/>
      <c r="BK710" s="123"/>
      <c r="BL710" s="123"/>
      <c r="BM710" s="123"/>
      <c r="BN710" s="123"/>
      <c r="BO710" s="123"/>
      <c r="BP710" s="123"/>
      <c r="BQ710" s="123"/>
      <c r="BR710" s="123"/>
      <c r="BS710" s="123"/>
      <c r="BT710" s="123"/>
      <c r="BU710" s="123"/>
      <c r="BV710" s="123"/>
      <c r="BW710" s="123"/>
      <c r="BX710" s="123"/>
      <c r="BY710" s="123"/>
      <c r="BZ710" s="123"/>
      <c r="CA710" s="123"/>
      <c r="CB710" s="123"/>
      <c r="CC710" s="123"/>
      <c r="CD710" s="123"/>
      <c r="CE710" s="123"/>
      <c r="CF710" s="123"/>
      <c r="CG710" s="123"/>
      <c r="CH710" s="123"/>
      <c r="CI710" s="123"/>
    </row>
    <row r="711" spans="1:87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123"/>
      <c r="T711" s="124"/>
      <c r="U711" s="123"/>
      <c r="V711" s="123"/>
      <c r="W711" s="124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  <c r="AV711" s="123"/>
      <c r="AW711" s="123"/>
      <c r="AX711" s="123"/>
      <c r="AY711" s="123"/>
      <c r="AZ711" s="123"/>
      <c r="BA711" s="123"/>
      <c r="BB711" s="123"/>
      <c r="BC711" s="123"/>
      <c r="BD711" s="123"/>
      <c r="BE711" s="123"/>
      <c r="BF711" s="123"/>
      <c r="BG711" s="123"/>
      <c r="BH711" s="123"/>
      <c r="BI711" s="123"/>
      <c r="BJ711" s="123"/>
      <c r="BK711" s="123"/>
      <c r="BL711" s="123"/>
      <c r="BM711" s="123"/>
      <c r="BN711" s="123"/>
      <c r="BO711" s="123"/>
      <c r="BP711" s="123"/>
      <c r="BQ711" s="123"/>
      <c r="BR711" s="123"/>
      <c r="BS711" s="123"/>
      <c r="BT711" s="123"/>
      <c r="BU711" s="123"/>
      <c r="BV711" s="123"/>
      <c r="BW711" s="123"/>
      <c r="BX711" s="123"/>
      <c r="BY711" s="123"/>
      <c r="BZ711" s="123"/>
      <c r="CA711" s="123"/>
      <c r="CB711" s="123"/>
      <c r="CC711" s="123"/>
      <c r="CD711" s="123"/>
      <c r="CE711" s="123"/>
      <c r="CF711" s="123"/>
      <c r="CG711" s="123"/>
      <c r="CH711" s="123"/>
      <c r="CI711" s="123"/>
    </row>
    <row r="712" spans="1:87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123"/>
      <c r="T712" s="124"/>
      <c r="U712" s="123"/>
      <c r="V712" s="123"/>
      <c r="W712" s="124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  <c r="AV712" s="123"/>
      <c r="AW712" s="123"/>
      <c r="AX712" s="123"/>
      <c r="AY712" s="123"/>
      <c r="AZ712" s="123"/>
      <c r="BA712" s="123"/>
      <c r="BB712" s="123"/>
      <c r="BC712" s="123"/>
      <c r="BD712" s="123"/>
      <c r="BE712" s="123"/>
      <c r="BF712" s="123"/>
      <c r="BG712" s="123"/>
      <c r="BH712" s="123"/>
      <c r="BI712" s="123"/>
      <c r="BJ712" s="123"/>
      <c r="BK712" s="123"/>
      <c r="BL712" s="123"/>
      <c r="BM712" s="123"/>
      <c r="BN712" s="123"/>
      <c r="BO712" s="123"/>
      <c r="BP712" s="123"/>
      <c r="BQ712" s="123"/>
      <c r="BR712" s="123"/>
      <c r="BS712" s="123"/>
      <c r="BT712" s="123"/>
      <c r="BU712" s="123"/>
      <c r="BV712" s="123"/>
      <c r="BW712" s="123"/>
      <c r="BX712" s="123"/>
      <c r="BY712" s="123"/>
      <c r="BZ712" s="123"/>
      <c r="CA712" s="123"/>
      <c r="CB712" s="123"/>
      <c r="CC712" s="123"/>
      <c r="CD712" s="123"/>
      <c r="CE712" s="123"/>
      <c r="CF712" s="123"/>
      <c r="CG712" s="123"/>
      <c r="CH712" s="123"/>
      <c r="CI712" s="123"/>
    </row>
    <row r="713" spans="1:87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123"/>
      <c r="T713" s="124"/>
      <c r="U713" s="123"/>
      <c r="V713" s="123"/>
      <c r="W713" s="124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  <c r="AV713" s="123"/>
      <c r="AW713" s="123"/>
      <c r="AX713" s="123"/>
      <c r="AY713" s="123"/>
      <c r="AZ713" s="123"/>
      <c r="BA713" s="123"/>
      <c r="BB713" s="123"/>
      <c r="BC713" s="123"/>
      <c r="BD713" s="123"/>
      <c r="BE713" s="123"/>
      <c r="BF713" s="123"/>
      <c r="BG713" s="123"/>
      <c r="BH713" s="123"/>
      <c r="BI713" s="123"/>
      <c r="BJ713" s="123"/>
      <c r="BK713" s="123"/>
      <c r="BL713" s="123"/>
      <c r="BM713" s="123"/>
      <c r="BN713" s="123"/>
      <c r="BO713" s="123"/>
      <c r="BP713" s="123"/>
      <c r="BQ713" s="123"/>
      <c r="BR713" s="123"/>
      <c r="BS713" s="123"/>
      <c r="BT713" s="123"/>
      <c r="BU713" s="123"/>
      <c r="BV713" s="123"/>
      <c r="BW713" s="123"/>
      <c r="BX713" s="123"/>
      <c r="BY713" s="123"/>
      <c r="BZ713" s="123"/>
      <c r="CA713" s="123"/>
      <c r="CB713" s="123"/>
      <c r="CC713" s="123"/>
      <c r="CD713" s="123"/>
      <c r="CE713" s="123"/>
      <c r="CF713" s="123"/>
      <c r="CG713" s="123"/>
      <c r="CH713" s="123"/>
      <c r="CI713" s="123"/>
    </row>
    <row r="714" spans="1:87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123"/>
      <c r="T714" s="124"/>
      <c r="U714" s="123"/>
      <c r="V714" s="123"/>
      <c r="W714" s="124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  <c r="AV714" s="123"/>
      <c r="AW714" s="123"/>
      <c r="AX714" s="123"/>
      <c r="AY714" s="123"/>
      <c r="AZ714" s="123"/>
      <c r="BA714" s="123"/>
      <c r="BB714" s="123"/>
      <c r="BC714" s="123"/>
      <c r="BD714" s="123"/>
      <c r="BE714" s="123"/>
      <c r="BF714" s="123"/>
      <c r="BG714" s="123"/>
      <c r="BH714" s="123"/>
      <c r="BI714" s="123"/>
      <c r="BJ714" s="123"/>
      <c r="BK714" s="123"/>
      <c r="BL714" s="123"/>
      <c r="BM714" s="123"/>
      <c r="BN714" s="123"/>
      <c r="BO714" s="123"/>
      <c r="BP714" s="123"/>
      <c r="BQ714" s="123"/>
      <c r="BR714" s="123"/>
      <c r="BS714" s="123"/>
      <c r="BT714" s="123"/>
      <c r="BU714" s="123"/>
      <c r="BV714" s="123"/>
      <c r="BW714" s="123"/>
      <c r="BX714" s="123"/>
      <c r="BY714" s="123"/>
      <c r="BZ714" s="123"/>
      <c r="CA714" s="123"/>
      <c r="CB714" s="123"/>
      <c r="CC714" s="123"/>
      <c r="CD714" s="123"/>
      <c r="CE714" s="123"/>
      <c r="CF714" s="123"/>
      <c r="CG714" s="123"/>
      <c r="CH714" s="123"/>
      <c r="CI714" s="123"/>
    </row>
    <row r="715" spans="1:87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123"/>
      <c r="T715" s="124"/>
      <c r="U715" s="123"/>
      <c r="V715" s="123"/>
      <c r="W715" s="124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  <c r="AV715" s="123"/>
      <c r="AW715" s="123"/>
      <c r="AX715" s="123"/>
      <c r="AY715" s="123"/>
      <c r="AZ715" s="123"/>
      <c r="BA715" s="123"/>
      <c r="BB715" s="123"/>
      <c r="BC715" s="123"/>
      <c r="BD715" s="123"/>
      <c r="BE715" s="123"/>
      <c r="BF715" s="123"/>
      <c r="BG715" s="123"/>
      <c r="BH715" s="123"/>
      <c r="BI715" s="123"/>
      <c r="BJ715" s="123"/>
      <c r="BK715" s="123"/>
      <c r="BL715" s="123"/>
      <c r="BM715" s="123"/>
      <c r="BN715" s="123"/>
      <c r="BO715" s="123"/>
      <c r="BP715" s="123"/>
      <c r="BQ715" s="123"/>
      <c r="BR715" s="123"/>
      <c r="BS715" s="123"/>
      <c r="BT715" s="123"/>
      <c r="BU715" s="123"/>
      <c r="BV715" s="123"/>
      <c r="BW715" s="123"/>
      <c r="BX715" s="123"/>
      <c r="BY715" s="123"/>
      <c r="BZ715" s="123"/>
      <c r="CA715" s="123"/>
      <c r="CB715" s="123"/>
      <c r="CC715" s="123"/>
      <c r="CD715" s="123"/>
      <c r="CE715" s="123"/>
      <c r="CF715" s="123"/>
      <c r="CG715" s="123"/>
      <c r="CH715" s="123"/>
      <c r="CI715" s="123"/>
    </row>
    <row r="716" spans="1:87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123"/>
      <c r="T716" s="124"/>
      <c r="U716" s="123"/>
      <c r="V716" s="123"/>
      <c r="W716" s="124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  <c r="AV716" s="123"/>
      <c r="AW716" s="123"/>
      <c r="AX716" s="123"/>
      <c r="AY716" s="123"/>
      <c r="AZ716" s="123"/>
      <c r="BA716" s="123"/>
      <c r="BB716" s="123"/>
      <c r="BC716" s="123"/>
      <c r="BD716" s="123"/>
      <c r="BE716" s="123"/>
      <c r="BF716" s="123"/>
      <c r="BG716" s="123"/>
      <c r="BH716" s="123"/>
      <c r="BI716" s="123"/>
      <c r="BJ716" s="123"/>
      <c r="BK716" s="123"/>
      <c r="BL716" s="123"/>
      <c r="BM716" s="123"/>
      <c r="BN716" s="123"/>
      <c r="BO716" s="123"/>
      <c r="BP716" s="123"/>
      <c r="BQ716" s="123"/>
      <c r="BR716" s="123"/>
      <c r="BS716" s="123"/>
      <c r="BT716" s="123"/>
      <c r="BU716" s="123"/>
      <c r="BV716" s="123"/>
      <c r="BW716" s="123"/>
      <c r="BX716" s="123"/>
      <c r="BY716" s="123"/>
      <c r="BZ716" s="123"/>
      <c r="CA716" s="123"/>
      <c r="CB716" s="123"/>
      <c r="CC716" s="123"/>
      <c r="CD716" s="123"/>
      <c r="CE716" s="123"/>
      <c r="CF716" s="123"/>
      <c r="CG716" s="123"/>
      <c r="CH716" s="123"/>
      <c r="CI716" s="123"/>
    </row>
    <row r="717" spans="1:87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123"/>
      <c r="T717" s="124"/>
      <c r="U717" s="123"/>
      <c r="V717" s="123"/>
      <c r="W717" s="124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  <c r="AV717" s="123"/>
      <c r="AW717" s="123"/>
      <c r="AX717" s="123"/>
      <c r="AY717" s="123"/>
      <c r="AZ717" s="123"/>
      <c r="BA717" s="123"/>
      <c r="BB717" s="123"/>
      <c r="BC717" s="123"/>
      <c r="BD717" s="123"/>
      <c r="BE717" s="123"/>
      <c r="BF717" s="123"/>
      <c r="BG717" s="123"/>
      <c r="BH717" s="123"/>
      <c r="BI717" s="123"/>
      <c r="BJ717" s="123"/>
      <c r="BK717" s="123"/>
      <c r="BL717" s="123"/>
      <c r="BM717" s="123"/>
      <c r="BN717" s="123"/>
      <c r="BO717" s="123"/>
      <c r="BP717" s="123"/>
      <c r="BQ717" s="123"/>
      <c r="BR717" s="123"/>
      <c r="BS717" s="123"/>
      <c r="BT717" s="123"/>
      <c r="BU717" s="123"/>
      <c r="BV717" s="123"/>
      <c r="BW717" s="123"/>
      <c r="BX717" s="123"/>
      <c r="BY717" s="123"/>
      <c r="BZ717" s="123"/>
      <c r="CA717" s="123"/>
      <c r="CB717" s="123"/>
      <c r="CC717" s="123"/>
      <c r="CD717" s="123"/>
      <c r="CE717" s="123"/>
      <c r="CF717" s="123"/>
      <c r="CG717" s="123"/>
      <c r="CH717" s="123"/>
      <c r="CI717" s="123"/>
    </row>
    <row r="718" spans="1:87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123"/>
      <c r="T718" s="124"/>
      <c r="U718" s="123"/>
      <c r="V718" s="123"/>
      <c r="W718" s="124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  <c r="AV718" s="123"/>
      <c r="AW718" s="123"/>
      <c r="AX718" s="123"/>
      <c r="AY718" s="123"/>
      <c r="AZ718" s="123"/>
      <c r="BA718" s="123"/>
      <c r="BB718" s="123"/>
      <c r="BC718" s="123"/>
      <c r="BD718" s="123"/>
      <c r="BE718" s="123"/>
      <c r="BF718" s="123"/>
      <c r="BG718" s="123"/>
      <c r="BH718" s="123"/>
      <c r="BI718" s="123"/>
      <c r="BJ718" s="123"/>
      <c r="BK718" s="123"/>
      <c r="BL718" s="123"/>
      <c r="BM718" s="123"/>
      <c r="BN718" s="123"/>
      <c r="BO718" s="123"/>
      <c r="BP718" s="123"/>
      <c r="BQ718" s="123"/>
      <c r="BR718" s="123"/>
      <c r="BS718" s="123"/>
      <c r="BT718" s="123"/>
      <c r="BU718" s="123"/>
      <c r="BV718" s="123"/>
      <c r="BW718" s="123"/>
      <c r="BX718" s="123"/>
      <c r="BY718" s="123"/>
      <c r="BZ718" s="123"/>
      <c r="CA718" s="123"/>
      <c r="CB718" s="123"/>
      <c r="CC718" s="123"/>
      <c r="CD718" s="123"/>
      <c r="CE718" s="123"/>
      <c r="CF718" s="123"/>
      <c r="CG718" s="123"/>
      <c r="CH718" s="123"/>
      <c r="CI718" s="123"/>
    </row>
    <row r="719" spans="1:87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123"/>
      <c r="T719" s="124"/>
      <c r="U719" s="123"/>
      <c r="V719" s="123"/>
      <c r="W719" s="124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  <c r="AV719" s="123"/>
      <c r="AW719" s="123"/>
      <c r="AX719" s="123"/>
      <c r="AY719" s="123"/>
      <c r="AZ719" s="123"/>
      <c r="BA719" s="123"/>
      <c r="BB719" s="123"/>
      <c r="BC719" s="123"/>
      <c r="BD719" s="123"/>
      <c r="BE719" s="123"/>
      <c r="BF719" s="123"/>
      <c r="BG719" s="123"/>
      <c r="BH719" s="123"/>
      <c r="BI719" s="123"/>
      <c r="BJ719" s="123"/>
      <c r="BK719" s="123"/>
      <c r="BL719" s="123"/>
      <c r="BM719" s="123"/>
      <c r="BN719" s="123"/>
      <c r="BO719" s="123"/>
      <c r="BP719" s="123"/>
      <c r="BQ719" s="123"/>
      <c r="BR719" s="123"/>
      <c r="BS719" s="123"/>
      <c r="BT719" s="123"/>
      <c r="BU719" s="123"/>
      <c r="BV719" s="123"/>
      <c r="BW719" s="123"/>
      <c r="BX719" s="123"/>
      <c r="BY719" s="123"/>
      <c r="BZ719" s="123"/>
      <c r="CA719" s="123"/>
      <c r="CB719" s="123"/>
      <c r="CC719" s="123"/>
      <c r="CD719" s="123"/>
      <c r="CE719" s="123"/>
      <c r="CF719" s="123"/>
      <c r="CG719" s="123"/>
      <c r="CH719" s="123"/>
      <c r="CI719" s="123"/>
    </row>
    <row r="720" spans="1:87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123"/>
      <c r="T720" s="124"/>
      <c r="U720" s="123"/>
      <c r="V720" s="123"/>
      <c r="W720" s="124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  <c r="AV720" s="123"/>
      <c r="AW720" s="123"/>
      <c r="AX720" s="123"/>
      <c r="AY720" s="123"/>
      <c r="AZ720" s="123"/>
      <c r="BA720" s="123"/>
      <c r="BB720" s="123"/>
      <c r="BC720" s="123"/>
      <c r="BD720" s="123"/>
      <c r="BE720" s="123"/>
      <c r="BF720" s="123"/>
      <c r="BG720" s="123"/>
      <c r="BH720" s="123"/>
      <c r="BI720" s="123"/>
      <c r="BJ720" s="123"/>
      <c r="BK720" s="123"/>
      <c r="BL720" s="123"/>
      <c r="BM720" s="123"/>
      <c r="BN720" s="123"/>
      <c r="BO720" s="123"/>
      <c r="BP720" s="123"/>
      <c r="BQ720" s="123"/>
      <c r="BR720" s="123"/>
      <c r="BS720" s="123"/>
      <c r="BT720" s="123"/>
      <c r="BU720" s="123"/>
      <c r="BV720" s="123"/>
      <c r="BW720" s="123"/>
      <c r="BX720" s="123"/>
      <c r="BY720" s="123"/>
      <c r="BZ720" s="123"/>
      <c r="CA720" s="123"/>
      <c r="CB720" s="123"/>
      <c r="CC720" s="123"/>
      <c r="CD720" s="123"/>
      <c r="CE720" s="123"/>
      <c r="CF720" s="123"/>
      <c r="CG720" s="123"/>
      <c r="CH720" s="123"/>
      <c r="CI720" s="123"/>
    </row>
    <row r="721" spans="1:87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123"/>
      <c r="T721" s="124"/>
      <c r="U721" s="123"/>
      <c r="V721" s="123"/>
      <c r="W721" s="124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  <c r="AV721" s="123"/>
      <c r="AW721" s="123"/>
      <c r="AX721" s="123"/>
      <c r="AY721" s="123"/>
      <c r="AZ721" s="123"/>
      <c r="BA721" s="123"/>
      <c r="BB721" s="123"/>
      <c r="BC721" s="123"/>
      <c r="BD721" s="123"/>
      <c r="BE721" s="123"/>
      <c r="BF721" s="123"/>
      <c r="BG721" s="123"/>
      <c r="BH721" s="123"/>
      <c r="BI721" s="123"/>
      <c r="BJ721" s="123"/>
      <c r="BK721" s="123"/>
      <c r="BL721" s="123"/>
      <c r="BM721" s="123"/>
      <c r="BN721" s="123"/>
      <c r="BO721" s="123"/>
      <c r="BP721" s="123"/>
      <c r="BQ721" s="123"/>
      <c r="BR721" s="123"/>
      <c r="BS721" s="123"/>
      <c r="BT721" s="123"/>
      <c r="BU721" s="123"/>
      <c r="BV721" s="123"/>
      <c r="BW721" s="123"/>
      <c r="BX721" s="123"/>
      <c r="BY721" s="123"/>
      <c r="BZ721" s="123"/>
      <c r="CA721" s="123"/>
      <c r="CB721" s="123"/>
      <c r="CC721" s="123"/>
      <c r="CD721" s="123"/>
      <c r="CE721" s="123"/>
      <c r="CF721" s="123"/>
      <c r="CG721" s="123"/>
      <c r="CH721" s="123"/>
      <c r="CI721" s="123"/>
    </row>
    <row r="722" spans="1:87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123"/>
      <c r="T722" s="124"/>
      <c r="U722" s="123"/>
      <c r="V722" s="123"/>
      <c r="W722" s="124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  <c r="AV722" s="123"/>
      <c r="AW722" s="123"/>
      <c r="AX722" s="123"/>
      <c r="AY722" s="123"/>
      <c r="AZ722" s="123"/>
      <c r="BA722" s="123"/>
      <c r="BB722" s="123"/>
      <c r="BC722" s="123"/>
      <c r="BD722" s="123"/>
      <c r="BE722" s="123"/>
      <c r="BF722" s="123"/>
      <c r="BG722" s="123"/>
      <c r="BH722" s="123"/>
      <c r="BI722" s="123"/>
      <c r="BJ722" s="123"/>
      <c r="BK722" s="123"/>
      <c r="BL722" s="123"/>
      <c r="BM722" s="123"/>
      <c r="BN722" s="123"/>
      <c r="BO722" s="123"/>
      <c r="BP722" s="123"/>
      <c r="BQ722" s="123"/>
      <c r="BR722" s="123"/>
      <c r="BS722" s="123"/>
      <c r="BT722" s="123"/>
      <c r="BU722" s="123"/>
      <c r="BV722" s="123"/>
      <c r="BW722" s="123"/>
      <c r="BX722" s="123"/>
      <c r="BY722" s="123"/>
      <c r="BZ722" s="123"/>
      <c r="CA722" s="123"/>
      <c r="CB722" s="123"/>
      <c r="CC722" s="123"/>
      <c r="CD722" s="123"/>
      <c r="CE722" s="123"/>
      <c r="CF722" s="123"/>
      <c r="CG722" s="123"/>
      <c r="CH722" s="123"/>
      <c r="CI722" s="123"/>
    </row>
    <row r="723" spans="1:87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123"/>
      <c r="T723" s="124"/>
      <c r="U723" s="123"/>
      <c r="V723" s="123"/>
      <c r="W723" s="124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  <c r="AV723" s="123"/>
      <c r="AW723" s="123"/>
      <c r="AX723" s="123"/>
      <c r="AY723" s="123"/>
      <c r="AZ723" s="123"/>
      <c r="BA723" s="123"/>
      <c r="BB723" s="123"/>
      <c r="BC723" s="123"/>
      <c r="BD723" s="123"/>
      <c r="BE723" s="123"/>
      <c r="BF723" s="123"/>
      <c r="BG723" s="123"/>
      <c r="BH723" s="123"/>
      <c r="BI723" s="123"/>
      <c r="BJ723" s="123"/>
      <c r="BK723" s="123"/>
      <c r="BL723" s="123"/>
      <c r="BM723" s="123"/>
      <c r="BN723" s="123"/>
      <c r="BO723" s="123"/>
      <c r="BP723" s="123"/>
      <c r="BQ723" s="123"/>
      <c r="BR723" s="123"/>
      <c r="BS723" s="123"/>
      <c r="BT723" s="123"/>
      <c r="BU723" s="123"/>
      <c r="BV723" s="123"/>
      <c r="BW723" s="123"/>
      <c r="BX723" s="123"/>
      <c r="BY723" s="123"/>
      <c r="BZ723" s="123"/>
      <c r="CA723" s="123"/>
      <c r="CB723" s="123"/>
      <c r="CC723" s="123"/>
      <c r="CD723" s="123"/>
      <c r="CE723" s="123"/>
      <c r="CF723" s="123"/>
      <c r="CG723" s="123"/>
      <c r="CH723" s="123"/>
      <c r="CI723" s="123"/>
    </row>
    <row r="724" spans="1:87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123"/>
      <c r="T724" s="124"/>
      <c r="U724" s="123"/>
      <c r="V724" s="123"/>
      <c r="W724" s="124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  <c r="AV724" s="123"/>
      <c r="AW724" s="123"/>
      <c r="AX724" s="123"/>
      <c r="AY724" s="123"/>
      <c r="AZ724" s="123"/>
      <c r="BA724" s="123"/>
      <c r="BB724" s="123"/>
      <c r="BC724" s="123"/>
      <c r="BD724" s="123"/>
      <c r="BE724" s="123"/>
      <c r="BF724" s="123"/>
      <c r="BG724" s="123"/>
      <c r="BH724" s="123"/>
      <c r="BI724" s="123"/>
      <c r="BJ724" s="123"/>
      <c r="BK724" s="123"/>
      <c r="BL724" s="123"/>
      <c r="BM724" s="123"/>
      <c r="BN724" s="123"/>
      <c r="BO724" s="123"/>
      <c r="BP724" s="123"/>
      <c r="BQ724" s="123"/>
      <c r="BR724" s="123"/>
      <c r="BS724" s="123"/>
      <c r="BT724" s="123"/>
      <c r="BU724" s="123"/>
      <c r="BV724" s="123"/>
      <c r="BW724" s="123"/>
      <c r="BX724" s="123"/>
      <c r="BY724" s="123"/>
      <c r="BZ724" s="123"/>
      <c r="CA724" s="123"/>
      <c r="CB724" s="123"/>
      <c r="CC724" s="123"/>
      <c r="CD724" s="123"/>
      <c r="CE724" s="123"/>
      <c r="CF724" s="123"/>
      <c r="CG724" s="123"/>
      <c r="CH724" s="123"/>
      <c r="CI724" s="123"/>
    </row>
    <row r="725" spans="1:87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123"/>
      <c r="T725" s="124"/>
      <c r="U725" s="123"/>
      <c r="V725" s="123"/>
      <c r="W725" s="124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  <c r="AV725" s="123"/>
      <c r="AW725" s="123"/>
      <c r="AX725" s="123"/>
      <c r="AY725" s="123"/>
      <c r="AZ725" s="123"/>
      <c r="BA725" s="123"/>
      <c r="BB725" s="123"/>
      <c r="BC725" s="123"/>
      <c r="BD725" s="123"/>
      <c r="BE725" s="123"/>
      <c r="BF725" s="123"/>
      <c r="BG725" s="123"/>
      <c r="BH725" s="123"/>
      <c r="BI725" s="123"/>
      <c r="BJ725" s="123"/>
      <c r="BK725" s="123"/>
      <c r="BL725" s="123"/>
      <c r="BM725" s="123"/>
      <c r="BN725" s="123"/>
      <c r="BO725" s="123"/>
      <c r="BP725" s="123"/>
      <c r="BQ725" s="123"/>
      <c r="BR725" s="123"/>
      <c r="BS725" s="123"/>
      <c r="BT725" s="123"/>
      <c r="BU725" s="123"/>
      <c r="BV725" s="123"/>
      <c r="BW725" s="123"/>
      <c r="BX725" s="123"/>
      <c r="BY725" s="123"/>
      <c r="BZ725" s="123"/>
      <c r="CA725" s="123"/>
      <c r="CB725" s="123"/>
      <c r="CC725" s="123"/>
      <c r="CD725" s="123"/>
      <c r="CE725" s="123"/>
      <c r="CF725" s="123"/>
      <c r="CG725" s="123"/>
      <c r="CH725" s="123"/>
      <c r="CI725" s="123"/>
    </row>
    <row r="726" spans="1:87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123"/>
      <c r="T726" s="124"/>
      <c r="U726" s="123"/>
      <c r="V726" s="123"/>
      <c r="W726" s="124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  <c r="AV726" s="123"/>
      <c r="AW726" s="123"/>
      <c r="AX726" s="123"/>
      <c r="AY726" s="123"/>
      <c r="AZ726" s="123"/>
      <c r="BA726" s="123"/>
      <c r="BB726" s="123"/>
      <c r="BC726" s="123"/>
      <c r="BD726" s="123"/>
      <c r="BE726" s="123"/>
      <c r="BF726" s="123"/>
      <c r="BG726" s="123"/>
      <c r="BH726" s="123"/>
      <c r="BI726" s="123"/>
      <c r="BJ726" s="123"/>
      <c r="BK726" s="123"/>
      <c r="BL726" s="123"/>
      <c r="BM726" s="123"/>
      <c r="BN726" s="123"/>
      <c r="BO726" s="123"/>
      <c r="BP726" s="123"/>
      <c r="BQ726" s="123"/>
      <c r="BR726" s="123"/>
      <c r="BS726" s="123"/>
      <c r="BT726" s="123"/>
      <c r="BU726" s="123"/>
      <c r="BV726" s="123"/>
      <c r="BW726" s="123"/>
      <c r="BX726" s="123"/>
      <c r="BY726" s="123"/>
      <c r="BZ726" s="123"/>
      <c r="CA726" s="123"/>
      <c r="CB726" s="123"/>
      <c r="CC726" s="123"/>
      <c r="CD726" s="123"/>
      <c r="CE726" s="123"/>
      <c r="CF726" s="123"/>
      <c r="CG726" s="123"/>
      <c r="CH726" s="123"/>
      <c r="CI726" s="123"/>
    </row>
    <row r="727" spans="1:87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123"/>
      <c r="T727" s="124"/>
      <c r="U727" s="123"/>
      <c r="V727" s="123"/>
      <c r="W727" s="124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  <c r="AV727" s="123"/>
      <c r="AW727" s="123"/>
      <c r="AX727" s="123"/>
      <c r="AY727" s="123"/>
      <c r="AZ727" s="123"/>
      <c r="BA727" s="123"/>
      <c r="BB727" s="123"/>
      <c r="BC727" s="123"/>
      <c r="BD727" s="123"/>
      <c r="BE727" s="123"/>
      <c r="BF727" s="123"/>
      <c r="BG727" s="123"/>
      <c r="BH727" s="123"/>
      <c r="BI727" s="123"/>
      <c r="BJ727" s="123"/>
      <c r="BK727" s="123"/>
      <c r="BL727" s="123"/>
      <c r="BM727" s="123"/>
      <c r="BN727" s="123"/>
      <c r="BO727" s="123"/>
      <c r="BP727" s="123"/>
      <c r="BQ727" s="123"/>
      <c r="BR727" s="123"/>
      <c r="BS727" s="123"/>
      <c r="BT727" s="123"/>
      <c r="BU727" s="123"/>
      <c r="BV727" s="123"/>
      <c r="BW727" s="123"/>
      <c r="BX727" s="123"/>
      <c r="BY727" s="123"/>
      <c r="BZ727" s="123"/>
      <c r="CA727" s="123"/>
      <c r="CB727" s="123"/>
      <c r="CC727" s="123"/>
      <c r="CD727" s="123"/>
      <c r="CE727" s="123"/>
      <c r="CF727" s="123"/>
      <c r="CG727" s="123"/>
      <c r="CH727" s="123"/>
      <c r="CI727" s="123"/>
    </row>
    <row r="728" spans="1:87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123"/>
      <c r="T728" s="124"/>
      <c r="U728" s="123"/>
      <c r="V728" s="123"/>
      <c r="W728" s="124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  <c r="AV728" s="123"/>
      <c r="AW728" s="123"/>
      <c r="AX728" s="123"/>
      <c r="AY728" s="123"/>
      <c r="AZ728" s="123"/>
      <c r="BA728" s="123"/>
      <c r="BB728" s="123"/>
      <c r="BC728" s="123"/>
      <c r="BD728" s="123"/>
      <c r="BE728" s="123"/>
      <c r="BF728" s="123"/>
      <c r="BG728" s="123"/>
      <c r="BH728" s="123"/>
      <c r="BI728" s="123"/>
      <c r="BJ728" s="123"/>
      <c r="BK728" s="123"/>
      <c r="BL728" s="123"/>
      <c r="BM728" s="123"/>
      <c r="BN728" s="123"/>
      <c r="BO728" s="123"/>
      <c r="BP728" s="123"/>
      <c r="BQ728" s="123"/>
      <c r="BR728" s="123"/>
      <c r="BS728" s="123"/>
      <c r="BT728" s="123"/>
      <c r="BU728" s="123"/>
      <c r="BV728" s="123"/>
      <c r="BW728" s="123"/>
      <c r="BX728" s="123"/>
      <c r="BY728" s="123"/>
      <c r="BZ728" s="123"/>
      <c r="CA728" s="123"/>
      <c r="CB728" s="123"/>
      <c r="CC728" s="123"/>
      <c r="CD728" s="123"/>
      <c r="CE728" s="123"/>
      <c r="CF728" s="123"/>
      <c r="CG728" s="123"/>
      <c r="CH728" s="123"/>
      <c r="CI728" s="123"/>
    </row>
    <row r="729" spans="1:87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123"/>
      <c r="T729" s="124"/>
      <c r="U729" s="123"/>
      <c r="V729" s="123"/>
      <c r="W729" s="124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  <c r="AV729" s="123"/>
      <c r="AW729" s="123"/>
      <c r="AX729" s="123"/>
      <c r="AY729" s="123"/>
      <c r="AZ729" s="123"/>
      <c r="BA729" s="123"/>
      <c r="BB729" s="123"/>
      <c r="BC729" s="123"/>
      <c r="BD729" s="123"/>
      <c r="BE729" s="123"/>
      <c r="BF729" s="123"/>
      <c r="BG729" s="123"/>
      <c r="BH729" s="123"/>
      <c r="BI729" s="123"/>
      <c r="BJ729" s="123"/>
      <c r="BK729" s="123"/>
      <c r="BL729" s="123"/>
      <c r="BM729" s="123"/>
      <c r="BN729" s="123"/>
      <c r="BO729" s="123"/>
      <c r="BP729" s="123"/>
      <c r="BQ729" s="123"/>
      <c r="BR729" s="123"/>
      <c r="BS729" s="123"/>
      <c r="BT729" s="123"/>
      <c r="BU729" s="123"/>
      <c r="BV729" s="123"/>
      <c r="BW729" s="123"/>
      <c r="BX729" s="123"/>
      <c r="BY729" s="123"/>
      <c r="BZ729" s="123"/>
      <c r="CA729" s="123"/>
      <c r="CB729" s="123"/>
      <c r="CC729" s="123"/>
      <c r="CD729" s="123"/>
      <c r="CE729" s="123"/>
      <c r="CF729" s="123"/>
      <c r="CG729" s="123"/>
      <c r="CH729" s="123"/>
      <c r="CI729" s="123"/>
    </row>
    <row r="730" spans="1:87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123"/>
      <c r="T730" s="124"/>
      <c r="U730" s="123"/>
      <c r="V730" s="123"/>
      <c r="W730" s="124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  <c r="AV730" s="123"/>
      <c r="AW730" s="123"/>
      <c r="AX730" s="123"/>
      <c r="AY730" s="123"/>
      <c r="AZ730" s="123"/>
      <c r="BA730" s="123"/>
      <c r="BB730" s="123"/>
      <c r="BC730" s="123"/>
      <c r="BD730" s="123"/>
      <c r="BE730" s="123"/>
      <c r="BF730" s="123"/>
      <c r="BG730" s="123"/>
      <c r="BH730" s="123"/>
      <c r="BI730" s="123"/>
      <c r="BJ730" s="123"/>
      <c r="BK730" s="123"/>
      <c r="BL730" s="123"/>
      <c r="BM730" s="123"/>
      <c r="BN730" s="123"/>
      <c r="BO730" s="123"/>
      <c r="BP730" s="123"/>
      <c r="BQ730" s="123"/>
      <c r="BR730" s="123"/>
      <c r="BS730" s="123"/>
      <c r="BT730" s="123"/>
      <c r="BU730" s="123"/>
      <c r="BV730" s="123"/>
      <c r="BW730" s="123"/>
      <c r="BX730" s="123"/>
      <c r="BY730" s="123"/>
      <c r="BZ730" s="123"/>
      <c r="CA730" s="123"/>
      <c r="CB730" s="123"/>
      <c r="CC730" s="123"/>
      <c r="CD730" s="123"/>
      <c r="CE730" s="123"/>
      <c r="CF730" s="123"/>
      <c r="CG730" s="123"/>
      <c r="CH730" s="123"/>
      <c r="CI730" s="123"/>
    </row>
    <row r="731" spans="1:87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123"/>
      <c r="T731" s="124"/>
      <c r="U731" s="123"/>
      <c r="V731" s="123"/>
      <c r="W731" s="124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  <c r="AV731" s="123"/>
      <c r="AW731" s="123"/>
      <c r="AX731" s="123"/>
      <c r="AY731" s="123"/>
      <c r="AZ731" s="123"/>
      <c r="BA731" s="123"/>
      <c r="BB731" s="123"/>
      <c r="BC731" s="123"/>
      <c r="BD731" s="123"/>
      <c r="BE731" s="123"/>
      <c r="BF731" s="123"/>
      <c r="BG731" s="123"/>
      <c r="BH731" s="123"/>
      <c r="BI731" s="123"/>
      <c r="BJ731" s="123"/>
      <c r="BK731" s="123"/>
      <c r="BL731" s="123"/>
      <c r="BM731" s="123"/>
      <c r="BN731" s="123"/>
      <c r="BO731" s="123"/>
      <c r="BP731" s="123"/>
      <c r="BQ731" s="123"/>
      <c r="BR731" s="123"/>
      <c r="BS731" s="123"/>
      <c r="BT731" s="123"/>
      <c r="BU731" s="123"/>
      <c r="BV731" s="123"/>
      <c r="BW731" s="123"/>
      <c r="BX731" s="123"/>
      <c r="BY731" s="123"/>
      <c r="BZ731" s="123"/>
      <c r="CA731" s="123"/>
      <c r="CB731" s="123"/>
      <c r="CC731" s="123"/>
      <c r="CD731" s="123"/>
      <c r="CE731" s="123"/>
      <c r="CF731" s="123"/>
      <c r="CG731" s="123"/>
      <c r="CH731" s="123"/>
      <c r="CI731" s="123"/>
    </row>
    <row r="732" spans="1:87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123"/>
      <c r="T732" s="124"/>
      <c r="U732" s="123"/>
      <c r="V732" s="123"/>
      <c r="W732" s="124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  <c r="AV732" s="123"/>
      <c r="AW732" s="123"/>
      <c r="AX732" s="123"/>
      <c r="AY732" s="123"/>
      <c r="AZ732" s="123"/>
      <c r="BA732" s="123"/>
      <c r="BB732" s="123"/>
      <c r="BC732" s="123"/>
      <c r="BD732" s="123"/>
      <c r="BE732" s="123"/>
      <c r="BF732" s="123"/>
      <c r="BG732" s="123"/>
      <c r="BH732" s="123"/>
      <c r="BI732" s="123"/>
      <c r="BJ732" s="123"/>
      <c r="BK732" s="123"/>
      <c r="BL732" s="123"/>
      <c r="BM732" s="123"/>
      <c r="BN732" s="123"/>
      <c r="BO732" s="123"/>
      <c r="BP732" s="123"/>
      <c r="BQ732" s="123"/>
      <c r="BR732" s="123"/>
      <c r="BS732" s="123"/>
      <c r="BT732" s="123"/>
      <c r="BU732" s="123"/>
      <c r="BV732" s="123"/>
      <c r="BW732" s="123"/>
      <c r="BX732" s="123"/>
      <c r="BY732" s="123"/>
      <c r="BZ732" s="123"/>
      <c r="CA732" s="123"/>
      <c r="CB732" s="123"/>
      <c r="CC732" s="123"/>
      <c r="CD732" s="123"/>
      <c r="CE732" s="123"/>
      <c r="CF732" s="123"/>
      <c r="CG732" s="123"/>
      <c r="CH732" s="123"/>
      <c r="CI732" s="123"/>
    </row>
    <row r="733" spans="1:87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123"/>
      <c r="T733" s="124"/>
      <c r="U733" s="123"/>
      <c r="V733" s="123"/>
      <c r="W733" s="124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  <c r="AV733" s="123"/>
      <c r="AW733" s="123"/>
      <c r="AX733" s="123"/>
      <c r="AY733" s="123"/>
      <c r="AZ733" s="123"/>
      <c r="BA733" s="123"/>
      <c r="BB733" s="123"/>
      <c r="BC733" s="123"/>
      <c r="BD733" s="123"/>
      <c r="BE733" s="123"/>
      <c r="BF733" s="123"/>
      <c r="BG733" s="123"/>
      <c r="BH733" s="123"/>
      <c r="BI733" s="123"/>
      <c r="BJ733" s="123"/>
      <c r="BK733" s="123"/>
      <c r="BL733" s="123"/>
      <c r="BM733" s="123"/>
      <c r="BN733" s="123"/>
      <c r="BO733" s="123"/>
      <c r="BP733" s="123"/>
      <c r="BQ733" s="123"/>
      <c r="BR733" s="123"/>
      <c r="BS733" s="123"/>
      <c r="BT733" s="123"/>
      <c r="BU733" s="123"/>
      <c r="BV733" s="123"/>
      <c r="BW733" s="123"/>
      <c r="BX733" s="123"/>
      <c r="BY733" s="123"/>
      <c r="BZ733" s="123"/>
      <c r="CA733" s="123"/>
      <c r="CB733" s="123"/>
      <c r="CC733" s="123"/>
      <c r="CD733" s="123"/>
      <c r="CE733" s="123"/>
      <c r="CF733" s="123"/>
      <c r="CG733" s="123"/>
      <c r="CH733" s="123"/>
      <c r="CI733" s="123"/>
    </row>
    <row r="734" spans="1:87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123"/>
      <c r="T734" s="124"/>
      <c r="U734" s="123"/>
      <c r="V734" s="123"/>
      <c r="W734" s="124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  <c r="AV734" s="123"/>
      <c r="AW734" s="123"/>
      <c r="AX734" s="123"/>
      <c r="AY734" s="123"/>
      <c r="AZ734" s="123"/>
      <c r="BA734" s="123"/>
      <c r="BB734" s="123"/>
      <c r="BC734" s="123"/>
      <c r="BD734" s="123"/>
      <c r="BE734" s="123"/>
      <c r="BF734" s="123"/>
      <c r="BG734" s="123"/>
      <c r="BH734" s="123"/>
      <c r="BI734" s="123"/>
      <c r="BJ734" s="123"/>
      <c r="BK734" s="123"/>
      <c r="BL734" s="123"/>
      <c r="BM734" s="123"/>
      <c r="BN734" s="123"/>
      <c r="BO734" s="123"/>
      <c r="BP734" s="123"/>
      <c r="BQ734" s="123"/>
      <c r="BR734" s="123"/>
      <c r="BS734" s="123"/>
      <c r="BT734" s="123"/>
      <c r="BU734" s="123"/>
      <c r="BV734" s="123"/>
      <c r="BW734" s="123"/>
      <c r="BX734" s="123"/>
      <c r="BY734" s="123"/>
      <c r="BZ734" s="123"/>
      <c r="CA734" s="123"/>
      <c r="CB734" s="123"/>
      <c r="CC734" s="123"/>
      <c r="CD734" s="123"/>
      <c r="CE734" s="123"/>
      <c r="CF734" s="123"/>
      <c r="CG734" s="123"/>
      <c r="CH734" s="123"/>
      <c r="CI734" s="123"/>
    </row>
    <row r="735" spans="1:87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123"/>
      <c r="T735" s="124"/>
      <c r="U735" s="123"/>
      <c r="V735" s="123"/>
      <c r="W735" s="124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  <c r="AV735" s="123"/>
      <c r="AW735" s="123"/>
      <c r="AX735" s="123"/>
      <c r="AY735" s="123"/>
      <c r="AZ735" s="123"/>
      <c r="BA735" s="123"/>
      <c r="BB735" s="123"/>
      <c r="BC735" s="123"/>
      <c r="BD735" s="123"/>
      <c r="BE735" s="123"/>
      <c r="BF735" s="123"/>
      <c r="BG735" s="123"/>
      <c r="BH735" s="123"/>
      <c r="BI735" s="123"/>
      <c r="BJ735" s="123"/>
      <c r="BK735" s="123"/>
      <c r="BL735" s="123"/>
      <c r="BM735" s="123"/>
      <c r="BN735" s="123"/>
      <c r="BO735" s="123"/>
      <c r="BP735" s="123"/>
      <c r="BQ735" s="123"/>
      <c r="BR735" s="123"/>
      <c r="BS735" s="123"/>
      <c r="BT735" s="123"/>
      <c r="BU735" s="123"/>
      <c r="BV735" s="123"/>
      <c r="BW735" s="123"/>
      <c r="BX735" s="123"/>
      <c r="BY735" s="123"/>
      <c r="BZ735" s="123"/>
      <c r="CA735" s="123"/>
      <c r="CB735" s="123"/>
      <c r="CC735" s="123"/>
      <c r="CD735" s="123"/>
      <c r="CE735" s="123"/>
      <c r="CF735" s="123"/>
      <c r="CG735" s="123"/>
      <c r="CH735" s="123"/>
      <c r="CI735" s="123"/>
    </row>
    <row r="736" spans="1:87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123"/>
      <c r="T736" s="124"/>
      <c r="U736" s="123"/>
      <c r="V736" s="123"/>
      <c r="W736" s="124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  <c r="AV736" s="123"/>
      <c r="AW736" s="123"/>
      <c r="AX736" s="123"/>
      <c r="AY736" s="123"/>
      <c r="AZ736" s="123"/>
      <c r="BA736" s="123"/>
      <c r="BB736" s="123"/>
      <c r="BC736" s="123"/>
      <c r="BD736" s="123"/>
      <c r="BE736" s="123"/>
      <c r="BF736" s="123"/>
      <c r="BG736" s="123"/>
      <c r="BH736" s="123"/>
      <c r="BI736" s="123"/>
      <c r="BJ736" s="123"/>
      <c r="BK736" s="123"/>
      <c r="BL736" s="123"/>
      <c r="BM736" s="123"/>
      <c r="BN736" s="123"/>
      <c r="BO736" s="123"/>
      <c r="BP736" s="123"/>
      <c r="BQ736" s="123"/>
      <c r="BR736" s="123"/>
      <c r="BS736" s="123"/>
      <c r="BT736" s="123"/>
      <c r="BU736" s="123"/>
      <c r="BV736" s="123"/>
      <c r="BW736" s="123"/>
      <c r="BX736" s="123"/>
      <c r="BY736" s="123"/>
      <c r="BZ736" s="123"/>
      <c r="CA736" s="123"/>
      <c r="CB736" s="123"/>
      <c r="CC736" s="123"/>
      <c r="CD736" s="123"/>
      <c r="CE736" s="123"/>
      <c r="CF736" s="123"/>
      <c r="CG736" s="123"/>
      <c r="CH736" s="123"/>
      <c r="CI736" s="123"/>
    </row>
    <row r="737" spans="1:87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123"/>
      <c r="T737" s="124"/>
      <c r="U737" s="123"/>
      <c r="V737" s="123"/>
      <c r="W737" s="124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  <c r="AV737" s="123"/>
      <c r="AW737" s="123"/>
      <c r="AX737" s="123"/>
      <c r="AY737" s="123"/>
      <c r="AZ737" s="123"/>
      <c r="BA737" s="123"/>
      <c r="BB737" s="123"/>
      <c r="BC737" s="123"/>
      <c r="BD737" s="123"/>
      <c r="BE737" s="123"/>
      <c r="BF737" s="123"/>
      <c r="BG737" s="123"/>
      <c r="BH737" s="123"/>
      <c r="BI737" s="123"/>
      <c r="BJ737" s="123"/>
      <c r="BK737" s="123"/>
      <c r="BL737" s="123"/>
      <c r="BM737" s="123"/>
      <c r="BN737" s="123"/>
      <c r="BO737" s="123"/>
      <c r="BP737" s="123"/>
      <c r="BQ737" s="123"/>
      <c r="BR737" s="123"/>
      <c r="BS737" s="123"/>
      <c r="BT737" s="123"/>
      <c r="BU737" s="123"/>
      <c r="BV737" s="123"/>
      <c r="BW737" s="123"/>
      <c r="BX737" s="123"/>
      <c r="BY737" s="123"/>
      <c r="BZ737" s="123"/>
      <c r="CA737" s="123"/>
      <c r="CB737" s="123"/>
      <c r="CC737" s="123"/>
      <c r="CD737" s="123"/>
      <c r="CE737" s="123"/>
      <c r="CF737" s="123"/>
      <c r="CG737" s="123"/>
      <c r="CH737" s="123"/>
      <c r="CI737" s="123"/>
    </row>
    <row r="738" spans="1:87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123"/>
      <c r="T738" s="124"/>
      <c r="U738" s="123"/>
      <c r="V738" s="123"/>
      <c r="W738" s="124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  <c r="AV738" s="123"/>
      <c r="AW738" s="123"/>
      <c r="AX738" s="123"/>
      <c r="AY738" s="123"/>
      <c r="AZ738" s="123"/>
      <c r="BA738" s="123"/>
      <c r="BB738" s="123"/>
      <c r="BC738" s="123"/>
      <c r="BD738" s="123"/>
      <c r="BE738" s="123"/>
      <c r="BF738" s="123"/>
      <c r="BG738" s="123"/>
      <c r="BH738" s="123"/>
      <c r="BI738" s="123"/>
      <c r="BJ738" s="123"/>
      <c r="BK738" s="123"/>
      <c r="BL738" s="123"/>
      <c r="BM738" s="123"/>
      <c r="BN738" s="123"/>
      <c r="BO738" s="123"/>
      <c r="BP738" s="123"/>
      <c r="BQ738" s="123"/>
      <c r="BR738" s="123"/>
      <c r="BS738" s="123"/>
      <c r="BT738" s="123"/>
      <c r="BU738" s="123"/>
      <c r="BV738" s="123"/>
      <c r="BW738" s="123"/>
      <c r="BX738" s="123"/>
      <c r="BY738" s="123"/>
      <c r="BZ738" s="123"/>
      <c r="CA738" s="123"/>
      <c r="CB738" s="123"/>
      <c r="CC738" s="123"/>
      <c r="CD738" s="123"/>
      <c r="CE738" s="123"/>
      <c r="CF738" s="123"/>
      <c r="CG738" s="123"/>
      <c r="CH738" s="123"/>
      <c r="CI738" s="123"/>
    </row>
    <row r="739" spans="1:87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123"/>
      <c r="T739" s="124"/>
      <c r="U739" s="123"/>
      <c r="V739" s="123"/>
      <c r="W739" s="124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  <c r="AV739" s="123"/>
      <c r="AW739" s="123"/>
      <c r="AX739" s="123"/>
      <c r="AY739" s="123"/>
      <c r="AZ739" s="123"/>
      <c r="BA739" s="123"/>
      <c r="BB739" s="123"/>
      <c r="BC739" s="123"/>
      <c r="BD739" s="123"/>
      <c r="BE739" s="123"/>
      <c r="BF739" s="123"/>
      <c r="BG739" s="123"/>
      <c r="BH739" s="123"/>
      <c r="BI739" s="123"/>
      <c r="BJ739" s="123"/>
      <c r="BK739" s="123"/>
      <c r="BL739" s="123"/>
      <c r="BM739" s="123"/>
      <c r="BN739" s="123"/>
      <c r="BO739" s="123"/>
      <c r="BP739" s="123"/>
      <c r="BQ739" s="123"/>
      <c r="BR739" s="123"/>
      <c r="BS739" s="123"/>
      <c r="BT739" s="123"/>
      <c r="BU739" s="123"/>
      <c r="BV739" s="123"/>
      <c r="BW739" s="123"/>
      <c r="BX739" s="123"/>
      <c r="BY739" s="123"/>
      <c r="BZ739" s="123"/>
      <c r="CA739" s="123"/>
      <c r="CB739" s="123"/>
      <c r="CC739" s="123"/>
      <c r="CD739" s="123"/>
      <c r="CE739" s="123"/>
      <c r="CF739" s="123"/>
      <c r="CG739" s="123"/>
      <c r="CH739" s="123"/>
      <c r="CI739" s="123"/>
    </row>
    <row r="740" spans="1:87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123"/>
      <c r="T740" s="124"/>
      <c r="U740" s="123"/>
      <c r="V740" s="123"/>
      <c r="W740" s="124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  <c r="AV740" s="123"/>
      <c r="AW740" s="123"/>
      <c r="AX740" s="123"/>
      <c r="AY740" s="123"/>
      <c r="AZ740" s="123"/>
      <c r="BA740" s="123"/>
      <c r="BB740" s="123"/>
      <c r="BC740" s="123"/>
      <c r="BD740" s="123"/>
      <c r="BE740" s="123"/>
      <c r="BF740" s="123"/>
      <c r="BG740" s="123"/>
      <c r="BH740" s="123"/>
      <c r="BI740" s="123"/>
      <c r="BJ740" s="123"/>
      <c r="BK740" s="123"/>
      <c r="BL740" s="123"/>
      <c r="BM740" s="123"/>
      <c r="BN740" s="123"/>
      <c r="BO740" s="123"/>
      <c r="BP740" s="123"/>
      <c r="BQ740" s="123"/>
      <c r="BR740" s="123"/>
      <c r="BS740" s="123"/>
      <c r="BT740" s="123"/>
      <c r="BU740" s="123"/>
      <c r="BV740" s="123"/>
      <c r="BW740" s="123"/>
      <c r="BX740" s="123"/>
      <c r="BY740" s="123"/>
      <c r="BZ740" s="123"/>
      <c r="CA740" s="123"/>
      <c r="CB740" s="123"/>
      <c r="CC740" s="123"/>
      <c r="CD740" s="123"/>
      <c r="CE740" s="123"/>
      <c r="CF740" s="123"/>
      <c r="CG740" s="123"/>
      <c r="CH740" s="123"/>
      <c r="CI740" s="123"/>
    </row>
    <row r="741" spans="1:87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123"/>
      <c r="T741" s="124"/>
      <c r="U741" s="123"/>
      <c r="V741" s="123"/>
      <c r="W741" s="124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  <c r="AV741" s="123"/>
      <c r="AW741" s="123"/>
      <c r="AX741" s="123"/>
      <c r="AY741" s="123"/>
      <c r="AZ741" s="123"/>
      <c r="BA741" s="123"/>
      <c r="BB741" s="123"/>
      <c r="BC741" s="123"/>
      <c r="BD741" s="123"/>
      <c r="BE741" s="123"/>
      <c r="BF741" s="123"/>
      <c r="BG741" s="123"/>
      <c r="BH741" s="123"/>
      <c r="BI741" s="123"/>
      <c r="BJ741" s="123"/>
      <c r="BK741" s="123"/>
      <c r="BL741" s="123"/>
      <c r="BM741" s="123"/>
      <c r="BN741" s="123"/>
      <c r="BO741" s="123"/>
      <c r="BP741" s="123"/>
      <c r="BQ741" s="123"/>
      <c r="BR741" s="123"/>
      <c r="BS741" s="123"/>
      <c r="BT741" s="123"/>
      <c r="BU741" s="123"/>
      <c r="BV741" s="123"/>
      <c r="BW741" s="123"/>
      <c r="BX741" s="123"/>
      <c r="BY741" s="123"/>
      <c r="BZ741" s="123"/>
      <c r="CA741" s="123"/>
      <c r="CB741" s="123"/>
      <c r="CC741" s="123"/>
      <c r="CD741" s="123"/>
      <c r="CE741" s="123"/>
      <c r="CF741" s="123"/>
      <c r="CG741" s="123"/>
      <c r="CH741" s="123"/>
      <c r="CI741" s="123"/>
    </row>
    <row r="742" spans="1:87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123"/>
      <c r="T742" s="124"/>
      <c r="U742" s="123"/>
      <c r="V742" s="123"/>
      <c r="W742" s="124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  <c r="AV742" s="123"/>
      <c r="AW742" s="123"/>
      <c r="AX742" s="123"/>
      <c r="AY742" s="123"/>
      <c r="AZ742" s="123"/>
      <c r="BA742" s="123"/>
      <c r="BB742" s="123"/>
      <c r="BC742" s="123"/>
      <c r="BD742" s="123"/>
      <c r="BE742" s="123"/>
      <c r="BF742" s="123"/>
      <c r="BG742" s="123"/>
      <c r="BH742" s="123"/>
      <c r="BI742" s="123"/>
      <c r="BJ742" s="123"/>
      <c r="BK742" s="123"/>
      <c r="BL742" s="123"/>
      <c r="BM742" s="123"/>
      <c r="BN742" s="123"/>
      <c r="BO742" s="123"/>
      <c r="BP742" s="123"/>
      <c r="BQ742" s="123"/>
      <c r="BR742" s="123"/>
      <c r="BS742" s="123"/>
      <c r="BT742" s="123"/>
      <c r="BU742" s="123"/>
      <c r="BV742" s="123"/>
      <c r="BW742" s="123"/>
      <c r="BX742" s="123"/>
      <c r="BY742" s="123"/>
      <c r="BZ742" s="123"/>
      <c r="CA742" s="123"/>
      <c r="CB742" s="123"/>
      <c r="CC742" s="123"/>
      <c r="CD742" s="123"/>
      <c r="CE742" s="123"/>
      <c r="CF742" s="123"/>
      <c r="CG742" s="123"/>
      <c r="CH742" s="123"/>
      <c r="CI742" s="123"/>
    </row>
    <row r="743" spans="1:87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123"/>
      <c r="T743" s="124"/>
      <c r="U743" s="123"/>
      <c r="V743" s="123"/>
      <c r="W743" s="124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  <c r="AV743" s="123"/>
      <c r="AW743" s="123"/>
      <c r="AX743" s="123"/>
      <c r="AY743" s="123"/>
      <c r="AZ743" s="123"/>
      <c r="BA743" s="123"/>
      <c r="BB743" s="123"/>
      <c r="BC743" s="123"/>
      <c r="BD743" s="123"/>
      <c r="BE743" s="123"/>
      <c r="BF743" s="123"/>
      <c r="BG743" s="123"/>
      <c r="BH743" s="123"/>
      <c r="BI743" s="123"/>
      <c r="BJ743" s="123"/>
      <c r="BK743" s="123"/>
      <c r="BL743" s="123"/>
      <c r="BM743" s="123"/>
      <c r="BN743" s="123"/>
      <c r="BO743" s="123"/>
      <c r="BP743" s="123"/>
      <c r="BQ743" s="123"/>
      <c r="BR743" s="123"/>
      <c r="BS743" s="123"/>
      <c r="BT743" s="123"/>
      <c r="BU743" s="123"/>
      <c r="BV743" s="123"/>
      <c r="BW743" s="123"/>
      <c r="BX743" s="123"/>
      <c r="BY743" s="123"/>
      <c r="BZ743" s="123"/>
      <c r="CA743" s="123"/>
      <c r="CB743" s="123"/>
      <c r="CC743" s="123"/>
      <c r="CD743" s="123"/>
      <c r="CE743" s="123"/>
      <c r="CF743" s="123"/>
      <c r="CG743" s="123"/>
      <c r="CH743" s="123"/>
      <c r="CI743" s="123"/>
    </row>
    <row r="744" spans="1:87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123"/>
      <c r="T744" s="124"/>
      <c r="U744" s="123"/>
      <c r="V744" s="123"/>
      <c r="W744" s="124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  <c r="AV744" s="123"/>
      <c r="AW744" s="123"/>
      <c r="AX744" s="123"/>
      <c r="AY744" s="123"/>
      <c r="AZ744" s="123"/>
      <c r="BA744" s="123"/>
      <c r="BB744" s="123"/>
      <c r="BC744" s="123"/>
      <c r="BD744" s="123"/>
      <c r="BE744" s="123"/>
      <c r="BF744" s="123"/>
      <c r="BG744" s="123"/>
      <c r="BH744" s="123"/>
      <c r="BI744" s="123"/>
      <c r="BJ744" s="123"/>
      <c r="BK744" s="123"/>
      <c r="BL744" s="123"/>
      <c r="BM744" s="123"/>
      <c r="BN744" s="123"/>
      <c r="BO744" s="123"/>
      <c r="BP744" s="123"/>
      <c r="BQ744" s="123"/>
      <c r="BR744" s="123"/>
      <c r="BS744" s="123"/>
      <c r="BT744" s="123"/>
      <c r="BU744" s="123"/>
      <c r="BV744" s="123"/>
      <c r="BW744" s="123"/>
      <c r="BX744" s="123"/>
      <c r="BY744" s="123"/>
      <c r="BZ744" s="123"/>
      <c r="CA744" s="123"/>
      <c r="CB744" s="123"/>
      <c r="CC744" s="123"/>
      <c r="CD744" s="123"/>
      <c r="CE744" s="123"/>
      <c r="CF744" s="123"/>
      <c r="CG744" s="123"/>
      <c r="CH744" s="123"/>
      <c r="CI744" s="123"/>
    </row>
    <row r="745" spans="1:87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123"/>
      <c r="T745" s="124"/>
      <c r="U745" s="123"/>
      <c r="V745" s="123"/>
      <c r="W745" s="124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  <c r="AV745" s="123"/>
      <c r="AW745" s="123"/>
      <c r="AX745" s="123"/>
      <c r="AY745" s="123"/>
      <c r="AZ745" s="123"/>
      <c r="BA745" s="123"/>
      <c r="BB745" s="123"/>
      <c r="BC745" s="123"/>
      <c r="BD745" s="123"/>
      <c r="BE745" s="123"/>
      <c r="BF745" s="123"/>
      <c r="BG745" s="123"/>
      <c r="BH745" s="123"/>
      <c r="BI745" s="123"/>
      <c r="BJ745" s="123"/>
      <c r="BK745" s="123"/>
      <c r="BL745" s="123"/>
      <c r="BM745" s="123"/>
      <c r="BN745" s="123"/>
      <c r="BO745" s="123"/>
      <c r="BP745" s="123"/>
      <c r="BQ745" s="123"/>
      <c r="BR745" s="123"/>
      <c r="BS745" s="123"/>
      <c r="BT745" s="123"/>
      <c r="BU745" s="123"/>
      <c r="BV745" s="123"/>
      <c r="BW745" s="123"/>
      <c r="BX745" s="123"/>
      <c r="BY745" s="123"/>
      <c r="BZ745" s="123"/>
      <c r="CA745" s="123"/>
      <c r="CB745" s="123"/>
      <c r="CC745" s="123"/>
      <c r="CD745" s="123"/>
      <c r="CE745" s="123"/>
      <c r="CF745" s="123"/>
      <c r="CG745" s="123"/>
      <c r="CH745" s="123"/>
      <c r="CI745" s="123"/>
    </row>
    <row r="746" spans="1:87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123"/>
      <c r="T746" s="124"/>
      <c r="U746" s="123"/>
      <c r="V746" s="123"/>
      <c r="W746" s="124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  <c r="AV746" s="123"/>
      <c r="AW746" s="123"/>
      <c r="AX746" s="123"/>
      <c r="AY746" s="123"/>
      <c r="AZ746" s="123"/>
      <c r="BA746" s="123"/>
      <c r="BB746" s="123"/>
      <c r="BC746" s="123"/>
      <c r="BD746" s="123"/>
      <c r="BE746" s="123"/>
      <c r="BF746" s="123"/>
      <c r="BG746" s="123"/>
      <c r="BH746" s="123"/>
      <c r="BI746" s="123"/>
      <c r="BJ746" s="123"/>
      <c r="BK746" s="123"/>
      <c r="BL746" s="123"/>
      <c r="BM746" s="123"/>
      <c r="BN746" s="123"/>
      <c r="BO746" s="123"/>
      <c r="BP746" s="123"/>
      <c r="BQ746" s="123"/>
      <c r="BR746" s="123"/>
      <c r="BS746" s="123"/>
      <c r="BT746" s="123"/>
      <c r="BU746" s="123"/>
      <c r="BV746" s="123"/>
      <c r="BW746" s="123"/>
      <c r="BX746" s="123"/>
      <c r="BY746" s="123"/>
      <c r="BZ746" s="123"/>
      <c r="CA746" s="123"/>
      <c r="CB746" s="123"/>
      <c r="CC746" s="123"/>
      <c r="CD746" s="123"/>
      <c r="CE746" s="123"/>
      <c r="CF746" s="123"/>
      <c r="CG746" s="123"/>
      <c r="CH746" s="123"/>
      <c r="CI746" s="123"/>
    </row>
    <row r="747" spans="1:87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123"/>
      <c r="T747" s="124"/>
      <c r="U747" s="123"/>
      <c r="V747" s="123"/>
      <c r="W747" s="124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  <c r="AV747" s="123"/>
      <c r="AW747" s="123"/>
      <c r="AX747" s="123"/>
      <c r="AY747" s="123"/>
      <c r="AZ747" s="123"/>
      <c r="BA747" s="123"/>
      <c r="BB747" s="123"/>
      <c r="BC747" s="123"/>
      <c r="BD747" s="123"/>
      <c r="BE747" s="123"/>
      <c r="BF747" s="123"/>
      <c r="BG747" s="123"/>
      <c r="BH747" s="123"/>
      <c r="BI747" s="123"/>
      <c r="BJ747" s="123"/>
      <c r="BK747" s="123"/>
      <c r="BL747" s="123"/>
      <c r="BM747" s="123"/>
      <c r="BN747" s="123"/>
      <c r="BO747" s="123"/>
      <c r="BP747" s="123"/>
      <c r="BQ747" s="123"/>
      <c r="BR747" s="123"/>
      <c r="BS747" s="123"/>
      <c r="BT747" s="123"/>
      <c r="BU747" s="123"/>
      <c r="BV747" s="123"/>
      <c r="BW747" s="123"/>
      <c r="BX747" s="123"/>
      <c r="BY747" s="123"/>
      <c r="BZ747" s="123"/>
      <c r="CA747" s="123"/>
      <c r="CB747" s="123"/>
      <c r="CC747" s="123"/>
      <c r="CD747" s="123"/>
      <c r="CE747" s="123"/>
      <c r="CF747" s="123"/>
      <c r="CG747" s="123"/>
      <c r="CH747" s="123"/>
      <c r="CI747" s="123"/>
    </row>
    <row r="748" spans="1:87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123"/>
      <c r="T748" s="124"/>
      <c r="U748" s="123"/>
      <c r="V748" s="123"/>
      <c r="W748" s="124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  <c r="AV748" s="123"/>
      <c r="AW748" s="123"/>
      <c r="AX748" s="123"/>
      <c r="AY748" s="123"/>
      <c r="AZ748" s="123"/>
      <c r="BA748" s="123"/>
      <c r="BB748" s="123"/>
      <c r="BC748" s="123"/>
      <c r="BD748" s="123"/>
      <c r="BE748" s="123"/>
      <c r="BF748" s="123"/>
      <c r="BG748" s="123"/>
      <c r="BH748" s="123"/>
      <c r="BI748" s="123"/>
      <c r="BJ748" s="123"/>
      <c r="BK748" s="123"/>
      <c r="BL748" s="123"/>
      <c r="BM748" s="123"/>
      <c r="BN748" s="123"/>
      <c r="BO748" s="123"/>
      <c r="BP748" s="123"/>
      <c r="BQ748" s="123"/>
      <c r="BR748" s="123"/>
      <c r="BS748" s="123"/>
      <c r="BT748" s="123"/>
      <c r="BU748" s="123"/>
      <c r="BV748" s="123"/>
      <c r="BW748" s="123"/>
      <c r="BX748" s="123"/>
      <c r="BY748" s="123"/>
      <c r="BZ748" s="123"/>
      <c r="CA748" s="123"/>
      <c r="CB748" s="123"/>
      <c r="CC748" s="123"/>
      <c r="CD748" s="123"/>
      <c r="CE748" s="123"/>
      <c r="CF748" s="123"/>
      <c r="CG748" s="123"/>
      <c r="CH748" s="123"/>
      <c r="CI748" s="123"/>
    </row>
    <row r="749" spans="1:87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123"/>
      <c r="T749" s="124"/>
      <c r="U749" s="123"/>
      <c r="V749" s="123"/>
      <c r="W749" s="124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  <c r="AV749" s="123"/>
      <c r="AW749" s="123"/>
      <c r="AX749" s="123"/>
      <c r="AY749" s="123"/>
      <c r="AZ749" s="123"/>
      <c r="BA749" s="123"/>
      <c r="BB749" s="123"/>
      <c r="BC749" s="123"/>
      <c r="BD749" s="123"/>
      <c r="BE749" s="123"/>
      <c r="BF749" s="123"/>
      <c r="BG749" s="123"/>
      <c r="BH749" s="123"/>
      <c r="BI749" s="123"/>
      <c r="BJ749" s="123"/>
      <c r="BK749" s="123"/>
      <c r="BL749" s="123"/>
      <c r="BM749" s="123"/>
      <c r="BN749" s="123"/>
      <c r="BO749" s="123"/>
      <c r="BP749" s="123"/>
      <c r="BQ749" s="123"/>
      <c r="BR749" s="123"/>
      <c r="BS749" s="123"/>
      <c r="BT749" s="123"/>
      <c r="BU749" s="123"/>
      <c r="BV749" s="123"/>
      <c r="BW749" s="123"/>
      <c r="BX749" s="123"/>
      <c r="BY749" s="123"/>
      <c r="BZ749" s="123"/>
      <c r="CA749" s="123"/>
      <c r="CB749" s="123"/>
      <c r="CC749" s="123"/>
      <c r="CD749" s="123"/>
      <c r="CE749" s="123"/>
      <c r="CF749" s="123"/>
      <c r="CG749" s="123"/>
      <c r="CH749" s="123"/>
      <c r="CI749" s="123"/>
    </row>
    <row r="750" spans="1:87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123"/>
      <c r="T750" s="124"/>
      <c r="U750" s="123"/>
      <c r="V750" s="123"/>
      <c r="W750" s="124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  <c r="AV750" s="123"/>
      <c r="AW750" s="123"/>
      <c r="AX750" s="123"/>
      <c r="AY750" s="123"/>
      <c r="AZ750" s="123"/>
      <c r="BA750" s="123"/>
      <c r="BB750" s="123"/>
      <c r="BC750" s="123"/>
      <c r="BD750" s="123"/>
      <c r="BE750" s="123"/>
      <c r="BF750" s="123"/>
      <c r="BG750" s="123"/>
      <c r="BH750" s="123"/>
      <c r="BI750" s="123"/>
      <c r="BJ750" s="123"/>
      <c r="BK750" s="123"/>
      <c r="BL750" s="123"/>
      <c r="BM750" s="123"/>
      <c r="BN750" s="123"/>
      <c r="BO750" s="123"/>
      <c r="BP750" s="123"/>
      <c r="BQ750" s="123"/>
      <c r="BR750" s="123"/>
      <c r="BS750" s="123"/>
      <c r="BT750" s="123"/>
      <c r="BU750" s="123"/>
      <c r="BV750" s="123"/>
      <c r="BW750" s="123"/>
      <c r="BX750" s="123"/>
      <c r="BY750" s="123"/>
      <c r="BZ750" s="123"/>
      <c r="CA750" s="123"/>
      <c r="CB750" s="123"/>
      <c r="CC750" s="123"/>
      <c r="CD750" s="123"/>
      <c r="CE750" s="123"/>
      <c r="CF750" s="123"/>
      <c r="CG750" s="123"/>
      <c r="CH750" s="123"/>
      <c r="CI750" s="123"/>
    </row>
    <row r="751" spans="1:87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123"/>
      <c r="T751" s="124"/>
      <c r="U751" s="123"/>
      <c r="V751" s="123"/>
      <c r="W751" s="124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  <c r="AV751" s="123"/>
      <c r="AW751" s="123"/>
      <c r="AX751" s="123"/>
      <c r="AY751" s="123"/>
      <c r="AZ751" s="123"/>
      <c r="BA751" s="123"/>
      <c r="BB751" s="123"/>
      <c r="BC751" s="123"/>
      <c r="BD751" s="123"/>
      <c r="BE751" s="123"/>
      <c r="BF751" s="123"/>
      <c r="BG751" s="123"/>
      <c r="BH751" s="123"/>
      <c r="BI751" s="123"/>
      <c r="BJ751" s="123"/>
      <c r="BK751" s="123"/>
      <c r="BL751" s="123"/>
      <c r="BM751" s="123"/>
      <c r="BN751" s="123"/>
      <c r="BO751" s="123"/>
      <c r="BP751" s="123"/>
      <c r="BQ751" s="123"/>
      <c r="BR751" s="123"/>
      <c r="BS751" s="123"/>
      <c r="BT751" s="123"/>
      <c r="BU751" s="123"/>
      <c r="BV751" s="123"/>
      <c r="BW751" s="123"/>
      <c r="BX751" s="123"/>
      <c r="BY751" s="123"/>
      <c r="BZ751" s="123"/>
      <c r="CA751" s="123"/>
      <c r="CB751" s="123"/>
      <c r="CC751" s="123"/>
      <c r="CD751" s="123"/>
      <c r="CE751" s="123"/>
      <c r="CF751" s="123"/>
      <c r="CG751" s="123"/>
      <c r="CH751" s="123"/>
      <c r="CI751" s="123"/>
    </row>
    <row r="752" spans="1:87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123"/>
      <c r="T752" s="124"/>
      <c r="U752" s="123"/>
      <c r="V752" s="123"/>
      <c r="W752" s="124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  <c r="AV752" s="123"/>
      <c r="AW752" s="123"/>
      <c r="AX752" s="123"/>
      <c r="AY752" s="123"/>
      <c r="AZ752" s="123"/>
      <c r="BA752" s="123"/>
      <c r="BB752" s="123"/>
      <c r="BC752" s="123"/>
      <c r="BD752" s="123"/>
      <c r="BE752" s="123"/>
      <c r="BF752" s="123"/>
      <c r="BG752" s="123"/>
      <c r="BH752" s="123"/>
      <c r="BI752" s="123"/>
      <c r="BJ752" s="123"/>
      <c r="BK752" s="123"/>
      <c r="BL752" s="123"/>
      <c r="BM752" s="123"/>
      <c r="BN752" s="123"/>
      <c r="BO752" s="123"/>
      <c r="BP752" s="123"/>
      <c r="BQ752" s="123"/>
      <c r="BR752" s="123"/>
      <c r="BS752" s="123"/>
      <c r="BT752" s="123"/>
      <c r="BU752" s="123"/>
      <c r="BV752" s="123"/>
      <c r="BW752" s="123"/>
      <c r="BX752" s="123"/>
      <c r="BY752" s="123"/>
      <c r="BZ752" s="123"/>
      <c r="CA752" s="123"/>
      <c r="CB752" s="123"/>
      <c r="CC752" s="123"/>
      <c r="CD752" s="123"/>
      <c r="CE752" s="123"/>
      <c r="CF752" s="123"/>
      <c r="CG752" s="123"/>
      <c r="CH752" s="123"/>
      <c r="CI752" s="123"/>
    </row>
    <row r="753" spans="1:87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123"/>
      <c r="T753" s="124"/>
      <c r="U753" s="123"/>
      <c r="V753" s="123"/>
      <c r="W753" s="124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  <c r="AV753" s="123"/>
      <c r="AW753" s="123"/>
      <c r="AX753" s="123"/>
      <c r="AY753" s="123"/>
      <c r="AZ753" s="123"/>
      <c r="BA753" s="123"/>
      <c r="BB753" s="123"/>
      <c r="BC753" s="123"/>
      <c r="BD753" s="123"/>
      <c r="BE753" s="123"/>
      <c r="BF753" s="123"/>
      <c r="BG753" s="123"/>
      <c r="BH753" s="123"/>
      <c r="BI753" s="123"/>
      <c r="BJ753" s="123"/>
      <c r="BK753" s="123"/>
      <c r="BL753" s="123"/>
      <c r="BM753" s="123"/>
      <c r="BN753" s="123"/>
      <c r="BO753" s="123"/>
      <c r="BP753" s="123"/>
      <c r="BQ753" s="123"/>
      <c r="BR753" s="123"/>
      <c r="BS753" s="123"/>
      <c r="BT753" s="123"/>
      <c r="BU753" s="123"/>
      <c r="BV753" s="123"/>
      <c r="BW753" s="123"/>
      <c r="BX753" s="123"/>
      <c r="BY753" s="123"/>
      <c r="BZ753" s="123"/>
      <c r="CA753" s="123"/>
      <c r="CB753" s="123"/>
      <c r="CC753" s="123"/>
      <c r="CD753" s="123"/>
      <c r="CE753" s="123"/>
      <c r="CF753" s="123"/>
      <c r="CG753" s="123"/>
      <c r="CH753" s="123"/>
      <c r="CI753" s="123"/>
    </row>
    <row r="754" spans="1:87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123"/>
      <c r="T754" s="124"/>
      <c r="U754" s="123"/>
      <c r="V754" s="123"/>
      <c r="W754" s="124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  <c r="AV754" s="123"/>
      <c r="AW754" s="123"/>
      <c r="AX754" s="123"/>
      <c r="AY754" s="123"/>
      <c r="AZ754" s="123"/>
      <c r="BA754" s="123"/>
      <c r="BB754" s="123"/>
      <c r="BC754" s="123"/>
      <c r="BD754" s="123"/>
      <c r="BE754" s="123"/>
      <c r="BF754" s="123"/>
      <c r="BG754" s="123"/>
      <c r="BH754" s="123"/>
      <c r="BI754" s="123"/>
      <c r="BJ754" s="123"/>
      <c r="BK754" s="123"/>
      <c r="BL754" s="123"/>
      <c r="BM754" s="123"/>
      <c r="BN754" s="123"/>
      <c r="BO754" s="123"/>
      <c r="BP754" s="123"/>
      <c r="BQ754" s="123"/>
      <c r="BR754" s="123"/>
      <c r="BS754" s="123"/>
      <c r="BT754" s="123"/>
      <c r="BU754" s="123"/>
      <c r="BV754" s="123"/>
      <c r="BW754" s="123"/>
      <c r="BX754" s="123"/>
      <c r="BY754" s="123"/>
      <c r="BZ754" s="123"/>
      <c r="CA754" s="123"/>
      <c r="CB754" s="123"/>
      <c r="CC754" s="123"/>
      <c r="CD754" s="123"/>
      <c r="CE754" s="123"/>
      <c r="CF754" s="123"/>
      <c r="CG754" s="123"/>
      <c r="CH754" s="123"/>
      <c r="CI754" s="123"/>
    </row>
    <row r="755" spans="1:87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123"/>
      <c r="T755" s="124"/>
      <c r="U755" s="123"/>
      <c r="V755" s="123"/>
      <c r="W755" s="124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  <c r="AV755" s="123"/>
      <c r="AW755" s="123"/>
      <c r="AX755" s="123"/>
      <c r="AY755" s="123"/>
      <c r="AZ755" s="123"/>
      <c r="BA755" s="123"/>
      <c r="BB755" s="123"/>
      <c r="BC755" s="123"/>
      <c r="BD755" s="123"/>
      <c r="BE755" s="123"/>
      <c r="BF755" s="123"/>
      <c r="BG755" s="123"/>
      <c r="BH755" s="123"/>
      <c r="BI755" s="123"/>
      <c r="BJ755" s="123"/>
      <c r="BK755" s="123"/>
      <c r="BL755" s="123"/>
      <c r="BM755" s="123"/>
      <c r="BN755" s="123"/>
      <c r="BO755" s="123"/>
      <c r="BP755" s="123"/>
      <c r="BQ755" s="123"/>
      <c r="BR755" s="123"/>
      <c r="BS755" s="123"/>
      <c r="BT755" s="123"/>
      <c r="BU755" s="123"/>
      <c r="BV755" s="123"/>
      <c r="BW755" s="123"/>
      <c r="BX755" s="123"/>
      <c r="BY755" s="123"/>
      <c r="BZ755" s="123"/>
      <c r="CA755" s="123"/>
      <c r="CB755" s="123"/>
      <c r="CC755" s="123"/>
      <c r="CD755" s="123"/>
      <c r="CE755" s="123"/>
      <c r="CF755" s="123"/>
      <c r="CG755" s="123"/>
      <c r="CH755" s="123"/>
      <c r="CI755" s="123"/>
    </row>
    <row r="756" spans="1:87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123"/>
      <c r="T756" s="124"/>
      <c r="U756" s="123"/>
      <c r="V756" s="123"/>
      <c r="W756" s="124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  <c r="AV756" s="123"/>
      <c r="AW756" s="123"/>
      <c r="AX756" s="123"/>
      <c r="AY756" s="123"/>
      <c r="AZ756" s="123"/>
      <c r="BA756" s="123"/>
      <c r="BB756" s="123"/>
      <c r="BC756" s="123"/>
      <c r="BD756" s="123"/>
      <c r="BE756" s="123"/>
      <c r="BF756" s="123"/>
      <c r="BG756" s="123"/>
      <c r="BH756" s="123"/>
      <c r="BI756" s="123"/>
      <c r="BJ756" s="123"/>
      <c r="BK756" s="123"/>
      <c r="BL756" s="123"/>
      <c r="BM756" s="123"/>
      <c r="BN756" s="123"/>
      <c r="BO756" s="123"/>
      <c r="BP756" s="123"/>
      <c r="BQ756" s="123"/>
      <c r="BR756" s="123"/>
      <c r="BS756" s="123"/>
      <c r="BT756" s="123"/>
      <c r="BU756" s="123"/>
      <c r="BV756" s="123"/>
      <c r="BW756" s="123"/>
      <c r="BX756" s="123"/>
      <c r="BY756" s="123"/>
      <c r="BZ756" s="123"/>
      <c r="CA756" s="123"/>
      <c r="CB756" s="123"/>
      <c r="CC756" s="123"/>
      <c r="CD756" s="123"/>
      <c r="CE756" s="123"/>
      <c r="CF756" s="123"/>
      <c r="CG756" s="123"/>
      <c r="CH756" s="123"/>
      <c r="CI756" s="123"/>
    </row>
    <row r="757" spans="1:87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123"/>
      <c r="T757" s="124"/>
      <c r="U757" s="123"/>
      <c r="V757" s="123"/>
      <c r="W757" s="124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  <c r="AV757" s="123"/>
      <c r="AW757" s="123"/>
      <c r="AX757" s="123"/>
      <c r="AY757" s="123"/>
      <c r="AZ757" s="123"/>
      <c r="BA757" s="123"/>
      <c r="BB757" s="123"/>
      <c r="BC757" s="123"/>
      <c r="BD757" s="123"/>
      <c r="BE757" s="123"/>
      <c r="BF757" s="123"/>
      <c r="BG757" s="123"/>
      <c r="BH757" s="123"/>
      <c r="BI757" s="123"/>
      <c r="BJ757" s="123"/>
      <c r="BK757" s="123"/>
      <c r="BL757" s="123"/>
      <c r="BM757" s="123"/>
      <c r="BN757" s="123"/>
      <c r="BO757" s="123"/>
      <c r="BP757" s="123"/>
      <c r="BQ757" s="123"/>
      <c r="BR757" s="123"/>
      <c r="BS757" s="123"/>
      <c r="BT757" s="123"/>
      <c r="BU757" s="123"/>
      <c r="BV757" s="123"/>
      <c r="BW757" s="123"/>
      <c r="BX757" s="123"/>
      <c r="BY757" s="123"/>
      <c r="BZ757" s="123"/>
      <c r="CA757" s="123"/>
      <c r="CB757" s="123"/>
      <c r="CC757" s="123"/>
      <c r="CD757" s="123"/>
      <c r="CE757" s="123"/>
      <c r="CF757" s="123"/>
      <c r="CG757" s="123"/>
      <c r="CH757" s="123"/>
      <c r="CI757" s="123"/>
    </row>
    <row r="758" spans="1:87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123"/>
      <c r="T758" s="124"/>
      <c r="U758" s="123"/>
      <c r="V758" s="123"/>
      <c r="W758" s="124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  <c r="AV758" s="123"/>
      <c r="AW758" s="123"/>
      <c r="AX758" s="123"/>
      <c r="AY758" s="123"/>
      <c r="AZ758" s="123"/>
      <c r="BA758" s="123"/>
      <c r="BB758" s="123"/>
      <c r="BC758" s="123"/>
      <c r="BD758" s="123"/>
      <c r="BE758" s="123"/>
      <c r="BF758" s="123"/>
      <c r="BG758" s="123"/>
      <c r="BH758" s="123"/>
      <c r="BI758" s="123"/>
      <c r="BJ758" s="123"/>
      <c r="BK758" s="123"/>
      <c r="BL758" s="123"/>
      <c r="BM758" s="123"/>
      <c r="BN758" s="123"/>
      <c r="BO758" s="123"/>
      <c r="BP758" s="123"/>
      <c r="BQ758" s="123"/>
      <c r="BR758" s="123"/>
      <c r="BS758" s="123"/>
      <c r="BT758" s="123"/>
      <c r="BU758" s="123"/>
      <c r="BV758" s="123"/>
      <c r="BW758" s="123"/>
      <c r="BX758" s="123"/>
      <c r="BY758" s="123"/>
      <c r="BZ758" s="123"/>
      <c r="CA758" s="123"/>
      <c r="CB758" s="123"/>
      <c r="CC758" s="123"/>
      <c r="CD758" s="123"/>
      <c r="CE758" s="123"/>
      <c r="CF758" s="123"/>
      <c r="CG758" s="123"/>
      <c r="CH758" s="123"/>
      <c r="CI758" s="123"/>
    </row>
    <row r="759" spans="1:87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123"/>
      <c r="T759" s="124"/>
      <c r="U759" s="123"/>
      <c r="V759" s="123"/>
      <c r="W759" s="124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  <c r="AV759" s="123"/>
      <c r="AW759" s="123"/>
      <c r="AX759" s="123"/>
      <c r="AY759" s="123"/>
      <c r="AZ759" s="123"/>
      <c r="BA759" s="123"/>
      <c r="BB759" s="123"/>
      <c r="BC759" s="123"/>
      <c r="BD759" s="123"/>
      <c r="BE759" s="123"/>
      <c r="BF759" s="123"/>
      <c r="BG759" s="123"/>
      <c r="BH759" s="123"/>
      <c r="BI759" s="123"/>
      <c r="BJ759" s="123"/>
      <c r="BK759" s="123"/>
      <c r="BL759" s="123"/>
      <c r="BM759" s="123"/>
      <c r="BN759" s="123"/>
      <c r="BO759" s="123"/>
      <c r="BP759" s="123"/>
      <c r="BQ759" s="123"/>
      <c r="BR759" s="123"/>
      <c r="BS759" s="123"/>
      <c r="BT759" s="123"/>
      <c r="BU759" s="123"/>
      <c r="BV759" s="123"/>
      <c r="BW759" s="123"/>
      <c r="BX759" s="123"/>
      <c r="BY759" s="123"/>
      <c r="BZ759" s="123"/>
      <c r="CA759" s="123"/>
      <c r="CB759" s="123"/>
      <c r="CC759" s="123"/>
      <c r="CD759" s="123"/>
      <c r="CE759" s="123"/>
      <c r="CF759" s="123"/>
      <c r="CG759" s="123"/>
      <c r="CH759" s="123"/>
      <c r="CI759" s="123"/>
    </row>
    <row r="760" spans="1:87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123"/>
      <c r="T760" s="124"/>
      <c r="U760" s="123"/>
      <c r="V760" s="123"/>
      <c r="W760" s="124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  <c r="AV760" s="123"/>
      <c r="AW760" s="123"/>
      <c r="AX760" s="123"/>
      <c r="AY760" s="123"/>
      <c r="AZ760" s="123"/>
      <c r="BA760" s="123"/>
      <c r="BB760" s="123"/>
      <c r="BC760" s="123"/>
      <c r="BD760" s="123"/>
      <c r="BE760" s="123"/>
      <c r="BF760" s="123"/>
      <c r="BG760" s="123"/>
      <c r="BH760" s="123"/>
      <c r="BI760" s="123"/>
      <c r="BJ760" s="123"/>
      <c r="BK760" s="123"/>
      <c r="BL760" s="123"/>
      <c r="BM760" s="123"/>
      <c r="BN760" s="123"/>
      <c r="BO760" s="123"/>
      <c r="BP760" s="123"/>
      <c r="BQ760" s="123"/>
      <c r="BR760" s="123"/>
      <c r="BS760" s="123"/>
      <c r="BT760" s="123"/>
      <c r="BU760" s="123"/>
      <c r="BV760" s="123"/>
      <c r="BW760" s="123"/>
      <c r="BX760" s="123"/>
      <c r="BY760" s="123"/>
      <c r="BZ760" s="123"/>
      <c r="CA760" s="123"/>
      <c r="CB760" s="123"/>
      <c r="CC760" s="123"/>
      <c r="CD760" s="123"/>
      <c r="CE760" s="123"/>
      <c r="CF760" s="123"/>
      <c r="CG760" s="123"/>
      <c r="CH760" s="123"/>
      <c r="CI760" s="123"/>
    </row>
    <row r="761" spans="1:87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123"/>
      <c r="T761" s="124"/>
      <c r="U761" s="123"/>
      <c r="V761" s="123"/>
      <c r="W761" s="124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  <c r="AV761" s="123"/>
      <c r="AW761" s="123"/>
      <c r="AX761" s="123"/>
      <c r="AY761" s="123"/>
      <c r="AZ761" s="123"/>
      <c r="BA761" s="123"/>
      <c r="BB761" s="123"/>
      <c r="BC761" s="123"/>
      <c r="BD761" s="123"/>
      <c r="BE761" s="123"/>
      <c r="BF761" s="123"/>
      <c r="BG761" s="123"/>
      <c r="BH761" s="123"/>
      <c r="BI761" s="123"/>
      <c r="BJ761" s="123"/>
      <c r="BK761" s="123"/>
      <c r="BL761" s="123"/>
      <c r="BM761" s="123"/>
      <c r="BN761" s="123"/>
      <c r="BO761" s="123"/>
      <c r="BP761" s="123"/>
      <c r="BQ761" s="123"/>
      <c r="BR761" s="123"/>
      <c r="BS761" s="123"/>
      <c r="BT761" s="123"/>
      <c r="BU761" s="123"/>
      <c r="BV761" s="123"/>
      <c r="BW761" s="123"/>
      <c r="BX761" s="123"/>
      <c r="BY761" s="123"/>
      <c r="BZ761" s="123"/>
      <c r="CA761" s="123"/>
      <c r="CB761" s="123"/>
      <c r="CC761" s="123"/>
      <c r="CD761" s="123"/>
      <c r="CE761" s="123"/>
      <c r="CF761" s="123"/>
      <c r="CG761" s="123"/>
      <c r="CH761" s="123"/>
      <c r="CI761" s="123"/>
    </row>
    <row r="762" spans="1:87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123"/>
      <c r="T762" s="124"/>
      <c r="U762" s="123"/>
      <c r="V762" s="123"/>
      <c r="W762" s="124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  <c r="AV762" s="123"/>
      <c r="AW762" s="123"/>
      <c r="AX762" s="123"/>
      <c r="AY762" s="123"/>
      <c r="AZ762" s="123"/>
      <c r="BA762" s="123"/>
      <c r="BB762" s="123"/>
      <c r="BC762" s="123"/>
      <c r="BD762" s="123"/>
      <c r="BE762" s="123"/>
      <c r="BF762" s="123"/>
      <c r="BG762" s="123"/>
      <c r="BH762" s="123"/>
      <c r="BI762" s="123"/>
      <c r="BJ762" s="123"/>
      <c r="BK762" s="123"/>
      <c r="BL762" s="123"/>
      <c r="BM762" s="123"/>
      <c r="BN762" s="123"/>
      <c r="BO762" s="123"/>
      <c r="BP762" s="123"/>
      <c r="BQ762" s="123"/>
      <c r="BR762" s="123"/>
      <c r="BS762" s="123"/>
      <c r="BT762" s="123"/>
      <c r="BU762" s="123"/>
      <c r="BV762" s="123"/>
      <c r="BW762" s="123"/>
      <c r="BX762" s="123"/>
      <c r="BY762" s="123"/>
      <c r="BZ762" s="123"/>
      <c r="CA762" s="123"/>
      <c r="CB762" s="123"/>
      <c r="CC762" s="123"/>
      <c r="CD762" s="123"/>
      <c r="CE762" s="123"/>
      <c r="CF762" s="123"/>
      <c r="CG762" s="123"/>
      <c r="CH762" s="123"/>
      <c r="CI762" s="123"/>
    </row>
    <row r="763" spans="1:87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123"/>
      <c r="T763" s="124"/>
      <c r="U763" s="123"/>
      <c r="V763" s="123"/>
      <c r="W763" s="124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  <c r="AV763" s="123"/>
      <c r="AW763" s="123"/>
      <c r="AX763" s="123"/>
      <c r="AY763" s="123"/>
      <c r="AZ763" s="123"/>
      <c r="BA763" s="123"/>
      <c r="BB763" s="123"/>
      <c r="BC763" s="123"/>
      <c r="BD763" s="123"/>
      <c r="BE763" s="123"/>
      <c r="BF763" s="123"/>
      <c r="BG763" s="123"/>
      <c r="BH763" s="123"/>
      <c r="BI763" s="123"/>
      <c r="BJ763" s="123"/>
      <c r="BK763" s="123"/>
      <c r="BL763" s="123"/>
      <c r="BM763" s="123"/>
      <c r="BN763" s="123"/>
      <c r="BO763" s="123"/>
      <c r="BP763" s="123"/>
      <c r="BQ763" s="123"/>
      <c r="BR763" s="123"/>
      <c r="BS763" s="123"/>
      <c r="BT763" s="123"/>
      <c r="BU763" s="123"/>
      <c r="BV763" s="123"/>
      <c r="BW763" s="123"/>
      <c r="BX763" s="123"/>
      <c r="BY763" s="123"/>
      <c r="BZ763" s="123"/>
      <c r="CA763" s="123"/>
      <c r="CB763" s="123"/>
      <c r="CC763" s="123"/>
      <c r="CD763" s="123"/>
      <c r="CE763" s="123"/>
      <c r="CF763" s="123"/>
      <c r="CG763" s="123"/>
      <c r="CH763" s="123"/>
      <c r="CI763" s="123"/>
    </row>
    <row r="764" spans="1:87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123"/>
      <c r="T764" s="124"/>
      <c r="U764" s="123"/>
      <c r="V764" s="123"/>
      <c r="W764" s="124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  <c r="AV764" s="123"/>
      <c r="AW764" s="123"/>
      <c r="AX764" s="123"/>
      <c r="AY764" s="123"/>
      <c r="AZ764" s="123"/>
      <c r="BA764" s="123"/>
      <c r="BB764" s="123"/>
      <c r="BC764" s="123"/>
      <c r="BD764" s="123"/>
      <c r="BE764" s="123"/>
      <c r="BF764" s="123"/>
      <c r="BG764" s="123"/>
      <c r="BH764" s="123"/>
      <c r="BI764" s="123"/>
      <c r="BJ764" s="123"/>
      <c r="BK764" s="123"/>
      <c r="BL764" s="123"/>
      <c r="BM764" s="123"/>
      <c r="BN764" s="123"/>
      <c r="BO764" s="123"/>
      <c r="BP764" s="123"/>
      <c r="BQ764" s="123"/>
      <c r="BR764" s="123"/>
      <c r="BS764" s="123"/>
      <c r="BT764" s="123"/>
      <c r="BU764" s="123"/>
      <c r="BV764" s="123"/>
      <c r="BW764" s="123"/>
      <c r="BX764" s="123"/>
      <c r="BY764" s="123"/>
      <c r="BZ764" s="123"/>
      <c r="CA764" s="123"/>
      <c r="CB764" s="123"/>
      <c r="CC764" s="123"/>
      <c r="CD764" s="123"/>
      <c r="CE764" s="123"/>
      <c r="CF764" s="123"/>
      <c r="CG764" s="123"/>
      <c r="CH764" s="123"/>
      <c r="CI764" s="123"/>
    </row>
    <row r="765" spans="1:87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123"/>
      <c r="T765" s="124"/>
      <c r="U765" s="123"/>
      <c r="V765" s="123"/>
      <c r="W765" s="124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  <c r="AV765" s="123"/>
      <c r="AW765" s="123"/>
      <c r="AX765" s="123"/>
      <c r="AY765" s="123"/>
      <c r="AZ765" s="123"/>
      <c r="BA765" s="123"/>
      <c r="BB765" s="123"/>
      <c r="BC765" s="123"/>
      <c r="BD765" s="123"/>
      <c r="BE765" s="123"/>
      <c r="BF765" s="123"/>
      <c r="BG765" s="123"/>
      <c r="BH765" s="123"/>
      <c r="BI765" s="123"/>
      <c r="BJ765" s="123"/>
      <c r="BK765" s="123"/>
      <c r="BL765" s="123"/>
      <c r="BM765" s="123"/>
      <c r="BN765" s="123"/>
      <c r="BO765" s="123"/>
      <c r="BP765" s="123"/>
      <c r="BQ765" s="123"/>
      <c r="BR765" s="123"/>
      <c r="BS765" s="123"/>
      <c r="BT765" s="123"/>
      <c r="BU765" s="123"/>
      <c r="BV765" s="123"/>
      <c r="BW765" s="123"/>
      <c r="BX765" s="123"/>
      <c r="BY765" s="123"/>
      <c r="BZ765" s="123"/>
      <c r="CA765" s="123"/>
      <c r="CB765" s="123"/>
      <c r="CC765" s="123"/>
      <c r="CD765" s="123"/>
      <c r="CE765" s="123"/>
      <c r="CF765" s="123"/>
      <c r="CG765" s="123"/>
      <c r="CH765" s="123"/>
      <c r="CI765" s="123"/>
    </row>
    <row r="766" spans="1:87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123"/>
      <c r="T766" s="124"/>
      <c r="U766" s="123"/>
      <c r="V766" s="123"/>
      <c r="W766" s="124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  <c r="AV766" s="123"/>
      <c r="AW766" s="123"/>
      <c r="AX766" s="123"/>
      <c r="AY766" s="123"/>
      <c r="AZ766" s="123"/>
      <c r="BA766" s="123"/>
      <c r="BB766" s="123"/>
      <c r="BC766" s="123"/>
      <c r="BD766" s="123"/>
      <c r="BE766" s="123"/>
      <c r="BF766" s="123"/>
      <c r="BG766" s="123"/>
      <c r="BH766" s="123"/>
      <c r="BI766" s="123"/>
      <c r="BJ766" s="123"/>
      <c r="BK766" s="123"/>
      <c r="BL766" s="123"/>
      <c r="BM766" s="123"/>
      <c r="BN766" s="123"/>
      <c r="BO766" s="123"/>
      <c r="BP766" s="123"/>
      <c r="BQ766" s="123"/>
      <c r="BR766" s="123"/>
      <c r="BS766" s="123"/>
      <c r="BT766" s="123"/>
      <c r="BU766" s="123"/>
      <c r="BV766" s="123"/>
      <c r="BW766" s="123"/>
      <c r="BX766" s="123"/>
      <c r="BY766" s="123"/>
      <c r="BZ766" s="123"/>
      <c r="CA766" s="123"/>
      <c r="CB766" s="123"/>
      <c r="CC766" s="123"/>
      <c r="CD766" s="123"/>
      <c r="CE766" s="123"/>
      <c r="CF766" s="123"/>
      <c r="CG766" s="123"/>
      <c r="CH766" s="123"/>
      <c r="CI766" s="123"/>
    </row>
    <row r="767" spans="1:87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123"/>
      <c r="T767" s="124"/>
      <c r="U767" s="123"/>
      <c r="V767" s="123"/>
      <c r="W767" s="124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  <c r="AV767" s="123"/>
      <c r="AW767" s="123"/>
      <c r="AX767" s="123"/>
      <c r="AY767" s="123"/>
      <c r="AZ767" s="123"/>
      <c r="BA767" s="123"/>
      <c r="BB767" s="123"/>
      <c r="BC767" s="123"/>
      <c r="BD767" s="123"/>
      <c r="BE767" s="123"/>
      <c r="BF767" s="123"/>
      <c r="BG767" s="123"/>
      <c r="BH767" s="123"/>
      <c r="BI767" s="123"/>
      <c r="BJ767" s="123"/>
      <c r="BK767" s="123"/>
      <c r="BL767" s="123"/>
      <c r="BM767" s="123"/>
      <c r="BN767" s="123"/>
      <c r="BO767" s="123"/>
      <c r="BP767" s="123"/>
      <c r="BQ767" s="123"/>
      <c r="BR767" s="123"/>
      <c r="BS767" s="123"/>
      <c r="BT767" s="123"/>
      <c r="BU767" s="123"/>
      <c r="BV767" s="123"/>
      <c r="BW767" s="123"/>
      <c r="BX767" s="123"/>
      <c r="BY767" s="123"/>
      <c r="BZ767" s="123"/>
      <c r="CA767" s="123"/>
      <c r="CB767" s="123"/>
      <c r="CC767" s="123"/>
      <c r="CD767" s="123"/>
      <c r="CE767" s="123"/>
      <c r="CF767" s="123"/>
      <c r="CG767" s="123"/>
      <c r="CH767" s="123"/>
      <c r="CI767" s="123"/>
    </row>
    <row r="768" spans="1:87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123"/>
      <c r="T768" s="124"/>
      <c r="U768" s="123"/>
      <c r="V768" s="123"/>
      <c r="W768" s="124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  <c r="AV768" s="123"/>
      <c r="AW768" s="123"/>
      <c r="AX768" s="123"/>
      <c r="AY768" s="123"/>
      <c r="AZ768" s="123"/>
      <c r="BA768" s="123"/>
      <c r="BB768" s="123"/>
      <c r="BC768" s="123"/>
      <c r="BD768" s="123"/>
      <c r="BE768" s="123"/>
      <c r="BF768" s="123"/>
      <c r="BG768" s="123"/>
      <c r="BH768" s="123"/>
      <c r="BI768" s="123"/>
      <c r="BJ768" s="123"/>
      <c r="BK768" s="123"/>
      <c r="BL768" s="123"/>
      <c r="BM768" s="123"/>
      <c r="BN768" s="123"/>
      <c r="BO768" s="123"/>
      <c r="BP768" s="123"/>
      <c r="BQ768" s="123"/>
      <c r="BR768" s="123"/>
      <c r="BS768" s="123"/>
      <c r="BT768" s="123"/>
      <c r="BU768" s="123"/>
      <c r="BV768" s="123"/>
      <c r="BW768" s="123"/>
      <c r="BX768" s="123"/>
      <c r="BY768" s="123"/>
      <c r="BZ768" s="123"/>
      <c r="CA768" s="123"/>
      <c r="CB768" s="123"/>
      <c r="CC768" s="123"/>
      <c r="CD768" s="123"/>
      <c r="CE768" s="123"/>
      <c r="CF768" s="123"/>
      <c r="CG768" s="123"/>
      <c r="CH768" s="123"/>
      <c r="CI768" s="123"/>
    </row>
    <row r="769" spans="1:87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123"/>
      <c r="T769" s="124"/>
      <c r="U769" s="123"/>
      <c r="V769" s="123"/>
      <c r="W769" s="124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  <c r="AV769" s="123"/>
      <c r="AW769" s="123"/>
      <c r="AX769" s="123"/>
      <c r="AY769" s="123"/>
      <c r="AZ769" s="123"/>
      <c r="BA769" s="123"/>
      <c r="BB769" s="123"/>
      <c r="BC769" s="123"/>
      <c r="BD769" s="123"/>
      <c r="BE769" s="123"/>
      <c r="BF769" s="123"/>
      <c r="BG769" s="123"/>
      <c r="BH769" s="123"/>
      <c r="BI769" s="123"/>
      <c r="BJ769" s="123"/>
      <c r="BK769" s="123"/>
      <c r="BL769" s="123"/>
      <c r="BM769" s="123"/>
      <c r="BN769" s="123"/>
      <c r="BO769" s="123"/>
      <c r="BP769" s="123"/>
      <c r="BQ769" s="123"/>
      <c r="BR769" s="123"/>
      <c r="BS769" s="123"/>
      <c r="BT769" s="123"/>
      <c r="BU769" s="123"/>
      <c r="BV769" s="123"/>
      <c r="BW769" s="123"/>
      <c r="BX769" s="123"/>
      <c r="BY769" s="123"/>
      <c r="BZ769" s="123"/>
      <c r="CA769" s="123"/>
      <c r="CB769" s="123"/>
      <c r="CC769" s="123"/>
      <c r="CD769" s="123"/>
      <c r="CE769" s="123"/>
      <c r="CF769" s="123"/>
      <c r="CG769" s="123"/>
      <c r="CH769" s="123"/>
      <c r="CI769" s="123"/>
    </row>
    <row r="770" spans="1:87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123"/>
      <c r="T770" s="124"/>
      <c r="U770" s="123"/>
      <c r="V770" s="123"/>
      <c r="W770" s="124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  <c r="AV770" s="123"/>
      <c r="AW770" s="123"/>
      <c r="AX770" s="123"/>
      <c r="AY770" s="123"/>
      <c r="AZ770" s="123"/>
      <c r="BA770" s="123"/>
      <c r="BB770" s="123"/>
      <c r="BC770" s="123"/>
      <c r="BD770" s="123"/>
      <c r="BE770" s="123"/>
      <c r="BF770" s="123"/>
      <c r="BG770" s="123"/>
      <c r="BH770" s="123"/>
      <c r="BI770" s="123"/>
      <c r="BJ770" s="123"/>
      <c r="BK770" s="123"/>
      <c r="BL770" s="123"/>
      <c r="BM770" s="123"/>
      <c r="BN770" s="123"/>
      <c r="BO770" s="123"/>
      <c r="BP770" s="123"/>
      <c r="BQ770" s="123"/>
      <c r="BR770" s="123"/>
      <c r="BS770" s="123"/>
      <c r="BT770" s="123"/>
      <c r="BU770" s="123"/>
      <c r="BV770" s="123"/>
      <c r="BW770" s="123"/>
      <c r="BX770" s="123"/>
      <c r="BY770" s="123"/>
      <c r="BZ770" s="123"/>
      <c r="CA770" s="123"/>
      <c r="CB770" s="123"/>
      <c r="CC770" s="123"/>
      <c r="CD770" s="123"/>
      <c r="CE770" s="123"/>
      <c r="CF770" s="123"/>
      <c r="CG770" s="123"/>
      <c r="CH770" s="123"/>
      <c r="CI770" s="123"/>
    </row>
    <row r="771" spans="1:87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123"/>
      <c r="T771" s="124"/>
      <c r="U771" s="123"/>
      <c r="V771" s="123"/>
      <c r="W771" s="124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  <c r="AV771" s="123"/>
      <c r="AW771" s="123"/>
      <c r="AX771" s="123"/>
      <c r="AY771" s="123"/>
      <c r="AZ771" s="123"/>
      <c r="BA771" s="123"/>
      <c r="BB771" s="123"/>
      <c r="BC771" s="123"/>
      <c r="BD771" s="123"/>
      <c r="BE771" s="123"/>
      <c r="BF771" s="123"/>
      <c r="BG771" s="123"/>
      <c r="BH771" s="123"/>
      <c r="BI771" s="123"/>
      <c r="BJ771" s="123"/>
      <c r="BK771" s="123"/>
      <c r="BL771" s="123"/>
      <c r="BM771" s="123"/>
      <c r="BN771" s="123"/>
      <c r="BO771" s="123"/>
      <c r="BP771" s="123"/>
      <c r="BQ771" s="123"/>
      <c r="BR771" s="123"/>
      <c r="BS771" s="123"/>
      <c r="BT771" s="123"/>
      <c r="BU771" s="123"/>
      <c r="BV771" s="123"/>
      <c r="BW771" s="123"/>
      <c r="BX771" s="123"/>
      <c r="BY771" s="123"/>
      <c r="BZ771" s="123"/>
      <c r="CA771" s="123"/>
      <c r="CB771" s="123"/>
      <c r="CC771" s="123"/>
      <c r="CD771" s="123"/>
      <c r="CE771" s="123"/>
      <c r="CF771" s="123"/>
      <c r="CG771" s="123"/>
      <c r="CH771" s="123"/>
      <c r="CI771" s="123"/>
    </row>
    <row r="772" spans="1:87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123"/>
      <c r="T772" s="124"/>
      <c r="U772" s="123"/>
      <c r="V772" s="123"/>
      <c r="W772" s="124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  <c r="AV772" s="123"/>
      <c r="AW772" s="123"/>
      <c r="AX772" s="123"/>
      <c r="AY772" s="123"/>
      <c r="AZ772" s="123"/>
      <c r="BA772" s="123"/>
      <c r="BB772" s="123"/>
      <c r="BC772" s="123"/>
      <c r="BD772" s="123"/>
      <c r="BE772" s="123"/>
      <c r="BF772" s="123"/>
      <c r="BG772" s="123"/>
      <c r="BH772" s="123"/>
      <c r="BI772" s="123"/>
      <c r="BJ772" s="123"/>
      <c r="BK772" s="123"/>
      <c r="BL772" s="123"/>
      <c r="BM772" s="123"/>
      <c r="BN772" s="123"/>
      <c r="BO772" s="123"/>
      <c r="BP772" s="123"/>
      <c r="BQ772" s="123"/>
      <c r="BR772" s="123"/>
      <c r="BS772" s="123"/>
      <c r="BT772" s="123"/>
      <c r="BU772" s="123"/>
      <c r="BV772" s="123"/>
      <c r="BW772" s="123"/>
      <c r="BX772" s="123"/>
      <c r="BY772" s="123"/>
      <c r="BZ772" s="123"/>
      <c r="CA772" s="123"/>
      <c r="CB772" s="123"/>
      <c r="CC772" s="123"/>
      <c r="CD772" s="123"/>
      <c r="CE772" s="123"/>
      <c r="CF772" s="123"/>
      <c r="CG772" s="123"/>
      <c r="CH772" s="123"/>
      <c r="CI772" s="123"/>
    </row>
    <row r="773" spans="1:87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123"/>
      <c r="T773" s="124"/>
      <c r="U773" s="123"/>
      <c r="V773" s="123"/>
      <c r="W773" s="124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  <c r="AV773" s="123"/>
      <c r="AW773" s="123"/>
      <c r="AX773" s="123"/>
      <c r="AY773" s="123"/>
      <c r="AZ773" s="123"/>
      <c r="BA773" s="123"/>
      <c r="BB773" s="123"/>
      <c r="BC773" s="123"/>
      <c r="BD773" s="123"/>
      <c r="BE773" s="123"/>
      <c r="BF773" s="123"/>
      <c r="BG773" s="123"/>
      <c r="BH773" s="123"/>
      <c r="BI773" s="123"/>
      <c r="BJ773" s="123"/>
      <c r="BK773" s="123"/>
      <c r="BL773" s="123"/>
      <c r="BM773" s="123"/>
      <c r="BN773" s="123"/>
      <c r="BO773" s="123"/>
      <c r="BP773" s="123"/>
      <c r="BQ773" s="123"/>
      <c r="BR773" s="123"/>
      <c r="BS773" s="123"/>
      <c r="BT773" s="123"/>
      <c r="BU773" s="123"/>
      <c r="BV773" s="123"/>
      <c r="BW773" s="123"/>
      <c r="BX773" s="123"/>
      <c r="BY773" s="123"/>
      <c r="BZ773" s="123"/>
      <c r="CA773" s="123"/>
      <c r="CB773" s="123"/>
      <c r="CC773" s="123"/>
      <c r="CD773" s="123"/>
      <c r="CE773" s="123"/>
      <c r="CF773" s="123"/>
      <c r="CG773" s="123"/>
      <c r="CH773" s="123"/>
      <c r="CI773" s="123"/>
    </row>
    <row r="774" spans="1:87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123"/>
      <c r="T774" s="124"/>
      <c r="U774" s="123"/>
      <c r="V774" s="123"/>
      <c r="W774" s="124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  <c r="AV774" s="123"/>
      <c r="AW774" s="123"/>
      <c r="AX774" s="123"/>
      <c r="AY774" s="123"/>
      <c r="AZ774" s="123"/>
      <c r="BA774" s="123"/>
      <c r="BB774" s="123"/>
      <c r="BC774" s="123"/>
      <c r="BD774" s="123"/>
      <c r="BE774" s="123"/>
      <c r="BF774" s="123"/>
      <c r="BG774" s="123"/>
      <c r="BH774" s="123"/>
      <c r="BI774" s="123"/>
      <c r="BJ774" s="123"/>
      <c r="BK774" s="123"/>
      <c r="BL774" s="123"/>
      <c r="BM774" s="123"/>
      <c r="BN774" s="123"/>
      <c r="BO774" s="123"/>
      <c r="BP774" s="123"/>
      <c r="BQ774" s="123"/>
      <c r="BR774" s="123"/>
      <c r="BS774" s="123"/>
      <c r="BT774" s="123"/>
      <c r="BU774" s="123"/>
      <c r="BV774" s="123"/>
      <c r="BW774" s="123"/>
      <c r="BX774" s="123"/>
      <c r="BY774" s="123"/>
      <c r="BZ774" s="123"/>
      <c r="CA774" s="123"/>
      <c r="CB774" s="123"/>
      <c r="CC774" s="123"/>
      <c r="CD774" s="123"/>
      <c r="CE774" s="123"/>
      <c r="CF774" s="123"/>
      <c r="CG774" s="123"/>
      <c r="CH774" s="123"/>
      <c r="CI774" s="123"/>
    </row>
    <row r="775" spans="1:87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123"/>
      <c r="T775" s="124"/>
      <c r="U775" s="123"/>
      <c r="V775" s="123"/>
      <c r="W775" s="124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  <c r="AV775" s="123"/>
      <c r="AW775" s="123"/>
      <c r="AX775" s="123"/>
      <c r="AY775" s="123"/>
      <c r="AZ775" s="123"/>
      <c r="BA775" s="123"/>
      <c r="BB775" s="123"/>
      <c r="BC775" s="123"/>
      <c r="BD775" s="123"/>
      <c r="BE775" s="123"/>
      <c r="BF775" s="123"/>
      <c r="BG775" s="123"/>
      <c r="BH775" s="123"/>
      <c r="BI775" s="123"/>
      <c r="BJ775" s="123"/>
      <c r="BK775" s="123"/>
      <c r="BL775" s="123"/>
      <c r="BM775" s="123"/>
      <c r="BN775" s="123"/>
      <c r="BO775" s="123"/>
      <c r="BP775" s="123"/>
      <c r="BQ775" s="123"/>
      <c r="BR775" s="123"/>
      <c r="BS775" s="123"/>
      <c r="BT775" s="123"/>
      <c r="BU775" s="123"/>
      <c r="BV775" s="123"/>
      <c r="BW775" s="123"/>
      <c r="BX775" s="123"/>
      <c r="BY775" s="123"/>
      <c r="BZ775" s="123"/>
      <c r="CA775" s="123"/>
      <c r="CB775" s="123"/>
      <c r="CC775" s="123"/>
      <c r="CD775" s="123"/>
      <c r="CE775" s="123"/>
      <c r="CF775" s="123"/>
      <c r="CG775" s="123"/>
      <c r="CH775" s="123"/>
      <c r="CI775" s="123"/>
    </row>
    <row r="776" spans="1:87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123"/>
      <c r="T776" s="124"/>
      <c r="U776" s="123"/>
      <c r="V776" s="123"/>
      <c r="W776" s="124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  <c r="AV776" s="123"/>
      <c r="AW776" s="123"/>
      <c r="AX776" s="123"/>
      <c r="AY776" s="123"/>
      <c r="AZ776" s="123"/>
      <c r="BA776" s="123"/>
      <c r="BB776" s="123"/>
      <c r="BC776" s="123"/>
      <c r="BD776" s="123"/>
      <c r="BE776" s="123"/>
      <c r="BF776" s="123"/>
      <c r="BG776" s="123"/>
      <c r="BH776" s="123"/>
      <c r="BI776" s="123"/>
      <c r="BJ776" s="123"/>
      <c r="BK776" s="123"/>
      <c r="BL776" s="123"/>
      <c r="BM776" s="123"/>
      <c r="BN776" s="123"/>
      <c r="BO776" s="123"/>
      <c r="BP776" s="123"/>
      <c r="BQ776" s="123"/>
      <c r="BR776" s="123"/>
      <c r="BS776" s="123"/>
      <c r="BT776" s="123"/>
      <c r="BU776" s="123"/>
      <c r="BV776" s="123"/>
      <c r="BW776" s="123"/>
      <c r="BX776" s="123"/>
      <c r="BY776" s="123"/>
      <c r="BZ776" s="123"/>
      <c r="CA776" s="123"/>
      <c r="CB776" s="123"/>
      <c r="CC776" s="123"/>
      <c r="CD776" s="123"/>
      <c r="CE776" s="123"/>
      <c r="CF776" s="123"/>
      <c r="CG776" s="123"/>
      <c r="CH776" s="123"/>
      <c r="CI776" s="123"/>
    </row>
    <row r="777" spans="1:87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123"/>
      <c r="T777" s="124"/>
      <c r="U777" s="123"/>
      <c r="V777" s="123"/>
      <c r="W777" s="124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  <c r="AV777" s="123"/>
      <c r="AW777" s="123"/>
      <c r="AX777" s="123"/>
      <c r="AY777" s="123"/>
      <c r="AZ777" s="123"/>
      <c r="BA777" s="123"/>
      <c r="BB777" s="123"/>
      <c r="BC777" s="123"/>
      <c r="BD777" s="123"/>
      <c r="BE777" s="123"/>
      <c r="BF777" s="123"/>
      <c r="BG777" s="123"/>
      <c r="BH777" s="123"/>
      <c r="BI777" s="123"/>
      <c r="BJ777" s="123"/>
      <c r="BK777" s="123"/>
      <c r="BL777" s="123"/>
      <c r="BM777" s="123"/>
      <c r="BN777" s="123"/>
      <c r="BO777" s="123"/>
      <c r="BP777" s="123"/>
      <c r="BQ777" s="123"/>
      <c r="BR777" s="123"/>
      <c r="BS777" s="123"/>
      <c r="BT777" s="123"/>
      <c r="BU777" s="123"/>
      <c r="BV777" s="123"/>
      <c r="BW777" s="123"/>
      <c r="BX777" s="123"/>
      <c r="BY777" s="123"/>
      <c r="BZ777" s="123"/>
      <c r="CA777" s="123"/>
      <c r="CB777" s="123"/>
      <c r="CC777" s="123"/>
      <c r="CD777" s="123"/>
      <c r="CE777" s="123"/>
      <c r="CF777" s="123"/>
      <c r="CG777" s="123"/>
      <c r="CH777" s="123"/>
      <c r="CI777" s="123"/>
    </row>
    <row r="778" spans="1:87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123"/>
      <c r="T778" s="124"/>
      <c r="U778" s="123"/>
      <c r="V778" s="123"/>
      <c r="W778" s="124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  <c r="AV778" s="123"/>
      <c r="AW778" s="123"/>
      <c r="AX778" s="123"/>
      <c r="AY778" s="123"/>
      <c r="AZ778" s="123"/>
      <c r="BA778" s="123"/>
      <c r="BB778" s="123"/>
      <c r="BC778" s="123"/>
      <c r="BD778" s="123"/>
      <c r="BE778" s="123"/>
      <c r="BF778" s="123"/>
      <c r="BG778" s="123"/>
      <c r="BH778" s="123"/>
      <c r="BI778" s="123"/>
      <c r="BJ778" s="123"/>
      <c r="BK778" s="123"/>
      <c r="BL778" s="123"/>
      <c r="BM778" s="123"/>
      <c r="BN778" s="123"/>
      <c r="BO778" s="123"/>
      <c r="BP778" s="123"/>
      <c r="BQ778" s="123"/>
      <c r="BR778" s="123"/>
      <c r="BS778" s="123"/>
      <c r="BT778" s="123"/>
      <c r="BU778" s="123"/>
      <c r="BV778" s="123"/>
      <c r="BW778" s="123"/>
      <c r="BX778" s="123"/>
      <c r="BY778" s="123"/>
      <c r="BZ778" s="123"/>
      <c r="CA778" s="123"/>
      <c r="CB778" s="123"/>
      <c r="CC778" s="123"/>
      <c r="CD778" s="123"/>
      <c r="CE778" s="123"/>
      <c r="CF778" s="123"/>
      <c r="CG778" s="123"/>
      <c r="CH778" s="123"/>
      <c r="CI778" s="123"/>
    </row>
    <row r="779" spans="1:87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123"/>
      <c r="T779" s="124"/>
      <c r="U779" s="123"/>
      <c r="V779" s="123"/>
      <c r="W779" s="124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  <c r="AV779" s="123"/>
      <c r="AW779" s="123"/>
      <c r="AX779" s="123"/>
      <c r="AY779" s="123"/>
      <c r="AZ779" s="123"/>
      <c r="BA779" s="123"/>
      <c r="BB779" s="123"/>
      <c r="BC779" s="123"/>
      <c r="BD779" s="123"/>
      <c r="BE779" s="123"/>
      <c r="BF779" s="123"/>
      <c r="BG779" s="123"/>
      <c r="BH779" s="123"/>
      <c r="BI779" s="123"/>
      <c r="BJ779" s="123"/>
      <c r="BK779" s="123"/>
      <c r="BL779" s="123"/>
      <c r="BM779" s="123"/>
      <c r="BN779" s="123"/>
      <c r="BO779" s="123"/>
      <c r="BP779" s="123"/>
      <c r="BQ779" s="123"/>
      <c r="BR779" s="123"/>
      <c r="BS779" s="123"/>
      <c r="BT779" s="123"/>
      <c r="BU779" s="123"/>
      <c r="BV779" s="123"/>
      <c r="BW779" s="123"/>
      <c r="BX779" s="123"/>
      <c r="BY779" s="123"/>
      <c r="BZ779" s="123"/>
      <c r="CA779" s="123"/>
      <c r="CB779" s="123"/>
      <c r="CC779" s="123"/>
      <c r="CD779" s="123"/>
      <c r="CE779" s="123"/>
      <c r="CF779" s="123"/>
      <c r="CG779" s="123"/>
      <c r="CH779" s="123"/>
      <c r="CI779" s="123"/>
    </row>
    <row r="780" spans="1:87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123"/>
      <c r="T780" s="124"/>
      <c r="U780" s="123"/>
      <c r="V780" s="123"/>
      <c r="W780" s="124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  <c r="AV780" s="123"/>
      <c r="AW780" s="123"/>
      <c r="AX780" s="123"/>
      <c r="AY780" s="123"/>
      <c r="AZ780" s="123"/>
      <c r="BA780" s="123"/>
      <c r="BB780" s="123"/>
      <c r="BC780" s="123"/>
      <c r="BD780" s="123"/>
      <c r="BE780" s="123"/>
      <c r="BF780" s="123"/>
      <c r="BG780" s="123"/>
      <c r="BH780" s="123"/>
      <c r="BI780" s="123"/>
      <c r="BJ780" s="123"/>
      <c r="BK780" s="123"/>
      <c r="BL780" s="123"/>
      <c r="BM780" s="123"/>
      <c r="BN780" s="123"/>
      <c r="BO780" s="123"/>
      <c r="BP780" s="123"/>
      <c r="BQ780" s="123"/>
      <c r="BR780" s="123"/>
      <c r="BS780" s="123"/>
      <c r="BT780" s="123"/>
      <c r="BU780" s="123"/>
      <c r="BV780" s="123"/>
      <c r="BW780" s="123"/>
      <c r="BX780" s="123"/>
      <c r="BY780" s="123"/>
      <c r="BZ780" s="123"/>
      <c r="CA780" s="123"/>
      <c r="CB780" s="123"/>
      <c r="CC780" s="123"/>
      <c r="CD780" s="123"/>
      <c r="CE780" s="123"/>
      <c r="CF780" s="123"/>
      <c r="CG780" s="123"/>
      <c r="CH780" s="123"/>
      <c r="CI780" s="123"/>
    </row>
    <row r="781" spans="1:87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123"/>
      <c r="T781" s="124"/>
      <c r="U781" s="123"/>
      <c r="V781" s="123"/>
      <c r="W781" s="124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  <c r="AV781" s="123"/>
      <c r="AW781" s="123"/>
      <c r="AX781" s="123"/>
      <c r="AY781" s="123"/>
      <c r="AZ781" s="123"/>
      <c r="BA781" s="123"/>
      <c r="BB781" s="123"/>
      <c r="BC781" s="123"/>
      <c r="BD781" s="123"/>
      <c r="BE781" s="123"/>
      <c r="BF781" s="123"/>
      <c r="BG781" s="123"/>
      <c r="BH781" s="123"/>
      <c r="BI781" s="123"/>
      <c r="BJ781" s="123"/>
      <c r="BK781" s="123"/>
      <c r="BL781" s="123"/>
      <c r="BM781" s="123"/>
      <c r="BN781" s="123"/>
      <c r="BO781" s="123"/>
      <c r="BP781" s="123"/>
      <c r="BQ781" s="123"/>
      <c r="BR781" s="123"/>
      <c r="BS781" s="123"/>
      <c r="BT781" s="123"/>
      <c r="BU781" s="123"/>
      <c r="BV781" s="123"/>
      <c r="BW781" s="123"/>
      <c r="BX781" s="123"/>
      <c r="BY781" s="123"/>
      <c r="BZ781" s="123"/>
      <c r="CA781" s="123"/>
      <c r="CB781" s="123"/>
      <c r="CC781" s="123"/>
      <c r="CD781" s="123"/>
      <c r="CE781" s="123"/>
      <c r="CF781" s="123"/>
      <c r="CG781" s="123"/>
      <c r="CH781" s="123"/>
      <c r="CI781" s="123"/>
    </row>
    <row r="782" spans="1:87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123"/>
      <c r="T782" s="124"/>
      <c r="U782" s="123"/>
      <c r="V782" s="123"/>
      <c r="W782" s="124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  <c r="AV782" s="123"/>
      <c r="AW782" s="123"/>
      <c r="AX782" s="123"/>
      <c r="AY782" s="123"/>
      <c r="AZ782" s="123"/>
      <c r="BA782" s="123"/>
      <c r="BB782" s="123"/>
      <c r="BC782" s="123"/>
      <c r="BD782" s="123"/>
      <c r="BE782" s="123"/>
      <c r="BF782" s="123"/>
      <c r="BG782" s="123"/>
      <c r="BH782" s="123"/>
      <c r="BI782" s="123"/>
      <c r="BJ782" s="123"/>
      <c r="BK782" s="123"/>
      <c r="BL782" s="123"/>
      <c r="BM782" s="123"/>
      <c r="BN782" s="123"/>
      <c r="BO782" s="123"/>
      <c r="BP782" s="123"/>
      <c r="BQ782" s="123"/>
      <c r="BR782" s="123"/>
      <c r="BS782" s="123"/>
      <c r="BT782" s="123"/>
      <c r="BU782" s="123"/>
      <c r="BV782" s="123"/>
      <c r="BW782" s="123"/>
      <c r="BX782" s="123"/>
      <c r="BY782" s="123"/>
      <c r="BZ782" s="123"/>
      <c r="CA782" s="123"/>
      <c r="CB782" s="123"/>
      <c r="CC782" s="123"/>
      <c r="CD782" s="123"/>
      <c r="CE782" s="123"/>
      <c r="CF782" s="123"/>
      <c r="CG782" s="123"/>
      <c r="CH782" s="123"/>
      <c r="CI782" s="123"/>
    </row>
    <row r="783" spans="1:87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123"/>
      <c r="T783" s="124"/>
      <c r="U783" s="123"/>
      <c r="V783" s="123"/>
      <c r="W783" s="124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  <c r="AV783" s="123"/>
      <c r="AW783" s="123"/>
      <c r="AX783" s="123"/>
      <c r="AY783" s="123"/>
      <c r="AZ783" s="123"/>
      <c r="BA783" s="123"/>
      <c r="BB783" s="123"/>
      <c r="BC783" s="123"/>
      <c r="BD783" s="123"/>
      <c r="BE783" s="123"/>
      <c r="BF783" s="123"/>
      <c r="BG783" s="123"/>
      <c r="BH783" s="123"/>
      <c r="BI783" s="123"/>
      <c r="BJ783" s="123"/>
      <c r="BK783" s="123"/>
      <c r="BL783" s="123"/>
      <c r="BM783" s="123"/>
      <c r="BN783" s="123"/>
      <c r="BO783" s="123"/>
      <c r="BP783" s="123"/>
      <c r="BQ783" s="123"/>
      <c r="BR783" s="123"/>
      <c r="BS783" s="123"/>
      <c r="BT783" s="123"/>
      <c r="BU783" s="123"/>
      <c r="BV783" s="123"/>
      <c r="BW783" s="123"/>
      <c r="BX783" s="123"/>
      <c r="BY783" s="123"/>
      <c r="BZ783" s="123"/>
      <c r="CA783" s="123"/>
      <c r="CB783" s="123"/>
      <c r="CC783" s="123"/>
      <c r="CD783" s="123"/>
      <c r="CE783" s="123"/>
      <c r="CF783" s="123"/>
      <c r="CG783" s="123"/>
      <c r="CH783" s="123"/>
      <c r="CI783" s="123"/>
    </row>
    <row r="784" spans="1:87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123"/>
      <c r="T784" s="124"/>
      <c r="U784" s="123"/>
      <c r="V784" s="123"/>
      <c r="W784" s="124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  <c r="AV784" s="123"/>
      <c r="AW784" s="123"/>
      <c r="AX784" s="123"/>
      <c r="AY784" s="123"/>
      <c r="AZ784" s="123"/>
      <c r="BA784" s="123"/>
      <c r="BB784" s="123"/>
      <c r="BC784" s="123"/>
      <c r="BD784" s="123"/>
      <c r="BE784" s="123"/>
      <c r="BF784" s="123"/>
      <c r="BG784" s="123"/>
      <c r="BH784" s="123"/>
      <c r="BI784" s="123"/>
      <c r="BJ784" s="123"/>
      <c r="BK784" s="123"/>
      <c r="BL784" s="123"/>
      <c r="BM784" s="123"/>
      <c r="BN784" s="123"/>
      <c r="BO784" s="123"/>
      <c r="BP784" s="123"/>
      <c r="BQ784" s="123"/>
      <c r="BR784" s="123"/>
      <c r="BS784" s="123"/>
      <c r="BT784" s="123"/>
      <c r="BU784" s="123"/>
      <c r="BV784" s="123"/>
      <c r="BW784" s="123"/>
      <c r="BX784" s="123"/>
      <c r="BY784" s="123"/>
      <c r="BZ784" s="123"/>
      <c r="CA784" s="123"/>
      <c r="CB784" s="123"/>
      <c r="CC784" s="123"/>
      <c r="CD784" s="123"/>
      <c r="CE784" s="123"/>
      <c r="CF784" s="123"/>
      <c r="CG784" s="123"/>
      <c r="CH784" s="123"/>
      <c r="CI784" s="123"/>
    </row>
    <row r="785" spans="1:87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123"/>
      <c r="T785" s="124"/>
      <c r="U785" s="123"/>
      <c r="V785" s="123"/>
      <c r="W785" s="124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  <c r="AV785" s="123"/>
      <c r="AW785" s="123"/>
      <c r="AX785" s="123"/>
      <c r="AY785" s="123"/>
      <c r="AZ785" s="123"/>
      <c r="BA785" s="123"/>
      <c r="BB785" s="123"/>
      <c r="BC785" s="123"/>
      <c r="BD785" s="123"/>
      <c r="BE785" s="123"/>
      <c r="BF785" s="123"/>
      <c r="BG785" s="123"/>
      <c r="BH785" s="123"/>
      <c r="BI785" s="123"/>
      <c r="BJ785" s="123"/>
      <c r="BK785" s="123"/>
      <c r="BL785" s="123"/>
      <c r="BM785" s="123"/>
      <c r="BN785" s="123"/>
      <c r="BO785" s="123"/>
      <c r="BP785" s="123"/>
      <c r="BQ785" s="123"/>
      <c r="BR785" s="123"/>
      <c r="BS785" s="123"/>
      <c r="BT785" s="123"/>
      <c r="BU785" s="123"/>
      <c r="BV785" s="123"/>
      <c r="BW785" s="123"/>
      <c r="BX785" s="123"/>
      <c r="BY785" s="123"/>
      <c r="BZ785" s="123"/>
      <c r="CA785" s="123"/>
      <c r="CB785" s="123"/>
      <c r="CC785" s="123"/>
      <c r="CD785" s="123"/>
      <c r="CE785" s="123"/>
      <c r="CF785" s="123"/>
      <c r="CG785" s="123"/>
      <c r="CH785" s="123"/>
      <c r="CI785" s="123"/>
    </row>
    <row r="786" spans="1:87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123"/>
      <c r="T786" s="124"/>
      <c r="U786" s="123"/>
      <c r="V786" s="123"/>
      <c r="W786" s="124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  <c r="AV786" s="123"/>
      <c r="AW786" s="123"/>
      <c r="AX786" s="123"/>
      <c r="AY786" s="123"/>
      <c r="AZ786" s="123"/>
      <c r="BA786" s="123"/>
      <c r="BB786" s="123"/>
      <c r="BC786" s="123"/>
      <c r="BD786" s="123"/>
      <c r="BE786" s="123"/>
      <c r="BF786" s="123"/>
      <c r="BG786" s="123"/>
      <c r="BH786" s="123"/>
      <c r="BI786" s="123"/>
      <c r="BJ786" s="123"/>
      <c r="BK786" s="123"/>
      <c r="BL786" s="123"/>
      <c r="BM786" s="123"/>
      <c r="BN786" s="123"/>
      <c r="BO786" s="123"/>
      <c r="BP786" s="123"/>
      <c r="BQ786" s="123"/>
      <c r="BR786" s="123"/>
      <c r="BS786" s="123"/>
      <c r="BT786" s="123"/>
      <c r="BU786" s="123"/>
      <c r="BV786" s="123"/>
      <c r="BW786" s="123"/>
      <c r="BX786" s="123"/>
      <c r="BY786" s="123"/>
      <c r="BZ786" s="123"/>
      <c r="CA786" s="123"/>
      <c r="CB786" s="123"/>
      <c r="CC786" s="123"/>
      <c r="CD786" s="123"/>
      <c r="CE786" s="123"/>
      <c r="CF786" s="123"/>
      <c r="CG786" s="123"/>
      <c r="CH786" s="123"/>
      <c r="CI786" s="123"/>
    </row>
    <row r="787" spans="1:87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123"/>
      <c r="T787" s="124"/>
      <c r="U787" s="123"/>
      <c r="V787" s="123"/>
      <c r="W787" s="124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  <c r="AV787" s="123"/>
      <c r="AW787" s="123"/>
      <c r="AX787" s="123"/>
      <c r="AY787" s="123"/>
      <c r="AZ787" s="123"/>
      <c r="BA787" s="123"/>
      <c r="BB787" s="123"/>
      <c r="BC787" s="123"/>
      <c r="BD787" s="123"/>
      <c r="BE787" s="123"/>
      <c r="BF787" s="123"/>
      <c r="BG787" s="123"/>
      <c r="BH787" s="123"/>
      <c r="BI787" s="123"/>
      <c r="BJ787" s="123"/>
      <c r="BK787" s="123"/>
      <c r="BL787" s="123"/>
      <c r="BM787" s="123"/>
      <c r="BN787" s="123"/>
      <c r="BO787" s="123"/>
      <c r="BP787" s="123"/>
      <c r="BQ787" s="123"/>
      <c r="BR787" s="123"/>
      <c r="BS787" s="123"/>
      <c r="BT787" s="123"/>
      <c r="BU787" s="123"/>
      <c r="BV787" s="123"/>
      <c r="BW787" s="123"/>
      <c r="BX787" s="123"/>
      <c r="BY787" s="123"/>
      <c r="BZ787" s="123"/>
      <c r="CA787" s="123"/>
      <c r="CB787" s="123"/>
      <c r="CC787" s="123"/>
      <c r="CD787" s="123"/>
      <c r="CE787" s="123"/>
      <c r="CF787" s="123"/>
      <c r="CG787" s="123"/>
      <c r="CH787" s="123"/>
      <c r="CI787" s="123"/>
    </row>
    <row r="788" spans="1:87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123"/>
      <c r="T788" s="124"/>
      <c r="U788" s="123"/>
      <c r="V788" s="123"/>
      <c r="W788" s="124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  <c r="AV788" s="123"/>
      <c r="AW788" s="123"/>
      <c r="AX788" s="123"/>
      <c r="AY788" s="123"/>
      <c r="AZ788" s="123"/>
      <c r="BA788" s="123"/>
      <c r="BB788" s="123"/>
      <c r="BC788" s="123"/>
      <c r="BD788" s="123"/>
      <c r="BE788" s="123"/>
      <c r="BF788" s="123"/>
      <c r="BG788" s="123"/>
      <c r="BH788" s="123"/>
      <c r="BI788" s="123"/>
      <c r="BJ788" s="123"/>
      <c r="BK788" s="123"/>
      <c r="BL788" s="123"/>
      <c r="BM788" s="123"/>
      <c r="BN788" s="123"/>
      <c r="BO788" s="123"/>
      <c r="BP788" s="123"/>
      <c r="BQ788" s="123"/>
      <c r="BR788" s="123"/>
      <c r="BS788" s="123"/>
      <c r="BT788" s="123"/>
      <c r="BU788" s="123"/>
      <c r="BV788" s="123"/>
      <c r="BW788" s="123"/>
      <c r="BX788" s="123"/>
      <c r="BY788" s="123"/>
      <c r="BZ788" s="123"/>
      <c r="CA788" s="123"/>
      <c r="CB788" s="123"/>
      <c r="CC788" s="123"/>
      <c r="CD788" s="123"/>
      <c r="CE788" s="123"/>
      <c r="CF788" s="123"/>
      <c r="CG788" s="123"/>
      <c r="CH788" s="123"/>
      <c r="CI788" s="123"/>
    </row>
    <row r="789" spans="1:87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123"/>
      <c r="T789" s="124"/>
      <c r="U789" s="123"/>
      <c r="V789" s="123"/>
      <c r="W789" s="124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  <c r="AV789" s="123"/>
      <c r="AW789" s="123"/>
      <c r="AX789" s="123"/>
      <c r="AY789" s="123"/>
      <c r="AZ789" s="123"/>
      <c r="BA789" s="123"/>
      <c r="BB789" s="123"/>
      <c r="BC789" s="123"/>
      <c r="BD789" s="123"/>
      <c r="BE789" s="123"/>
      <c r="BF789" s="123"/>
      <c r="BG789" s="123"/>
      <c r="BH789" s="123"/>
      <c r="BI789" s="123"/>
      <c r="BJ789" s="123"/>
      <c r="BK789" s="123"/>
      <c r="BL789" s="123"/>
      <c r="BM789" s="123"/>
      <c r="BN789" s="123"/>
      <c r="BO789" s="123"/>
      <c r="BP789" s="123"/>
      <c r="BQ789" s="123"/>
      <c r="BR789" s="123"/>
      <c r="BS789" s="123"/>
      <c r="BT789" s="123"/>
      <c r="BU789" s="123"/>
      <c r="BV789" s="123"/>
      <c r="BW789" s="123"/>
      <c r="BX789" s="123"/>
      <c r="BY789" s="123"/>
      <c r="BZ789" s="123"/>
      <c r="CA789" s="123"/>
      <c r="CB789" s="123"/>
      <c r="CC789" s="123"/>
      <c r="CD789" s="123"/>
      <c r="CE789" s="123"/>
      <c r="CF789" s="123"/>
      <c r="CG789" s="123"/>
      <c r="CH789" s="123"/>
      <c r="CI789" s="123"/>
    </row>
    <row r="790" spans="1:87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123"/>
      <c r="T790" s="124"/>
      <c r="U790" s="123"/>
      <c r="V790" s="123"/>
      <c r="W790" s="124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  <c r="AV790" s="123"/>
      <c r="AW790" s="123"/>
      <c r="AX790" s="123"/>
      <c r="AY790" s="123"/>
      <c r="AZ790" s="123"/>
      <c r="BA790" s="123"/>
      <c r="BB790" s="123"/>
      <c r="BC790" s="123"/>
      <c r="BD790" s="123"/>
      <c r="BE790" s="123"/>
      <c r="BF790" s="123"/>
      <c r="BG790" s="123"/>
      <c r="BH790" s="123"/>
      <c r="BI790" s="123"/>
      <c r="BJ790" s="123"/>
      <c r="BK790" s="123"/>
      <c r="BL790" s="123"/>
      <c r="BM790" s="123"/>
      <c r="BN790" s="123"/>
      <c r="BO790" s="123"/>
      <c r="BP790" s="123"/>
      <c r="BQ790" s="123"/>
      <c r="BR790" s="123"/>
      <c r="BS790" s="123"/>
      <c r="BT790" s="123"/>
      <c r="BU790" s="123"/>
      <c r="BV790" s="123"/>
      <c r="BW790" s="123"/>
      <c r="BX790" s="123"/>
      <c r="BY790" s="123"/>
      <c r="BZ790" s="123"/>
      <c r="CA790" s="123"/>
      <c r="CB790" s="123"/>
      <c r="CC790" s="123"/>
      <c r="CD790" s="123"/>
      <c r="CE790" s="123"/>
      <c r="CF790" s="123"/>
      <c r="CG790" s="123"/>
      <c r="CH790" s="123"/>
      <c r="CI790" s="123"/>
    </row>
    <row r="791" spans="1:87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123"/>
      <c r="T791" s="124"/>
      <c r="U791" s="123"/>
      <c r="V791" s="123"/>
      <c r="W791" s="124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  <c r="AV791" s="123"/>
      <c r="AW791" s="123"/>
      <c r="AX791" s="123"/>
      <c r="AY791" s="123"/>
      <c r="AZ791" s="123"/>
      <c r="BA791" s="123"/>
      <c r="BB791" s="123"/>
      <c r="BC791" s="123"/>
      <c r="BD791" s="123"/>
      <c r="BE791" s="123"/>
      <c r="BF791" s="123"/>
      <c r="BG791" s="123"/>
      <c r="BH791" s="123"/>
      <c r="BI791" s="123"/>
      <c r="BJ791" s="123"/>
      <c r="BK791" s="123"/>
      <c r="BL791" s="123"/>
      <c r="BM791" s="123"/>
      <c r="BN791" s="123"/>
      <c r="BO791" s="123"/>
      <c r="BP791" s="123"/>
      <c r="BQ791" s="123"/>
      <c r="BR791" s="123"/>
      <c r="BS791" s="123"/>
      <c r="BT791" s="123"/>
      <c r="BU791" s="123"/>
      <c r="BV791" s="123"/>
      <c r="BW791" s="123"/>
      <c r="BX791" s="123"/>
      <c r="BY791" s="123"/>
      <c r="BZ791" s="123"/>
      <c r="CA791" s="123"/>
      <c r="CB791" s="123"/>
      <c r="CC791" s="123"/>
      <c r="CD791" s="123"/>
      <c r="CE791" s="123"/>
      <c r="CF791" s="123"/>
      <c r="CG791" s="123"/>
      <c r="CH791" s="123"/>
      <c r="CI791" s="123"/>
    </row>
    <row r="792" spans="1:87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123"/>
      <c r="T792" s="124"/>
      <c r="U792" s="123"/>
      <c r="V792" s="123"/>
      <c r="W792" s="124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  <c r="AV792" s="123"/>
      <c r="AW792" s="123"/>
      <c r="AX792" s="123"/>
      <c r="AY792" s="123"/>
      <c r="AZ792" s="123"/>
      <c r="BA792" s="123"/>
      <c r="BB792" s="123"/>
      <c r="BC792" s="123"/>
      <c r="BD792" s="123"/>
      <c r="BE792" s="123"/>
      <c r="BF792" s="123"/>
      <c r="BG792" s="123"/>
      <c r="BH792" s="123"/>
      <c r="BI792" s="123"/>
      <c r="BJ792" s="123"/>
      <c r="BK792" s="123"/>
      <c r="BL792" s="123"/>
      <c r="BM792" s="123"/>
      <c r="BN792" s="123"/>
      <c r="BO792" s="123"/>
      <c r="BP792" s="123"/>
      <c r="BQ792" s="123"/>
      <c r="BR792" s="123"/>
      <c r="BS792" s="123"/>
      <c r="BT792" s="123"/>
      <c r="BU792" s="123"/>
      <c r="BV792" s="123"/>
      <c r="BW792" s="123"/>
      <c r="BX792" s="123"/>
      <c r="BY792" s="123"/>
      <c r="BZ792" s="123"/>
      <c r="CA792" s="123"/>
      <c r="CB792" s="123"/>
      <c r="CC792" s="123"/>
      <c r="CD792" s="123"/>
      <c r="CE792" s="123"/>
      <c r="CF792" s="123"/>
      <c r="CG792" s="123"/>
      <c r="CH792" s="123"/>
      <c r="CI792" s="123"/>
    </row>
    <row r="793" spans="1:87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123"/>
      <c r="T793" s="124"/>
      <c r="U793" s="123"/>
      <c r="V793" s="123"/>
      <c r="W793" s="124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  <c r="AV793" s="123"/>
      <c r="AW793" s="123"/>
      <c r="AX793" s="123"/>
      <c r="AY793" s="123"/>
      <c r="AZ793" s="123"/>
      <c r="BA793" s="123"/>
      <c r="BB793" s="123"/>
      <c r="BC793" s="123"/>
      <c r="BD793" s="123"/>
      <c r="BE793" s="123"/>
      <c r="BF793" s="123"/>
      <c r="BG793" s="123"/>
      <c r="BH793" s="123"/>
      <c r="BI793" s="123"/>
      <c r="BJ793" s="123"/>
      <c r="BK793" s="123"/>
      <c r="BL793" s="123"/>
      <c r="BM793" s="123"/>
      <c r="BN793" s="123"/>
      <c r="BO793" s="123"/>
      <c r="BP793" s="123"/>
      <c r="BQ793" s="123"/>
      <c r="BR793" s="123"/>
      <c r="BS793" s="123"/>
      <c r="BT793" s="123"/>
      <c r="BU793" s="123"/>
      <c r="BV793" s="123"/>
      <c r="BW793" s="123"/>
      <c r="BX793" s="123"/>
      <c r="BY793" s="123"/>
      <c r="BZ793" s="123"/>
      <c r="CA793" s="123"/>
      <c r="CB793" s="123"/>
      <c r="CC793" s="123"/>
      <c r="CD793" s="123"/>
      <c r="CE793" s="123"/>
      <c r="CF793" s="123"/>
      <c r="CG793" s="123"/>
      <c r="CH793" s="123"/>
      <c r="CI793" s="123"/>
    </row>
    <row r="794" spans="1:87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123"/>
      <c r="T794" s="124"/>
      <c r="U794" s="123"/>
      <c r="V794" s="123"/>
      <c r="W794" s="124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  <c r="AV794" s="123"/>
      <c r="AW794" s="123"/>
      <c r="AX794" s="123"/>
      <c r="AY794" s="123"/>
      <c r="AZ794" s="123"/>
      <c r="BA794" s="123"/>
      <c r="BB794" s="123"/>
      <c r="BC794" s="123"/>
      <c r="BD794" s="123"/>
      <c r="BE794" s="123"/>
      <c r="BF794" s="123"/>
      <c r="BG794" s="123"/>
      <c r="BH794" s="123"/>
      <c r="BI794" s="123"/>
      <c r="BJ794" s="123"/>
      <c r="BK794" s="123"/>
      <c r="BL794" s="123"/>
      <c r="BM794" s="123"/>
      <c r="BN794" s="123"/>
      <c r="BO794" s="123"/>
      <c r="BP794" s="123"/>
      <c r="BQ794" s="123"/>
      <c r="BR794" s="123"/>
      <c r="BS794" s="123"/>
      <c r="BT794" s="123"/>
      <c r="BU794" s="123"/>
      <c r="BV794" s="123"/>
      <c r="BW794" s="123"/>
      <c r="BX794" s="123"/>
      <c r="BY794" s="123"/>
      <c r="BZ794" s="123"/>
      <c r="CA794" s="123"/>
      <c r="CB794" s="123"/>
      <c r="CC794" s="123"/>
      <c r="CD794" s="123"/>
      <c r="CE794" s="123"/>
      <c r="CF794" s="123"/>
      <c r="CG794" s="123"/>
      <c r="CH794" s="123"/>
      <c r="CI794" s="123"/>
    </row>
    <row r="795" spans="1:87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123"/>
      <c r="T795" s="124"/>
      <c r="U795" s="123"/>
      <c r="V795" s="123"/>
      <c r="W795" s="124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  <c r="AV795" s="123"/>
      <c r="AW795" s="123"/>
      <c r="AX795" s="123"/>
      <c r="AY795" s="123"/>
      <c r="AZ795" s="123"/>
      <c r="BA795" s="123"/>
      <c r="BB795" s="123"/>
      <c r="BC795" s="123"/>
      <c r="BD795" s="123"/>
      <c r="BE795" s="123"/>
      <c r="BF795" s="123"/>
      <c r="BG795" s="123"/>
      <c r="BH795" s="123"/>
      <c r="BI795" s="123"/>
      <c r="BJ795" s="123"/>
      <c r="BK795" s="123"/>
      <c r="BL795" s="123"/>
      <c r="BM795" s="123"/>
      <c r="BN795" s="123"/>
      <c r="BO795" s="123"/>
      <c r="BP795" s="123"/>
      <c r="BQ795" s="123"/>
      <c r="BR795" s="123"/>
      <c r="BS795" s="123"/>
      <c r="BT795" s="123"/>
      <c r="BU795" s="123"/>
      <c r="BV795" s="123"/>
      <c r="BW795" s="123"/>
      <c r="BX795" s="123"/>
      <c r="BY795" s="123"/>
      <c r="BZ795" s="123"/>
      <c r="CA795" s="123"/>
      <c r="CB795" s="123"/>
      <c r="CC795" s="123"/>
      <c r="CD795" s="123"/>
      <c r="CE795" s="123"/>
      <c r="CF795" s="123"/>
      <c r="CG795" s="123"/>
      <c r="CH795" s="123"/>
      <c r="CI795" s="123"/>
    </row>
    <row r="796" spans="1:87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123"/>
      <c r="T796" s="124"/>
      <c r="U796" s="123"/>
      <c r="V796" s="123"/>
      <c r="W796" s="124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  <c r="AV796" s="123"/>
      <c r="AW796" s="123"/>
      <c r="AX796" s="123"/>
      <c r="AY796" s="123"/>
      <c r="AZ796" s="123"/>
      <c r="BA796" s="123"/>
      <c r="BB796" s="123"/>
      <c r="BC796" s="123"/>
      <c r="BD796" s="123"/>
      <c r="BE796" s="123"/>
      <c r="BF796" s="123"/>
      <c r="BG796" s="123"/>
      <c r="BH796" s="123"/>
      <c r="BI796" s="123"/>
      <c r="BJ796" s="123"/>
      <c r="BK796" s="123"/>
      <c r="BL796" s="123"/>
      <c r="BM796" s="123"/>
      <c r="BN796" s="123"/>
      <c r="BO796" s="123"/>
      <c r="BP796" s="123"/>
      <c r="BQ796" s="123"/>
      <c r="BR796" s="123"/>
      <c r="BS796" s="123"/>
      <c r="BT796" s="123"/>
      <c r="BU796" s="123"/>
      <c r="BV796" s="123"/>
      <c r="BW796" s="123"/>
      <c r="BX796" s="123"/>
      <c r="BY796" s="123"/>
      <c r="BZ796" s="123"/>
      <c r="CA796" s="123"/>
      <c r="CB796" s="123"/>
      <c r="CC796" s="123"/>
      <c r="CD796" s="123"/>
      <c r="CE796" s="123"/>
      <c r="CF796" s="123"/>
      <c r="CG796" s="123"/>
      <c r="CH796" s="123"/>
      <c r="CI796" s="123"/>
    </row>
    <row r="797" spans="1:87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123"/>
      <c r="T797" s="124"/>
      <c r="U797" s="123"/>
      <c r="V797" s="123"/>
      <c r="W797" s="124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  <c r="AV797" s="123"/>
      <c r="AW797" s="123"/>
      <c r="AX797" s="123"/>
      <c r="AY797" s="123"/>
      <c r="AZ797" s="123"/>
      <c r="BA797" s="123"/>
      <c r="BB797" s="123"/>
      <c r="BC797" s="123"/>
      <c r="BD797" s="123"/>
      <c r="BE797" s="123"/>
      <c r="BF797" s="123"/>
      <c r="BG797" s="123"/>
      <c r="BH797" s="123"/>
      <c r="BI797" s="123"/>
      <c r="BJ797" s="123"/>
      <c r="BK797" s="123"/>
      <c r="BL797" s="123"/>
      <c r="BM797" s="123"/>
      <c r="BN797" s="123"/>
      <c r="BO797" s="123"/>
      <c r="BP797" s="123"/>
      <c r="BQ797" s="123"/>
      <c r="BR797" s="123"/>
      <c r="BS797" s="123"/>
      <c r="BT797" s="123"/>
      <c r="BU797" s="123"/>
      <c r="BV797" s="123"/>
      <c r="BW797" s="123"/>
      <c r="BX797" s="123"/>
      <c r="BY797" s="123"/>
      <c r="BZ797" s="123"/>
      <c r="CA797" s="123"/>
      <c r="CB797" s="123"/>
      <c r="CC797" s="123"/>
      <c r="CD797" s="123"/>
      <c r="CE797" s="123"/>
      <c r="CF797" s="123"/>
      <c r="CG797" s="123"/>
      <c r="CH797" s="123"/>
      <c r="CI797" s="123"/>
    </row>
    <row r="798" spans="1:87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123"/>
      <c r="T798" s="124"/>
      <c r="U798" s="123"/>
      <c r="V798" s="123"/>
      <c r="W798" s="124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  <c r="AV798" s="123"/>
      <c r="AW798" s="123"/>
      <c r="AX798" s="123"/>
      <c r="AY798" s="123"/>
      <c r="AZ798" s="123"/>
      <c r="BA798" s="123"/>
      <c r="BB798" s="123"/>
      <c r="BC798" s="123"/>
      <c r="BD798" s="123"/>
      <c r="BE798" s="123"/>
      <c r="BF798" s="123"/>
      <c r="BG798" s="123"/>
      <c r="BH798" s="123"/>
      <c r="BI798" s="123"/>
      <c r="BJ798" s="123"/>
      <c r="BK798" s="123"/>
      <c r="BL798" s="123"/>
      <c r="BM798" s="123"/>
      <c r="BN798" s="123"/>
      <c r="BO798" s="123"/>
      <c r="BP798" s="123"/>
      <c r="BQ798" s="123"/>
      <c r="BR798" s="123"/>
      <c r="BS798" s="123"/>
      <c r="BT798" s="123"/>
      <c r="BU798" s="123"/>
      <c r="BV798" s="123"/>
      <c r="BW798" s="123"/>
      <c r="BX798" s="123"/>
      <c r="BY798" s="123"/>
      <c r="BZ798" s="123"/>
      <c r="CA798" s="123"/>
      <c r="CB798" s="123"/>
      <c r="CC798" s="123"/>
      <c r="CD798" s="123"/>
      <c r="CE798" s="123"/>
      <c r="CF798" s="123"/>
      <c r="CG798" s="123"/>
      <c r="CH798" s="123"/>
      <c r="CI798" s="123"/>
    </row>
    <row r="799" spans="1:87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123"/>
      <c r="T799" s="124"/>
      <c r="U799" s="123"/>
      <c r="V799" s="123"/>
      <c r="W799" s="124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  <c r="AV799" s="123"/>
      <c r="AW799" s="123"/>
      <c r="AX799" s="123"/>
      <c r="AY799" s="123"/>
      <c r="AZ799" s="123"/>
      <c r="BA799" s="123"/>
      <c r="BB799" s="123"/>
      <c r="BC799" s="123"/>
      <c r="BD799" s="123"/>
      <c r="BE799" s="123"/>
      <c r="BF799" s="123"/>
      <c r="BG799" s="123"/>
      <c r="BH799" s="123"/>
      <c r="BI799" s="123"/>
      <c r="BJ799" s="123"/>
      <c r="BK799" s="123"/>
      <c r="BL799" s="123"/>
      <c r="BM799" s="123"/>
      <c r="BN799" s="123"/>
      <c r="BO799" s="123"/>
      <c r="BP799" s="123"/>
      <c r="BQ799" s="123"/>
      <c r="BR799" s="123"/>
      <c r="BS799" s="123"/>
      <c r="BT799" s="123"/>
      <c r="BU799" s="123"/>
      <c r="BV799" s="123"/>
      <c r="BW799" s="123"/>
      <c r="BX799" s="123"/>
      <c r="BY799" s="123"/>
      <c r="BZ799" s="123"/>
      <c r="CA799" s="123"/>
      <c r="CB799" s="123"/>
      <c r="CC799" s="123"/>
      <c r="CD799" s="123"/>
      <c r="CE799" s="123"/>
      <c r="CF799" s="123"/>
      <c r="CG799" s="123"/>
      <c r="CH799" s="123"/>
      <c r="CI799" s="123"/>
    </row>
    <row r="800" spans="1:87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123"/>
      <c r="T800" s="124"/>
      <c r="U800" s="123"/>
      <c r="V800" s="123"/>
      <c r="W800" s="124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  <c r="AV800" s="123"/>
      <c r="AW800" s="123"/>
      <c r="AX800" s="123"/>
      <c r="AY800" s="123"/>
      <c r="AZ800" s="123"/>
      <c r="BA800" s="123"/>
      <c r="BB800" s="123"/>
      <c r="BC800" s="123"/>
      <c r="BD800" s="123"/>
      <c r="BE800" s="123"/>
      <c r="BF800" s="123"/>
      <c r="BG800" s="123"/>
      <c r="BH800" s="123"/>
      <c r="BI800" s="123"/>
      <c r="BJ800" s="123"/>
      <c r="BK800" s="123"/>
      <c r="BL800" s="123"/>
      <c r="BM800" s="123"/>
      <c r="BN800" s="123"/>
      <c r="BO800" s="123"/>
      <c r="BP800" s="123"/>
      <c r="BQ800" s="123"/>
      <c r="BR800" s="123"/>
      <c r="BS800" s="123"/>
      <c r="BT800" s="123"/>
      <c r="BU800" s="123"/>
      <c r="BV800" s="123"/>
      <c r="BW800" s="123"/>
      <c r="BX800" s="123"/>
      <c r="BY800" s="123"/>
      <c r="BZ800" s="123"/>
      <c r="CA800" s="123"/>
      <c r="CB800" s="123"/>
      <c r="CC800" s="123"/>
      <c r="CD800" s="123"/>
      <c r="CE800" s="123"/>
      <c r="CF800" s="123"/>
      <c r="CG800" s="123"/>
      <c r="CH800" s="123"/>
      <c r="CI800" s="123"/>
    </row>
    <row r="801" spans="1:87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123"/>
      <c r="T801" s="124"/>
      <c r="U801" s="123"/>
      <c r="V801" s="123"/>
      <c r="W801" s="124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  <c r="AV801" s="123"/>
      <c r="AW801" s="123"/>
      <c r="AX801" s="123"/>
      <c r="AY801" s="123"/>
      <c r="AZ801" s="123"/>
      <c r="BA801" s="123"/>
      <c r="BB801" s="123"/>
      <c r="BC801" s="123"/>
      <c r="BD801" s="123"/>
      <c r="BE801" s="123"/>
      <c r="BF801" s="123"/>
      <c r="BG801" s="123"/>
      <c r="BH801" s="123"/>
      <c r="BI801" s="123"/>
      <c r="BJ801" s="123"/>
      <c r="BK801" s="123"/>
      <c r="BL801" s="123"/>
      <c r="BM801" s="123"/>
      <c r="BN801" s="123"/>
      <c r="BO801" s="123"/>
      <c r="BP801" s="123"/>
      <c r="BQ801" s="123"/>
      <c r="BR801" s="123"/>
      <c r="BS801" s="123"/>
      <c r="BT801" s="123"/>
      <c r="BU801" s="123"/>
      <c r="BV801" s="123"/>
      <c r="BW801" s="123"/>
      <c r="BX801" s="123"/>
      <c r="BY801" s="123"/>
      <c r="BZ801" s="123"/>
      <c r="CA801" s="123"/>
      <c r="CB801" s="123"/>
      <c r="CC801" s="123"/>
      <c r="CD801" s="123"/>
      <c r="CE801" s="123"/>
      <c r="CF801" s="123"/>
      <c r="CG801" s="123"/>
      <c r="CH801" s="123"/>
      <c r="CI801" s="123"/>
    </row>
    <row r="802" spans="1:87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123"/>
      <c r="T802" s="124"/>
      <c r="U802" s="123"/>
      <c r="V802" s="123"/>
      <c r="W802" s="124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  <c r="AV802" s="123"/>
      <c r="AW802" s="123"/>
      <c r="AX802" s="123"/>
      <c r="AY802" s="123"/>
      <c r="AZ802" s="123"/>
      <c r="BA802" s="123"/>
      <c r="BB802" s="123"/>
      <c r="BC802" s="123"/>
      <c r="BD802" s="123"/>
      <c r="BE802" s="123"/>
      <c r="BF802" s="123"/>
      <c r="BG802" s="123"/>
      <c r="BH802" s="123"/>
      <c r="BI802" s="123"/>
      <c r="BJ802" s="123"/>
      <c r="BK802" s="123"/>
      <c r="BL802" s="123"/>
      <c r="BM802" s="123"/>
      <c r="BN802" s="123"/>
      <c r="BO802" s="123"/>
      <c r="BP802" s="123"/>
      <c r="BQ802" s="123"/>
      <c r="BR802" s="123"/>
      <c r="BS802" s="123"/>
      <c r="BT802" s="123"/>
      <c r="BU802" s="123"/>
      <c r="BV802" s="123"/>
      <c r="BW802" s="123"/>
      <c r="BX802" s="123"/>
      <c r="BY802" s="123"/>
      <c r="BZ802" s="123"/>
      <c r="CA802" s="123"/>
      <c r="CB802" s="123"/>
      <c r="CC802" s="123"/>
      <c r="CD802" s="123"/>
      <c r="CE802" s="123"/>
      <c r="CF802" s="123"/>
      <c r="CG802" s="123"/>
      <c r="CH802" s="123"/>
      <c r="CI802" s="123"/>
    </row>
    <row r="803" spans="1:87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123"/>
      <c r="T803" s="124"/>
      <c r="U803" s="123"/>
      <c r="V803" s="123"/>
      <c r="W803" s="124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  <c r="AV803" s="123"/>
      <c r="AW803" s="123"/>
      <c r="AX803" s="123"/>
      <c r="AY803" s="123"/>
      <c r="AZ803" s="123"/>
      <c r="BA803" s="123"/>
      <c r="BB803" s="123"/>
      <c r="BC803" s="123"/>
      <c r="BD803" s="123"/>
      <c r="BE803" s="123"/>
      <c r="BF803" s="123"/>
      <c r="BG803" s="123"/>
      <c r="BH803" s="123"/>
      <c r="BI803" s="123"/>
      <c r="BJ803" s="123"/>
      <c r="BK803" s="123"/>
      <c r="BL803" s="123"/>
      <c r="BM803" s="123"/>
      <c r="BN803" s="123"/>
      <c r="BO803" s="123"/>
      <c r="BP803" s="123"/>
      <c r="BQ803" s="123"/>
      <c r="BR803" s="123"/>
      <c r="BS803" s="123"/>
      <c r="BT803" s="123"/>
      <c r="BU803" s="123"/>
      <c r="BV803" s="123"/>
      <c r="BW803" s="123"/>
      <c r="BX803" s="123"/>
      <c r="BY803" s="123"/>
      <c r="BZ803" s="123"/>
      <c r="CA803" s="123"/>
      <c r="CB803" s="123"/>
      <c r="CC803" s="123"/>
      <c r="CD803" s="123"/>
      <c r="CE803" s="123"/>
      <c r="CF803" s="123"/>
      <c r="CG803" s="123"/>
      <c r="CH803" s="123"/>
      <c r="CI803" s="123"/>
    </row>
    <row r="804" spans="1:87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123"/>
      <c r="T804" s="124"/>
      <c r="U804" s="123"/>
      <c r="V804" s="123"/>
      <c r="W804" s="124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  <c r="AV804" s="123"/>
      <c r="AW804" s="123"/>
      <c r="AX804" s="123"/>
      <c r="AY804" s="123"/>
      <c r="AZ804" s="123"/>
      <c r="BA804" s="123"/>
      <c r="BB804" s="123"/>
      <c r="BC804" s="123"/>
      <c r="BD804" s="123"/>
      <c r="BE804" s="123"/>
      <c r="BF804" s="123"/>
      <c r="BG804" s="123"/>
      <c r="BH804" s="123"/>
      <c r="BI804" s="123"/>
      <c r="BJ804" s="123"/>
      <c r="BK804" s="123"/>
      <c r="BL804" s="123"/>
      <c r="BM804" s="123"/>
      <c r="BN804" s="123"/>
      <c r="BO804" s="123"/>
      <c r="BP804" s="123"/>
      <c r="BQ804" s="123"/>
      <c r="BR804" s="123"/>
      <c r="BS804" s="123"/>
      <c r="BT804" s="123"/>
      <c r="BU804" s="123"/>
      <c r="BV804" s="123"/>
      <c r="BW804" s="123"/>
      <c r="BX804" s="123"/>
      <c r="BY804" s="123"/>
      <c r="BZ804" s="123"/>
      <c r="CA804" s="123"/>
      <c r="CB804" s="123"/>
      <c r="CC804" s="123"/>
      <c r="CD804" s="123"/>
      <c r="CE804" s="123"/>
      <c r="CF804" s="123"/>
      <c r="CG804" s="123"/>
      <c r="CH804" s="123"/>
      <c r="CI804" s="123"/>
    </row>
    <row r="805" spans="1:87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123"/>
      <c r="T805" s="124"/>
      <c r="U805" s="123"/>
      <c r="V805" s="123"/>
      <c r="W805" s="124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  <c r="AV805" s="123"/>
      <c r="AW805" s="123"/>
      <c r="AX805" s="123"/>
      <c r="AY805" s="123"/>
      <c r="AZ805" s="123"/>
      <c r="BA805" s="123"/>
      <c r="BB805" s="123"/>
      <c r="BC805" s="123"/>
      <c r="BD805" s="123"/>
      <c r="BE805" s="123"/>
      <c r="BF805" s="123"/>
      <c r="BG805" s="123"/>
      <c r="BH805" s="123"/>
      <c r="BI805" s="123"/>
      <c r="BJ805" s="123"/>
      <c r="BK805" s="123"/>
      <c r="BL805" s="123"/>
      <c r="BM805" s="123"/>
      <c r="BN805" s="123"/>
      <c r="BO805" s="123"/>
      <c r="BP805" s="123"/>
      <c r="BQ805" s="123"/>
      <c r="BR805" s="123"/>
      <c r="BS805" s="123"/>
      <c r="BT805" s="123"/>
      <c r="BU805" s="123"/>
      <c r="BV805" s="123"/>
      <c r="BW805" s="123"/>
      <c r="BX805" s="123"/>
      <c r="BY805" s="123"/>
      <c r="BZ805" s="123"/>
      <c r="CA805" s="123"/>
      <c r="CB805" s="123"/>
      <c r="CC805" s="123"/>
      <c r="CD805" s="123"/>
      <c r="CE805" s="123"/>
      <c r="CF805" s="123"/>
      <c r="CG805" s="123"/>
      <c r="CH805" s="123"/>
      <c r="CI805" s="123"/>
    </row>
    <row r="806" spans="1:87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123"/>
      <c r="T806" s="124"/>
      <c r="U806" s="123"/>
      <c r="V806" s="123"/>
      <c r="W806" s="124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  <c r="AV806" s="123"/>
      <c r="AW806" s="123"/>
      <c r="AX806" s="123"/>
      <c r="AY806" s="123"/>
      <c r="AZ806" s="123"/>
      <c r="BA806" s="123"/>
      <c r="BB806" s="123"/>
      <c r="BC806" s="123"/>
      <c r="BD806" s="123"/>
      <c r="BE806" s="123"/>
      <c r="BF806" s="123"/>
      <c r="BG806" s="123"/>
      <c r="BH806" s="123"/>
      <c r="BI806" s="123"/>
      <c r="BJ806" s="123"/>
      <c r="BK806" s="123"/>
      <c r="BL806" s="123"/>
      <c r="BM806" s="123"/>
      <c r="BN806" s="123"/>
      <c r="BO806" s="123"/>
      <c r="BP806" s="123"/>
      <c r="BQ806" s="123"/>
      <c r="BR806" s="123"/>
      <c r="BS806" s="123"/>
      <c r="BT806" s="123"/>
      <c r="BU806" s="123"/>
      <c r="BV806" s="123"/>
      <c r="BW806" s="123"/>
      <c r="BX806" s="123"/>
      <c r="BY806" s="123"/>
      <c r="BZ806" s="123"/>
      <c r="CA806" s="123"/>
      <c r="CB806" s="123"/>
      <c r="CC806" s="123"/>
      <c r="CD806" s="123"/>
      <c r="CE806" s="123"/>
      <c r="CF806" s="123"/>
      <c r="CG806" s="123"/>
      <c r="CH806" s="123"/>
      <c r="CI806" s="123"/>
    </row>
    <row r="807" spans="1:87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123"/>
      <c r="T807" s="124"/>
      <c r="U807" s="123"/>
      <c r="V807" s="123"/>
      <c r="W807" s="124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  <c r="AV807" s="123"/>
      <c r="AW807" s="123"/>
      <c r="AX807" s="123"/>
      <c r="AY807" s="123"/>
      <c r="AZ807" s="123"/>
      <c r="BA807" s="123"/>
      <c r="BB807" s="123"/>
      <c r="BC807" s="123"/>
      <c r="BD807" s="123"/>
      <c r="BE807" s="123"/>
      <c r="BF807" s="123"/>
      <c r="BG807" s="123"/>
      <c r="BH807" s="123"/>
      <c r="BI807" s="123"/>
      <c r="BJ807" s="123"/>
      <c r="BK807" s="123"/>
      <c r="BL807" s="123"/>
      <c r="BM807" s="123"/>
      <c r="BN807" s="123"/>
      <c r="BO807" s="123"/>
      <c r="BP807" s="123"/>
      <c r="BQ807" s="123"/>
      <c r="BR807" s="123"/>
      <c r="BS807" s="123"/>
      <c r="BT807" s="123"/>
      <c r="BU807" s="123"/>
      <c r="BV807" s="123"/>
      <c r="BW807" s="123"/>
      <c r="BX807" s="123"/>
      <c r="BY807" s="123"/>
      <c r="BZ807" s="123"/>
      <c r="CA807" s="123"/>
      <c r="CB807" s="123"/>
      <c r="CC807" s="123"/>
      <c r="CD807" s="123"/>
      <c r="CE807" s="123"/>
      <c r="CF807" s="123"/>
      <c r="CG807" s="123"/>
      <c r="CH807" s="123"/>
      <c r="CI807" s="123"/>
    </row>
    <row r="808" spans="1:87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123"/>
      <c r="T808" s="124"/>
      <c r="U808" s="123"/>
      <c r="V808" s="123"/>
      <c r="W808" s="124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  <c r="AV808" s="123"/>
      <c r="AW808" s="123"/>
      <c r="AX808" s="123"/>
      <c r="AY808" s="123"/>
      <c r="AZ808" s="123"/>
      <c r="BA808" s="123"/>
      <c r="BB808" s="123"/>
      <c r="BC808" s="123"/>
      <c r="BD808" s="123"/>
      <c r="BE808" s="123"/>
      <c r="BF808" s="123"/>
      <c r="BG808" s="123"/>
      <c r="BH808" s="123"/>
      <c r="BI808" s="123"/>
      <c r="BJ808" s="123"/>
      <c r="BK808" s="123"/>
      <c r="BL808" s="123"/>
      <c r="BM808" s="123"/>
      <c r="BN808" s="123"/>
      <c r="BO808" s="123"/>
      <c r="BP808" s="123"/>
      <c r="BQ808" s="123"/>
      <c r="BR808" s="123"/>
      <c r="BS808" s="123"/>
      <c r="BT808" s="123"/>
      <c r="BU808" s="123"/>
      <c r="BV808" s="123"/>
      <c r="BW808" s="123"/>
      <c r="BX808" s="123"/>
      <c r="BY808" s="123"/>
      <c r="BZ808" s="123"/>
      <c r="CA808" s="123"/>
      <c r="CB808" s="123"/>
      <c r="CC808" s="123"/>
      <c r="CD808" s="123"/>
      <c r="CE808" s="123"/>
      <c r="CF808" s="123"/>
      <c r="CG808" s="123"/>
      <c r="CH808" s="123"/>
      <c r="CI808" s="123"/>
    </row>
    <row r="809" spans="1:87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123"/>
      <c r="T809" s="124"/>
      <c r="U809" s="123"/>
      <c r="V809" s="123"/>
      <c r="W809" s="124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  <c r="AV809" s="123"/>
      <c r="AW809" s="123"/>
      <c r="AX809" s="123"/>
      <c r="AY809" s="123"/>
      <c r="AZ809" s="123"/>
      <c r="BA809" s="123"/>
      <c r="BB809" s="123"/>
      <c r="BC809" s="123"/>
      <c r="BD809" s="123"/>
      <c r="BE809" s="123"/>
      <c r="BF809" s="123"/>
      <c r="BG809" s="123"/>
      <c r="BH809" s="123"/>
      <c r="BI809" s="123"/>
      <c r="BJ809" s="123"/>
      <c r="BK809" s="123"/>
      <c r="BL809" s="123"/>
      <c r="BM809" s="123"/>
      <c r="BN809" s="123"/>
      <c r="BO809" s="123"/>
      <c r="BP809" s="123"/>
      <c r="BQ809" s="123"/>
      <c r="BR809" s="123"/>
      <c r="BS809" s="123"/>
      <c r="BT809" s="123"/>
      <c r="BU809" s="123"/>
      <c r="BV809" s="123"/>
      <c r="BW809" s="123"/>
      <c r="BX809" s="123"/>
      <c r="BY809" s="123"/>
      <c r="BZ809" s="123"/>
      <c r="CA809" s="123"/>
      <c r="CB809" s="123"/>
      <c r="CC809" s="123"/>
      <c r="CD809" s="123"/>
      <c r="CE809" s="123"/>
      <c r="CF809" s="123"/>
      <c r="CG809" s="123"/>
      <c r="CH809" s="123"/>
      <c r="CI809" s="123"/>
    </row>
    <row r="810" spans="1:87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123"/>
      <c r="T810" s="124"/>
      <c r="U810" s="123"/>
      <c r="V810" s="123"/>
      <c r="W810" s="124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  <c r="AV810" s="123"/>
      <c r="AW810" s="123"/>
      <c r="AX810" s="123"/>
      <c r="AY810" s="123"/>
      <c r="AZ810" s="123"/>
      <c r="BA810" s="123"/>
      <c r="BB810" s="123"/>
      <c r="BC810" s="123"/>
      <c r="BD810" s="123"/>
      <c r="BE810" s="123"/>
      <c r="BF810" s="123"/>
      <c r="BG810" s="123"/>
      <c r="BH810" s="123"/>
      <c r="BI810" s="123"/>
      <c r="BJ810" s="123"/>
      <c r="BK810" s="123"/>
      <c r="BL810" s="123"/>
      <c r="BM810" s="123"/>
      <c r="BN810" s="123"/>
      <c r="BO810" s="123"/>
      <c r="BP810" s="123"/>
      <c r="BQ810" s="123"/>
      <c r="BR810" s="123"/>
      <c r="BS810" s="123"/>
      <c r="BT810" s="123"/>
      <c r="BU810" s="123"/>
      <c r="BV810" s="123"/>
      <c r="BW810" s="123"/>
      <c r="BX810" s="123"/>
      <c r="BY810" s="123"/>
      <c r="BZ810" s="123"/>
      <c r="CA810" s="123"/>
      <c r="CB810" s="123"/>
      <c r="CC810" s="123"/>
      <c r="CD810" s="123"/>
      <c r="CE810" s="123"/>
      <c r="CF810" s="123"/>
      <c r="CG810" s="123"/>
      <c r="CH810" s="123"/>
      <c r="CI810" s="123"/>
    </row>
    <row r="811" spans="1:87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123"/>
      <c r="T811" s="124"/>
      <c r="U811" s="123"/>
      <c r="V811" s="123"/>
      <c r="W811" s="124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  <c r="AV811" s="123"/>
      <c r="AW811" s="123"/>
      <c r="AX811" s="123"/>
      <c r="AY811" s="123"/>
      <c r="AZ811" s="123"/>
      <c r="BA811" s="123"/>
      <c r="BB811" s="123"/>
      <c r="BC811" s="123"/>
      <c r="BD811" s="123"/>
      <c r="BE811" s="123"/>
      <c r="BF811" s="123"/>
      <c r="BG811" s="123"/>
      <c r="BH811" s="123"/>
      <c r="BI811" s="123"/>
      <c r="BJ811" s="123"/>
      <c r="BK811" s="123"/>
      <c r="BL811" s="123"/>
      <c r="BM811" s="123"/>
      <c r="BN811" s="123"/>
      <c r="BO811" s="123"/>
      <c r="BP811" s="123"/>
      <c r="BQ811" s="123"/>
      <c r="BR811" s="123"/>
      <c r="BS811" s="123"/>
      <c r="BT811" s="123"/>
      <c r="BU811" s="123"/>
      <c r="BV811" s="123"/>
      <c r="BW811" s="123"/>
      <c r="BX811" s="123"/>
      <c r="BY811" s="123"/>
      <c r="BZ811" s="123"/>
      <c r="CA811" s="123"/>
      <c r="CB811" s="123"/>
      <c r="CC811" s="123"/>
      <c r="CD811" s="123"/>
      <c r="CE811" s="123"/>
      <c r="CF811" s="123"/>
      <c r="CG811" s="123"/>
      <c r="CH811" s="123"/>
      <c r="CI811" s="123"/>
    </row>
    <row r="812" spans="1:87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123"/>
      <c r="T812" s="124"/>
      <c r="U812" s="123"/>
      <c r="V812" s="123"/>
      <c r="W812" s="124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  <c r="AV812" s="123"/>
      <c r="AW812" s="123"/>
      <c r="AX812" s="123"/>
      <c r="AY812" s="123"/>
      <c r="AZ812" s="123"/>
      <c r="BA812" s="123"/>
      <c r="BB812" s="123"/>
      <c r="BC812" s="123"/>
      <c r="BD812" s="123"/>
      <c r="BE812" s="123"/>
      <c r="BF812" s="123"/>
      <c r="BG812" s="123"/>
      <c r="BH812" s="123"/>
      <c r="BI812" s="123"/>
      <c r="BJ812" s="123"/>
      <c r="BK812" s="123"/>
      <c r="BL812" s="123"/>
      <c r="BM812" s="123"/>
      <c r="BN812" s="123"/>
      <c r="BO812" s="123"/>
      <c r="BP812" s="123"/>
      <c r="BQ812" s="123"/>
      <c r="BR812" s="123"/>
      <c r="BS812" s="123"/>
      <c r="BT812" s="123"/>
      <c r="BU812" s="123"/>
      <c r="BV812" s="123"/>
      <c r="BW812" s="123"/>
      <c r="BX812" s="123"/>
      <c r="BY812" s="123"/>
      <c r="BZ812" s="123"/>
      <c r="CA812" s="123"/>
      <c r="CB812" s="123"/>
      <c r="CC812" s="123"/>
      <c r="CD812" s="123"/>
      <c r="CE812" s="123"/>
      <c r="CF812" s="123"/>
      <c r="CG812" s="123"/>
      <c r="CH812" s="123"/>
      <c r="CI812" s="123"/>
    </row>
    <row r="813" spans="1:87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123"/>
      <c r="T813" s="124"/>
      <c r="U813" s="123"/>
      <c r="V813" s="123"/>
      <c r="W813" s="124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  <c r="AV813" s="123"/>
      <c r="AW813" s="123"/>
      <c r="AX813" s="123"/>
      <c r="AY813" s="123"/>
      <c r="AZ813" s="123"/>
      <c r="BA813" s="123"/>
      <c r="BB813" s="123"/>
      <c r="BC813" s="123"/>
      <c r="BD813" s="123"/>
      <c r="BE813" s="123"/>
      <c r="BF813" s="123"/>
      <c r="BG813" s="123"/>
      <c r="BH813" s="123"/>
      <c r="BI813" s="123"/>
      <c r="BJ813" s="123"/>
      <c r="BK813" s="123"/>
      <c r="BL813" s="123"/>
      <c r="BM813" s="123"/>
      <c r="BN813" s="123"/>
      <c r="BO813" s="123"/>
      <c r="BP813" s="123"/>
      <c r="BQ813" s="123"/>
      <c r="BR813" s="123"/>
      <c r="BS813" s="123"/>
      <c r="BT813" s="123"/>
      <c r="BU813" s="123"/>
      <c r="BV813" s="123"/>
      <c r="BW813" s="123"/>
      <c r="BX813" s="123"/>
      <c r="BY813" s="123"/>
      <c r="BZ813" s="123"/>
      <c r="CA813" s="123"/>
      <c r="CB813" s="123"/>
      <c r="CC813" s="123"/>
      <c r="CD813" s="123"/>
      <c r="CE813" s="123"/>
      <c r="CF813" s="123"/>
      <c r="CG813" s="123"/>
      <c r="CH813" s="123"/>
      <c r="CI813" s="123"/>
    </row>
    <row r="814" spans="1:87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123"/>
      <c r="T814" s="124"/>
      <c r="U814" s="123"/>
      <c r="V814" s="123"/>
      <c r="W814" s="124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  <c r="AV814" s="123"/>
      <c r="AW814" s="123"/>
      <c r="AX814" s="123"/>
      <c r="AY814" s="123"/>
      <c r="AZ814" s="123"/>
      <c r="BA814" s="123"/>
      <c r="BB814" s="123"/>
      <c r="BC814" s="123"/>
      <c r="BD814" s="123"/>
      <c r="BE814" s="123"/>
      <c r="BF814" s="123"/>
      <c r="BG814" s="123"/>
      <c r="BH814" s="123"/>
      <c r="BI814" s="123"/>
      <c r="BJ814" s="123"/>
      <c r="BK814" s="123"/>
      <c r="BL814" s="123"/>
      <c r="BM814" s="123"/>
      <c r="BN814" s="123"/>
      <c r="BO814" s="123"/>
      <c r="BP814" s="123"/>
      <c r="BQ814" s="123"/>
      <c r="BR814" s="123"/>
      <c r="BS814" s="123"/>
      <c r="BT814" s="123"/>
      <c r="BU814" s="123"/>
      <c r="BV814" s="123"/>
      <c r="BW814" s="123"/>
      <c r="BX814" s="123"/>
      <c r="BY814" s="123"/>
      <c r="BZ814" s="123"/>
      <c r="CA814" s="123"/>
      <c r="CB814" s="123"/>
      <c r="CC814" s="123"/>
      <c r="CD814" s="123"/>
      <c r="CE814" s="123"/>
      <c r="CF814" s="123"/>
      <c r="CG814" s="123"/>
      <c r="CH814" s="123"/>
      <c r="CI814" s="123"/>
    </row>
    <row r="815" spans="1:87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123"/>
      <c r="T815" s="124"/>
      <c r="U815" s="123"/>
      <c r="V815" s="123"/>
      <c r="W815" s="124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  <c r="AV815" s="123"/>
      <c r="AW815" s="123"/>
      <c r="AX815" s="123"/>
      <c r="AY815" s="123"/>
      <c r="AZ815" s="123"/>
      <c r="BA815" s="123"/>
      <c r="BB815" s="123"/>
      <c r="BC815" s="123"/>
      <c r="BD815" s="123"/>
      <c r="BE815" s="123"/>
      <c r="BF815" s="123"/>
      <c r="BG815" s="123"/>
      <c r="BH815" s="123"/>
      <c r="BI815" s="123"/>
      <c r="BJ815" s="123"/>
      <c r="BK815" s="123"/>
      <c r="BL815" s="123"/>
      <c r="BM815" s="123"/>
      <c r="BN815" s="123"/>
      <c r="BO815" s="123"/>
      <c r="BP815" s="123"/>
      <c r="BQ815" s="123"/>
      <c r="BR815" s="123"/>
      <c r="BS815" s="123"/>
      <c r="BT815" s="123"/>
      <c r="BU815" s="123"/>
      <c r="BV815" s="123"/>
      <c r="BW815" s="123"/>
      <c r="BX815" s="123"/>
      <c r="BY815" s="123"/>
      <c r="BZ815" s="123"/>
      <c r="CA815" s="123"/>
      <c r="CB815" s="123"/>
      <c r="CC815" s="123"/>
      <c r="CD815" s="123"/>
      <c r="CE815" s="123"/>
      <c r="CF815" s="123"/>
      <c r="CG815" s="123"/>
      <c r="CH815" s="123"/>
      <c r="CI815" s="123"/>
    </row>
    <row r="816" spans="1:87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123"/>
      <c r="T816" s="124"/>
      <c r="U816" s="123"/>
      <c r="V816" s="123"/>
      <c r="W816" s="124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  <c r="AV816" s="123"/>
      <c r="AW816" s="123"/>
      <c r="AX816" s="123"/>
      <c r="AY816" s="123"/>
      <c r="AZ816" s="123"/>
      <c r="BA816" s="123"/>
      <c r="BB816" s="123"/>
      <c r="BC816" s="123"/>
      <c r="BD816" s="123"/>
      <c r="BE816" s="123"/>
      <c r="BF816" s="123"/>
      <c r="BG816" s="123"/>
      <c r="BH816" s="123"/>
      <c r="BI816" s="123"/>
      <c r="BJ816" s="123"/>
      <c r="BK816" s="123"/>
      <c r="BL816" s="123"/>
      <c r="BM816" s="123"/>
      <c r="BN816" s="123"/>
      <c r="BO816" s="123"/>
      <c r="BP816" s="123"/>
      <c r="BQ816" s="123"/>
      <c r="BR816" s="123"/>
      <c r="BS816" s="123"/>
      <c r="BT816" s="123"/>
      <c r="BU816" s="123"/>
      <c r="BV816" s="123"/>
      <c r="BW816" s="123"/>
      <c r="BX816" s="123"/>
      <c r="BY816" s="123"/>
      <c r="BZ816" s="123"/>
      <c r="CA816" s="123"/>
      <c r="CB816" s="123"/>
      <c r="CC816" s="123"/>
      <c r="CD816" s="123"/>
      <c r="CE816" s="123"/>
      <c r="CF816" s="123"/>
      <c r="CG816" s="123"/>
      <c r="CH816" s="123"/>
      <c r="CI816" s="123"/>
    </row>
    <row r="817" spans="1:87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123"/>
      <c r="T817" s="124"/>
      <c r="U817" s="123"/>
      <c r="V817" s="123"/>
      <c r="W817" s="124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  <c r="AV817" s="123"/>
      <c r="AW817" s="123"/>
      <c r="AX817" s="123"/>
      <c r="AY817" s="123"/>
      <c r="AZ817" s="123"/>
      <c r="BA817" s="123"/>
      <c r="BB817" s="123"/>
      <c r="BC817" s="123"/>
      <c r="BD817" s="123"/>
      <c r="BE817" s="123"/>
      <c r="BF817" s="123"/>
      <c r="BG817" s="123"/>
      <c r="BH817" s="123"/>
      <c r="BI817" s="123"/>
      <c r="BJ817" s="123"/>
      <c r="BK817" s="123"/>
      <c r="BL817" s="123"/>
      <c r="BM817" s="123"/>
      <c r="BN817" s="123"/>
      <c r="BO817" s="123"/>
      <c r="BP817" s="123"/>
      <c r="BQ817" s="123"/>
      <c r="BR817" s="123"/>
      <c r="BS817" s="123"/>
      <c r="BT817" s="123"/>
      <c r="BU817" s="123"/>
      <c r="BV817" s="123"/>
      <c r="BW817" s="123"/>
      <c r="BX817" s="123"/>
      <c r="BY817" s="123"/>
      <c r="BZ817" s="123"/>
      <c r="CA817" s="123"/>
      <c r="CB817" s="123"/>
      <c r="CC817" s="123"/>
      <c r="CD817" s="123"/>
      <c r="CE817" s="123"/>
      <c r="CF817" s="123"/>
      <c r="CG817" s="123"/>
      <c r="CH817" s="123"/>
      <c r="CI817" s="123"/>
    </row>
    <row r="818" spans="1:87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123"/>
      <c r="T818" s="124"/>
      <c r="U818" s="123"/>
      <c r="V818" s="123"/>
      <c r="W818" s="124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  <c r="AV818" s="123"/>
      <c r="AW818" s="123"/>
      <c r="AX818" s="123"/>
      <c r="AY818" s="123"/>
      <c r="AZ818" s="123"/>
      <c r="BA818" s="123"/>
      <c r="BB818" s="123"/>
      <c r="BC818" s="123"/>
      <c r="BD818" s="123"/>
      <c r="BE818" s="123"/>
      <c r="BF818" s="123"/>
      <c r="BG818" s="123"/>
      <c r="BH818" s="123"/>
      <c r="BI818" s="123"/>
      <c r="BJ818" s="123"/>
      <c r="BK818" s="123"/>
      <c r="BL818" s="123"/>
      <c r="BM818" s="123"/>
      <c r="BN818" s="123"/>
      <c r="BO818" s="123"/>
      <c r="BP818" s="123"/>
      <c r="BQ818" s="123"/>
      <c r="BR818" s="123"/>
      <c r="BS818" s="123"/>
      <c r="BT818" s="123"/>
      <c r="BU818" s="123"/>
      <c r="BV818" s="123"/>
      <c r="BW818" s="123"/>
      <c r="BX818" s="123"/>
      <c r="BY818" s="123"/>
      <c r="BZ818" s="123"/>
      <c r="CA818" s="123"/>
      <c r="CB818" s="123"/>
      <c r="CC818" s="123"/>
      <c r="CD818" s="123"/>
      <c r="CE818" s="123"/>
      <c r="CF818" s="123"/>
      <c r="CG818" s="123"/>
      <c r="CH818" s="123"/>
      <c r="CI818" s="123"/>
    </row>
    <row r="819" spans="1:87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123"/>
      <c r="T819" s="124"/>
      <c r="U819" s="123"/>
      <c r="V819" s="123"/>
      <c r="W819" s="124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  <c r="AV819" s="123"/>
      <c r="AW819" s="123"/>
      <c r="AX819" s="123"/>
      <c r="AY819" s="123"/>
      <c r="AZ819" s="123"/>
      <c r="BA819" s="123"/>
      <c r="BB819" s="123"/>
      <c r="BC819" s="123"/>
      <c r="BD819" s="123"/>
      <c r="BE819" s="123"/>
      <c r="BF819" s="123"/>
      <c r="BG819" s="123"/>
      <c r="BH819" s="123"/>
      <c r="BI819" s="123"/>
      <c r="BJ819" s="123"/>
      <c r="BK819" s="123"/>
      <c r="BL819" s="123"/>
      <c r="BM819" s="123"/>
      <c r="BN819" s="123"/>
      <c r="BO819" s="123"/>
      <c r="BP819" s="123"/>
      <c r="BQ819" s="123"/>
      <c r="BR819" s="123"/>
      <c r="BS819" s="123"/>
      <c r="BT819" s="123"/>
      <c r="BU819" s="123"/>
      <c r="BV819" s="123"/>
      <c r="BW819" s="123"/>
      <c r="BX819" s="123"/>
      <c r="BY819" s="123"/>
      <c r="BZ819" s="123"/>
      <c r="CA819" s="123"/>
      <c r="CB819" s="123"/>
      <c r="CC819" s="123"/>
      <c r="CD819" s="123"/>
      <c r="CE819" s="123"/>
      <c r="CF819" s="123"/>
      <c r="CG819" s="123"/>
      <c r="CH819" s="123"/>
      <c r="CI819" s="123"/>
    </row>
    <row r="820" spans="1:87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123"/>
      <c r="T820" s="124"/>
      <c r="U820" s="123"/>
      <c r="V820" s="123"/>
      <c r="W820" s="124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  <c r="AV820" s="123"/>
      <c r="AW820" s="123"/>
      <c r="AX820" s="123"/>
      <c r="AY820" s="123"/>
      <c r="AZ820" s="123"/>
      <c r="BA820" s="123"/>
      <c r="BB820" s="123"/>
      <c r="BC820" s="123"/>
      <c r="BD820" s="123"/>
      <c r="BE820" s="123"/>
      <c r="BF820" s="123"/>
      <c r="BG820" s="123"/>
      <c r="BH820" s="123"/>
      <c r="BI820" s="123"/>
      <c r="BJ820" s="123"/>
      <c r="BK820" s="123"/>
      <c r="BL820" s="123"/>
      <c r="BM820" s="123"/>
      <c r="BN820" s="123"/>
      <c r="BO820" s="123"/>
      <c r="BP820" s="123"/>
      <c r="BQ820" s="123"/>
      <c r="BR820" s="123"/>
      <c r="BS820" s="123"/>
      <c r="BT820" s="123"/>
      <c r="BU820" s="123"/>
      <c r="BV820" s="123"/>
      <c r="BW820" s="123"/>
      <c r="BX820" s="123"/>
      <c r="BY820" s="123"/>
      <c r="BZ820" s="123"/>
      <c r="CA820" s="123"/>
      <c r="CB820" s="123"/>
      <c r="CC820" s="123"/>
      <c r="CD820" s="123"/>
      <c r="CE820" s="123"/>
      <c r="CF820" s="123"/>
      <c r="CG820" s="123"/>
      <c r="CH820" s="123"/>
      <c r="CI820" s="123"/>
    </row>
    <row r="821" spans="1:87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123"/>
      <c r="T821" s="124"/>
      <c r="U821" s="123"/>
      <c r="V821" s="123"/>
      <c r="W821" s="124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  <c r="AV821" s="123"/>
      <c r="AW821" s="123"/>
      <c r="AX821" s="123"/>
      <c r="AY821" s="123"/>
      <c r="AZ821" s="123"/>
      <c r="BA821" s="123"/>
      <c r="BB821" s="123"/>
      <c r="BC821" s="123"/>
      <c r="BD821" s="123"/>
      <c r="BE821" s="123"/>
      <c r="BF821" s="123"/>
      <c r="BG821" s="123"/>
      <c r="BH821" s="123"/>
      <c r="BI821" s="123"/>
      <c r="BJ821" s="123"/>
      <c r="BK821" s="123"/>
      <c r="BL821" s="123"/>
      <c r="BM821" s="123"/>
      <c r="BN821" s="123"/>
      <c r="BO821" s="123"/>
      <c r="BP821" s="123"/>
      <c r="BQ821" s="123"/>
      <c r="BR821" s="123"/>
      <c r="BS821" s="123"/>
      <c r="BT821" s="123"/>
      <c r="BU821" s="123"/>
      <c r="BV821" s="123"/>
      <c r="BW821" s="123"/>
      <c r="BX821" s="123"/>
      <c r="BY821" s="123"/>
      <c r="BZ821" s="123"/>
      <c r="CA821" s="123"/>
      <c r="CB821" s="123"/>
      <c r="CC821" s="123"/>
      <c r="CD821" s="123"/>
      <c r="CE821" s="123"/>
      <c r="CF821" s="123"/>
      <c r="CG821" s="123"/>
      <c r="CH821" s="123"/>
      <c r="CI821" s="123"/>
    </row>
    <row r="822" spans="1:87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123"/>
      <c r="T822" s="124"/>
      <c r="U822" s="123"/>
      <c r="V822" s="123"/>
      <c r="W822" s="124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  <c r="AV822" s="123"/>
      <c r="AW822" s="123"/>
      <c r="AX822" s="123"/>
      <c r="AY822" s="123"/>
      <c r="AZ822" s="123"/>
      <c r="BA822" s="123"/>
      <c r="BB822" s="123"/>
      <c r="BC822" s="123"/>
      <c r="BD822" s="123"/>
      <c r="BE822" s="123"/>
      <c r="BF822" s="123"/>
      <c r="BG822" s="123"/>
      <c r="BH822" s="123"/>
      <c r="BI822" s="123"/>
      <c r="BJ822" s="123"/>
      <c r="BK822" s="123"/>
      <c r="BL822" s="123"/>
      <c r="BM822" s="123"/>
      <c r="BN822" s="123"/>
      <c r="BO822" s="123"/>
      <c r="BP822" s="123"/>
      <c r="BQ822" s="123"/>
      <c r="BR822" s="123"/>
      <c r="BS822" s="123"/>
      <c r="BT822" s="123"/>
      <c r="BU822" s="123"/>
      <c r="BV822" s="123"/>
      <c r="BW822" s="123"/>
      <c r="BX822" s="123"/>
      <c r="BY822" s="123"/>
      <c r="BZ822" s="123"/>
      <c r="CA822" s="123"/>
      <c r="CB822" s="123"/>
      <c r="CC822" s="123"/>
      <c r="CD822" s="123"/>
      <c r="CE822" s="123"/>
      <c r="CF822" s="123"/>
      <c r="CG822" s="123"/>
      <c r="CH822" s="123"/>
      <c r="CI822" s="123"/>
    </row>
    <row r="823" spans="1:87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123"/>
      <c r="T823" s="124"/>
      <c r="U823" s="123"/>
      <c r="V823" s="123"/>
      <c r="W823" s="124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  <c r="AV823" s="123"/>
      <c r="AW823" s="123"/>
      <c r="AX823" s="123"/>
      <c r="AY823" s="123"/>
      <c r="AZ823" s="123"/>
      <c r="BA823" s="123"/>
      <c r="BB823" s="123"/>
      <c r="BC823" s="123"/>
      <c r="BD823" s="123"/>
      <c r="BE823" s="123"/>
      <c r="BF823" s="123"/>
      <c r="BG823" s="123"/>
      <c r="BH823" s="123"/>
      <c r="BI823" s="123"/>
      <c r="BJ823" s="123"/>
      <c r="BK823" s="123"/>
      <c r="BL823" s="123"/>
      <c r="BM823" s="123"/>
      <c r="BN823" s="123"/>
      <c r="BO823" s="123"/>
      <c r="BP823" s="123"/>
      <c r="BQ823" s="123"/>
      <c r="BR823" s="123"/>
      <c r="BS823" s="123"/>
      <c r="BT823" s="123"/>
      <c r="BU823" s="123"/>
      <c r="BV823" s="123"/>
      <c r="BW823" s="123"/>
      <c r="BX823" s="123"/>
      <c r="BY823" s="123"/>
      <c r="BZ823" s="123"/>
      <c r="CA823" s="123"/>
      <c r="CB823" s="123"/>
      <c r="CC823" s="123"/>
      <c r="CD823" s="123"/>
      <c r="CE823" s="123"/>
      <c r="CF823" s="123"/>
      <c r="CG823" s="123"/>
      <c r="CH823" s="123"/>
      <c r="CI823" s="123"/>
    </row>
    <row r="824" spans="1:87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123"/>
      <c r="T824" s="124"/>
      <c r="U824" s="123"/>
      <c r="V824" s="123"/>
      <c r="W824" s="124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  <c r="AV824" s="123"/>
      <c r="AW824" s="123"/>
      <c r="AX824" s="123"/>
      <c r="AY824" s="123"/>
      <c r="AZ824" s="123"/>
      <c r="BA824" s="123"/>
      <c r="BB824" s="123"/>
      <c r="BC824" s="123"/>
      <c r="BD824" s="123"/>
      <c r="BE824" s="123"/>
      <c r="BF824" s="123"/>
      <c r="BG824" s="123"/>
      <c r="BH824" s="123"/>
      <c r="BI824" s="123"/>
      <c r="BJ824" s="123"/>
      <c r="BK824" s="123"/>
      <c r="BL824" s="123"/>
      <c r="BM824" s="123"/>
      <c r="BN824" s="123"/>
      <c r="BO824" s="123"/>
      <c r="BP824" s="123"/>
      <c r="BQ824" s="123"/>
      <c r="BR824" s="123"/>
      <c r="BS824" s="123"/>
      <c r="BT824" s="123"/>
      <c r="BU824" s="123"/>
      <c r="BV824" s="123"/>
      <c r="BW824" s="123"/>
      <c r="BX824" s="123"/>
      <c r="BY824" s="123"/>
      <c r="BZ824" s="123"/>
      <c r="CA824" s="123"/>
      <c r="CB824" s="123"/>
      <c r="CC824" s="123"/>
      <c r="CD824" s="123"/>
      <c r="CE824" s="123"/>
      <c r="CF824" s="123"/>
      <c r="CG824" s="123"/>
      <c r="CH824" s="123"/>
      <c r="CI824" s="123"/>
    </row>
    <row r="825" spans="1:87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123"/>
      <c r="T825" s="124"/>
      <c r="U825" s="123"/>
      <c r="V825" s="123"/>
      <c r="W825" s="124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  <c r="AV825" s="123"/>
      <c r="AW825" s="123"/>
      <c r="AX825" s="123"/>
      <c r="AY825" s="123"/>
      <c r="AZ825" s="123"/>
      <c r="BA825" s="123"/>
      <c r="BB825" s="123"/>
      <c r="BC825" s="123"/>
      <c r="BD825" s="123"/>
      <c r="BE825" s="123"/>
      <c r="BF825" s="123"/>
      <c r="BG825" s="123"/>
      <c r="BH825" s="123"/>
      <c r="BI825" s="123"/>
      <c r="BJ825" s="123"/>
      <c r="BK825" s="123"/>
      <c r="BL825" s="123"/>
      <c r="BM825" s="123"/>
      <c r="BN825" s="123"/>
      <c r="BO825" s="123"/>
      <c r="BP825" s="123"/>
      <c r="BQ825" s="123"/>
      <c r="BR825" s="123"/>
      <c r="BS825" s="123"/>
      <c r="BT825" s="123"/>
      <c r="BU825" s="123"/>
      <c r="BV825" s="123"/>
      <c r="BW825" s="123"/>
      <c r="BX825" s="123"/>
      <c r="BY825" s="123"/>
      <c r="BZ825" s="123"/>
      <c r="CA825" s="123"/>
      <c r="CB825" s="123"/>
      <c r="CC825" s="123"/>
      <c r="CD825" s="123"/>
      <c r="CE825" s="123"/>
      <c r="CF825" s="123"/>
      <c r="CG825" s="123"/>
      <c r="CH825" s="123"/>
      <c r="CI825" s="123"/>
    </row>
    <row r="826" spans="1:87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123"/>
      <c r="T826" s="124"/>
      <c r="U826" s="123"/>
      <c r="V826" s="123"/>
      <c r="W826" s="124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  <c r="AV826" s="123"/>
      <c r="AW826" s="123"/>
      <c r="AX826" s="123"/>
      <c r="AY826" s="123"/>
      <c r="AZ826" s="123"/>
      <c r="BA826" s="123"/>
      <c r="BB826" s="123"/>
      <c r="BC826" s="123"/>
      <c r="BD826" s="123"/>
      <c r="BE826" s="123"/>
      <c r="BF826" s="123"/>
      <c r="BG826" s="123"/>
      <c r="BH826" s="123"/>
      <c r="BI826" s="123"/>
      <c r="BJ826" s="123"/>
      <c r="BK826" s="123"/>
      <c r="BL826" s="123"/>
      <c r="BM826" s="123"/>
      <c r="BN826" s="123"/>
      <c r="BO826" s="123"/>
      <c r="BP826" s="123"/>
      <c r="BQ826" s="123"/>
      <c r="BR826" s="123"/>
      <c r="BS826" s="123"/>
      <c r="BT826" s="123"/>
      <c r="BU826" s="123"/>
      <c r="BV826" s="123"/>
      <c r="BW826" s="123"/>
      <c r="BX826" s="123"/>
      <c r="BY826" s="123"/>
      <c r="BZ826" s="123"/>
      <c r="CA826" s="123"/>
      <c r="CB826" s="123"/>
      <c r="CC826" s="123"/>
      <c r="CD826" s="123"/>
      <c r="CE826" s="123"/>
      <c r="CF826" s="123"/>
      <c r="CG826" s="123"/>
      <c r="CH826" s="123"/>
      <c r="CI826" s="123"/>
    </row>
    <row r="827" spans="1:87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123"/>
      <c r="T827" s="124"/>
      <c r="U827" s="123"/>
      <c r="V827" s="123"/>
      <c r="W827" s="124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  <c r="AV827" s="123"/>
      <c r="AW827" s="123"/>
      <c r="AX827" s="123"/>
      <c r="AY827" s="123"/>
      <c r="AZ827" s="123"/>
      <c r="BA827" s="123"/>
      <c r="BB827" s="123"/>
      <c r="BC827" s="123"/>
      <c r="BD827" s="123"/>
      <c r="BE827" s="123"/>
      <c r="BF827" s="123"/>
      <c r="BG827" s="123"/>
      <c r="BH827" s="123"/>
      <c r="BI827" s="123"/>
      <c r="BJ827" s="123"/>
      <c r="BK827" s="123"/>
      <c r="BL827" s="123"/>
      <c r="BM827" s="123"/>
      <c r="BN827" s="123"/>
      <c r="BO827" s="123"/>
      <c r="BP827" s="123"/>
      <c r="BQ827" s="123"/>
      <c r="BR827" s="123"/>
      <c r="BS827" s="123"/>
      <c r="BT827" s="123"/>
      <c r="BU827" s="123"/>
      <c r="BV827" s="123"/>
      <c r="BW827" s="123"/>
      <c r="BX827" s="123"/>
      <c r="BY827" s="123"/>
      <c r="BZ827" s="123"/>
      <c r="CA827" s="123"/>
      <c r="CB827" s="123"/>
      <c r="CC827" s="123"/>
      <c r="CD827" s="123"/>
      <c r="CE827" s="123"/>
      <c r="CF827" s="123"/>
      <c r="CG827" s="123"/>
      <c r="CH827" s="123"/>
      <c r="CI827" s="123"/>
    </row>
    <row r="828" spans="1:87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123"/>
      <c r="T828" s="124"/>
      <c r="U828" s="123"/>
      <c r="V828" s="123"/>
      <c r="W828" s="124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  <c r="AV828" s="123"/>
      <c r="AW828" s="123"/>
      <c r="AX828" s="123"/>
      <c r="AY828" s="123"/>
      <c r="AZ828" s="123"/>
      <c r="BA828" s="123"/>
      <c r="BB828" s="123"/>
      <c r="BC828" s="123"/>
      <c r="BD828" s="123"/>
      <c r="BE828" s="123"/>
      <c r="BF828" s="123"/>
      <c r="BG828" s="123"/>
      <c r="BH828" s="123"/>
      <c r="BI828" s="123"/>
      <c r="BJ828" s="123"/>
      <c r="BK828" s="123"/>
      <c r="BL828" s="123"/>
      <c r="BM828" s="123"/>
      <c r="BN828" s="123"/>
      <c r="BO828" s="123"/>
      <c r="BP828" s="123"/>
      <c r="BQ828" s="123"/>
      <c r="BR828" s="123"/>
      <c r="BS828" s="123"/>
      <c r="BT828" s="123"/>
      <c r="BU828" s="123"/>
      <c r="BV828" s="123"/>
      <c r="BW828" s="123"/>
      <c r="BX828" s="123"/>
      <c r="BY828" s="123"/>
      <c r="BZ828" s="123"/>
      <c r="CA828" s="123"/>
      <c r="CB828" s="123"/>
      <c r="CC828" s="123"/>
      <c r="CD828" s="123"/>
      <c r="CE828" s="123"/>
      <c r="CF828" s="123"/>
      <c r="CG828" s="123"/>
      <c r="CH828" s="123"/>
      <c r="CI828" s="123"/>
    </row>
    <row r="829" spans="1:87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123"/>
      <c r="T829" s="124"/>
      <c r="U829" s="123"/>
      <c r="V829" s="123"/>
      <c r="W829" s="124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  <c r="AV829" s="123"/>
      <c r="AW829" s="123"/>
      <c r="AX829" s="123"/>
      <c r="AY829" s="123"/>
      <c r="AZ829" s="123"/>
      <c r="BA829" s="123"/>
      <c r="BB829" s="123"/>
      <c r="BC829" s="123"/>
      <c r="BD829" s="123"/>
      <c r="BE829" s="123"/>
      <c r="BF829" s="123"/>
      <c r="BG829" s="123"/>
      <c r="BH829" s="123"/>
      <c r="BI829" s="123"/>
      <c r="BJ829" s="123"/>
      <c r="BK829" s="123"/>
      <c r="BL829" s="123"/>
      <c r="BM829" s="123"/>
      <c r="BN829" s="123"/>
      <c r="BO829" s="123"/>
      <c r="BP829" s="123"/>
      <c r="BQ829" s="123"/>
      <c r="BR829" s="123"/>
      <c r="BS829" s="123"/>
      <c r="BT829" s="123"/>
      <c r="BU829" s="123"/>
      <c r="BV829" s="123"/>
      <c r="BW829" s="123"/>
      <c r="BX829" s="123"/>
      <c r="BY829" s="123"/>
      <c r="BZ829" s="123"/>
      <c r="CA829" s="123"/>
      <c r="CB829" s="123"/>
      <c r="CC829" s="123"/>
      <c r="CD829" s="123"/>
      <c r="CE829" s="123"/>
      <c r="CF829" s="123"/>
      <c r="CG829" s="123"/>
      <c r="CH829" s="123"/>
      <c r="CI829" s="123"/>
    </row>
    <row r="830" spans="1:87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123"/>
      <c r="T830" s="124"/>
      <c r="U830" s="123"/>
      <c r="V830" s="123"/>
      <c r="W830" s="124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  <c r="AV830" s="123"/>
      <c r="AW830" s="123"/>
      <c r="AX830" s="123"/>
      <c r="AY830" s="123"/>
      <c r="AZ830" s="123"/>
      <c r="BA830" s="123"/>
      <c r="BB830" s="123"/>
      <c r="BC830" s="123"/>
      <c r="BD830" s="123"/>
      <c r="BE830" s="123"/>
      <c r="BF830" s="123"/>
      <c r="BG830" s="123"/>
      <c r="BH830" s="123"/>
      <c r="BI830" s="123"/>
      <c r="BJ830" s="123"/>
      <c r="BK830" s="123"/>
      <c r="BL830" s="123"/>
      <c r="BM830" s="123"/>
      <c r="BN830" s="123"/>
      <c r="BO830" s="123"/>
      <c r="BP830" s="123"/>
      <c r="BQ830" s="123"/>
      <c r="BR830" s="123"/>
      <c r="BS830" s="123"/>
      <c r="BT830" s="123"/>
      <c r="BU830" s="123"/>
      <c r="BV830" s="123"/>
      <c r="BW830" s="123"/>
      <c r="BX830" s="123"/>
      <c r="BY830" s="123"/>
      <c r="BZ830" s="123"/>
      <c r="CA830" s="123"/>
      <c r="CB830" s="123"/>
      <c r="CC830" s="123"/>
      <c r="CD830" s="123"/>
      <c r="CE830" s="123"/>
      <c r="CF830" s="123"/>
      <c r="CG830" s="123"/>
      <c r="CH830" s="123"/>
      <c r="CI830" s="123"/>
    </row>
    <row r="831" spans="1:87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123"/>
      <c r="T831" s="124"/>
      <c r="U831" s="123"/>
      <c r="V831" s="123"/>
      <c r="W831" s="124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  <c r="AV831" s="123"/>
      <c r="AW831" s="123"/>
      <c r="AX831" s="123"/>
      <c r="AY831" s="123"/>
      <c r="AZ831" s="123"/>
      <c r="BA831" s="123"/>
      <c r="BB831" s="123"/>
      <c r="BC831" s="123"/>
      <c r="BD831" s="123"/>
      <c r="BE831" s="123"/>
      <c r="BF831" s="123"/>
      <c r="BG831" s="123"/>
      <c r="BH831" s="123"/>
      <c r="BI831" s="123"/>
      <c r="BJ831" s="123"/>
      <c r="BK831" s="123"/>
      <c r="BL831" s="123"/>
      <c r="BM831" s="123"/>
      <c r="BN831" s="123"/>
      <c r="BO831" s="123"/>
      <c r="BP831" s="123"/>
      <c r="BQ831" s="123"/>
      <c r="BR831" s="123"/>
      <c r="BS831" s="123"/>
      <c r="BT831" s="123"/>
      <c r="BU831" s="123"/>
      <c r="BV831" s="123"/>
      <c r="BW831" s="123"/>
      <c r="BX831" s="123"/>
      <c r="BY831" s="123"/>
      <c r="BZ831" s="123"/>
      <c r="CA831" s="123"/>
      <c r="CB831" s="123"/>
      <c r="CC831" s="123"/>
      <c r="CD831" s="123"/>
      <c r="CE831" s="123"/>
      <c r="CF831" s="123"/>
      <c r="CG831" s="123"/>
      <c r="CH831" s="123"/>
      <c r="CI831" s="123"/>
    </row>
    <row r="832" spans="1:87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123"/>
      <c r="T832" s="124"/>
      <c r="U832" s="123"/>
      <c r="V832" s="123"/>
      <c r="W832" s="124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  <c r="AV832" s="123"/>
      <c r="AW832" s="123"/>
      <c r="AX832" s="123"/>
      <c r="AY832" s="123"/>
      <c r="AZ832" s="123"/>
      <c r="BA832" s="123"/>
      <c r="BB832" s="123"/>
      <c r="BC832" s="123"/>
      <c r="BD832" s="123"/>
      <c r="BE832" s="123"/>
      <c r="BF832" s="123"/>
      <c r="BG832" s="123"/>
      <c r="BH832" s="123"/>
      <c r="BI832" s="123"/>
      <c r="BJ832" s="123"/>
      <c r="BK832" s="123"/>
      <c r="BL832" s="123"/>
      <c r="BM832" s="123"/>
      <c r="BN832" s="123"/>
      <c r="BO832" s="123"/>
      <c r="BP832" s="123"/>
      <c r="BQ832" s="123"/>
      <c r="BR832" s="123"/>
      <c r="BS832" s="123"/>
      <c r="BT832" s="123"/>
      <c r="BU832" s="123"/>
      <c r="BV832" s="123"/>
      <c r="BW832" s="123"/>
      <c r="BX832" s="123"/>
      <c r="BY832" s="123"/>
      <c r="BZ832" s="123"/>
      <c r="CA832" s="123"/>
      <c r="CB832" s="123"/>
      <c r="CC832" s="123"/>
      <c r="CD832" s="123"/>
      <c r="CE832" s="123"/>
      <c r="CF832" s="123"/>
      <c r="CG832" s="123"/>
      <c r="CH832" s="123"/>
      <c r="CI832" s="123"/>
    </row>
    <row r="833" spans="1:87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123"/>
      <c r="T833" s="124"/>
      <c r="U833" s="123"/>
      <c r="V833" s="123"/>
      <c r="W833" s="124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  <c r="AV833" s="123"/>
      <c r="AW833" s="123"/>
      <c r="AX833" s="123"/>
      <c r="AY833" s="123"/>
      <c r="AZ833" s="123"/>
      <c r="BA833" s="123"/>
      <c r="BB833" s="123"/>
      <c r="BC833" s="123"/>
      <c r="BD833" s="123"/>
      <c r="BE833" s="123"/>
      <c r="BF833" s="123"/>
      <c r="BG833" s="123"/>
      <c r="BH833" s="123"/>
      <c r="BI833" s="123"/>
      <c r="BJ833" s="123"/>
      <c r="BK833" s="123"/>
      <c r="BL833" s="123"/>
      <c r="BM833" s="123"/>
      <c r="BN833" s="123"/>
      <c r="BO833" s="123"/>
      <c r="BP833" s="123"/>
      <c r="BQ833" s="123"/>
      <c r="BR833" s="123"/>
      <c r="BS833" s="123"/>
      <c r="BT833" s="123"/>
      <c r="BU833" s="123"/>
      <c r="BV833" s="123"/>
      <c r="BW833" s="123"/>
      <c r="BX833" s="123"/>
      <c r="BY833" s="123"/>
      <c r="BZ833" s="123"/>
      <c r="CA833" s="123"/>
      <c r="CB833" s="123"/>
      <c r="CC833" s="123"/>
      <c r="CD833" s="123"/>
      <c r="CE833" s="123"/>
      <c r="CF833" s="123"/>
      <c r="CG833" s="123"/>
      <c r="CH833" s="123"/>
      <c r="CI833" s="123"/>
    </row>
    <row r="834" spans="1:87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123"/>
      <c r="T834" s="124"/>
      <c r="U834" s="123"/>
      <c r="V834" s="123"/>
      <c r="W834" s="124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  <c r="AV834" s="123"/>
      <c r="AW834" s="123"/>
      <c r="AX834" s="123"/>
      <c r="AY834" s="123"/>
      <c r="AZ834" s="123"/>
      <c r="BA834" s="123"/>
      <c r="BB834" s="123"/>
      <c r="BC834" s="123"/>
      <c r="BD834" s="123"/>
      <c r="BE834" s="123"/>
      <c r="BF834" s="123"/>
      <c r="BG834" s="123"/>
      <c r="BH834" s="123"/>
      <c r="BI834" s="123"/>
      <c r="BJ834" s="123"/>
      <c r="BK834" s="123"/>
      <c r="BL834" s="123"/>
      <c r="BM834" s="123"/>
      <c r="BN834" s="123"/>
      <c r="BO834" s="123"/>
      <c r="BP834" s="123"/>
      <c r="BQ834" s="123"/>
      <c r="BR834" s="123"/>
      <c r="BS834" s="123"/>
      <c r="BT834" s="123"/>
      <c r="BU834" s="123"/>
      <c r="BV834" s="123"/>
      <c r="BW834" s="123"/>
      <c r="BX834" s="123"/>
      <c r="BY834" s="123"/>
      <c r="BZ834" s="123"/>
      <c r="CA834" s="123"/>
      <c r="CB834" s="123"/>
      <c r="CC834" s="123"/>
      <c r="CD834" s="123"/>
      <c r="CE834" s="123"/>
      <c r="CF834" s="123"/>
      <c r="CG834" s="123"/>
      <c r="CH834" s="123"/>
      <c r="CI834" s="123"/>
    </row>
    <row r="835" spans="1:87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123"/>
      <c r="T835" s="124"/>
      <c r="U835" s="123"/>
      <c r="V835" s="123"/>
      <c r="W835" s="124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  <c r="AV835" s="123"/>
      <c r="AW835" s="123"/>
      <c r="AX835" s="123"/>
      <c r="AY835" s="123"/>
      <c r="AZ835" s="123"/>
      <c r="BA835" s="123"/>
      <c r="BB835" s="123"/>
      <c r="BC835" s="123"/>
      <c r="BD835" s="123"/>
      <c r="BE835" s="123"/>
      <c r="BF835" s="123"/>
      <c r="BG835" s="123"/>
      <c r="BH835" s="123"/>
      <c r="BI835" s="123"/>
      <c r="BJ835" s="123"/>
      <c r="BK835" s="123"/>
      <c r="BL835" s="123"/>
      <c r="BM835" s="123"/>
      <c r="BN835" s="123"/>
      <c r="BO835" s="123"/>
      <c r="BP835" s="123"/>
      <c r="BQ835" s="123"/>
      <c r="BR835" s="123"/>
      <c r="BS835" s="123"/>
      <c r="BT835" s="123"/>
      <c r="BU835" s="123"/>
      <c r="BV835" s="123"/>
      <c r="BW835" s="123"/>
      <c r="BX835" s="123"/>
      <c r="BY835" s="123"/>
      <c r="BZ835" s="123"/>
      <c r="CA835" s="123"/>
      <c r="CB835" s="123"/>
      <c r="CC835" s="123"/>
      <c r="CD835" s="123"/>
      <c r="CE835" s="123"/>
      <c r="CF835" s="123"/>
      <c r="CG835" s="123"/>
      <c r="CH835" s="123"/>
      <c r="CI835" s="123"/>
    </row>
    <row r="836" spans="1:87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123"/>
      <c r="T836" s="124"/>
      <c r="U836" s="123"/>
      <c r="V836" s="123"/>
      <c r="W836" s="124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  <c r="AV836" s="123"/>
      <c r="AW836" s="123"/>
      <c r="AX836" s="123"/>
      <c r="AY836" s="123"/>
      <c r="AZ836" s="123"/>
      <c r="BA836" s="123"/>
      <c r="BB836" s="123"/>
      <c r="BC836" s="123"/>
      <c r="BD836" s="123"/>
      <c r="BE836" s="123"/>
      <c r="BF836" s="123"/>
      <c r="BG836" s="123"/>
      <c r="BH836" s="123"/>
      <c r="BI836" s="123"/>
      <c r="BJ836" s="123"/>
      <c r="BK836" s="123"/>
      <c r="BL836" s="123"/>
      <c r="BM836" s="123"/>
      <c r="BN836" s="123"/>
      <c r="BO836" s="123"/>
      <c r="BP836" s="123"/>
      <c r="BQ836" s="123"/>
      <c r="BR836" s="123"/>
      <c r="BS836" s="123"/>
      <c r="BT836" s="123"/>
      <c r="BU836" s="123"/>
      <c r="BV836" s="123"/>
      <c r="BW836" s="123"/>
      <c r="BX836" s="123"/>
      <c r="BY836" s="123"/>
      <c r="BZ836" s="123"/>
      <c r="CA836" s="123"/>
      <c r="CB836" s="123"/>
      <c r="CC836" s="123"/>
      <c r="CD836" s="123"/>
      <c r="CE836" s="123"/>
      <c r="CF836" s="123"/>
      <c r="CG836" s="123"/>
      <c r="CH836" s="123"/>
      <c r="CI836" s="123"/>
    </row>
    <row r="837" spans="1:87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123"/>
      <c r="T837" s="124"/>
      <c r="U837" s="123"/>
      <c r="V837" s="123"/>
      <c r="W837" s="124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  <c r="AV837" s="123"/>
      <c r="AW837" s="123"/>
      <c r="AX837" s="123"/>
      <c r="AY837" s="123"/>
      <c r="AZ837" s="123"/>
      <c r="BA837" s="123"/>
      <c r="BB837" s="123"/>
      <c r="BC837" s="123"/>
      <c r="BD837" s="123"/>
      <c r="BE837" s="123"/>
      <c r="BF837" s="123"/>
      <c r="BG837" s="123"/>
      <c r="BH837" s="123"/>
      <c r="BI837" s="123"/>
      <c r="BJ837" s="123"/>
      <c r="BK837" s="123"/>
      <c r="BL837" s="123"/>
      <c r="BM837" s="123"/>
      <c r="BN837" s="123"/>
      <c r="BO837" s="123"/>
      <c r="BP837" s="123"/>
      <c r="BQ837" s="123"/>
      <c r="BR837" s="123"/>
      <c r="BS837" s="123"/>
      <c r="BT837" s="123"/>
      <c r="BU837" s="123"/>
      <c r="BV837" s="123"/>
      <c r="BW837" s="123"/>
      <c r="BX837" s="123"/>
      <c r="BY837" s="123"/>
      <c r="BZ837" s="123"/>
      <c r="CA837" s="123"/>
      <c r="CB837" s="123"/>
      <c r="CC837" s="123"/>
      <c r="CD837" s="123"/>
      <c r="CE837" s="123"/>
      <c r="CF837" s="123"/>
      <c r="CG837" s="123"/>
      <c r="CH837" s="123"/>
      <c r="CI837" s="123"/>
    </row>
    <row r="838" spans="1:87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123"/>
      <c r="T838" s="124"/>
      <c r="U838" s="123"/>
      <c r="V838" s="123"/>
      <c r="W838" s="124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  <c r="AV838" s="123"/>
      <c r="AW838" s="123"/>
      <c r="AX838" s="123"/>
      <c r="AY838" s="123"/>
      <c r="AZ838" s="123"/>
      <c r="BA838" s="123"/>
      <c r="BB838" s="123"/>
      <c r="BC838" s="123"/>
      <c r="BD838" s="123"/>
      <c r="BE838" s="123"/>
      <c r="BF838" s="123"/>
      <c r="BG838" s="123"/>
      <c r="BH838" s="123"/>
      <c r="BI838" s="123"/>
      <c r="BJ838" s="123"/>
      <c r="BK838" s="123"/>
      <c r="BL838" s="123"/>
      <c r="BM838" s="123"/>
      <c r="BN838" s="123"/>
      <c r="BO838" s="123"/>
      <c r="BP838" s="123"/>
      <c r="BQ838" s="123"/>
      <c r="BR838" s="123"/>
      <c r="BS838" s="123"/>
      <c r="BT838" s="123"/>
      <c r="BU838" s="123"/>
      <c r="BV838" s="123"/>
      <c r="BW838" s="123"/>
      <c r="BX838" s="123"/>
      <c r="BY838" s="123"/>
      <c r="BZ838" s="123"/>
      <c r="CA838" s="123"/>
      <c r="CB838" s="123"/>
      <c r="CC838" s="123"/>
      <c r="CD838" s="123"/>
      <c r="CE838" s="123"/>
      <c r="CF838" s="123"/>
      <c r="CG838" s="123"/>
      <c r="CH838" s="123"/>
      <c r="CI838" s="123"/>
    </row>
    <row r="839" spans="1:87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123"/>
      <c r="T839" s="124"/>
      <c r="U839" s="123"/>
      <c r="V839" s="123"/>
      <c r="W839" s="124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  <c r="AV839" s="123"/>
      <c r="AW839" s="123"/>
      <c r="AX839" s="123"/>
      <c r="AY839" s="123"/>
      <c r="AZ839" s="123"/>
      <c r="BA839" s="123"/>
      <c r="BB839" s="123"/>
      <c r="BC839" s="123"/>
      <c r="BD839" s="123"/>
      <c r="BE839" s="123"/>
      <c r="BF839" s="123"/>
      <c r="BG839" s="123"/>
      <c r="BH839" s="123"/>
      <c r="BI839" s="123"/>
      <c r="BJ839" s="123"/>
      <c r="BK839" s="123"/>
      <c r="BL839" s="123"/>
      <c r="BM839" s="123"/>
      <c r="BN839" s="123"/>
      <c r="BO839" s="123"/>
      <c r="BP839" s="123"/>
      <c r="BQ839" s="123"/>
      <c r="BR839" s="123"/>
      <c r="BS839" s="123"/>
      <c r="BT839" s="123"/>
      <c r="BU839" s="123"/>
      <c r="BV839" s="123"/>
      <c r="BW839" s="123"/>
      <c r="BX839" s="123"/>
      <c r="BY839" s="123"/>
      <c r="BZ839" s="123"/>
      <c r="CA839" s="123"/>
      <c r="CB839" s="123"/>
      <c r="CC839" s="123"/>
      <c r="CD839" s="123"/>
      <c r="CE839" s="123"/>
      <c r="CF839" s="123"/>
      <c r="CG839" s="123"/>
      <c r="CH839" s="123"/>
      <c r="CI839" s="123"/>
    </row>
    <row r="840" spans="1:87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123"/>
      <c r="T840" s="124"/>
      <c r="U840" s="123"/>
      <c r="V840" s="123"/>
      <c r="W840" s="124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  <c r="AV840" s="123"/>
      <c r="AW840" s="123"/>
      <c r="AX840" s="123"/>
      <c r="AY840" s="123"/>
      <c r="AZ840" s="123"/>
      <c r="BA840" s="123"/>
      <c r="BB840" s="123"/>
      <c r="BC840" s="123"/>
      <c r="BD840" s="123"/>
      <c r="BE840" s="123"/>
      <c r="BF840" s="123"/>
      <c r="BG840" s="123"/>
      <c r="BH840" s="123"/>
      <c r="BI840" s="123"/>
      <c r="BJ840" s="123"/>
      <c r="BK840" s="123"/>
      <c r="BL840" s="123"/>
      <c r="BM840" s="123"/>
      <c r="BN840" s="123"/>
      <c r="BO840" s="123"/>
      <c r="BP840" s="123"/>
      <c r="BQ840" s="123"/>
      <c r="BR840" s="123"/>
      <c r="BS840" s="123"/>
      <c r="BT840" s="123"/>
      <c r="BU840" s="123"/>
      <c r="BV840" s="123"/>
      <c r="BW840" s="123"/>
      <c r="BX840" s="123"/>
      <c r="BY840" s="123"/>
      <c r="BZ840" s="123"/>
      <c r="CA840" s="123"/>
      <c r="CB840" s="123"/>
      <c r="CC840" s="123"/>
      <c r="CD840" s="123"/>
      <c r="CE840" s="123"/>
      <c r="CF840" s="123"/>
      <c r="CG840" s="123"/>
      <c r="CH840" s="123"/>
      <c r="CI840" s="123"/>
    </row>
    <row r="841" spans="1:87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123"/>
      <c r="T841" s="124"/>
      <c r="U841" s="123"/>
      <c r="V841" s="123"/>
      <c r="W841" s="124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  <c r="AV841" s="123"/>
      <c r="AW841" s="123"/>
      <c r="AX841" s="123"/>
      <c r="AY841" s="123"/>
      <c r="AZ841" s="123"/>
      <c r="BA841" s="123"/>
      <c r="BB841" s="123"/>
      <c r="BC841" s="123"/>
      <c r="BD841" s="123"/>
      <c r="BE841" s="123"/>
      <c r="BF841" s="123"/>
      <c r="BG841" s="123"/>
      <c r="BH841" s="123"/>
      <c r="BI841" s="123"/>
      <c r="BJ841" s="123"/>
      <c r="BK841" s="123"/>
      <c r="BL841" s="123"/>
      <c r="BM841" s="123"/>
      <c r="BN841" s="123"/>
      <c r="BO841" s="123"/>
      <c r="BP841" s="123"/>
      <c r="BQ841" s="123"/>
      <c r="BR841" s="123"/>
      <c r="BS841" s="123"/>
      <c r="BT841" s="123"/>
      <c r="BU841" s="123"/>
      <c r="BV841" s="123"/>
      <c r="BW841" s="123"/>
      <c r="BX841" s="123"/>
      <c r="BY841" s="123"/>
      <c r="BZ841" s="123"/>
      <c r="CA841" s="123"/>
      <c r="CB841" s="123"/>
      <c r="CC841" s="123"/>
      <c r="CD841" s="123"/>
      <c r="CE841" s="123"/>
      <c r="CF841" s="123"/>
      <c r="CG841" s="123"/>
      <c r="CH841" s="123"/>
      <c r="CI841" s="123"/>
    </row>
    <row r="842" spans="1:87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123"/>
      <c r="T842" s="124"/>
      <c r="U842" s="123"/>
      <c r="V842" s="123"/>
      <c r="W842" s="124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  <c r="AV842" s="123"/>
      <c r="AW842" s="123"/>
      <c r="AX842" s="123"/>
      <c r="AY842" s="123"/>
      <c r="AZ842" s="123"/>
      <c r="BA842" s="123"/>
      <c r="BB842" s="123"/>
      <c r="BC842" s="123"/>
      <c r="BD842" s="123"/>
      <c r="BE842" s="123"/>
      <c r="BF842" s="123"/>
      <c r="BG842" s="123"/>
      <c r="BH842" s="123"/>
      <c r="BI842" s="123"/>
      <c r="BJ842" s="123"/>
      <c r="BK842" s="123"/>
      <c r="BL842" s="123"/>
      <c r="BM842" s="123"/>
      <c r="BN842" s="123"/>
      <c r="BO842" s="123"/>
      <c r="BP842" s="123"/>
      <c r="BQ842" s="123"/>
      <c r="BR842" s="123"/>
      <c r="BS842" s="123"/>
      <c r="BT842" s="123"/>
      <c r="BU842" s="123"/>
      <c r="BV842" s="123"/>
      <c r="BW842" s="123"/>
      <c r="BX842" s="123"/>
      <c r="BY842" s="123"/>
      <c r="BZ842" s="123"/>
      <c r="CA842" s="123"/>
      <c r="CB842" s="123"/>
      <c r="CC842" s="123"/>
      <c r="CD842" s="123"/>
      <c r="CE842" s="123"/>
      <c r="CF842" s="123"/>
      <c r="CG842" s="123"/>
      <c r="CH842" s="123"/>
      <c r="CI842" s="123"/>
    </row>
    <row r="843" spans="1:87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123"/>
      <c r="T843" s="124"/>
      <c r="U843" s="123"/>
      <c r="V843" s="123"/>
      <c r="W843" s="124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  <c r="AV843" s="123"/>
      <c r="AW843" s="123"/>
      <c r="AX843" s="123"/>
      <c r="AY843" s="123"/>
      <c r="AZ843" s="123"/>
      <c r="BA843" s="123"/>
      <c r="BB843" s="123"/>
      <c r="BC843" s="123"/>
      <c r="BD843" s="123"/>
      <c r="BE843" s="123"/>
      <c r="BF843" s="123"/>
      <c r="BG843" s="123"/>
      <c r="BH843" s="123"/>
      <c r="BI843" s="123"/>
      <c r="BJ843" s="123"/>
      <c r="BK843" s="123"/>
      <c r="BL843" s="123"/>
      <c r="BM843" s="123"/>
      <c r="BN843" s="123"/>
      <c r="BO843" s="123"/>
      <c r="BP843" s="123"/>
      <c r="BQ843" s="123"/>
      <c r="BR843" s="123"/>
      <c r="BS843" s="123"/>
      <c r="BT843" s="123"/>
      <c r="BU843" s="123"/>
      <c r="BV843" s="123"/>
      <c r="BW843" s="123"/>
      <c r="BX843" s="123"/>
      <c r="BY843" s="123"/>
      <c r="BZ843" s="123"/>
      <c r="CA843" s="123"/>
      <c r="CB843" s="123"/>
      <c r="CC843" s="123"/>
      <c r="CD843" s="123"/>
      <c r="CE843" s="123"/>
      <c r="CF843" s="123"/>
      <c r="CG843" s="123"/>
      <c r="CH843" s="123"/>
      <c r="CI843" s="123"/>
    </row>
    <row r="844" spans="1:87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123"/>
      <c r="T844" s="124"/>
      <c r="U844" s="123"/>
      <c r="V844" s="123"/>
      <c r="W844" s="124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  <c r="AV844" s="123"/>
      <c r="AW844" s="123"/>
      <c r="AX844" s="123"/>
      <c r="AY844" s="123"/>
      <c r="AZ844" s="123"/>
      <c r="BA844" s="123"/>
      <c r="BB844" s="123"/>
      <c r="BC844" s="123"/>
      <c r="BD844" s="123"/>
      <c r="BE844" s="123"/>
      <c r="BF844" s="123"/>
      <c r="BG844" s="123"/>
      <c r="BH844" s="123"/>
      <c r="BI844" s="123"/>
      <c r="BJ844" s="123"/>
      <c r="BK844" s="123"/>
      <c r="BL844" s="123"/>
      <c r="BM844" s="123"/>
      <c r="BN844" s="123"/>
      <c r="BO844" s="123"/>
      <c r="BP844" s="123"/>
      <c r="BQ844" s="123"/>
      <c r="BR844" s="123"/>
      <c r="BS844" s="123"/>
      <c r="BT844" s="123"/>
      <c r="BU844" s="123"/>
      <c r="BV844" s="123"/>
      <c r="BW844" s="123"/>
      <c r="BX844" s="123"/>
      <c r="BY844" s="123"/>
      <c r="BZ844" s="123"/>
      <c r="CA844" s="123"/>
      <c r="CB844" s="123"/>
      <c r="CC844" s="123"/>
      <c r="CD844" s="123"/>
      <c r="CE844" s="123"/>
      <c r="CF844" s="123"/>
      <c r="CG844" s="123"/>
      <c r="CH844" s="123"/>
      <c r="CI844" s="123"/>
    </row>
    <row r="845" spans="1:87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123"/>
      <c r="T845" s="124"/>
      <c r="U845" s="123"/>
      <c r="V845" s="123"/>
      <c r="W845" s="124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  <c r="AV845" s="123"/>
      <c r="AW845" s="123"/>
      <c r="AX845" s="123"/>
      <c r="AY845" s="123"/>
      <c r="AZ845" s="123"/>
      <c r="BA845" s="123"/>
      <c r="BB845" s="123"/>
      <c r="BC845" s="123"/>
      <c r="BD845" s="123"/>
      <c r="BE845" s="123"/>
      <c r="BF845" s="123"/>
      <c r="BG845" s="123"/>
      <c r="BH845" s="123"/>
      <c r="BI845" s="123"/>
      <c r="BJ845" s="123"/>
      <c r="BK845" s="123"/>
      <c r="BL845" s="123"/>
      <c r="BM845" s="123"/>
      <c r="BN845" s="123"/>
      <c r="BO845" s="123"/>
      <c r="BP845" s="123"/>
      <c r="BQ845" s="123"/>
      <c r="BR845" s="123"/>
      <c r="BS845" s="123"/>
      <c r="BT845" s="123"/>
      <c r="BU845" s="123"/>
      <c r="BV845" s="123"/>
      <c r="BW845" s="123"/>
      <c r="BX845" s="123"/>
      <c r="BY845" s="123"/>
      <c r="BZ845" s="123"/>
      <c r="CA845" s="123"/>
      <c r="CB845" s="123"/>
      <c r="CC845" s="123"/>
      <c r="CD845" s="123"/>
      <c r="CE845" s="123"/>
      <c r="CF845" s="123"/>
      <c r="CG845" s="123"/>
      <c r="CH845" s="123"/>
      <c r="CI845" s="123"/>
    </row>
    <row r="846" spans="1:87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123"/>
      <c r="T846" s="124"/>
      <c r="U846" s="123"/>
      <c r="V846" s="123"/>
      <c r="W846" s="124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  <c r="AV846" s="123"/>
      <c r="AW846" s="123"/>
      <c r="AX846" s="123"/>
      <c r="AY846" s="123"/>
      <c r="AZ846" s="123"/>
      <c r="BA846" s="123"/>
      <c r="BB846" s="123"/>
      <c r="BC846" s="123"/>
      <c r="BD846" s="123"/>
      <c r="BE846" s="123"/>
      <c r="BF846" s="123"/>
      <c r="BG846" s="123"/>
      <c r="BH846" s="123"/>
      <c r="BI846" s="123"/>
      <c r="BJ846" s="123"/>
      <c r="BK846" s="123"/>
      <c r="BL846" s="123"/>
      <c r="BM846" s="123"/>
      <c r="BN846" s="123"/>
      <c r="BO846" s="123"/>
      <c r="BP846" s="123"/>
      <c r="BQ846" s="123"/>
      <c r="BR846" s="123"/>
      <c r="BS846" s="123"/>
      <c r="BT846" s="123"/>
      <c r="BU846" s="123"/>
      <c r="BV846" s="123"/>
      <c r="BW846" s="123"/>
      <c r="BX846" s="123"/>
      <c r="BY846" s="123"/>
      <c r="BZ846" s="123"/>
      <c r="CA846" s="123"/>
      <c r="CB846" s="123"/>
      <c r="CC846" s="123"/>
      <c r="CD846" s="123"/>
      <c r="CE846" s="123"/>
      <c r="CF846" s="123"/>
      <c r="CG846" s="123"/>
      <c r="CH846" s="123"/>
      <c r="CI846" s="123"/>
    </row>
    <row r="847" spans="1:87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123"/>
      <c r="T847" s="124"/>
      <c r="U847" s="123"/>
      <c r="V847" s="123"/>
      <c r="W847" s="124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  <c r="AV847" s="123"/>
      <c r="AW847" s="123"/>
      <c r="AX847" s="123"/>
      <c r="AY847" s="123"/>
      <c r="AZ847" s="123"/>
      <c r="BA847" s="123"/>
      <c r="BB847" s="123"/>
      <c r="BC847" s="123"/>
      <c r="BD847" s="123"/>
      <c r="BE847" s="123"/>
      <c r="BF847" s="123"/>
      <c r="BG847" s="123"/>
      <c r="BH847" s="123"/>
      <c r="BI847" s="123"/>
      <c r="BJ847" s="123"/>
      <c r="BK847" s="123"/>
      <c r="BL847" s="123"/>
      <c r="BM847" s="123"/>
      <c r="BN847" s="123"/>
      <c r="BO847" s="123"/>
      <c r="BP847" s="123"/>
      <c r="BQ847" s="123"/>
      <c r="BR847" s="123"/>
      <c r="BS847" s="123"/>
      <c r="BT847" s="123"/>
      <c r="BU847" s="123"/>
      <c r="BV847" s="123"/>
      <c r="BW847" s="123"/>
      <c r="BX847" s="123"/>
      <c r="BY847" s="123"/>
      <c r="BZ847" s="123"/>
      <c r="CA847" s="123"/>
      <c r="CB847" s="123"/>
      <c r="CC847" s="123"/>
      <c r="CD847" s="123"/>
      <c r="CE847" s="123"/>
      <c r="CF847" s="123"/>
      <c r="CG847" s="123"/>
      <c r="CH847" s="123"/>
      <c r="CI847" s="123"/>
    </row>
    <row r="848" spans="1:87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123"/>
      <c r="T848" s="124"/>
      <c r="U848" s="123"/>
      <c r="V848" s="123"/>
      <c r="W848" s="124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  <c r="AV848" s="123"/>
      <c r="AW848" s="123"/>
      <c r="AX848" s="123"/>
      <c r="AY848" s="123"/>
      <c r="AZ848" s="123"/>
      <c r="BA848" s="123"/>
      <c r="BB848" s="123"/>
      <c r="BC848" s="123"/>
      <c r="BD848" s="123"/>
      <c r="BE848" s="123"/>
      <c r="BF848" s="123"/>
      <c r="BG848" s="123"/>
      <c r="BH848" s="123"/>
      <c r="BI848" s="123"/>
      <c r="BJ848" s="123"/>
      <c r="BK848" s="123"/>
      <c r="BL848" s="123"/>
      <c r="BM848" s="123"/>
      <c r="BN848" s="123"/>
      <c r="BO848" s="123"/>
      <c r="BP848" s="123"/>
      <c r="BQ848" s="123"/>
      <c r="BR848" s="123"/>
      <c r="BS848" s="123"/>
      <c r="BT848" s="123"/>
      <c r="BU848" s="123"/>
      <c r="BV848" s="123"/>
      <c r="BW848" s="123"/>
      <c r="BX848" s="123"/>
      <c r="BY848" s="123"/>
      <c r="BZ848" s="123"/>
      <c r="CA848" s="123"/>
      <c r="CB848" s="123"/>
      <c r="CC848" s="123"/>
      <c r="CD848" s="123"/>
      <c r="CE848" s="123"/>
      <c r="CF848" s="123"/>
      <c r="CG848" s="123"/>
      <c r="CH848" s="123"/>
      <c r="CI848" s="123"/>
    </row>
    <row r="849" spans="1:87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123"/>
      <c r="T849" s="124"/>
      <c r="U849" s="123"/>
      <c r="V849" s="123"/>
      <c r="W849" s="124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  <c r="AV849" s="123"/>
      <c r="AW849" s="123"/>
      <c r="AX849" s="123"/>
      <c r="AY849" s="123"/>
      <c r="AZ849" s="123"/>
      <c r="BA849" s="123"/>
      <c r="BB849" s="123"/>
      <c r="BC849" s="123"/>
      <c r="BD849" s="123"/>
      <c r="BE849" s="123"/>
      <c r="BF849" s="123"/>
      <c r="BG849" s="123"/>
      <c r="BH849" s="123"/>
      <c r="BI849" s="123"/>
      <c r="BJ849" s="123"/>
      <c r="BK849" s="123"/>
      <c r="BL849" s="123"/>
      <c r="BM849" s="123"/>
      <c r="BN849" s="123"/>
      <c r="BO849" s="123"/>
      <c r="BP849" s="123"/>
      <c r="BQ849" s="123"/>
      <c r="BR849" s="123"/>
      <c r="BS849" s="123"/>
      <c r="BT849" s="123"/>
      <c r="BU849" s="123"/>
      <c r="BV849" s="123"/>
      <c r="BW849" s="123"/>
      <c r="BX849" s="123"/>
      <c r="BY849" s="123"/>
      <c r="BZ849" s="123"/>
      <c r="CA849" s="123"/>
      <c r="CB849" s="123"/>
      <c r="CC849" s="123"/>
      <c r="CD849" s="123"/>
      <c r="CE849" s="123"/>
      <c r="CF849" s="123"/>
      <c r="CG849" s="123"/>
      <c r="CH849" s="123"/>
      <c r="CI849" s="123"/>
    </row>
    <row r="850" spans="1:87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123"/>
      <c r="T850" s="124"/>
      <c r="U850" s="123"/>
      <c r="V850" s="123"/>
      <c r="W850" s="124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  <c r="AV850" s="123"/>
      <c r="AW850" s="123"/>
      <c r="AX850" s="123"/>
      <c r="AY850" s="123"/>
      <c r="AZ850" s="123"/>
      <c r="BA850" s="123"/>
      <c r="BB850" s="123"/>
      <c r="BC850" s="123"/>
      <c r="BD850" s="123"/>
      <c r="BE850" s="123"/>
      <c r="BF850" s="123"/>
      <c r="BG850" s="123"/>
      <c r="BH850" s="123"/>
      <c r="BI850" s="123"/>
      <c r="BJ850" s="123"/>
      <c r="BK850" s="123"/>
      <c r="BL850" s="123"/>
      <c r="BM850" s="123"/>
      <c r="BN850" s="123"/>
      <c r="BO850" s="123"/>
      <c r="BP850" s="123"/>
      <c r="BQ850" s="123"/>
      <c r="BR850" s="123"/>
      <c r="BS850" s="123"/>
      <c r="BT850" s="123"/>
      <c r="BU850" s="123"/>
      <c r="BV850" s="123"/>
      <c r="BW850" s="123"/>
      <c r="BX850" s="123"/>
      <c r="BY850" s="123"/>
      <c r="BZ850" s="123"/>
      <c r="CA850" s="123"/>
      <c r="CB850" s="123"/>
      <c r="CC850" s="123"/>
      <c r="CD850" s="123"/>
      <c r="CE850" s="123"/>
      <c r="CF850" s="123"/>
      <c r="CG850" s="123"/>
      <c r="CH850" s="123"/>
      <c r="CI850" s="123"/>
    </row>
    <row r="851" spans="1:87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123"/>
      <c r="T851" s="124"/>
      <c r="U851" s="123"/>
      <c r="V851" s="123"/>
      <c r="W851" s="124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  <c r="AV851" s="123"/>
      <c r="AW851" s="123"/>
      <c r="AX851" s="123"/>
      <c r="AY851" s="123"/>
      <c r="AZ851" s="123"/>
      <c r="BA851" s="123"/>
      <c r="BB851" s="123"/>
      <c r="BC851" s="123"/>
      <c r="BD851" s="123"/>
      <c r="BE851" s="123"/>
      <c r="BF851" s="123"/>
      <c r="BG851" s="123"/>
      <c r="BH851" s="123"/>
      <c r="BI851" s="123"/>
      <c r="BJ851" s="123"/>
      <c r="BK851" s="123"/>
      <c r="BL851" s="123"/>
      <c r="BM851" s="123"/>
      <c r="BN851" s="123"/>
      <c r="BO851" s="123"/>
      <c r="BP851" s="123"/>
      <c r="BQ851" s="123"/>
      <c r="BR851" s="123"/>
      <c r="BS851" s="123"/>
      <c r="BT851" s="123"/>
      <c r="BU851" s="123"/>
      <c r="BV851" s="123"/>
      <c r="BW851" s="123"/>
      <c r="BX851" s="123"/>
      <c r="BY851" s="123"/>
      <c r="BZ851" s="123"/>
      <c r="CA851" s="123"/>
      <c r="CB851" s="123"/>
      <c r="CC851" s="123"/>
      <c r="CD851" s="123"/>
      <c r="CE851" s="123"/>
      <c r="CF851" s="123"/>
      <c r="CG851" s="123"/>
      <c r="CH851" s="123"/>
      <c r="CI851" s="123"/>
    </row>
    <row r="852" spans="1:87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123"/>
      <c r="T852" s="124"/>
      <c r="U852" s="123"/>
      <c r="V852" s="123"/>
      <c r="W852" s="124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  <c r="AV852" s="123"/>
      <c r="AW852" s="123"/>
      <c r="AX852" s="123"/>
      <c r="AY852" s="123"/>
      <c r="AZ852" s="123"/>
      <c r="BA852" s="123"/>
      <c r="BB852" s="123"/>
      <c r="BC852" s="123"/>
      <c r="BD852" s="123"/>
      <c r="BE852" s="123"/>
      <c r="BF852" s="123"/>
      <c r="BG852" s="123"/>
      <c r="BH852" s="123"/>
      <c r="BI852" s="123"/>
      <c r="BJ852" s="123"/>
      <c r="BK852" s="123"/>
      <c r="BL852" s="123"/>
      <c r="BM852" s="123"/>
      <c r="BN852" s="123"/>
      <c r="BO852" s="123"/>
      <c r="BP852" s="123"/>
      <c r="BQ852" s="123"/>
      <c r="BR852" s="123"/>
      <c r="BS852" s="123"/>
      <c r="BT852" s="123"/>
      <c r="BU852" s="123"/>
      <c r="BV852" s="123"/>
      <c r="BW852" s="123"/>
      <c r="BX852" s="123"/>
      <c r="BY852" s="123"/>
      <c r="BZ852" s="123"/>
      <c r="CA852" s="123"/>
      <c r="CB852" s="123"/>
      <c r="CC852" s="123"/>
      <c r="CD852" s="123"/>
      <c r="CE852" s="123"/>
      <c r="CF852" s="123"/>
      <c r="CG852" s="123"/>
      <c r="CH852" s="123"/>
      <c r="CI852" s="123"/>
    </row>
    <row r="853" spans="1:87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123"/>
      <c r="T853" s="124"/>
      <c r="U853" s="123"/>
      <c r="V853" s="123"/>
      <c r="W853" s="124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  <c r="AV853" s="123"/>
      <c r="AW853" s="123"/>
      <c r="AX853" s="123"/>
      <c r="AY853" s="123"/>
      <c r="AZ853" s="123"/>
      <c r="BA853" s="123"/>
      <c r="BB853" s="123"/>
      <c r="BC853" s="123"/>
      <c r="BD853" s="123"/>
      <c r="BE853" s="123"/>
      <c r="BF853" s="123"/>
      <c r="BG853" s="123"/>
      <c r="BH853" s="123"/>
      <c r="BI853" s="123"/>
      <c r="BJ853" s="123"/>
      <c r="BK853" s="123"/>
      <c r="BL853" s="123"/>
      <c r="BM853" s="123"/>
      <c r="BN853" s="123"/>
      <c r="BO853" s="123"/>
      <c r="BP853" s="123"/>
      <c r="BQ853" s="123"/>
      <c r="BR853" s="123"/>
      <c r="BS853" s="123"/>
      <c r="BT853" s="123"/>
      <c r="BU853" s="123"/>
      <c r="BV853" s="123"/>
      <c r="BW853" s="123"/>
      <c r="BX853" s="123"/>
      <c r="BY853" s="123"/>
      <c r="BZ853" s="123"/>
      <c r="CA853" s="123"/>
      <c r="CB853" s="123"/>
      <c r="CC853" s="123"/>
      <c r="CD853" s="123"/>
      <c r="CE853" s="123"/>
      <c r="CF853" s="123"/>
      <c r="CG853" s="123"/>
      <c r="CH853" s="123"/>
      <c r="CI853" s="123"/>
    </row>
    <row r="854" spans="1:87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123"/>
      <c r="T854" s="124"/>
      <c r="U854" s="123"/>
      <c r="V854" s="123"/>
      <c r="W854" s="124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  <c r="AV854" s="123"/>
      <c r="AW854" s="123"/>
      <c r="AX854" s="123"/>
      <c r="AY854" s="123"/>
      <c r="AZ854" s="123"/>
      <c r="BA854" s="123"/>
      <c r="BB854" s="123"/>
      <c r="BC854" s="123"/>
      <c r="BD854" s="123"/>
      <c r="BE854" s="123"/>
      <c r="BF854" s="123"/>
      <c r="BG854" s="123"/>
      <c r="BH854" s="123"/>
      <c r="BI854" s="123"/>
      <c r="BJ854" s="123"/>
      <c r="BK854" s="123"/>
      <c r="BL854" s="123"/>
      <c r="BM854" s="123"/>
      <c r="BN854" s="123"/>
      <c r="BO854" s="123"/>
      <c r="BP854" s="123"/>
      <c r="BQ854" s="123"/>
      <c r="BR854" s="123"/>
      <c r="BS854" s="123"/>
      <c r="BT854" s="123"/>
      <c r="BU854" s="123"/>
      <c r="BV854" s="123"/>
      <c r="BW854" s="123"/>
      <c r="BX854" s="123"/>
      <c r="BY854" s="123"/>
      <c r="BZ854" s="123"/>
      <c r="CA854" s="123"/>
      <c r="CB854" s="123"/>
      <c r="CC854" s="123"/>
      <c r="CD854" s="123"/>
      <c r="CE854" s="123"/>
      <c r="CF854" s="123"/>
      <c r="CG854" s="123"/>
      <c r="CH854" s="123"/>
      <c r="CI854" s="123"/>
    </row>
    <row r="855" spans="1:87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123"/>
      <c r="T855" s="124"/>
      <c r="U855" s="123"/>
      <c r="V855" s="123"/>
      <c r="W855" s="124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  <c r="AV855" s="123"/>
      <c r="AW855" s="123"/>
      <c r="AX855" s="123"/>
      <c r="AY855" s="123"/>
      <c r="AZ855" s="123"/>
      <c r="BA855" s="123"/>
      <c r="BB855" s="123"/>
      <c r="BC855" s="123"/>
      <c r="BD855" s="123"/>
      <c r="BE855" s="123"/>
      <c r="BF855" s="123"/>
      <c r="BG855" s="123"/>
      <c r="BH855" s="123"/>
      <c r="BI855" s="123"/>
      <c r="BJ855" s="123"/>
      <c r="BK855" s="123"/>
      <c r="BL855" s="123"/>
      <c r="BM855" s="123"/>
      <c r="BN855" s="123"/>
      <c r="BO855" s="123"/>
      <c r="BP855" s="123"/>
      <c r="BQ855" s="123"/>
      <c r="BR855" s="123"/>
      <c r="BS855" s="123"/>
      <c r="BT855" s="123"/>
      <c r="BU855" s="123"/>
      <c r="BV855" s="123"/>
      <c r="BW855" s="123"/>
      <c r="BX855" s="123"/>
      <c r="BY855" s="123"/>
      <c r="BZ855" s="123"/>
      <c r="CA855" s="123"/>
      <c r="CB855" s="123"/>
      <c r="CC855" s="123"/>
      <c r="CD855" s="123"/>
      <c r="CE855" s="123"/>
      <c r="CF855" s="123"/>
      <c r="CG855" s="123"/>
      <c r="CH855" s="123"/>
      <c r="CI855" s="123"/>
    </row>
    <row r="856" spans="1:87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123"/>
      <c r="T856" s="124"/>
      <c r="U856" s="123"/>
      <c r="V856" s="123"/>
      <c r="W856" s="124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  <c r="AR856" s="123"/>
      <c r="AS856" s="123"/>
      <c r="AT856" s="123"/>
      <c r="AU856" s="123"/>
      <c r="AV856" s="123"/>
      <c r="AW856" s="123"/>
      <c r="AX856" s="123"/>
      <c r="AY856" s="123"/>
      <c r="AZ856" s="123"/>
      <c r="BA856" s="123"/>
      <c r="BB856" s="123"/>
      <c r="BC856" s="123"/>
      <c r="BD856" s="123"/>
      <c r="BE856" s="123"/>
      <c r="BF856" s="123"/>
      <c r="BG856" s="123"/>
      <c r="BH856" s="123"/>
      <c r="BI856" s="123"/>
      <c r="BJ856" s="123"/>
      <c r="BK856" s="123"/>
      <c r="BL856" s="123"/>
      <c r="BM856" s="123"/>
      <c r="BN856" s="123"/>
      <c r="BO856" s="123"/>
      <c r="BP856" s="123"/>
      <c r="BQ856" s="123"/>
      <c r="BR856" s="123"/>
      <c r="BS856" s="123"/>
      <c r="BT856" s="123"/>
      <c r="BU856" s="123"/>
      <c r="BV856" s="123"/>
      <c r="BW856" s="123"/>
      <c r="BX856" s="123"/>
      <c r="BY856" s="123"/>
      <c r="BZ856" s="123"/>
      <c r="CA856" s="123"/>
      <c r="CB856" s="123"/>
      <c r="CC856" s="123"/>
      <c r="CD856" s="123"/>
      <c r="CE856" s="123"/>
      <c r="CF856" s="123"/>
      <c r="CG856" s="123"/>
      <c r="CH856" s="123"/>
      <c r="CI856" s="123"/>
    </row>
    <row r="857" spans="1:87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123"/>
      <c r="T857" s="124"/>
      <c r="U857" s="123"/>
      <c r="V857" s="123"/>
      <c r="W857" s="124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  <c r="AR857" s="123"/>
      <c r="AS857" s="123"/>
      <c r="AT857" s="123"/>
      <c r="AU857" s="123"/>
      <c r="AV857" s="123"/>
      <c r="AW857" s="123"/>
      <c r="AX857" s="123"/>
      <c r="AY857" s="123"/>
      <c r="AZ857" s="123"/>
      <c r="BA857" s="123"/>
      <c r="BB857" s="123"/>
      <c r="BC857" s="123"/>
      <c r="BD857" s="123"/>
      <c r="BE857" s="123"/>
      <c r="BF857" s="123"/>
      <c r="BG857" s="123"/>
      <c r="BH857" s="123"/>
      <c r="BI857" s="123"/>
      <c r="BJ857" s="123"/>
      <c r="BK857" s="123"/>
      <c r="BL857" s="123"/>
      <c r="BM857" s="123"/>
      <c r="BN857" s="123"/>
      <c r="BO857" s="123"/>
      <c r="BP857" s="123"/>
      <c r="BQ857" s="123"/>
      <c r="BR857" s="123"/>
      <c r="BS857" s="123"/>
      <c r="BT857" s="123"/>
      <c r="BU857" s="123"/>
      <c r="BV857" s="123"/>
      <c r="BW857" s="123"/>
      <c r="BX857" s="123"/>
      <c r="BY857" s="123"/>
      <c r="BZ857" s="123"/>
      <c r="CA857" s="123"/>
      <c r="CB857" s="123"/>
      <c r="CC857" s="123"/>
      <c r="CD857" s="123"/>
      <c r="CE857" s="123"/>
      <c r="CF857" s="123"/>
      <c r="CG857" s="123"/>
      <c r="CH857" s="123"/>
      <c r="CI857" s="123"/>
    </row>
    <row r="858" spans="1:87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123"/>
      <c r="T858" s="124"/>
      <c r="U858" s="123"/>
      <c r="V858" s="123"/>
      <c r="W858" s="124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  <c r="AR858" s="123"/>
      <c r="AS858" s="123"/>
      <c r="AT858" s="123"/>
      <c r="AU858" s="123"/>
      <c r="AV858" s="123"/>
      <c r="AW858" s="123"/>
      <c r="AX858" s="123"/>
      <c r="AY858" s="123"/>
      <c r="AZ858" s="123"/>
      <c r="BA858" s="123"/>
      <c r="BB858" s="123"/>
      <c r="BC858" s="123"/>
      <c r="BD858" s="123"/>
      <c r="BE858" s="123"/>
      <c r="BF858" s="123"/>
      <c r="BG858" s="123"/>
      <c r="BH858" s="123"/>
      <c r="BI858" s="123"/>
      <c r="BJ858" s="123"/>
      <c r="BK858" s="123"/>
      <c r="BL858" s="123"/>
      <c r="BM858" s="123"/>
      <c r="BN858" s="123"/>
      <c r="BO858" s="123"/>
      <c r="BP858" s="123"/>
      <c r="BQ858" s="123"/>
      <c r="BR858" s="123"/>
      <c r="BS858" s="123"/>
      <c r="BT858" s="123"/>
      <c r="BU858" s="123"/>
      <c r="BV858" s="123"/>
      <c r="BW858" s="123"/>
      <c r="BX858" s="123"/>
      <c r="BY858" s="123"/>
      <c r="BZ858" s="123"/>
      <c r="CA858" s="123"/>
      <c r="CB858" s="123"/>
      <c r="CC858" s="123"/>
      <c r="CD858" s="123"/>
      <c r="CE858" s="123"/>
      <c r="CF858" s="123"/>
      <c r="CG858" s="123"/>
      <c r="CH858" s="123"/>
      <c r="CI858" s="123"/>
    </row>
    <row r="859" spans="1:87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123"/>
      <c r="T859" s="124"/>
      <c r="U859" s="123"/>
      <c r="V859" s="123"/>
      <c r="W859" s="124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  <c r="AR859" s="123"/>
      <c r="AS859" s="123"/>
      <c r="AT859" s="123"/>
      <c r="AU859" s="123"/>
      <c r="AV859" s="123"/>
      <c r="AW859" s="123"/>
      <c r="AX859" s="123"/>
      <c r="AY859" s="123"/>
      <c r="AZ859" s="123"/>
      <c r="BA859" s="123"/>
      <c r="BB859" s="123"/>
      <c r="BC859" s="123"/>
      <c r="BD859" s="123"/>
      <c r="BE859" s="123"/>
      <c r="BF859" s="123"/>
      <c r="BG859" s="123"/>
      <c r="BH859" s="123"/>
      <c r="BI859" s="123"/>
      <c r="BJ859" s="123"/>
      <c r="BK859" s="123"/>
      <c r="BL859" s="123"/>
      <c r="BM859" s="123"/>
      <c r="BN859" s="123"/>
      <c r="BO859" s="123"/>
      <c r="BP859" s="123"/>
      <c r="BQ859" s="123"/>
      <c r="BR859" s="123"/>
      <c r="BS859" s="123"/>
      <c r="BT859" s="123"/>
      <c r="BU859" s="123"/>
      <c r="BV859" s="123"/>
      <c r="BW859" s="123"/>
      <c r="BX859" s="123"/>
      <c r="BY859" s="123"/>
      <c r="BZ859" s="123"/>
      <c r="CA859" s="123"/>
      <c r="CB859" s="123"/>
      <c r="CC859" s="123"/>
      <c r="CD859" s="123"/>
      <c r="CE859" s="123"/>
      <c r="CF859" s="123"/>
      <c r="CG859" s="123"/>
      <c r="CH859" s="123"/>
      <c r="CI859" s="123"/>
    </row>
    <row r="860" spans="1:87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123"/>
      <c r="T860" s="124"/>
      <c r="U860" s="123"/>
      <c r="V860" s="123"/>
      <c r="W860" s="124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  <c r="AR860" s="123"/>
      <c r="AS860" s="123"/>
      <c r="AT860" s="123"/>
      <c r="AU860" s="123"/>
      <c r="AV860" s="123"/>
      <c r="AW860" s="123"/>
      <c r="AX860" s="123"/>
      <c r="AY860" s="123"/>
      <c r="AZ860" s="123"/>
      <c r="BA860" s="123"/>
      <c r="BB860" s="123"/>
      <c r="BC860" s="123"/>
      <c r="BD860" s="123"/>
      <c r="BE860" s="123"/>
      <c r="BF860" s="123"/>
      <c r="BG860" s="123"/>
      <c r="BH860" s="123"/>
      <c r="BI860" s="123"/>
      <c r="BJ860" s="123"/>
      <c r="BK860" s="123"/>
      <c r="BL860" s="123"/>
      <c r="BM860" s="123"/>
      <c r="BN860" s="123"/>
      <c r="BO860" s="123"/>
      <c r="BP860" s="123"/>
      <c r="BQ860" s="123"/>
      <c r="BR860" s="123"/>
      <c r="BS860" s="123"/>
      <c r="BT860" s="123"/>
      <c r="BU860" s="123"/>
      <c r="BV860" s="123"/>
      <c r="BW860" s="123"/>
      <c r="BX860" s="123"/>
      <c r="BY860" s="123"/>
      <c r="BZ860" s="123"/>
      <c r="CA860" s="123"/>
      <c r="CB860" s="123"/>
      <c r="CC860" s="123"/>
      <c r="CD860" s="123"/>
      <c r="CE860" s="123"/>
      <c r="CF860" s="123"/>
      <c r="CG860" s="123"/>
      <c r="CH860" s="123"/>
      <c r="CI860" s="123"/>
    </row>
    <row r="861" spans="1:87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123"/>
      <c r="T861" s="124"/>
      <c r="U861" s="123"/>
      <c r="V861" s="123"/>
      <c r="W861" s="124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  <c r="AR861" s="123"/>
      <c r="AS861" s="123"/>
      <c r="AT861" s="123"/>
      <c r="AU861" s="123"/>
      <c r="AV861" s="123"/>
      <c r="AW861" s="123"/>
      <c r="AX861" s="123"/>
      <c r="AY861" s="123"/>
      <c r="AZ861" s="123"/>
      <c r="BA861" s="123"/>
      <c r="BB861" s="123"/>
      <c r="BC861" s="123"/>
      <c r="BD861" s="123"/>
      <c r="BE861" s="123"/>
      <c r="BF861" s="123"/>
      <c r="BG861" s="123"/>
      <c r="BH861" s="123"/>
      <c r="BI861" s="123"/>
      <c r="BJ861" s="123"/>
      <c r="BK861" s="123"/>
      <c r="BL861" s="123"/>
      <c r="BM861" s="123"/>
      <c r="BN861" s="123"/>
      <c r="BO861" s="123"/>
      <c r="BP861" s="123"/>
      <c r="BQ861" s="123"/>
      <c r="BR861" s="123"/>
      <c r="BS861" s="123"/>
      <c r="BT861" s="123"/>
      <c r="BU861" s="123"/>
      <c r="BV861" s="123"/>
      <c r="BW861" s="123"/>
      <c r="BX861" s="123"/>
      <c r="BY861" s="123"/>
      <c r="BZ861" s="123"/>
      <c r="CA861" s="123"/>
      <c r="CB861" s="123"/>
      <c r="CC861" s="123"/>
      <c r="CD861" s="123"/>
      <c r="CE861" s="123"/>
      <c r="CF861" s="123"/>
      <c r="CG861" s="123"/>
      <c r="CH861" s="123"/>
      <c r="CI861" s="123"/>
    </row>
    <row r="862" spans="1:87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123"/>
      <c r="T862" s="124"/>
      <c r="U862" s="123"/>
      <c r="V862" s="123"/>
      <c r="W862" s="124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  <c r="AR862" s="123"/>
      <c r="AS862" s="123"/>
      <c r="AT862" s="123"/>
      <c r="AU862" s="123"/>
      <c r="AV862" s="123"/>
      <c r="AW862" s="123"/>
      <c r="AX862" s="123"/>
      <c r="AY862" s="123"/>
      <c r="AZ862" s="123"/>
      <c r="BA862" s="123"/>
      <c r="BB862" s="123"/>
      <c r="BC862" s="123"/>
      <c r="BD862" s="123"/>
      <c r="BE862" s="123"/>
      <c r="BF862" s="123"/>
      <c r="BG862" s="123"/>
      <c r="BH862" s="123"/>
      <c r="BI862" s="123"/>
      <c r="BJ862" s="123"/>
      <c r="BK862" s="123"/>
      <c r="BL862" s="123"/>
      <c r="BM862" s="123"/>
      <c r="BN862" s="123"/>
      <c r="BO862" s="123"/>
      <c r="BP862" s="123"/>
      <c r="BQ862" s="123"/>
      <c r="BR862" s="123"/>
      <c r="BS862" s="123"/>
      <c r="BT862" s="123"/>
      <c r="BU862" s="123"/>
      <c r="BV862" s="123"/>
      <c r="BW862" s="123"/>
      <c r="BX862" s="123"/>
      <c r="BY862" s="123"/>
      <c r="BZ862" s="123"/>
      <c r="CA862" s="123"/>
      <c r="CB862" s="123"/>
      <c r="CC862" s="123"/>
      <c r="CD862" s="123"/>
      <c r="CE862" s="123"/>
      <c r="CF862" s="123"/>
      <c r="CG862" s="123"/>
      <c r="CH862" s="123"/>
      <c r="CI862" s="123"/>
    </row>
    <row r="863" spans="1:87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123"/>
      <c r="T863" s="124"/>
      <c r="U863" s="123"/>
      <c r="V863" s="123"/>
      <c r="W863" s="124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  <c r="AR863" s="123"/>
      <c r="AS863" s="123"/>
      <c r="AT863" s="123"/>
      <c r="AU863" s="123"/>
      <c r="AV863" s="123"/>
      <c r="AW863" s="123"/>
      <c r="AX863" s="123"/>
      <c r="AY863" s="123"/>
      <c r="AZ863" s="123"/>
      <c r="BA863" s="123"/>
      <c r="BB863" s="123"/>
      <c r="BC863" s="123"/>
      <c r="BD863" s="123"/>
      <c r="BE863" s="123"/>
      <c r="BF863" s="123"/>
      <c r="BG863" s="123"/>
      <c r="BH863" s="123"/>
      <c r="BI863" s="123"/>
      <c r="BJ863" s="123"/>
      <c r="BK863" s="123"/>
      <c r="BL863" s="123"/>
      <c r="BM863" s="123"/>
      <c r="BN863" s="123"/>
      <c r="BO863" s="123"/>
      <c r="BP863" s="123"/>
      <c r="BQ863" s="123"/>
      <c r="BR863" s="123"/>
      <c r="BS863" s="123"/>
      <c r="BT863" s="123"/>
      <c r="BU863" s="123"/>
      <c r="BV863" s="123"/>
      <c r="BW863" s="123"/>
      <c r="BX863" s="123"/>
      <c r="BY863" s="123"/>
      <c r="BZ863" s="123"/>
      <c r="CA863" s="123"/>
      <c r="CB863" s="123"/>
      <c r="CC863" s="123"/>
      <c r="CD863" s="123"/>
      <c r="CE863" s="123"/>
      <c r="CF863" s="123"/>
      <c r="CG863" s="123"/>
      <c r="CH863" s="123"/>
      <c r="CI863" s="123"/>
    </row>
    <row r="864" spans="1:87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123"/>
      <c r="T864" s="124"/>
      <c r="U864" s="123"/>
      <c r="V864" s="123"/>
      <c r="W864" s="124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  <c r="AR864" s="123"/>
      <c r="AS864" s="123"/>
      <c r="AT864" s="123"/>
      <c r="AU864" s="123"/>
      <c r="AV864" s="123"/>
      <c r="AW864" s="123"/>
      <c r="AX864" s="123"/>
      <c r="AY864" s="123"/>
      <c r="AZ864" s="123"/>
      <c r="BA864" s="123"/>
      <c r="BB864" s="123"/>
      <c r="BC864" s="123"/>
      <c r="BD864" s="123"/>
      <c r="BE864" s="123"/>
      <c r="BF864" s="123"/>
      <c r="BG864" s="123"/>
      <c r="BH864" s="123"/>
      <c r="BI864" s="123"/>
      <c r="BJ864" s="123"/>
      <c r="BK864" s="123"/>
      <c r="BL864" s="123"/>
      <c r="BM864" s="123"/>
      <c r="BN864" s="123"/>
      <c r="BO864" s="123"/>
      <c r="BP864" s="123"/>
      <c r="BQ864" s="123"/>
      <c r="BR864" s="123"/>
      <c r="BS864" s="123"/>
      <c r="BT864" s="123"/>
      <c r="BU864" s="123"/>
      <c r="BV864" s="123"/>
      <c r="BW864" s="123"/>
      <c r="BX864" s="123"/>
      <c r="BY864" s="123"/>
      <c r="BZ864" s="123"/>
      <c r="CA864" s="123"/>
      <c r="CB864" s="123"/>
      <c r="CC864" s="123"/>
      <c r="CD864" s="123"/>
      <c r="CE864" s="123"/>
      <c r="CF864" s="123"/>
      <c r="CG864" s="123"/>
      <c r="CH864" s="123"/>
      <c r="CI864" s="123"/>
    </row>
    <row r="865" spans="1:87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123"/>
      <c r="T865" s="124"/>
      <c r="U865" s="123"/>
      <c r="V865" s="123"/>
      <c r="W865" s="124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  <c r="AR865" s="123"/>
      <c r="AS865" s="123"/>
      <c r="AT865" s="123"/>
      <c r="AU865" s="123"/>
      <c r="AV865" s="123"/>
      <c r="AW865" s="123"/>
      <c r="AX865" s="123"/>
      <c r="AY865" s="123"/>
      <c r="AZ865" s="123"/>
      <c r="BA865" s="123"/>
      <c r="BB865" s="123"/>
      <c r="BC865" s="123"/>
      <c r="BD865" s="123"/>
      <c r="BE865" s="123"/>
      <c r="BF865" s="123"/>
      <c r="BG865" s="123"/>
      <c r="BH865" s="123"/>
      <c r="BI865" s="123"/>
      <c r="BJ865" s="123"/>
      <c r="BK865" s="123"/>
      <c r="BL865" s="123"/>
      <c r="BM865" s="123"/>
      <c r="BN865" s="123"/>
      <c r="BO865" s="123"/>
      <c r="BP865" s="123"/>
      <c r="BQ865" s="123"/>
      <c r="BR865" s="123"/>
      <c r="BS865" s="123"/>
      <c r="BT865" s="123"/>
      <c r="BU865" s="123"/>
      <c r="BV865" s="123"/>
      <c r="BW865" s="123"/>
      <c r="BX865" s="123"/>
      <c r="BY865" s="123"/>
      <c r="BZ865" s="123"/>
      <c r="CA865" s="123"/>
      <c r="CB865" s="123"/>
      <c r="CC865" s="123"/>
      <c r="CD865" s="123"/>
      <c r="CE865" s="123"/>
      <c r="CF865" s="123"/>
      <c r="CG865" s="123"/>
      <c r="CH865" s="123"/>
      <c r="CI865" s="123"/>
    </row>
    <row r="866" spans="1:87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123"/>
      <c r="T866" s="124"/>
      <c r="U866" s="123"/>
      <c r="V866" s="123"/>
      <c r="W866" s="124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  <c r="AR866" s="123"/>
      <c r="AS866" s="123"/>
      <c r="AT866" s="123"/>
      <c r="AU866" s="123"/>
      <c r="AV866" s="123"/>
      <c r="AW866" s="123"/>
      <c r="AX866" s="123"/>
      <c r="AY866" s="123"/>
      <c r="AZ866" s="123"/>
      <c r="BA866" s="123"/>
      <c r="BB866" s="123"/>
      <c r="BC866" s="123"/>
      <c r="BD866" s="123"/>
      <c r="BE866" s="123"/>
      <c r="BF866" s="123"/>
      <c r="BG866" s="123"/>
      <c r="BH866" s="123"/>
      <c r="BI866" s="123"/>
      <c r="BJ866" s="123"/>
      <c r="BK866" s="123"/>
      <c r="BL866" s="123"/>
      <c r="BM866" s="123"/>
      <c r="BN866" s="123"/>
      <c r="BO866" s="123"/>
      <c r="BP866" s="123"/>
      <c r="BQ866" s="123"/>
      <c r="BR866" s="123"/>
      <c r="BS866" s="123"/>
      <c r="BT866" s="123"/>
      <c r="BU866" s="123"/>
      <c r="BV866" s="123"/>
      <c r="BW866" s="123"/>
      <c r="BX866" s="123"/>
      <c r="BY866" s="123"/>
      <c r="BZ866" s="123"/>
      <c r="CA866" s="123"/>
      <c r="CB866" s="123"/>
      <c r="CC866" s="123"/>
      <c r="CD866" s="123"/>
      <c r="CE866" s="123"/>
      <c r="CF866" s="123"/>
      <c r="CG866" s="123"/>
      <c r="CH866" s="123"/>
      <c r="CI866" s="123"/>
    </row>
    <row r="867" spans="1:87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123"/>
      <c r="T867" s="124"/>
      <c r="U867" s="123"/>
      <c r="V867" s="123"/>
      <c r="W867" s="124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  <c r="AR867" s="123"/>
      <c r="AS867" s="123"/>
      <c r="AT867" s="123"/>
      <c r="AU867" s="123"/>
      <c r="AV867" s="123"/>
      <c r="AW867" s="123"/>
      <c r="AX867" s="123"/>
      <c r="AY867" s="123"/>
      <c r="AZ867" s="123"/>
      <c r="BA867" s="123"/>
      <c r="BB867" s="123"/>
      <c r="BC867" s="123"/>
      <c r="BD867" s="123"/>
      <c r="BE867" s="123"/>
      <c r="BF867" s="123"/>
      <c r="BG867" s="123"/>
      <c r="BH867" s="123"/>
      <c r="BI867" s="123"/>
      <c r="BJ867" s="123"/>
      <c r="BK867" s="123"/>
      <c r="BL867" s="123"/>
      <c r="BM867" s="123"/>
      <c r="BN867" s="123"/>
      <c r="BO867" s="123"/>
      <c r="BP867" s="123"/>
      <c r="BQ867" s="123"/>
      <c r="BR867" s="123"/>
      <c r="BS867" s="123"/>
      <c r="BT867" s="123"/>
      <c r="BU867" s="123"/>
      <c r="BV867" s="123"/>
      <c r="BW867" s="123"/>
      <c r="BX867" s="123"/>
      <c r="BY867" s="123"/>
      <c r="BZ867" s="123"/>
      <c r="CA867" s="123"/>
      <c r="CB867" s="123"/>
      <c r="CC867" s="123"/>
      <c r="CD867" s="123"/>
      <c r="CE867" s="123"/>
      <c r="CF867" s="123"/>
      <c r="CG867" s="123"/>
      <c r="CH867" s="123"/>
      <c r="CI867" s="123"/>
    </row>
    <row r="868" spans="1:87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123"/>
      <c r="T868" s="124"/>
      <c r="U868" s="123"/>
      <c r="V868" s="123"/>
      <c r="W868" s="124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  <c r="AR868" s="123"/>
      <c r="AS868" s="123"/>
      <c r="AT868" s="123"/>
      <c r="AU868" s="123"/>
      <c r="AV868" s="123"/>
      <c r="AW868" s="123"/>
      <c r="AX868" s="123"/>
      <c r="AY868" s="123"/>
      <c r="AZ868" s="123"/>
      <c r="BA868" s="123"/>
      <c r="BB868" s="123"/>
      <c r="BC868" s="123"/>
      <c r="BD868" s="123"/>
      <c r="BE868" s="123"/>
      <c r="BF868" s="123"/>
      <c r="BG868" s="123"/>
      <c r="BH868" s="123"/>
      <c r="BI868" s="123"/>
      <c r="BJ868" s="123"/>
      <c r="BK868" s="123"/>
      <c r="BL868" s="123"/>
      <c r="BM868" s="123"/>
      <c r="BN868" s="123"/>
      <c r="BO868" s="123"/>
      <c r="BP868" s="123"/>
      <c r="BQ868" s="123"/>
      <c r="BR868" s="123"/>
      <c r="BS868" s="123"/>
      <c r="BT868" s="123"/>
      <c r="BU868" s="123"/>
      <c r="BV868" s="123"/>
      <c r="BW868" s="123"/>
      <c r="BX868" s="123"/>
      <c r="BY868" s="123"/>
      <c r="BZ868" s="123"/>
      <c r="CA868" s="123"/>
      <c r="CB868" s="123"/>
      <c r="CC868" s="123"/>
      <c r="CD868" s="123"/>
      <c r="CE868" s="123"/>
      <c r="CF868" s="123"/>
      <c r="CG868" s="123"/>
      <c r="CH868" s="123"/>
      <c r="CI868" s="123"/>
    </row>
    <row r="869" spans="1:87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123"/>
      <c r="T869" s="124"/>
      <c r="U869" s="123"/>
      <c r="V869" s="123"/>
      <c r="W869" s="124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  <c r="AT869" s="123"/>
      <c r="AU869" s="123"/>
      <c r="AV869" s="123"/>
      <c r="AW869" s="123"/>
      <c r="AX869" s="123"/>
      <c r="AY869" s="123"/>
      <c r="AZ869" s="123"/>
      <c r="BA869" s="123"/>
      <c r="BB869" s="123"/>
      <c r="BC869" s="123"/>
      <c r="BD869" s="123"/>
      <c r="BE869" s="123"/>
      <c r="BF869" s="123"/>
      <c r="BG869" s="123"/>
      <c r="BH869" s="123"/>
      <c r="BI869" s="123"/>
      <c r="BJ869" s="123"/>
      <c r="BK869" s="123"/>
      <c r="BL869" s="123"/>
      <c r="BM869" s="123"/>
      <c r="BN869" s="123"/>
      <c r="BO869" s="123"/>
      <c r="BP869" s="123"/>
      <c r="BQ869" s="123"/>
      <c r="BR869" s="123"/>
      <c r="BS869" s="123"/>
      <c r="BT869" s="123"/>
      <c r="BU869" s="123"/>
      <c r="BV869" s="123"/>
      <c r="BW869" s="123"/>
      <c r="BX869" s="123"/>
      <c r="BY869" s="123"/>
      <c r="BZ869" s="123"/>
      <c r="CA869" s="123"/>
      <c r="CB869" s="123"/>
      <c r="CC869" s="123"/>
      <c r="CD869" s="123"/>
      <c r="CE869" s="123"/>
      <c r="CF869" s="123"/>
      <c r="CG869" s="123"/>
      <c r="CH869" s="123"/>
      <c r="CI869" s="123"/>
    </row>
    <row r="870" spans="1:87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123"/>
      <c r="T870" s="124"/>
      <c r="U870" s="123"/>
      <c r="V870" s="123"/>
      <c r="W870" s="124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  <c r="AR870" s="123"/>
      <c r="AS870" s="123"/>
      <c r="AT870" s="123"/>
      <c r="AU870" s="123"/>
      <c r="AV870" s="123"/>
      <c r="AW870" s="123"/>
      <c r="AX870" s="123"/>
      <c r="AY870" s="123"/>
      <c r="AZ870" s="123"/>
      <c r="BA870" s="123"/>
      <c r="BB870" s="123"/>
      <c r="BC870" s="123"/>
      <c r="BD870" s="123"/>
      <c r="BE870" s="123"/>
      <c r="BF870" s="123"/>
      <c r="BG870" s="123"/>
      <c r="BH870" s="123"/>
      <c r="BI870" s="123"/>
      <c r="BJ870" s="123"/>
      <c r="BK870" s="123"/>
      <c r="BL870" s="123"/>
      <c r="BM870" s="123"/>
      <c r="BN870" s="123"/>
      <c r="BO870" s="123"/>
      <c r="BP870" s="123"/>
      <c r="BQ870" s="123"/>
      <c r="BR870" s="123"/>
      <c r="BS870" s="123"/>
      <c r="BT870" s="123"/>
      <c r="BU870" s="123"/>
      <c r="BV870" s="123"/>
      <c r="BW870" s="123"/>
      <c r="BX870" s="123"/>
      <c r="BY870" s="123"/>
      <c r="BZ870" s="123"/>
      <c r="CA870" s="123"/>
      <c r="CB870" s="123"/>
      <c r="CC870" s="123"/>
      <c r="CD870" s="123"/>
      <c r="CE870" s="123"/>
      <c r="CF870" s="123"/>
      <c r="CG870" s="123"/>
      <c r="CH870" s="123"/>
      <c r="CI870" s="123"/>
    </row>
    <row r="871" spans="1:87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123"/>
      <c r="T871" s="124"/>
      <c r="U871" s="123"/>
      <c r="V871" s="123"/>
      <c r="W871" s="124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  <c r="AT871" s="123"/>
      <c r="AU871" s="123"/>
      <c r="AV871" s="123"/>
      <c r="AW871" s="123"/>
      <c r="AX871" s="123"/>
      <c r="AY871" s="123"/>
      <c r="AZ871" s="123"/>
      <c r="BA871" s="123"/>
      <c r="BB871" s="123"/>
      <c r="BC871" s="123"/>
      <c r="BD871" s="123"/>
      <c r="BE871" s="123"/>
      <c r="BF871" s="123"/>
      <c r="BG871" s="123"/>
      <c r="BH871" s="123"/>
      <c r="BI871" s="123"/>
      <c r="BJ871" s="123"/>
      <c r="BK871" s="123"/>
      <c r="BL871" s="123"/>
      <c r="BM871" s="123"/>
      <c r="BN871" s="123"/>
      <c r="BO871" s="123"/>
      <c r="BP871" s="123"/>
      <c r="BQ871" s="123"/>
      <c r="BR871" s="123"/>
      <c r="BS871" s="123"/>
      <c r="BT871" s="123"/>
      <c r="BU871" s="123"/>
      <c r="BV871" s="123"/>
      <c r="BW871" s="123"/>
      <c r="BX871" s="123"/>
      <c r="BY871" s="123"/>
      <c r="BZ871" s="123"/>
      <c r="CA871" s="123"/>
      <c r="CB871" s="123"/>
      <c r="CC871" s="123"/>
      <c r="CD871" s="123"/>
      <c r="CE871" s="123"/>
      <c r="CF871" s="123"/>
      <c r="CG871" s="123"/>
      <c r="CH871" s="123"/>
      <c r="CI871" s="123"/>
    </row>
    <row r="872" spans="1:87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123"/>
      <c r="T872" s="124"/>
      <c r="U872" s="123"/>
      <c r="V872" s="123"/>
      <c r="W872" s="124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  <c r="AT872" s="123"/>
      <c r="AU872" s="123"/>
      <c r="AV872" s="123"/>
      <c r="AW872" s="123"/>
      <c r="AX872" s="123"/>
      <c r="AY872" s="123"/>
      <c r="AZ872" s="123"/>
      <c r="BA872" s="123"/>
      <c r="BB872" s="123"/>
      <c r="BC872" s="123"/>
      <c r="BD872" s="123"/>
      <c r="BE872" s="123"/>
      <c r="BF872" s="123"/>
      <c r="BG872" s="123"/>
      <c r="BH872" s="123"/>
      <c r="BI872" s="123"/>
      <c r="BJ872" s="123"/>
      <c r="BK872" s="123"/>
      <c r="BL872" s="123"/>
      <c r="BM872" s="123"/>
      <c r="BN872" s="123"/>
      <c r="BO872" s="123"/>
      <c r="BP872" s="123"/>
      <c r="BQ872" s="123"/>
      <c r="BR872" s="123"/>
      <c r="BS872" s="123"/>
      <c r="BT872" s="123"/>
      <c r="BU872" s="123"/>
      <c r="BV872" s="123"/>
      <c r="BW872" s="123"/>
      <c r="BX872" s="123"/>
      <c r="BY872" s="123"/>
      <c r="BZ872" s="123"/>
      <c r="CA872" s="123"/>
      <c r="CB872" s="123"/>
      <c r="CC872" s="123"/>
      <c r="CD872" s="123"/>
      <c r="CE872" s="123"/>
      <c r="CF872" s="123"/>
      <c r="CG872" s="123"/>
      <c r="CH872" s="123"/>
      <c r="CI872" s="123"/>
    </row>
    <row r="873" spans="1:87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123"/>
      <c r="T873" s="124"/>
      <c r="U873" s="123"/>
      <c r="V873" s="123"/>
      <c r="W873" s="124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  <c r="AP873" s="123"/>
      <c r="AQ873" s="123"/>
      <c r="AR873" s="123"/>
      <c r="AS873" s="123"/>
      <c r="AT873" s="123"/>
      <c r="AU873" s="123"/>
      <c r="AV873" s="123"/>
      <c r="AW873" s="123"/>
      <c r="AX873" s="123"/>
      <c r="AY873" s="123"/>
      <c r="AZ873" s="123"/>
      <c r="BA873" s="123"/>
      <c r="BB873" s="123"/>
      <c r="BC873" s="123"/>
      <c r="BD873" s="123"/>
      <c r="BE873" s="123"/>
      <c r="BF873" s="123"/>
      <c r="BG873" s="123"/>
      <c r="BH873" s="123"/>
      <c r="BI873" s="123"/>
      <c r="BJ873" s="123"/>
      <c r="BK873" s="123"/>
      <c r="BL873" s="123"/>
      <c r="BM873" s="123"/>
      <c r="BN873" s="123"/>
      <c r="BO873" s="123"/>
      <c r="BP873" s="123"/>
      <c r="BQ873" s="123"/>
      <c r="BR873" s="123"/>
      <c r="BS873" s="123"/>
      <c r="BT873" s="123"/>
      <c r="BU873" s="123"/>
      <c r="BV873" s="123"/>
      <c r="BW873" s="123"/>
      <c r="BX873" s="123"/>
      <c r="BY873" s="123"/>
      <c r="BZ873" s="123"/>
      <c r="CA873" s="123"/>
      <c r="CB873" s="123"/>
      <c r="CC873" s="123"/>
      <c r="CD873" s="123"/>
      <c r="CE873" s="123"/>
      <c r="CF873" s="123"/>
      <c r="CG873" s="123"/>
      <c r="CH873" s="123"/>
      <c r="CI873" s="123"/>
    </row>
    <row r="874" spans="1:87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123"/>
      <c r="T874" s="124"/>
      <c r="U874" s="123"/>
      <c r="V874" s="123"/>
      <c r="W874" s="124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  <c r="AP874" s="123"/>
      <c r="AQ874" s="123"/>
      <c r="AR874" s="123"/>
      <c r="AS874" s="123"/>
      <c r="AT874" s="123"/>
      <c r="AU874" s="123"/>
      <c r="AV874" s="123"/>
      <c r="AW874" s="123"/>
      <c r="AX874" s="123"/>
      <c r="AY874" s="123"/>
      <c r="AZ874" s="123"/>
      <c r="BA874" s="123"/>
      <c r="BB874" s="123"/>
      <c r="BC874" s="123"/>
      <c r="BD874" s="123"/>
      <c r="BE874" s="123"/>
      <c r="BF874" s="123"/>
      <c r="BG874" s="123"/>
      <c r="BH874" s="123"/>
      <c r="BI874" s="123"/>
      <c r="BJ874" s="123"/>
      <c r="BK874" s="123"/>
      <c r="BL874" s="123"/>
      <c r="BM874" s="123"/>
      <c r="BN874" s="123"/>
      <c r="BO874" s="123"/>
      <c r="BP874" s="123"/>
      <c r="BQ874" s="123"/>
      <c r="BR874" s="123"/>
      <c r="BS874" s="123"/>
      <c r="BT874" s="123"/>
      <c r="BU874" s="123"/>
      <c r="BV874" s="123"/>
      <c r="BW874" s="123"/>
      <c r="BX874" s="123"/>
      <c r="BY874" s="123"/>
      <c r="BZ874" s="123"/>
      <c r="CA874" s="123"/>
      <c r="CB874" s="123"/>
      <c r="CC874" s="123"/>
      <c r="CD874" s="123"/>
      <c r="CE874" s="123"/>
      <c r="CF874" s="123"/>
      <c r="CG874" s="123"/>
      <c r="CH874" s="123"/>
      <c r="CI874" s="123"/>
    </row>
    <row r="875" spans="1:87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123"/>
      <c r="T875" s="124"/>
      <c r="U875" s="123"/>
      <c r="V875" s="123"/>
      <c r="W875" s="124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  <c r="AP875" s="123"/>
      <c r="AQ875" s="123"/>
      <c r="AR875" s="123"/>
      <c r="AS875" s="123"/>
      <c r="AT875" s="123"/>
      <c r="AU875" s="123"/>
      <c r="AV875" s="123"/>
      <c r="AW875" s="123"/>
      <c r="AX875" s="123"/>
      <c r="AY875" s="123"/>
      <c r="AZ875" s="123"/>
      <c r="BA875" s="123"/>
      <c r="BB875" s="123"/>
      <c r="BC875" s="123"/>
      <c r="BD875" s="123"/>
      <c r="BE875" s="123"/>
      <c r="BF875" s="123"/>
      <c r="BG875" s="123"/>
      <c r="BH875" s="123"/>
      <c r="BI875" s="123"/>
      <c r="BJ875" s="123"/>
      <c r="BK875" s="123"/>
      <c r="BL875" s="123"/>
      <c r="BM875" s="123"/>
      <c r="BN875" s="123"/>
      <c r="BO875" s="123"/>
      <c r="BP875" s="123"/>
      <c r="BQ875" s="123"/>
      <c r="BR875" s="123"/>
      <c r="BS875" s="123"/>
      <c r="BT875" s="123"/>
      <c r="BU875" s="123"/>
      <c r="BV875" s="123"/>
      <c r="BW875" s="123"/>
      <c r="BX875" s="123"/>
      <c r="BY875" s="123"/>
      <c r="BZ875" s="123"/>
      <c r="CA875" s="123"/>
      <c r="CB875" s="123"/>
      <c r="CC875" s="123"/>
      <c r="CD875" s="123"/>
      <c r="CE875" s="123"/>
      <c r="CF875" s="123"/>
      <c r="CG875" s="123"/>
      <c r="CH875" s="123"/>
      <c r="CI875" s="123"/>
    </row>
    <row r="876" spans="1:87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123"/>
      <c r="T876" s="124"/>
      <c r="U876" s="123"/>
      <c r="V876" s="123"/>
      <c r="W876" s="124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  <c r="AP876" s="123"/>
      <c r="AQ876" s="123"/>
      <c r="AR876" s="123"/>
      <c r="AS876" s="123"/>
      <c r="AT876" s="123"/>
      <c r="AU876" s="123"/>
      <c r="AV876" s="123"/>
      <c r="AW876" s="123"/>
      <c r="AX876" s="123"/>
      <c r="AY876" s="123"/>
      <c r="AZ876" s="123"/>
      <c r="BA876" s="123"/>
      <c r="BB876" s="123"/>
      <c r="BC876" s="123"/>
      <c r="BD876" s="123"/>
      <c r="BE876" s="123"/>
      <c r="BF876" s="123"/>
      <c r="BG876" s="123"/>
      <c r="BH876" s="123"/>
      <c r="BI876" s="123"/>
      <c r="BJ876" s="123"/>
      <c r="BK876" s="123"/>
      <c r="BL876" s="123"/>
      <c r="BM876" s="123"/>
      <c r="BN876" s="123"/>
      <c r="BO876" s="123"/>
      <c r="BP876" s="123"/>
      <c r="BQ876" s="123"/>
      <c r="BR876" s="123"/>
      <c r="BS876" s="123"/>
      <c r="BT876" s="123"/>
      <c r="BU876" s="123"/>
      <c r="BV876" s="123"/>
      <c r="BW876" s="123"/>
      <c r="BX876" s="123"/>
      <c r="BY876" s="123"/>
      <c r="BZ876" s="123"/>
      <c r="CA876" s="123"/>
      <c r="CB876" s="123"/>
      <c r="CC876" s="123"/>
      <c r="CD876" s="123"/>
      <c r="CE876" s="123"/>
      <c r="CF876" s="123"/>
      <c r="CG876" s="123"/>
      <c r="CH876" s="123"/>
      <c r="CI876" s="123"/>
    </row>
    <row r="877" spans="1:87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123"/>
      <c r="T877" s="124"/>
      <c r="U877" s="123"/>
      <c r="V877" s="123"/>
      <c r="W877" s="124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  <c r="AP877" s="123"/>
      <c r="AQ877" s="123"/>
      <c r="AR877" s="123"/>
      <c r="AS877" s="123"/>
      <c r="AT877" s="123"/>
      <c r="AU877" s="123"/>
      <c r="AV877" s="123"/>
      <c r="AW877" s="123"/>
      <c r="AX877" s="123"/>
      <c r="AY877" s="123"/>
      <c r="AZ877" s="123"/>
      <c r="BA877" s="123"/>
      <c r="BB877" s="123"/>
      <c r="BC877" s="123"/>
      <c r="BD877" s="123"/>
      <c r="BE877" s="123"/>
      <c r="BF877" s="123"/>
      <c r="BG877" s="123"/>
      <c r="BH877" s="123"/>
      <c r="BI877" s="123"/>
      <c r="BJ877" s="123"/>
      <c r="BK877" s="123"/>
      <c r="BL877" s="123"/>
      <c r="BM877" s="123"/>
      <c r="BN877" s="123"/>
      <c r="BO877" s="123"/>
      <c r="BP877" s="123"/>
      <c r="BQ877" s="123"/>
      <c r="BR877" s="123"/>
      <c r="BS877" s="123"/>
      <c r="BT877" s="123"/>
      <c r="BU877" s="123"/>
      <c r="BV877" s="123"/>
      <c r="BW877" s="123"/>
      <c r="BX877" s="123"/>
      <c r="BY877" s="123"/>
      <c r="BZ877" s="123"/>
      <c r="CA877" s="123"/>
      <c r="CB877" s="123"/>
      <c r="CC877" s="123"/>
      <c r="CD877" s="123"/>
      <c r="CE877" s="123"/>
      <c r="CF877" s="123"/>
      <c r="CG877" s="123"/>
      <c r="CH877" s="123"/>
      <c r="CI877" s="123"/>
    </row>
    <row r="878" spans="1:87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123"/>
      <c r="T878" s="124"/>
      <c r="U878" s="123"/>
      <c r="V878" s="123"/>
      <c r="W878" s="124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23"/>
      <c r="AQ878" s="123"/>
      <c r="AR878" s="123"/>
      <c r="AS878" s="123"/>
      <c r="AT878" s="123"/>
      <c r="AU878" s="123"/>
      <c r="AV878" s="123"/>
      <c r="AW878" s="123"/>
      <c r="AX878" s="123"/>
      <c r="AY878" s="123"/>
      <c r="AZ878" s="123"/>
      <c r="BA878" s="123"/>
      <c r="BB878" s="123"/>
      <c r="BC878" s="123"/>
      <c r="BD878" s="123"/>
      <c r="BE878" s="123"/>
      <c r="BF878" s="123"/>
      <c r="BG878" s="123"/>
      <c r="BH878" s="123"/>
      <c r="BI878" s="123"/>
      <c r="BJ878" s="123"/>
      <c r="BK878" s="123"/>
      <c r="BL878" s="123"/>
      <c r="BM878" s="123"/>
      <c r="BN878" s="123"/>
      <c r="BO878" s="123"/>
      <c r="BP878" s="123"/>
      <c r="BQ878" s="123"/>
      <c r="BR878" s="123"/>
      <c r="BS878" s="123"/>
      <c r="BT878" s="123"/>
      <c r="BU878" s="123"/>
      <c r="BV878" s="123"/>
      <c r="BW878" s="123"/>
      <c r="BX878" s="123"/>
      <c r="BY878" s="123"/>
      <c r="BZ878" s="123"/>
      <c r="CA878" s="123"/>
      <c r="CB878" s="123"/>
      <c r="CC878" s="123"/>
      <c r="CD878" s="123"/>
      <c r="CE878" s="123"/>
      <c r="CF878" s="123"/>
      <c r="CG878" s="123"/>
      <c r="CH878" s="123"/>
      <c r="CI878" s="123"/>
    </row>
    <row r="879" spans="1:87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123"/>
      <c r="T879" s="124"/>
      <c r="U879" s="123"/>
      <c r="V879" s="123"/>
      <c r="W879" s="124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23"/>
      <c r="AQ879" s="123"/>
      <c r="AR879" s="123"/>
      <c r="AS879" s="123"/>
      <c r="AT879" s="123"/>
      <c r="AU879" s="123"/>
      <c r="AV879" s="123"/>
      <c r="AW879" s="123"/>
      <c r="AX879" s="123"/>
      <c r="AY879" s="123"/>
      <c r="AZ879" s="123"/>
      <c r="BA879" s="123"/>
      <c r="BB879" s="123"/>
      <c r="BC879" s="123"/>
      <c r="BD879" s="123"/>
      <c r="BE879" s="123"/>
      <c r="BF879" s="123"/>
      <c r="BG879" s="123"/>
      <c r="BH879" s="123"/>
      <c r="BI879" s="123"/>
      <c r="BJ879" s="123"/>
      <c r="BK879" s="123"/>
      <c r="BL879" s="123"/>
      <c r="BM879" s="123"/>
      <c r="BN879" s="123"/>
      <c r="BO879" s="123"/>
      <c r="BP879" s="123"/>
      <c r="BQ879" s="123"/>
      <c r="BR879" s="123"/>
      <c r="BS879" s="123"/>
      <c r="BT879" s="123"/>
      <c r="BU879" s="123"/>
      <c r="BV879" s="123"/>
      <c r="BW879" s="123"/>
      <c r="BX879" s="123"/>
      <c r="BY879" s="123"/>
      <c r="BZ879" s="123"/>
      <c r="CA879" s="123"/>
      <c r="CB879" s="123"/>
      <c r="CC879" s="123"/>
      <c r="CD879" s="123"/>
      <c r="CE879" s="123"/>
      <c r="CF879" s="123"/>
      <c r="CG879" s="123"/>
      <c r="CH879" s="123"/>
      <c r="CI879" s="123"/>
    </row>
    <row r="880" spans="1:87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123"/>
      <c r="T880" s="124"/>
      <c r="U880" s="123"/>
      <c r="V880" s="123"/>
      <c r="W880" s="124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  <c r="AP880" s="123"/>
      <c r="AQ880" s="123"/>
      <c r="AR880" s="123"/>
      <c r="AS880" s="123"/>
      <c r="AT880" s="123"/>
      <c r="AU880" s="123"/>
      <c r="AV880" s="123"/>
      <c r="AW880" s="123"/>
      <c r="AX880" s="123"/>
      <c r="AY880" s="123"/>
      <c r="AZ880" s="123"/>
      <c r="BA880" s="123"/>
      <c r="BB880" s="123"/>
      <c r="BC880" s="123"/>
      <c r="BD880" s="123"/>
      <c r="BE880" s="123"/>
      <c r="BF880" s="123"/>
      <c r="BG880" s="123"/>
      <c r="BH880" s="123"/>
      <c r="BI880" s="123"/>
      <c r="BJ880" s="123"/>
      <c r="BK880" s="123"/>
      <c r="BL880" s="123"/>
      <c r="BM880" s="123"/>
      <c r="BN880" s="123"/>
      <c r="BO880" s="123"/>
      <c r="BP880" s="123"/>
      <c r="BQ880" s="123"/>
      <c r="BR880" s="123"/>
      <c r="BS880" s="123"/>
      <c r="BT880" s="123"/>
      <c r="BU880" s="123"/>
      <c r="BV880" s="123"/>
      <c r="BW880" s="123"/>
      <c r="BX880" s="123"/>
      <c r="BY880" s="123"/>
      <c r="BZ880" s="123"/>
      <c r="CA880" s="123"/>
      <c r="CB880" s="123"/>
      <c r="CC880" s="123"/>
      <c r="CD880" s="123"/>
      <c r="CE880" s="123"/>
      <c r="CF880" s="123"/>
      <c r="CG880" s="123"/>
      <c r="CH880" s="123"/>
      <c r="CI880" s="123"/>
    </row>
    <row r="881" spans="1:87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123"/>
      <c r="T881" s="124"/>
      <c r="U881" s="123"/>
      <c r="V881" s="123"/>
      <c r="W881" s="124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23"/>
      <c r="AQ881" s="123"/>
      <c r="AR881" s="123"/>
      <c r="AS881" s="123"/>
      <c r="AT881" s="123"/>
      <c r="AU881" s="123"/>
      <c r="AV881" s="123"/>
      <c r="AW881" s="123"/>
      <c r="AX881" s="123"/>
      <c r="AY881" s="123"/>
      <c r="AZ881" s="123"/>
      <c r="BA881" s="123"/>
      <c r="BB881" s="123"/>
      <c r="BC881" s="123"/>
      <c r="BD881" s="123"/>
      <c r="BE881" s="123"/>
      <c r="BF881" s="123"/>
      <c r="BG881" s="123"/>
      <c r="BH881" s="123"/>
      <c r="BI881" s="123"/>
      <c r="BJ881" s="123"/>
      <c r="BK881" s="123"/>
      <c r="BL881" s="123"/>
      <c r="BM881" s="123"/>
      <c r="BN881" s="123"/>
      <c r="BO881" s="123"/>
      <c r="BP881" s="123"/>
      <c r="BQ881" s="123"/>
      <c r="BR881" s="123"/>
      <c r="BS881" s="123"/>
      <c r="BT881" s="123"/>
      <c r="BU881" s="123"/>
      <c r="BV881" s="123"/>
      <c r="BW881" s="123"/>
      <c r="BX881" s="123"/>
      <c r="BY881" s="123"/>
      <c r="BZ881" s="123"/>
      <c r="CA881" s="123"/>
      <c r="CB881" s="123"/>
      <c r="CC881" s="123"/>
      <c r="CD881" s="123"/>
      <c r="CE881" s="123"/>
      <c r="CF881" s="123"/>
      <c r="CG881" s="123"/>
      <c r="CH881" s="123"/>
      <c r="CI881" s="123"/>
    </row>
    <row r="882" spans="1:87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123"/>
      <c r="T882" s="124"/>
      <c r="U882" s="123"/>
      <c r="V882" s="123"/>
      <c r="W882" s="124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23"/>
      <c r="AQ882" s="123"/>
      <c r="AR882" s="123"/>
      <c r="AS882" s="123"/>
      <c r="AT882" s="123"/>
      <c r="AU882" s="123"/>
      <c r="AV882" s="123"/>
      <c r="AW882" s="123"/>
      <c r="AX882" s="123"/>
      <c r="AY882" s="123"/>
      <c r="AZ882" s="123"/>
      <c r="BA882" s="123"/>
      <c r="BB882" s="123"/>
      <c r="BC882" s="123"/>
      <c r="BD882" s="123"/>
      <c r="BE882" s="123"/>
      <c r="BF882" s="123"/>
      <c r="BG882" s="123"/>
      <c r="BH882" s="123"/>
      <c r="BI882" s="123"/>
      <c r="BJ882" s="123"/>
      <c r="BK882" s="123"/>
      <c r="BL882" s="123"/>
      <c r="BM882" s="123"/>
      <c r="BN882" s="123"/>
      <c r="BO882" s="123"/>
      <c r="BP882" s="123"/>
      <c r="BQ882" s="123"/>
      <c r="BR882" s="123"/>
      <c r="BS882" s="123"/>
      <c r="BT882" s="123"/>
      <c r="BU882" s="123"/>
      <c r="BV882" s="123"/>
      <c r="BW882" s="123"/>
      <c r="BX882" s="123"/>
      <c r="BY882" s="123"/>
      <c r="BZ882" s="123"/>
      <c r="CA882" s="123"/>
      <c r="CB882" s="123"/>
      <c r="CC882" s="123"/>
      <c r="CD882" s="123"/>
      <c r="CE882" s="123"/>
      <c r="CF882" s="123"/>
      <c r="CG882" s="123"/>
      <c r="CH882" s="123"/>
      <c r="CI882" s="123"/>
    </row>
    <row r="883" spans="1:87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123"/>
      <c r="T883" s="124"/>
      <c r="U883" s="123"/>
      <c r="V883" s="123"/>
      <c r="W883" s="124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  <c r="AP883" s="123"/>
      <c r="AQ883" s="123"/>
      <c r="AR883" s="123"/>
      <c r="AS883" s="123"/>
      <c r="AT883" s="123"/>
      <c r="AU883" s="123"/>
      <c r="AV883" s="123"/>
      <c r="AW883" s="123"/>
      <c r="AX883" s="123"/>
      <c r="AY883" s="123"/>
      <c r="AZ883" s="123"/>
      <c r="BA883" s="123"/>
      <c r="BB883" s="123"/>
      <c r="BC883" s="123"/>
      <c r="BD883" s="123"/>
      <c r="BE883" s="123"/>
      <c r="BF883" s="123"/>
      <c r="BG883" s="123"/>
      <c r="BH883" s="123"/>
      <c r="BI883" s="123"/>
      <c r="BJ883" s="123"/>
      <c r="BK883" s="123"/>
      <c r="BL883" s="123"/>
      <c r="BM883" s="123"/>
      <c r="BN883" s="123"/>
      <c r="BO883" s="123"/>
      <c r="BP883" s="123"/>
      <c r="BQ883" s="123"/>
      <c r="BR883" s="123"/>
      <c r="BS883" s="123"/>
      <c r="BT883" s="123"/>
      <c r="BU883" s="123"/>
      <c r="BV883" s="123"/>
      <c r="BW883" s="123"/>
      <c r="BX883" s="123"/>
      <c r="BY883" s="123"/>
      <c r="BZ883" s="123"/>
      <c r="CA883" s="123"/>
      <c r="CB883" s="123"/>
      <c r="CC883" s="123"/>
      <c r="CD883" s="123"/>
      <c r="CE883" s="123"/>
      <c r="CF883" s="123"/>
      <c r="CG883" s="123"/>
      <c r="CH883" s="123"/>
      <c r="CI883" s="123"/>
    </row>
    <row r="884" spans="1:87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123"/>
      <c r="T884" s="124"/>
      <c r="U884" s="123"/>
      <c r="V884" s="123"/>
      <c r="W884" s="124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23"/>
      <c r="AQ884" s="123"/>
      <c r="AR884" s="123"/>
      <c r="AS884" s="123"/>
      <c r="AT884" s="123"/>
      <c r="AU884" s="123"/>
      <c r="AV884" s="123"/>
      <c r="AW884" s="123"/>
      <c r="AX884" s="123"/>
      <c r="AY884" s="123"/>
      <c r="AZ884" s="123"/>
      <c r="BA884" s="123"/>
      <c r="BB884" s="123"/>
      <c r="BC884" s="123"/>
      <c r="BD884" s="123"/>
      <c r="BE884" s="123"/>
      <c r="BF884" s="123"/>
      <c r="BG884" s="123"/>
      <c r="BH884" s="123"/>
      <c r="BI884" s="123"/>
      <c r="BJ884" s="123"/>
      <c r="BK884" s="123"/>
      <c r="BL884" s="123"/>
      <c r="BM884" s="123"/>
      <c r="BN884" s="123"/>
      <c r="BO884" s="123"/>
      <c r="BP884" s="123"/>
      <c r="BQ884" s="123"/>
      <c r="BR884" s="123"/>
      <c r="BS884" s="123"/>
      <c r="BT884" s="123"/>
      <c r="BU884" s="123"/>
      <c r="BV884" s="123"/>
      <c r="BW884" s="123"/>
      <c r="BX884" s="123"/>
      <c r="BY884" s="123"/>
      <c r="BZ884" s="123"/>
      <c r="CA884" s="123"/>
      <c r="CB884" s="123"/>
      <c r="CC884" s="123"/>
      <c r="CD884" s="123"/>
      <c r="CE884" s="123"/>
      <c r="CF884" s="123"/>
      <c r="CG884" s="123"/>
      <c r="CH884" s="123"/>
      <c r="CI884" s="123"/>
    </row>
    <row r="885" spans="1:87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123"/>
      <c r="T885" s="124"/>
      <c r="U885" s="123"/>
      <c r="V885" s="123"/>
      <c r="W885" s="124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23"/>
      <c r="AQ885" s="123"/>
      <c r="AR885" s="123"/>
      <c r="AS885" s="123"/>
      <c r="AT885" s="123"/>
      <c r="AU885" s="123"/>
      <c r="AV885" s="123"/>
      <c r="AW885" s="123"/>
      <c r="AX885" s="123"/>
      <c r="AY885" s="123"/>
      <c r="AZ885" s="123"/>
      <c r="BA885" s="123"/>
      <c r="BB885" s="123"/>
      <c r="BC885" s="123"/>
      <c r="BD885" s="123"/>
      <c r="BE885" s="123"/>
      <c r="BF885" s="123"/>
      <c r="BG885" s="123"/>
      <c r="BH885" s="123"/>
      <c r="BI885" s="123"/>
      <c r="BJ885" s="123"/>
      <c r="BK885" s="123"/>
      <c r="BL885" s="123"/>
      <c r="BM885" s="123"/>
      <c r="BN885" s="123"/>
      <c r="BO885" s="123"/>
      <c r="BP885" s="123"/>
      <c r="BQ885" s="123"/>
      <c r="BR885" s="123"/>
      <c r="BS885" s="123"/>
      <c r="BT885" s="123"/>
      <c r="BU885" s="123"/>
      <c r="BV885" s="123"/>
      <c r="BW885" s="123"/>
      <c r="BX885" s="123"/>
      <c r="BY885" s="123"/>
      <c r="BZ885" s="123"/>
      <c r="CA885" s="123"/>
      <c r="CB885" s="123"/>
      <c r="CC885" s="123"/>
      <c r="CD885" s="123"/>
      <c r="CE885" s="123"/>
      <c r="CF885" s="123"/>
      <c r="CG885" s="123"/>
      <c r="CH885" s="123"/>
      <c r="CI885" s="123"/>
    </row>
    <row r="886" spans="1:87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123"/>
      <c r="T886" s="124"/>
      <c r="U886" s="123"/>
      <c r="V886" s="123"/>
      <c r="W886" s="124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23"/>
      <c r="AQ886" s="123"/>
      <c r="AR886" s="123"/>
      <c r="AS886" s="123"/>
      <c r="AT886" s="123"/>
      <c r="AU886" s="123"/>
      <c r="AV886" s="123"/>
      <c r="AW886" s="123"/>
      <c r="AX886" s="123"/>
      <c r="AY886" s="123"/>
      <c r="AZ886" s="123"/>
      <c r="BA886" s="123"/>
      <c r="BB886" s="123"/>
      <c r="BC886" s="123"/>
      <c r="BD886" s="123"/>
      <c r="BE886" s="123"/>
      <c r="BF886" s="123"/>
      <c r="BG886" s="123"/>
      <c r="BH886" s="123"/>
      <c r="BI886" s="123"/>
      <c r="BJ886" s="123"/>
      <c r="BK886" s="123"/>
      <c r="BL886" s="123"/>
      <c r="BM886" s="123"/>
      <c r="BN886" s="123"/>
      <c r="BO886" s="123"/>
      <c r="BP886" s="123"/>
      <c r="BQ886" s="123"/>
      <c r="BR886" s="123"/>
      <c r="BS886" s="123"/>
      <c r="BT886" s="123"/>
      <c r="BU886" s="123"/>
      <c r="BV886" s="123"/>
      <c r="BW886" s="123"/>
      <c r="BX886" s="123"/>
      <c r="BY886" s="123"/>
      <c r="BZ886" s="123"/>
      <c r="CA886" s="123"/>
      <c r="CB886" s="123"/>
      <c r="CC886" s="123"/>
      <c r="CD886" s="123"/>
      <c r="CE886" s="123"/>
      <c r="CF886" s="123"/>
      <c r="CG886" s="123"/>
      <c r="CH886" s="123"/>
      <c r="CI886" s="123"/>
    </row>
    <row r="887" spans="1:87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123"/>
      <c r="T887" s="124"/>
      <c r="U887" s="123"/>
      <c r="V887" s="123"/>
      <c r="W887" s="124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  <c r="AR887" s="123"/>
      <c r="AS887" s="123"/>
      <c r="AT887" s="123"/>
      <c r="AU887" s="123"/>
      <c r="AV887" s="123"/>
      <c r="AW887" s="123"/>
      <c r="AX887" s="123"/>
      <c r="AY887" s="123"/>
      <c r="AZ887" s="123"/>
      <c r="BA887" s="123"/>
      <c r="BB887" s="123"/>
      <c r="BC887" s="123"/>
      <c r="BD887" s="123"/>
      <c r="BE887" s="123"/>
      <c r="BF887" s="123"/>
      <c r="BG887" s="123"/>
      <c r="BH887" s="123"/>
      <c r="BI887" s="123"/>
      <c r="BJ887" s="123"/>
      <c r="BK887" s="123"/>
      <c r="BL887" s="123"/>
      <c r="BM887" s="123"/>
      <c r="BN887" s="123"/>
      <c r="BO887" s="123"/>
      <c r="BP887" s="123"/>
      <c r="BQ887" s="123"/>
      <c r="BR887" s="123"/>
      <c r="BS887" s="123"/>
      <c r="BT887" s="123"/>
      <c r="BU887" s="123"/>
      <c r="BV887" s="123"/>
      <c r="BW887" s="123"/>
      <c r="BX887" s="123"/>
      <c r="BY887" s="123"/>
      <c r="BZ887" s="123"/>
      <c r="CA887" s="123"/>
      <c r="CB887" s="123"/>
      <c r="CC887" s="123"/>
      <c r="CD887" s="123"/>
      <c r="CE887" s="123"/>
      <c r="CF887" s="123"/>
      <c r="CG887" s="123"/>
      <c r="CH887" s="123"/>
      <c r="CI887" s="123"/>
    </row>
    <row r="888" spans="1:87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123"/>
      <c r="T888" s="124"/>
      <c r="U888" s="123"/>
      <c r="V888" s="123"/>
      <c r="W888" s="124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  <c r="AP888" s="123"/>
      <c r="AQ888" s="123"/>
      <c r="AR888" s="123"/>
      <c r="AS888" s="123"/>
      <c r="AT888" s="123"/>
      <c r="AU888" s="123"/>
      <c r="AV888" s="123"/>
      <c r="AW888" s="123"/>
      <c r="AX888" s="123"/>
      <c r="AY888" s="123"/>
      <c r="AZ888" s="123"/>
      <c r="BA888" s="123"/>
      <c r="BB888" s="123"/>
      <c r="BC888" s="123"/>
      <c r="BD888" s="123"/>
      <c r="BE888" s="123"/>
      <c r="BF888" s="123"/>
      <c r="BG888" s="123"/>
      <c r="BH888" s="123"/>
      <c r="BI888" s="123"/>
      <c r="BJ888" s="123"/>
      <c r="BK888" s="123"/>
      <c r="BL888" s="123"/>
      <c r="BM888" s="123"/>
      <c r="BN888" s="123"/>
      <c r="BO888" s="123"/>
      <c r="BP888" s="123"/>
      <c r="BQ888" s="123"/>
      <c r="BR888" s="123"/>
      <c r="BS888" s="123"/>
      <c r="BT888" s="123"/>
      <c r="BU888" s="123"/>
      <c r="BV888" s="123"/>
      <c r="BW888" s="123"/>
      <c r="BX888" s="123"/>
      <c r="BY888" s="123"/>
      <c r="BZ888" s="123"/>
      <c r="CA888" s="123"/>
      <c r="CB888" s="123"/>
      <c r="CC888" s="123"/>
      <c r="CD888" s="123"/>
      <c r="CE888" s="123"/>
      <c r="CF888" s="123"/>
      <c r="CG888" s="123"/>
      <c r="CH888" s="123"/>
      <c r="CI888" s="123"/>
    </row>
    <row r="889" spans="1:87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123"/>
      <c r="T889" s="124"/>
      <c r="U889" s="123"/>
      <c r="V889" s="123"/>
      <c r="W889" s="124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  <c r="AP889" s="123"/>
      <c r="AQ889" s="123"/>
      <c r="AR889" s="123"/>
      <c r="AS889" s="123"/>
      <c r="AT889" s="123"/>
      <c r="AU889" s="123"/>
      <c r="AV889" s="123"/>
      <c r="AW889" s="123"/>
      <c r="AX889" s="123"/>
      <c r="AY889" s="123"/>
      <c r="AZ889" s="123"/>
      <c r="BA889" s="123"/>
      <c r="BB889" s="123"/>
      <c r="BC889" s="123"/>
      <c r="BD889" s="123"/>
      <c r="BE889" s="123"/>
      <c r="BF889" s="123"/>
      <c r="BG889" s="123"/>
      <c r="BH889" s="123"/>
      <c r="BI889" s="123"/>
      <c r="BJ889" s="123"/>
      <c r="BK889" s="123"/>
      <c r="BL889" s="123"/>
      <c r="BM889" s="123"/>
      <c r="BN889" s="123"/>
      <c r="BO889" s="123"/>
      <c r="BP889" s="123"/>
      <c r="BQ889" s="123"/>
      <c r="BR889" s="123"/>
      <c r="BS889" s="123"/>
      <c r="BT889" s="123"/>
      <c r="BU889" s="123"/>
      <c r="BV889" s="123"/>
      <c r="BW889" s="123"/>
      <c r="BX889" s="123"/>
      <c r="BY889" s="123"/>
      <c r="BZ889" s="123"/>
      <c r="CA889" s="123"/>
      <c r="CB889" s="123"/>
      <c r="CC889" s="123"/>
      <c r="CD889" s="123"/>
      <c r="CE889" s="123"/>
      <c r="CF889" s="123"/>
      <c r="CG889" s="123"/>
      <c r="CH889" s="123"/>
      <c r="CI889" s="123"/>
    </row>
    <row r="890" spans="1:87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123"/>
      <c r="T890" s="124"/>
      <c r="U890" s="123"/>
      <c r="V890" s="123"/>
      <c r="W890" s="124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  <c r="AP890" s="123"/>
      <c r="AQ890" s="123"/>
      <c r="AR890" s="123"/>
      <c r="AS890" s="123"/>
      <c r="AT890" s="123"/>
      <c r="AU890" s="123"/>
      <c r="AV890" s="123"/>
      <c r="AW890" s="123"/>
      <c r="AX890" s="123"/>
      <c r="AY890" s="123"/>
      <c r="AZ890" s="123"/>
      <c r="BA890" s="123"/>
      <c r="BB890" s="123"/>
      <c r="BC890" s="123"/>
      <c r="BD890" s="123"/>
      <c r="BE890" s="123"/>
      <c r="BF890" s="123"/>
      <c r="BG890" s="123"/>
      <c r="BH890" s="123"/>
      <c r="BI890" s="123"/>
      <c r="BJ890" s="123"/>
      <c r="BK890" s="123"/>
      <c r="BL890" s="123"/>
      <c r="BM890" s="123"/>
      <c r="BN890" s="123"/>
      <c r="BO890" s="123"/>
      <c r="BP890" s="123"/>
      <c r="BQ890" s="123"/>
      <c r="BR890" s="123"/>
      <c r="BS890" s="123"/>
      <c r="BT890" s="123"/>
      <c r="BU890" s="123"/>
      <c r="BV890" s="123"/>
      <c r="BW890" s="123"/>
      <c r="BX890" s="123"/>
      <c r="BY890" s="123"/>
      <c r="BZ890" s="123"/>
      <c r="CA890" s="123"/>
      <c r="CB890" s="123"/>
      <c r="CC890" s="123"/>
      <c r="CD890" s="123"/>
      <c r="CE890" s="123"/>
      <c r="CF890" s="123"/>
      <c r="CG890" s="123"/>
      <c r="CH890" s="123"/>
      <c r="CI890" s="123"/>
    </row>
    <row r="891" spans="1:87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123"/>
      <c r="T891" s="124"/>
      <c r="U891" s="123"/>
      <c r="V891" s="123"/>
      <c r="W891" s="124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23"/>
      <c r="AQ891" s="123"/>
      <c r="AR891" s="123"/>
      <c r="AS891" s="123"/>
      <c r="AT891" s="123"/>
      <c r="AU891" s="123"/>
      <c r="AV891" s="123"/>
      <c r="AW891" s="123"/>
      <c r="AX891" s="123"/>
      <c r="AY891" s="123"/>
      <c r="AZ891" s="123"/>
      <c r="BA891" s="123"/>
      <c r="BB891" s="123"/>
      <c r="BC891" s="123"/>
      <c r="BD891" s="123"/>
      <c r="BE891" s="123"/>
      <c r="BF891" s="123"/>
      <c r="BG891" s="123"/>
      <c r="BH891" s="123"/>
      <c r="BI891" s="123"/>
      <c r="BJ891" s="123"/>
      <c r="BK891" s="123"/>
      <c r="BL891" s="123"/>
      <c r="BM891" s="123"/>
      <c r="BN891" s="123"/>
      <c r="BO891" s="123"/>
      <c r="BP891" s="123"/>
      <c r="BQ891" s="123"/>
      <c r="BR891" s="123"/>
      <c r="BS891" s="123"/>
      <c r="BT891" s="123"/>
      <c r="BU891" s="123"/>
      <c r="BV891" s="123"/>
      <c r="BW891" s="123"/>
      <c r="BX891" s="123"/>
      <c r="BY891" s="123"/>
      <c r="BZ891" s="123"/>
      <c r="CA891" s="123"/>
      <c r="CB891" s="123"/>
      <c r="CC891" s="123"/>
      <c r="CD891" s="123"/>
      <c r="CE891" s="123"/>
      <c r="CF891" s="123"/>
      <c r="CG891" s="123"/>
      <c r="CH891" s="123"/>
      <c r="CI891" s="123"/>
    </row>
    <row r="892" spans="1:87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123"/>
      <c r="T892" s="124"/>
      <c r="U892" s="123"/>
      <c r="V892" s="123"/>
      <c r="W892" s="124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23"/>
      <c r="AQ892" s="123"/>
      <c r="AR892" s="123"/>
      <c r="AS892" s="123"/>
      <c r="AT892" s="123"/>
      <c r="AU892" s="123"/>
      <c r="AV892" s="123"/>
      <c r="AW892" s="123"/>
      <c r="AX892" s="123"/>
      <c r="AY892" s="123"/>
      <c r="AZ892" s="123"/>
      <c r="BA892" s="123"/>
      <c r="BB892" s="123"/>
      <c r="BC892" s="123"/>
      <c r="BD892" s="123"/>
      <c r="BE892" s="123"/>
      <c r="BF892" s="123"/>
      <c r="BG892" s="123"/>
      <c r="BH892" s="123"/>
      <c r="BI892" s="123"/>
      <c r="BJ892" s="123"/>
      <c r="BK892" s="123"/>
      <c r="BL892" s="123"/>
      <c r="BM892" s="123"/>
      <c r="BN892" s="123"/>
      <c r="BO892" s="123"/>
      <c r="BP892" s="123"/>
      <c r="BQ892" s="123"/>
      <c r="BR892" s="123"/>
      <c r="BS892" s="123"/>
      <c r="BT892" s="123"/>
      <c r="BU892" s="123"/>
      <c r="BV892" s="123"/>
      <c r="BW892" s="123"/>
      <c r="BX892" s="123"/>
      <c r="BY892" s="123"/>
      <c r="BZ892" s="123"/>
      <c r="CA892" s="123"/>
      <c r="CB892" s="123"/>
      <c r="CC892" s="123"/>
      <c r="CD892" s="123"/>
      <c r="CE892" s="123"/>
      <c r="CF892" s="123"/>
      <c r="CG892" s="123"/>
      <c r="CH892" s="123"/>
      <c r="CI892" s="123"/>
    </row>
    <row r="893" spans="1:87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123"/>
      <c r="T893" s="124"/>
      <c r="U893" s="123"/>
      <c r="V893" s="123"/>
      <c r="W893" s="124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  <c r="AP893" s="123"/>
      <c r="AQ893" s="123"/>
      <c r="AR893" s="123"/>
      <c r="AS893" s="123"/>
      <c r="AT893" s="123"/>
      <c r="AU893" s="123"/>
      <c r="AV893" s="123"/>
      <c r="AW893" s="123"/>
      <c r="AX893" s="123"/>
      <c r="AY893" s="123"/>
      <c r="AZ893" s="123"/>
      <c r="BA893" s="123"/>
      <c r="BB893" s="123"/>
      <c r="BC893" s="123"/>
      <c r="BD893" s="123"/>
      <c r="BE893" s="123"/>
      <c r="BF893" s="123"/>
      <c r="BG893" s="123"/>
      <c r="BH893" s="123"/>
      <c r="BI893" s="123"/>
      <c r="BJ893" s="123"/>
      <c r="BK893" s="123"/>
      <c r="BL893" s="123"/>
      <c r="BM893" s="123"/>
      <c r="BN893" s="123"/>
      <c r="BO893" s="123"/>
      <c r="BP893" s="123"/>
      <c r="BQ893" s="123"/>
      <c r="BR893" s="123"/>
      <c r="BS893" s="123"/>
      <c r="BT893" s="123"/>
      <c r="BU893" s="123"/>
      <c r="BV893" s="123"/>
      <c r="BW893" s="123"/>
      <c r="BX893" s="123"/>
      <c r="BY893" s="123"/>
      <c r="BZ893" s="123"/>
      <c r="CA893" s="123"/>
      <c r="CB893" s="123"/>
      <c r="CC893" s="123"/>
      <c r="CD893" s="123"/>
      <c r="CE893" s="123"/>
      <c r="CF893" s="123"/>
      <c r="CG893" s="123"/>
      <c r="CH893" s="123"/>
      <c r="CI893" s="123"/>
    </row>
    <row r="894" spans="1:87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123"/>
      <c r="T894" s="124"/>
      <c r="U894" s="123"/>
      <c r="V894" s="123"/>
      <c r="W894" s="124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23"/>
      <c r="AQ894" s="123"/>
      <c r="AR894" s="123"/>
      <c r="AS894" s="123"/>
      <c r="AT894" s="123"/>
      <c r="AU894" s="123"/>
      <c r="AV894" s="123"/>
      <c r="AW894" s="123"/>
      <c r="AX894" s="123"/>
      <c r="AY894" s="123"/>
      <c r="AZ894" s="123"/>
      <c r="BA894" s="123"/>
      <c r="BB894" s="123"/>
      <c r="BC894" s="123"/>
      <c r="BD894" s="123"/>
      <c r="BE894" s="123"/>
      <c r="BF894" s="123"/>
      <c r="BG894" s="123"/>
      <c r="BH894" s="123"/>
      <c r="BI894" s="123"/>
      <c r="BJ894" s="123"/>
      <c r="BK894" s="123"/>
      <c r="BL894" s="123"/>
      <c r="BM894" s="123"/>
      <c r="BN894" s="123"/>
      <c r="BO894" s="123"/>
      <c r="BP894" s="123"/>
      <c r="BQ894" s="123"/>
      <c r="BR894" s="123"/>
      <c r="BS894" s="123"/>
      <c r="BT894" s="123"/>
      <c r="BU894" s="123"/>
      <c r="BV894" s="123"/>
      <c r="BW894" s="123"/>
      <c r="BX894" s="123"/>
      <c r="BY894" s="123"/>
      <c r="BZ894" s="123"/>
      <c r="CA894" s="123"/>
      <c r="CB894" s="123"/>
      <c r="CC894" s="123"/>
      <c r="CD894" s="123"/>
      <c r="CE894" s="123"/>
      <c r="CF894" s="123"/>
      <c r="CG894" s="123"/>
      <c r="CH894" s="123"/>
      <c r="CI894" s="123"/>
    </row>
    <row r="895" spans="1:87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123"/>
      <c r="T895" s="124"/>
      <c r="U895" s="123"/>
      <c r="V895" s="123"/>
      <c r="W895" s="124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23"/>
      <c r="AQ895" s="123"/>
      <c r="AR895" s="123"/>
      <c r="AS895" s="123"/>
      <c r="AT895" s="123"/>
      <c r="AU895" s="123"/>
      <c r="AV895" s="123"/>
      <c r="AW895" s="123"/>
      <c r="AX895" s="123"/>
      <c r="AY895" s="123"/>
      <c r="AZ895" s="123"/>
      <c r="BA895" s="123"/>
      <c r="BB895" s="123"/>
      <c r="BC895" s="123"/>
      <c r="BD895" s="123"/>
      <c r="BE895" s="123"/>
      <c r="BF895" s="123"/>
      <c r="BG895" s="123"/>
      <c r="BH895" s="123"/>
      <c r="BI895" s="123"/>
      <c r="BJ895" s="123"/>
      <c r="BK895" s="123"/>
      <c r="BL895" s="123"/>
      <c r="BM895" s="123"/>
      <c r="BN895" s="123"/>
      <c r="BO895" s="123"/>
      <c r="BP895" s="123"/>
      <c r="BQ895" s="123"/>
      <c r="BR895" s="123"/>
      <c r="BS895" s="123"/>
      <c r="BT895" s="123"/>
      <c r="BU895" s="123"/>
      <c r="BV895" s="123"/>
      <c r="BW895" s="123"/>
      <c r="BX895" s="123"/>
      <c r="BY895" s="123"/>
      <c r="BZ895" s="123"/>
      <c r="CA895" s="123"/>
      <c r="CB895" s="123"/>
      <c r="CC895" s="123"/>
      <c r="CD895" s="123"/>
      <c r="CE895" s="123"/>
      <c r="CF895" s="123"/>
      <c r="CG895" s="123"/>
      <c r="CH895" s="123"/>
      <c r="CI895" s="123"/>
    </row>
    <row r="896" spans="1:87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123"/>
      <c r="T896" s="124"/>
      <c r="U896" s="123"/>
      <c r="V896" s="123"/>
      <c r="W896" s="124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23"/>
      <c r="AQ896" s="123"/>
      <c r="AR896" s="123"/>
      <c r="AS896" s="123"/>
      <c r="AT896" s="123"/>
      <c r="AU896" s="123"/>
      <c r="AV896" s="123"/>
      <c r="AW896" s="123"/>
      <c r="AX896" s="123"/>
      <c r="AY896" s="123"/>
      <c r="AZ896" s="123"/>
      <c r="BA896" s="123"/>
      <c r="BB896" s="123"/>
      <c r="BC896" s="123"/>
      <c r="BD896" s="123"/>
      <c r="BE896" s="123"/>
      <c r="BF896" s="123"/>
      <c r="BG896" s="123"/>
      <c r="BH896" s="123"/>
      <c r="BI896" s="123"/>
      <c r="BJ896" s="123"/>
      <c r="BK896" s="123"/>
      <c r="BL896" s="123"/>
      <c r="BM896" s="123"/>
      <c r="BN896" s="123"/>
      <c r="BO896" s="123"/>
      <c r="BP896" s="123"/>
      <c r="BQ896" s="123"/>
      <c r="BR896" s="123"/>
      <c r="BS896" s="123"/>
      <c r="BT896" s="123"/>
      <c r="BU896" s="123"/>
      <c r="BV896" s="123"/>
      <c r="BW896" s="123"/>
      <c r="BX896" s="123"/>
      <c r="BY896" s="123"/>
      <c r="BZ896" s="123"/>
      <c r="CA896" s="123"/>
      <c r="CB896" s="123"/>
      <c r="CC896" s="123"/>
      <c r="CD896" s="123"/>
      <c r="CE896" s="123"/>
      <c r="CF896" s="123"/>
      <c r="CG896" s="123"/>
      <c r="CH896" s="123"/>
      <c r="CI896" s="123"/>
    </row>
    <row r="897" spans="1:87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123"/>
      <c r="T897" s="124"/>
      <c r="U897" s="123"/>
      <c r="V897" s="123"/>
      <c r="W897" s="124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23"/>
      <c r="AQ897" s="123"/>
      <c r="AR897" s="123"/>
      <c r="AS897" s="123"/>
      <c r="AT897" s="123"/>
      <c r="AU897" s="123"/>
      <c r="AV897" s="123"/>
      <c r="AW897" s="123"/>
      <c r="AX897" s="123"/>
      <c r="AY897" s="123"/>
      <c r="AZ897" s="123"/>
      <c r="BA897" s="123"/>
      <c r="BB897" s="123"/>
      <c r="BC897" s="123"/>
      <c r="BD897" s="123"/>
      <c r="BE897" s="123"/>
      <c r="BF897" s="123"/>
      <c r="BG897" s="123"/>
      <c r="BH897" s="123"/>
      <c r="BI897" s="123"/>
      <c r="BJ897" s="123"/>
      <c r="BK897" s="123"/>
      <c r="BL897" s="123"/>
      <c r="BM897" s="123"/>
      <c r="BN897" s="123"/>
      <c r="BO897" s="123"/>
      <c r="BP897" s="123"/>
      <c r="BQ897" s="123"/>
      <c r="BR897" s="123"/>
      <c r="BS897" s="123"/>
      <c r="BT897" s="123"/>
      <c r="BU897" s="123"/>
      <c r="BV897" s="123"/>
      <c r="BW897" s="123"/>
      <c r="BX897" s="123"/>
      <c r="BY897" s="123"/>
      <c r="BZ897" s="123"/>
      <c r="CA897" s="123"/>
      <c r="CB897" s="123"/>
      <c r="CC897" s="123"/>
      <c r="CD897" s="123"/>
      <c r="CE897" s="123"/>
      <c r="CF897" s="123"/>
      <c r="CG897" s="123"/>
      <c r="CH897" s="123"/>
      <c r="CI897" s="123"/>
    </row>
    <row r="898" spans="1:87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123"/>
      <c r="T898" s="124"/>
      <c r="U898" s="123"/>
      <c r="V898" s="123"/>
      <c r="W898" s="124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  <c r="AP898" s="123"/>
      <c r="AQ898" s="123"/>
      <c r="AR898" s="123"/>
      <c r="AS898" s="123"/>
      <c r="AT898" s="123"/>
      <c r="AU898" s="123"/>
      <c r="AV898" s="123"/>
      <c r="AW898" s="123"/>
      <c r="AX898" s="123"/>
      <c r="AY898" s="123"/>
      <c r="AZ898" s="123"/>
      <c r="BA898" s="123"/>
      <c r="BB898" s="123"/>
      <c r="BC898" s="123"/>
      <c r="BD898" s="123"/>
      <c r="BE898" s="123"/>
      <c r="BF898" s="123"/>
      <c r="BG898" s="123"/>
      <c r="BH898" s="123"/>
      <c r="BI898" s="123"/>
      <c r="BJ898" s="123"/>
      <c r="BK898" s="123"/>
      <c r="BL898" s="123"/>
      <c r="BM898" s="123"/>
      <c r="BN898" s="123"/>
      <c r="BO898" s="123"/>
      <c r="BP898" s="123"/>
      <c r="BQ898" s="123"/>
      <c r="BR898" s="123"/>
      <c r="BS898" s="123"/>
      <c r="BT898" s="123"/>
      <c r="BU898" s="123"/>
      <c r="BV898" s="123"/>
      <c r="BW898" s="123"/>
      <c r="BX898" s="123"/>
      <c r="BY898" s="123"/>
      <c r="BZ898" s="123"/>
      <c r="CA898" s="123"/>
      <c r="CB898" s="123"/>
      <c r="CC898" s="123"/>
      <c r="CD898" s="123"/>
      <c r="CE898" s="123"/>
      <c r="CF898" s="123"/>
      <c r="CG898" s="123"/>
      <c r="CH898" s="123"/>
      <c r="CI898" s="123"/>
    </row>
    <row r="899" spans="1:87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123"/>
      <c r="T899" s="124"/>
      <c r="U899" s="123"/>
      <c r="V899" s="123"/>
      <c r="W899" s="124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  <c r="AP899" s="123"/>
      <c r="AQ899" s="123"/>
      <c r="AR899" s="123"/>
      <c r="AS899" s="123"/>
      <c r="AT899" s="123"/>
      <c r="AU899" s="123"/>
      <c r="AV899" s="123"/>
      <c r="AW899" s="123"/>
      <c r="AX899" s="123"/>
      <c r="AY899" s="123"/>
      <c r="AZ899" s="123"/>
      <c r="BA899" s="123"/>
      <c r="BB899" s="123"/>
      <c r="BC899" s="123"/>
      <c r="BD899" s="123"/>
      <c r="BE899" s="123"/>
      <c r="BF899" s="123"/>
      <c r="BG899" s="123"/>
      <c r="BH899" s="123"/>
      <c r="BI899" s="123"/>
      <c r="BJ899" s="123"/>
      <c r="BK899" s="123"/>
      <c r="BL899" s="123"/>
      <c r="BM899" s="123"/>
      <c r="BN899" s="123"/>
      <c r="BO899" s="123"/>
      <c r="BP899" s="123"/>
      <c r="BQ899" s="123"/>
      <c r="BR899" s="123"/>
      <c r="BS899" s="123"/>
      <c r="BT899" s="123"/>
      <c r="BU899" s="123"/>
      <c r="BV899" s="123"/>
      <c r="BW899" s="123"/>
      <c r="BX899" s="123"/>
      <c r="BY899" s="123"/>
      <c r="BZ899" s="123"/>
      <c r="CA899" s="123"/>
      <c r="CB899" s="123"/>
      <c r="CC899" s="123"/>
      <c r="CD899" s="123"/>
      <c r="CE899" s="123"/>
      <c r="CF899" s="123"/>
      <c r="CG899" s="123"/>
      <c r="CH899" s="123"/>
      <c r="CI899" s="123"/>
    </row>
    <row r="900" spans="1:87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123"/>
      <c r="T900" s="124"/>
      <c r="U900" s="123"/>
      <c r="V900" s="123"/>
      <c r="W900" s="124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  <c r="AP900" s="123"/>
      <c r="AQ900" s="123"/>
      <c r="AR900" s="123"/>
      <c r="AS900" s="123"/>
      <c r="AT900" s="123"/>
      <c r="AU900" s="123"/>
      <c r="AV900" s="123"/>
      <c r="AW900" s="123"/>
      <c r="AX900" s="123"/>
      <c r="AY900" s="123"/>
      <c r="AZ900" s="123"/>
      <c r="BA900" s="123"/>
      <c r="BB900" s="123"/>
      <c r="BC900" s="123"/>
      <c r="BD900" s="123"/>
      <c r="BE900" s="123"/>
      <c r="BF900" s="123"/>
      <c r="BG900" s="123"/>
      <c r="BH900" s="123"/>
      <c r="BI900" s="123"/>
      <c r="BJ900" s="123"/>
      <c r="BK900" s="123"/>
      <c r="BL900" s="123"/>
      <c r="BM900" s="123"/>
      <c r="BN900" s="123"/>
      <c r="BO900" s="123"/>
      <c r="BP900" s="123"/>
      <c r="BQ900" s="123"/>
      <c r="BR900" s="123"/>
      <c r="BS900" s="123"/>
      <c r="BT900" s="123"/>
      <c r="BU900" s="123"/>
      <c r="BV900" s="123"/>
      <c r="BW900" s="123"/>
      <c r="BX900" s="123"/>
      <c r="BY900" s="123"/>
      <c r="BZ900" s="123"/>
      <c r="CA900" s="123"/>
      <c r="CB900" s="123"/>
      <c r="CC900" s="123"/>
      <c r="CD900" s="123"/>
      <c r="CE900" s="123"/>
      <c r="CF900" s="123"/>
      <c r="CG900" s="123"/>
      <c r="CH900" s="123"/>
      <c r="CI900" s="123"/>
    </row>
    <row r="901" spans="1:87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123"/>
      <c r="T901" s="124"/>
      <c r="U901" s="123"/>
      <c r="V901" s="123"/>
      <c r="W901" s="124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  <c r="AP901" s="123"/>
      <c r="AQ901" s="123"/>
      <c r="AR901" s="123"/>
      <c r="AS901" s="123"/>
      <c r="AT901" s="123"/>
      <c r="AU901" s="123"/>
      <c r="AV901" s="123"/>
      <c r="AW901" s="123"/>
      <c r="AX901" s="123"/>
      <c r="AY901" s="123"/>
      <c r="AZ901" s="123"/>
      <c r="BA901" s="123"/>
      <c r="BB901" s="123"/>
      <c r="BC901" s="123"/>
      <c r="BD901" s="123"/>
      <c r="BE901" s="123"/>
      <c r="BF901" s="123"/>
      <c r="BG901" s="123"/>
      <c r="BH901" s="123"/>
      <c r="BI901" s="123"/>
      <c r="BJ901" s="123"/>
      <c r="BK901" s="123"/>
      <c r="BL901" s="123"/>
      <c r="BM901" s="123"/>
      <c r="BN901" s="123"/>
      <c r="BO901" s="123"/>
      <c r="BP901" s="123"/>
      <c r="BQ901" s="123"/>
      <c r="BR901" s="123"/>
      <c r="BS901" s="123"/>
      <c r="BT901" s="123"/>
      <c r="BU901" s="123"/>
      <c r="BV901" s="123"/>
      <c r="BW901" s="123"/>
      <c r="BX901" s="123"/>
      <c r="BY901" s="123"/>
      <c r="BZ901" s="123"/>
      <c r="CA901" s="123"/>
      <c r="CB901" s="123"/>
      <c r="CC901" s="123"/>
      <c r="CD901" s="123"/>
      <c r="CE901" s="123"/>
      <c r="CF901" s="123"/>
      <c r="CG901" s="123"/>
      <c r="CH901" s="123"/>
      <c r="CI901" s="123"/>
    </row>
    <row r="902" spans="1:87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123"/>
      <c r="T902" s="124"/>
      <c r="U902" s="123"/>
      <c r="V902" s="123"/>
      <c r="W902" s="124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  <c r="AP902" s="123"/>
      <c r="AQ902" s="123"/>
      <c r="AR902" s="123"/>
      <c r="AS902" s="123"/>
      <c r="AT902" s="123"/>
      <c r="AU902" s="123"/>
      <c r="AV902" s="123"/>
      <c r="AW902" s="123"/>
      <c r="AX902" s="123"/>
      <c r="AY902" s="123"/>
      <c r="AZ902" s="123"/>
      <c r="BA902" s="123"/>
      <c r="BB902" s="123"/>
      <c r="BC902" s="123"/>
      <c r="BD902" s="123"/>
      <c r="BE902" s="123"/>
      <c r="BF902" s="123"/>
      <c r="BG902" s="123"/>
      <c r="BH902" s="123"/>
      <c r="BI902" s="123"/>
      <c r="BJ902" s="123"/>
      <c r="BK902" s="123"/>
      <c r="BL902" s="123"/>
      <c r="BM902" s="123"/>
      <c r="BN902" s="123"/>
      <c r="BO902" s="123"/>
      <c r="BP902" s="123"/>
      <c r="BQ902" s="123"/>
      <c r="BR902" s="123"/>
      <c r="BS902" s="123"/>
      <c r="BT902" s="123"/>
      <c r="BU902" s="123"/>
      <c r="BV902" s="123"/>
      <c r="BW902" s="123"/>
      <c r="BX902" s="123"/>
      <c r="BY902" s="123"/>
      <c r="BZ902" s="123"/>
      <c r="CA902" s="123"/>
      <c r="CB902" s="123"/>
      <c r="CC902" s="123"/>
      <c r="CD902" s="123"/>
      <c r="CE902" s="123"/>
      <c r="CF902" s="123"/>
      <c r="CG902" s="123"/>
      <c r="CH902" s="123"/>
      <c r="CI902" s="123"/>
    </row>
    <row r="903" spans="1:87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123"/>
      <c r="T903" s="124"/>
      <c r="U903" s="123"/>
      <c r="V903" s="123"/>
      <c r="W903" s="124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23"/>
      <c r="AQ903" s="123"/>
      <c r="AR903" s="123"/>
      <c r="AS903" s="123"/>
      <c r="AT903" s="123"/>
      <c r="AU903" s="123"/>
      <c r="AV903" s="123"/>
      <c r="AW903" s="123"/>
      <c r="AX903" s="123"/>
      <c r="AY903" s="123"/>
      <c r="AZ903" s="123"/>
      <c r="BA903" s="123"/>
      <c r="BB903" s="123"/>
      <c r="BC903" s="123"/>
      <c r="BD903" s="123"/>
      <c r="BE903" s="123"/>
      <c r="BF903" s="123"/>
      <c r="BG903" s="123"/>
      <c r="BH903" s="123"/>
      <c r="BI903" s="123"/>
      <c r="BJ903" s="123"/>
      <c r="BK903" s="123"/>
      <c r="BL903" s="123"/>
      <c r="BM903" s="123"/>
      <c r="BN903" s="123"/>
      <c r="BO903" s="123"/>
      <c r="BP903" s="123"/>
      <c r="BQ903" s="123"/>
      <c r="BR903" s="123"/>
      <c r="BS903" s="123"/>
      <c r="BT903" s="123"/>
      <c r="BU903" s="123"/>
      <c r="BV903" s="123"/>
      <c r="BW903" s="123"/>
      <c r="BX903" s="123"/>
      <c r="BY903" s="123"/>
      <c r="BZ903" s="123"/>
      <c r="CA903" s="123"/>
      <c r="CB903" s="123"/>
      <c r="CC903" s="123"/>
      <c r="CD903" s="123"/>
      <c r="CE903" s="123"/>
      <c r="CF903" s="123"/>
      <c r="CG903" s="123"/>
      <c r="CH903" s="123"/>
      <c r="CI903" s="123"/>
    </row>
    <row r="904" spans="1:87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123"/>
      <c r="T904" s="124"/>
      <c r="U904" s="123"/>
      <c r="V904" s="123"/>
      <c r="W904" s="124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  <c r="AP904" s="123"/>
      <c r="AQ904" s="123"/>
      <c r="AR904" s="123"/>
      <c r="AS904" s="123"/>
      <c r="AT904" s="123"/>
      <c r="AU904" s="123"/>
      <c r="AV904" s="123"/>
      <c r="AW904" s="123"/>
      <c r="AX904" s="123"/>
      <c r="AY904" s="123"/>
      <c r="AZ904" s="123"/>
      <c r="BA904" s="123"/>
      <c r="BB904" s="123"/>
      <c r="BC904" s="123"/>
      <c r="BD904" s="123"/>
      <c r="BE904" s="123"/>
      <c r="BF904" s="123"/>
      <c r="BG904" s="123"/>
      <c r="BH904" s="123"/>
      <c r="BI904" s="123"/>
      <c r="BJ904" s="123"/>
      <c r="BK904" s="123"/>
      <c r="BL904" s="123"/>
      <c r="BM904" s="123"/>
      <c r="BN904" s="123"/>
      <c r="BO904" s="123"/>
      <c r="BP904" s="123"/>
      <c r="BQ904" s="123"/>
      <c r="BR904" s="123"/>
      <c r="BS904" s="123"/>
      <c r="BT904" s="123"/>
      <c r="BU904" s="123"/>
      <c r="BV904" s="123"/>
      <c r="BW904" s="123"/>
      <c r="BX904" s="123"/>
      <c r="BY904" s="123"/>
      <c r="BZ904" s="123"/>
      <c r="CA904" s="123"/>
      <c r="CB904" s="123"/>
      <c r="CC904" s="123"/>
      <c r="CD904" s="123"/>
      <c r="CE904" s="123"/>
      <c r="CF904" s="123"/>
      <c r="CG904" s="123"/>
      <c r="CH904" s="123"/>
      <c r="CI904" s="123"/>
    </row>
    <row r="905" spans="1:87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123"/>
      <c r="T905" s="124"/>
      <c r="U905" s="123"/>
      <c r="V905" s="123"/>
      <c r="W905" s="124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  <c r="AP905" s="123"/>
      <c r="AQ905" s="123"/>
      <c r="AR905" s="123"/>
      <c r="AS905" s="123"/>
      <c r="AT905" s="123"/>
      <c r="AU905" s="123"/>
      <c r="AV905" s="123"/>
      <c r="AW905" s="123"/>
      <c r="AX905" s="123"/>
      <c r="AY905" s="123"/>
      <c r="AZ905" s="123"/>
      <c r="BA905" s="123"/>
      <c r="BB905" s="123"/>
      <c r="BC905" s="123"/>
      <c r="BD905" s="123"/>
      <c r="BE905" s="123"/>
      <c r="BF905" s="123"/>
      <c r="BG905" s="123"/>
      <c r="BH905" s="123"/>
      <c r="BI905" s="123"/>
      <c r="BJ905" s="123"/>
      <c r="BK905" s="123"/>
      <c r="BL905" s="123"/>
      <c r="BM905" s="123"/>
      <c r="BN905" s="123"/>
      <c r="BO905" s="123"/>
      <c r="BP905" s="123"/>
      <c r="BQ905" s="123"/>
      <c r="BR905" s="123"/>
      <c r="BS905" s="123"/>
      <c r="BT905" s="123"/>
      <c r="BU905" s="123"/>
      <c r="BV905" s="123"/>
      <c r="BW905" s="123"/>
      <c r="BX905" s="123"/>
      <c r="BY905" s="123"/>
      <c r="BZ905" s="123"/>
      <c r="CA905" s="123"/>
      <c r="CB905" s="123"/>
      <c r="CC905" s="123"/>
      <c r="CD905" s="123"/>
      <c r="CE905" s="123"/>
      <c r="CF905" s="123"/>
      <c r="CG905" s="123"/>
      <c r="CH905" s="123"/>
      <c r="CI905" s="123"/>
    </row>
    <row r="906" spans="1:87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123"/>
      <c r="T906" s="124"/>
      <c r="U906" s="123"/>
      <c r="V906" s="123"/>
      <c r="W906" s="124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  <c r="AP906" s="123"/>
      <c r="AQ906" s="123"/>
      <c r="AR906" s="123"/>
      <c r="AS906" s="123"/>
      <c r="AT906" s="123"/>
      <c r="AU906" s="123"/>
      <c r="AV906" s="123"/>
      <c r="AW906" s="123"/>
      <c r="AX906" s="123"/>
      <c r="AY906" s="123"/>
      <c r="AZ906" s="123"/>
      <c r="BA906" s="123"/>
      <c r="BB906" s="123"/>
      <c r="BC906" s="123"/>
      <c r="BD906" s="123"/>
      <c r="BE906" s="123"/>
      <c r="BF906" s="123"/>
      <c r="BG906" s="123"/>
      <c r="BH906" s="123"/>
      <c r="BI906" s="123"/>
      <c r="BJ906" s="123"/>
      <c r="BK906" s="123"/>
      <c r="BL906" s="123"/>
      <c r="BM906" s="123"/>
      <c r="BN906" s="123"/>
      <c r="BO906" s="123"/>
      <c r="BP906" s="123"/>
      <c r="BQ906" s="123"/>
      <c r="BR906" s="123"/>
      <c r="BS906" s="123"/>
      <c r="BT906" s="123"/>
      <c r="BU906" s="123"/>
      <c r="BV906" s="123"/>
      <c r="BW906" s="123"/>
      <c r="BX906" s="123"/>
      <c r="BY906" s="123"/>
      <c r="BZ906" s="123"/>
      <c r="CA906" s="123"/>
      <c r="CB906" s="123"/>
      <c r="CC906" s="123"/>
      <c r="CD906" s="123"/>
      <c r="CE906" s="123"/>
      <c r="CF906" s="123"/>
      <c r="CG906" s="123"/>
      <c r="CH906" s="123"/>
      <c r="CI906" s="123"/>
    </row>
    <row r="907" spans="1:87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123"/>
      <c r="T907" s="124"/>
      <c r="U907" s="123"/>
      <c r="V907" s="123"/>
      <c r="W907" s="124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23"/>
      <c r="AQ907" s="123"/>
      <c r="AR907" s="123"/>
      <c r="AS907" s="123"/>
      <c r="AT907" s="123"/>
      <c r="AU907" s="123"/>
      <c r="AV907" s="123"/>
      <c r="AW907" s="123"/>
      <c r="AX907" s="123"/>
      <c r="AY907" s="123"/>
      <c r="AZ907" s="123"/>
      <c r="BA907" s="123"/>
      <c r="BB907" s="123"/>
      <c r="BC907" s="123"/>
      <c r="BD907" s="123"/>
      <c r="BE907" s="123"/>
      <c r="BF907" s="123"/>
      <c r="BG907" s="123"/>
      <c r="BH907" s="123"/>
      <c r="BI907" s="123"/>
      <c r="BJ907" s="123"/>
      <c r="BK907" s="123"/>
      <c r="BL907" s="123"/>
      <c r="BM907" s="123"/>
      <c r="BN907" s="123"/>
      <c r="BO907" s="123"/>
      <c r="BP907" s="123"/>
      <c r="BQ907" s="123"/>
      <c r="BR907" s="123"/>
      <c r="BS907" s="123"/>
      <c r="BT907" s="123"/>
      <c r="BU907" s="123"/>
      <c r="BV907" s="123"/>
      <c r="BW907" s="123"/>
      <c r="BX907" s="123"/>
      <c r="BY907" s="123"/>
      <c r="BZ907" s="123"/>
      <c r="CA907" s="123"/>
      <c r="CB907" s="123"/>
      <c r="CC907" s="123"/>
      <c r="CD907" s="123"/>
      <c r="CE907" s="123"/>
      <c r="CF907" s="123"/>
      <c r="CG907" s="123"/>
      <c r="CH907" s="123"/>
      <c r="CI907" s="123"/>
    </row>
    <row r="908" spans="1:87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123"/>
      <c r="T908" s="124"/>
      <c r="U908" s="123"/>
      <c r="V908" s="123"/>
      <c r="W908" s="124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  <c r="AP908" s="123"/>
      <c r="AQ908" s="123"/>
      <c r="AR908" s="123"/>
      <c r="AS908" s="123"/>
      <c r="AT908" s="123"/>
      <c r="AU908" s="123"/>
      <c r="AV908" s="123"/>
      <c r="AW908" s="123"/>
      <c r="AX908" s="123"/>
      <c r="AY908" s="123"/>
      <c r="AZ908" s="123"/>
      <c r="BA908" s="123"/>
      <c r="BB908" s="123"/>
      <c r="BC908" s="123"/>
      <c r="BD908" s="123"/>
      <c r="BE908" s="123"/>
      <c r="BF908" s="123"/>
      <c r="BG908" s="123"/>
      <c r="BH908" s="123"/>
      <c r="BI908" s="123"/>
      <c r="BJ908" s="123"/>
      <c r="BK908" s="123"/>
      <c r="BL908" s="123"/>
      <c r="BM908" s="123"/>
      <c r="BN908" s="123"/>
      <c r="BO908" s="123"/>
      <c r="BP908" s="123"/>
      <c r="BQ908" s="123"/>
      <c r="BR908" s="123"/>
      <c r="BS908" s="123"/>
      <c r="BT908" s="123"/>
      <c r="BU908" s="123"/>
      <c r="BV908" s="123"/>
      <c r="BW908" s="123"/>
      <c r="BX908" s="123"/>
      <c r="BY908" s="123"/>
      <c r="BZ908" s="123"/>
      <c r="CA908" s="123"/>
      <c r="CB908" s="123"/>
      <c r="CC908" s="123"/>
      <c r="CD908" s="123"/>
      <c r="CE908" s="123"/>
      <c r="CF908" s="123"/>
      <c r="CG908" s="123"/>
      <c r="CH908" s="123"/>
      <c r="CI908" s="123"/>
    </row>
    <row r="909" spans="1:87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123"/>
      <c r="T909" s="124"/>
      <c r="U909" s="123"/>
      <c r="V909" s="123"/>
      <c r="W909" s="124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  <c r="AP909" s="123"/>
      <c r="AQ909" s="123"/>
      <c r="AR909" s="123"/>
      <c r="AS909" s="123"/>
      <c r="AT909" s="123"/>
      <c r="AU909" s="123"/>
      <c r="AV909" s="123"/>
      <c r="AW909" s="123"/>
      <c r="AX909" s="123"/>
      <c r="AY909" s="123"/>
      <c r="AZ909" s="123"/>
      <c r="BA909" s="123"/>
      <c r="BB909" s="123"/>
      <c r="BC909" s="123"/>
      <c r="BD909" s="123"/>
      <c r="BE909" s="123"/>
      <c r="BF909" s="123"/>
      <c r="BG909" s="123"/>
      <c r="BH909" s="123"/>
      <c r="BI909" s="123"/>
      <c r="BJ909" s="123"/>
      <c r="BK909" s="123"/>
      <c r="BL909" s="123"/>
      <c r="BM909" s="123"/>
      <c r="BN909" s="123"/>
      <c r="BO909" s="123"/>
      <c r="BP909" s="123"/>
      <c r="BQ909" s="123"/>
      <c r="BR909" s="123"/>
      <c r="BS909" s="123"/>
      <c r="BT909" s="123"/>
      <c r="BU909" s="123"/>
      <c r="BV909" s="123"/>
      <c r="BW909" s="123"/>
      <c r="BX909" s="123"/>
      <c r="BY909" s="123"/>
      <c r="BZ909" s="123"/>
      <c r="CA909" s="123"/>
      <c r="CB909" s="123"/>
      <c r="CC909" s="123"/>
      <c r="CD909" s="123"/>
      <c r="CE909" s="123"/>
      <c r="CF909" s="123"/>
      <c r="CG909" s="123"/>
      <c r="CH909" s="123"/>
      <c r="CI909" s="123"/>
    </row>
    <row r="910" spans="1:87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123"/>
      <c r="T910" s="124"/>
      <c r="U910" s="123"/>
      <c r="V910" s="123"/>
      <c r="W910" s="124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  <c r="AP910" s="123"/>
      <c r="AQ910" s="123"/>
      <c r="AR910" s="123"/>
      <c r="AS910" s="123"/>
      <c r="AT910" s="123"/>
      <c r="AU910" s="123"/>
      <c r="AV910" s="123"/>
      <c r="AW910" s="123"/>
      <c r="AX910" s="123"/>
      <c r="AY910" s="123"/>
      <c r="AZ910" s="123"/>
      <c r="BA910" s="123"/>
      <c r="BB910" s="123"/>
      <c r="BC910" s="123"/>
      <c r="BD910" s="123"/>
      <c r="BE910" s="123"/>
      <c r="BF910" s="123"/>
      <c r="BG910" s="123"/>
      <c r="BH910" s="123"/>
      <c r="BI910" s="123"/>
      <c r="BJ910" s="123"/>
      <c r="BK910" s="123"/>
      <c r="BL910" s="123"/>
      <c r="BM910" s="123"/>
      <c r="BN910" s="123"/>
      <c r="BO910" s="123"/>
      <c r="BP910" s="123"/>
      <c r="BQ910" s="123"/>
      <c r="BR910" s="123"/>
      <c r="BS910" s="123"/>
      <c r="BT910" s="123"/>
      <c r="BU910" s="123"/>
      <c r="BV910" s="123"/>
      <c r="BW910" s="123"/>
      <c r="BX910" s="123"/>
      <c r="BY910" s="123"/>
      <c r="BZ910" s="123"/>
      <c r="CA910" s="123"/>
      <c r="CB910" s="123"/>
      <c r="CC910" s="123"/>
      <c r="CD910" s="123"/>
      <c r="CE910" s="123"/>
      <c r="CF910" s="123"/>
      <c r="CG910" s="123"/>
      <c r="CH910" s="123"/>
      <c r="CI910" s="123"/>
    </row>
    <row r="911" spans="1:87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123"/>
      <c r="T911" s="124"/>
      <c r="U911" s="123"/>
      <c r="V911" s="123"/>
      <c r="W911" s="124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  <c r="AP911" s="123"/>
      <c r="AQ911" s="123"/>
      <c r="AR911" s="123"/>
      <c r="AS911" s="123"/>
      <c r="AT911" s="123"/>
      <c r="AU911" s="123"/>
      <c r="AV911" s="123"/>
      <c r="AW911" s="123"/>
      <c r="AX911" s="123"/>
      <c r="AY911" s="123"/>
      <c r="AZ911" s="123"/>
      <c r="BA911" s="123"/>
      <c r="BB911" s="123"/>
      <c r="BC911" s="123"/>
      <c r="BD911" s="123"/>
      <c r="BE911" s="123"/>
      <c r="BF911" s="123"/>
      <c r="BG911" s="123"/>
      <c r="BH911" s="123"/>
      <c r="BI911" s="123"/>
      <c r="BJ911" s="123"/>
      <c r="BK911" s="123"/>
      <c r="BL911" s="123"/>
      <c r="BM911" s="123"/>
      <c r="BN911" s="123"/>
      <c r="BO911" s="123"/>
      <c r="BP911" s="123"/>
      <c r="BQ911" s="123"/>
      <c r="BR911" s="123"/>
      <c r="BS911" s="123"/>
      <c r="BT911" s="123"/>
      <c r="BU911" s="123"/>
      <c r="BV911" s="123"/>
      <c r="BW911" s="123"/>
      <c r="BX911" s="123"/>
      <c r="BY911" s="123"/>
      <c r="BZ911" s="123"/>
      <c r="CA911" s="123"/>
      <c r="CB911" s="123"/>
      <c r="CC911" s="123"/>
      <c r="CD911" s="123"/>
      <c r="CE911" s="123"/>
      <c r="CF911" s="123"/>
      <c r="CG911" s="123"/>
      <c r="CH911" s="123"/>
      <c r="CI911" s="123"/>
    </row>
    <row r="912" spans="1:87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123"/>
      <c r="T912" s="124"/>
      <c r="U912" s="123"/>
      <c r="V912" s="123"/>
      <c r="W912" s="124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  <c r="AP912" s="123"/>
      <c r="AQ912" s="123"/>
      <c r="AR912" s="123"/>
      <c r="AS912" s="123"/>
      <c r="AT912" s="123"/>
      <c r="AU912" s="123"/>
      <c r="AV912" s="123"/>
      <c r="AW912" s="123"/>
      <c r="AX912" s="123"/>
      <c r="AY912" s="123"/>
      <c r="AZ912" s="123"/>
      <c r="BA912" s="123"/>
      <c r="BB912" s="123"/>
      <c r="BC912" s="123"/>
      <c r="BD912" s="123"/>
      <c r="BE912" s="123"/>
      <c r="BF912" s="123"/>
      <c r="BG912" s="123"/>
      <c r="BH912" s="123"/>
      <c r="BI912" s="123"/>
      <c r="BJ912" s="123"/>
      <c r="BK912" s="123"/>
      <c r="BL912" s="123"/>
      <c r="BM912" s="123"/>
      <c r="BN912" s="123"/>
      <c r="BO912" s="123"/>
      <c r="BP912" s="123"/>
      <c r="BQ912" s="123"/>
      <c r="BR912" s="123"/>
      <c r="BS912" s="123"/>
      <c r="BT912" s="123"/>
      <c r="BU912" s="123"/>
      <c r="BV912" s="123"/>
      <c r="BW912" s="123"/>
      <c r="BX912" s="123"/>
      <c r="BY912" s="123"/>
      <c r="BZ912" s="123"/>
      <c r="CA912" s="123"/>
      <c r="CB912" s="123"/>
      <c r="CC912" s="123"/>
      <c r="CD912" s="123"/>
      <c r="CE912" s="123"/>
      <c r="CF912" s="123"/>
      <c r="CG912" s="123"/>
      <c r="CH912" s="123"/>
      <c r="CI912" s="123"/>
    </row>
    <row r="913" spans="1:87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123"/>
      <c r="T913" s="124"/>
      <c r="U913" s="123"/>
      <c r="V913" s="123"/>
      <c r="W913" s="124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  <c r="AP913" s="123"/>
      <c r="AQ913" s="123"/>
      <c r="AR913" s="123"/>
      <c r="AS913" s="123"/>
      <c r="AT913" s="123"/>
      <c r="AU913" s="123"/>
      <c r="AV913" s="123"/>
      <c r="AW913" s="123"/>
      <c r="AX913" s="123"/>
      <c r="AY913" s="123"/>
      <c r="AZ913" s="123"/>
      <c r="BA913" s="123"/>
      <c r="BB913" s="123"/>
      <c r="BC913" s="123"/>
      <c r="BD913" s="123"/>
      <c r="BE913" s="123"/>
      <c r="BF913" s="123"/>
      <c r="BG913" s="123"/>
      <c r="BH913" s="123"/>
      <c r="BI913" s="123"/>
      <c r="BJ913" s="123"/>
      <c r="BK913" s="123"/>
      <c r="BL913" s="123"/>
      <c r="BM913" s="123"/>
      <c r="BN913" s="123"/>
      <c r="BO913" s="123"/>
      <c r="BP913" s="123"/>
      <c r="BQ913" s="123"/>
      <c r="BR913" s="123"/>
      <c r="BS913" s="123"/>
      <c r="BT913" s="123"/>
      <c r="BU913" s="123"/>
      <c r="BV913" s="123"/>
      <c r="BW913" s="123"/>
      <c r="BX913" s="123"/>
      <c r="BY913" s="123"/>
      <c r="BZ913" s="123"/>
      <c r="CA913" s="123"/>
      <c r="CB913" s="123"/>
      <c r="CC913" s="123"/>
      <c r="CD913" s="123"/>
      <c r="CE913" s="123"/>
      <c r="CF913" s="123"/>
      <c r="CG913" s="123"/>
      <c r="CH913" s="123"/>
      <c r="CI913" s="123"/>
    </row>
    <row r="914" spans="1:87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123"/>
      <c r="T914" s="124"/>
      <c r="U914" s="123"/>
      <c r="V914" s="123"/>
      <c r="W914" s="124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23"/>
      <c r="AQ914" s="123"/>
      <c r="AR914" s="123"/>
      <c r="AS914" s="123"/>
      <c r="AT914" s="123"/>
      <c r="AU914" s="123"/>
      <c r="AV914" s="123"/>
      <c r="AW914" s="123"/>
      <c r="AX914" s="123"/>
      <c r="AY914" s="123"/>
      <c r="AZ914" s="123"/>
      <c r="BA914" s="123"/>
      <c r="BB914" s="123"/>
      <c r="BC914" s="123"/>
      <c r="BD914" s="123"/>
      <c r="BE914" s="123"/>
      <c r="BF914" s="123"/>
      <c r="BG914" s="123"/>
      <c r="BH914" s="123"/>
      <c r="BI914" s="123"/>
      <c r="BJ914" s="123"/>
      <c r="BK914" s="123"/>
      <c r="BL914" s="123"/>
      <c r="BM914" s="123"/>
      <c r="BN914" s="123"/>
      <c r="BO914" s="123"/>
      <c r="BP914" s="123"/>
      <c r="BQ914" s="123"/>
      <c r="BR914" s="123"/>
      <c r="BS914" s="123"/>
      <c r="BT914" s="123"/>
      <c r="BU914" s="123"/>
      <c r="BV914" s="123"/>
      <c r="BW914" s="123"/>
      <c r="BX914" s="123"/>
      <c r="BY914" s="123"/>
      <c r="BZ914" s="123"/>
      <c r="CA914" s="123"/>
      <c r="CB914" s="123"/>
      <c r="CC914" s="123"/>
      <c r="CD914" s="123"/>
      <c r="CE914" s="123"/>
      <c r="CF914" s="123"/>
      <c r="CG914" s="123"/>
      <c r="CH914" s="123"/>
      <c r="CI914" s="123"/>
    </row>
    <row r="915" spans="1:87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123"/>
      <c r="T915" s="124"/>
      <c r="U915" s="123"/>
      <c r="V915" s="123"/>
      <c r="W915" s="124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  <c r="AP915" s="123"/>
      <c r="AQ915" s="123"/>
      <c r="AR915" s="123"/>
      <c r="AS915" s="123"/>
      <c r="AT915" s="123"/>
      <c r="AU915" s="123"/>
      <c r="AV915" s="123"/>
      <c r="AW915" s="123"/>
      <c r="AX915" s="123"/>
      <c r="AY915" s="123"/>
      <c r="AZ915" s="123"/>
      <c r="BA915" s="123"/>
      <c r="BB915" s="123"/>
      <c r="BC915" s="123"/>
      <c r="BD915" s="123"/>
      <c r="BE915" s="123"/>
      <c r="BF915" s="123"/>
      <c r="BG915" s="123"/>
      <c r="BH915" s="123"/>
      <c r="BI915" s="123"/>
      <c r="BJ915" s="123"/>
      <c r="BK915" s="123"/>
      <c r="BL915" s="123"/>
      <c r="BM915" s="123"/>
      <c r="BN915" s="123"/>
      <c r="BO915" s="123"/>
      <c r="BP915" s="123"/>
      <c r="BQ915" s="123"/>
      <c r="BR915" s="123"/>
      <c r="BS915" s="123"/>
      <c r="BT915" s="123"/>
      <c r="BU915" s="123"/>
      <c r="BV915" s="123"/>
      <c r="BW915" s="123"/>
      <c r="BX915" s="123"/>
      <c r="BY915" s="123"/>
      <c r="BZ915" s="123"/>
      <c r="CA915" s="123"/>
      <c r="CB915" s="123"/>
      <c r="CC915" s="123"/>
      <c r="CD915" s="123"/>
      <c r="CE915" s="123"/>
      <c r="CF915" s="123"/>
      <c r="CG915" s="123"/>
      <c r="CH915" s="123"/>
      <c r="CI915" s="123"/>
    </row>
    <row r="916" spans="1:87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123"/>
      <c r="T916" s="124"/>
      <c r="U916" s="123"/>
      <c r="V916" s="123"/>
      <c r="W916" s="124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  <c r="AP916" s="123"/>
      <c r="AQ916" s="123"/>
      <c r="AR916" s="123"/>
      <c r="AS916" s="123"/>
      <c r="AT916" s="123"/>
      <c r="AU916" s="123"/>
      <c r="AV916" s="123"/>
      <c r="AW916" s="123"/>
      <c r="AX916" s="123"/>
      <c r="AY916" s="123"/>
      <c r="AZ916" s="123"/>
      <c r="BA916" s="123"/>
      <c r="BB916" s="123"/>
      <c r="BC916" s="123"/>
      <c r="BD916" s="123"/>
      <c r="BE916" s="123"/>
      <c r="BF916" s="123"/>
      <c r="BG916" s="123"/>
      <c r="BH916" s="123"/>
      <c r="BI916" s="123"/>
      <c r="BJ916" s="123"/>
      <c r="BK916" s="123"/>
      <c r="BL916" s="123"/>
      <c r="BM916" s="123"/>
      <c r="BN916" s="123"/>
      <c r="BO916" s="123"/>
      <c r="BP916" s="123"/>
      <c r="BQ916" s="123"/>
      <c r="BR916" s="123"/>
      <c r="BS916" s="123"/>
      <c r="BT916" s="123"/>
      <c r="BU916" s="123"/>
      <c r="BV916" s="123"/>
      <c r="BW916" s="123"/>
      <c r="BX916" s="123"/>
      <c r="BY916" s="123"/>
      <c r="BZ916" s="123"/>
      <c r="CA916" s="123"/>
      <c r="CB916" s="123"/>
      <c r="CC916" s="123"/>
      <c r="CD916" s="123"/>
      <c r="CE916" s="123"/>
      <c r="CF916" s="123"/>
      <c r="CG916" s="123"/>
      <c r="CH916" s="123"/>
      <c r="CI916" s="123"/>
    </row>
    <row r="917" spans="1:87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123"/>
      <c r="T917" s="124"/>
      <c r="U917" s="123"/>
      <c r="V917" s="123"/>
      <c r="W917" s="124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  <c r="AP917" s="123"/>
      <c r="AQ917" s="123"/>
      <c r="AR917" s="123"/>
      <c r="AS917" s="123"/>
      <c r="AT917" s="123"/>
      <c r="AU917" s="123"/>
      <c r="AV917" s="123"/>
      <c r="AW917" s="123"/>
      <c r="AX917" s="123"/>
      <c r="AY917" s="123"/>
      <c r="AZ917" s="123"/>
      <c r="BA917" s="123"/>
      <c r="BB917" s="123"/>
      <c r="BC917" s="123"/>
      <c r="BD917" s="123"/>
      <c r="BE917" s="123"/>
      <c r="BF917" s="123"/>
      <c r="BG917" s="123"/>
      <c r="BH917" s="123"/>
      <c r="BI917" s="123"/>
      <c r="BJ917" s="123"/>
      <c r="BK917" s="123"/>
      <c r="BL917" s="123"/>
      <c r="BM917" s="123"/>
      <c r="BN917" s="123"/>
      <c r="BO917" s="123"/>
      <c r="BP917" s="123"/>
      <c r="BQ917" s="123"/>
      <c r="BR917" s="123"/>
      <c r="BS917" s="123"/>
      <c r="BT917" s="123"/>
      <c r="BU917" s="123"/>
      <c r="BV917" s="123"/>
      <c r="BW917" s="123"/>
      <c r="BX917" s="123"/>
      <c r="BY917" s="123"/>
      <c r="BZ917" s="123"/>
      <c r="CA917" s="123"/>
      <c r="CB917" s="123"/>
      <c r="CC917" s="123"/>
      <c r="CD917" s="123"/>
      <c r="CE917" s="123"/>
      <c r="CF917" s="123"/>
      <c r="CG917" s="123"/>
      <c r="CH917" s="123"/>
      <c r="CI917" s="123"/>
    </row>
    <row r="918" spans="1:87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123"/>
      <c r="T918" s="124"/>
      <c r="U918" s="123"/>
      <c r="V918" s="123"/>
      <c r="W918" s="124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  <c r="AP918" s="123"/>
      <c r="AQ918" s="123"/>
      <c r="AR918" s="123"/>
      <c r="AS918" s="123"/>
      <c r="AT918" s="123"/>
      <c r="AU918" s="123"/>
      <c r="AV918" s="123"/>
      <c r="AW918" s="123"/>
      <c r="AX918" s="123"/>
      <c r="AY918" s="123"/>
      <c r="AZ918" s="123"/>
      <c r="BA918" s="123"/>
      <c r="BB918" s="123"/>
      <c r="BC918" s="123"/>
      <c r="BD918" s="123"/>
      <c r="BE918" s="123"/>
      <c r="BF918" s="123"/>
      <c r="BG918" s="123"/>
      <c r="BH918" s="123"/>
      <c r="BI918" s="123"/>
      <c r="BJ918" s="123"/>
      <c r="BK918" s="123"/>
      <c r="BL918" s="123"/>
      <c r="BM918" s="123"/>
      <c r="BN918" s="123"/>
      <c r="BO918" s="123"/>
      <c r="BP918" s="123"/>
      <c r="BQ918" s="123"/>
      <c r="BR918" s="123"/>
      <c r="BS918" s="123"/>
      <c r="BT918" s="123"/>
      <c r="BU918" s="123"/>
      <c r="BV918" s="123"/>
      <c r="BW918" s="123"/>
      <c r="BX918" s="123"/>
      <c r="BY918" s="123"/>
      <c r="BZ918" s="123"/>
      <c r="CA918" s="123"/>
      <c r="CB918" s="123"/>
      <c r="CC918" s="123"/>
      <c r="CD918" s="123"/>
      <c r="CE918" s="123"/>
      <c r="CF918" s="123"/>
      <c r="CG918" s="123"/>
      <c r="CH918" s="123"/>
      <c r="CI918" s="123"/>
    </row>
    <row r="919" spans="1:87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123"/>
      <c r="T919" s="124"/>
      <c r="U919" s="123"/>
      <c r="V919" s="123"/>
      <c r="W919" s="124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23"/>
      <c r="AQ919" s="123"/>
      <c r="AR919" s="123"/>
      <c r="AS919" s="123"/>
      <c r="AT919" s="123"/>
      <c r="AU919" s="123"/>
      <c r="AV919" s="123"/>
      <c r="AW919" s="123"/>
      <c r="AX919" s="123"/>
      <c r="AY919" s="123"/>
      <c r="AZ919" s="123"/>
      <c r="BA919" s="123"/>
      <c r="BB919" s="123"/>
      <c r="BC919" s="123"/>
      <c r="BD919" s="123"/>
      <c r="BE919" s="123"/>
      <c r="BF919" s="123"/>
      <c r="BG919" s="123"/>
      <c r="BH919" s="123"/>
      <c r="BI919" s="123"/>
      <c r="BJ919" s="123"/>
      <c r="BK919" s="123"/>
      <c r="BL919" s="123"/>
      <c r="BM919" s="123"/>
      <c r="BN919" s="123"/>
      <c r="BO919" s="123"/>
      <c r="BP919" s="123"/>
      <c r="BQ919" s="123"/>
      <c r="BR919" s="123"/>
      <c r="BS919" s="123"/>
      <c r="BT919" s="123"/>
      <c r="BU919" s="123"/>
      <c r="BV919" s="123"/>
      <c r="BW919" s="123"/>
      <c r="BX919" s="123"/>
      <c r="BY919" s="123"/>
      <c r="BZ919" s="123"/>
      <c r="CA919" s="123"/>
      <c r="CB919" s="123"/>
      <c r="CC919" s="123"/>
      <c r="CD919" s="123"/>
      <c r="CE919" s="123"/>
      <c r="CF919" s="123"/>
      <c r="CG919" s="123"/>
      <c r="CH919" s="123"/>
      <c r="CI919" s="123"/>
    </row>
    <row r="920" spans="1:87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123"/>
      <c r="T920" s="124"/>
      <c r="U920" s="123"/>
      <c r="V920" s="123"/>
      <c r="W920" s="124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  <c r="AP920" s="123"/>
      <c r="AQ920" s="123"/>
      <c r="AR920" s="123"/>
      <c r="AS920" s="123"/>
      <c r="AT920" s="123"/>
      <c r="AU920" s="123"/>
      <c r="AV920" s="123"/>
      <c r="AW920" s="123"/>
      <c r="AX920" s="123"/>
      <c r="AY920" s="123"/>
      <c r="AZ920" s="123"/>
      <c r="BA920" s="123"/>
      <c r="BB920" s="123"/>
      <c r="BC920" s="123"/>
      <c r="BD920" s="123"/>
      <c r="BE920" s="123"/>
      <c r="BF920" s="123"/>
      <c r="BG920" s="123"/>
      <c r="BH920" s="123"/>
      <c r="BI920" s="123"/>
      <c r="BJ920" s="123"/>
      <c r="BK920" s="123"/>
      <c r="BL920" s="123"/>
      <c r="BM920" s="123"/>
      <c r="BN920" s="123"/>
      <c r="BO920" s="123"/>
      <c r="BP920" s="123"/>
      <c r="BQ920" s="123"/>
      <c r="BR920" s="123"/>
      <c r="BS920" s="123"/>
      <c r="BT920" s="123"/>
      <c r="BU920" s="123"/>
      <c r="BV920" s="123"/>
      <c r="BW920" s="123"/>
      <c r="BX920" s="123"/>
      <c r="BY920" s="123"/>
      <c r="BZ920" s="123"/>
      <c r="CA920" s="123"/>
      <c r="CB920" s="123"/>
      <c r="CC920" s="123"/>
      <c r="CD920" s="123"/>
      <c r="CE920" s="123"/>
      <c r="CF920" s="123"/>
      <c r="CG920" s="123"/>
      <c r="CH920" s="123"/>
      <c r="CI920" s="123"/>
    </row>
    <row r="921" spans="1:87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123"/>
      <c r="T921" s="124"/>
      <c r="U921" s="123"/>
      <c r="V921" s="123"/>
      <c r="W921" s="124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23"/>
      <c r="AQ921" s="123"/>
      <c r="AR921" s="123"/>
      <c r="AS921" s="123"/>
      <c r="AT921" s="123"/>
      <c r="AU921" s="123"/>
      <c r="AV921" s="123"/>
      <c r="AW921" s="123"/>
      <c r="AX921" s="123"/>
      <c r="AY921" s="123"/>
      <c r="AZ921" s="123"/>
      <c r="BA921" s="123"/>
      <c r="BB921" s="123"/>
      <c r="BC921" s="123"/>
      <c r="BD921" s="123"/>
      <c r="BE921" s="123"/>
      <c r="BF921" s="123"/>
      <c r="BG921" s="123"/>
      <c r="BH921" s="123"/>
      <c r="BI921" s="123"/>
      <c r="BJ921" s="123"/>
      <c r="BK921" s="123"/>
      <c r="BL921" s="123"/>
      <c r="BM921" s="123"/>
      <c r="BN921" s="123"/>
      <c r="BO921" s="123"/>
      <c r="BP921" s="123"/>
      <c r="BQ921" s="123"/>
      <c r="BR921" s="123"/>
      <c r="BS921" s="123"/>
      <c r="BT921" s="123"/>
      <c r="BU921" s="123"/>
      <c r="BV921" s="123"/>
      <c r="BW921" s="123"/>
      <c r="BX921" s="123"/>
      <c r="BY921" s="123"/>
      <c r="BZ921" s="123"/>
      <c r="CA921" s="123"/>
      <c r="CB921" s="123"/>
      <c r="CC921" s="123"/>
      <c r="CD921" s="123"/>
      <c r="CE921" s="123"/>
      <c r="CF921" s="123"/>
      <c r="CG921" s="123"/>
      <c r="CH921" s="123"/>
      <c r="CI921" s="123"/>
    </row>
    <row r="922" spans="1:87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123"/>
      <c r="T922" s="124"/>
      <c r="U922" s="123"/>
      <c r="V922" s="123"/>
      <c r="W922" s="124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  <c r="AP922" s="123"/>
      <c r="AQ922" s="123"/>
      <c r="AR922" s="123"/>
      <c r="AS922" s="123"/>
      <c r="AT922" s="123"/>
      <c r="AU922" s="123"/>
      <c r="AV922" s="123"/>
      <c r="AW922" s="123"/>
      <c r="AX922" s="123"/>
      <c r="AY922" s="123"/>
      <c r="AZ922" s="123"/>
      <c r="BA922" s="123"/>
      <c r="BB922" s="123"/>
      <c r="BC922" s="123"/>
      <c r="BD922" s="123"/>
      <c r="BE922" s="123"/>
      <c r="BF922" s="123"/>
      <c r="BG922" s="123"/>
      <c r="BH922" s="123"/>
      <c r="BI922" s="123"/>
      <c r="BJ922" s="123"/>
      <c r="BK922" s="123"/>
      <c r="BL922" s="123"/>
      <c r="BM922" s="123"/>
      <c r="BN922" s="123"/>
      <c r="BO922" s="123"/>
      <c r="BP922" s="123"/>
      <c r="BQ922" s="123"/>
      <c r="BR922" s="123"/>
      <c r="BS922" s="123"/>
      <c r="BT922" s="123"/>
      <c r="BU922" s="123"/>
      <c r="BV922" s="123"/>
      <c r="BW922" s="123"/>
      <c r="BX922" s="123"/>
      <c r="BY922" s="123"/>
      <c r="BZ922" s="123"/>
      <c r="CA922" s="123"/>
      <c r="CB922" s="123"/>
      <c r="CC922" s="123"/>
      <c r="CD922" s="123"/>
      <c r="CE922" s="123"/>
      <c r="CF922" s="123"/>
      <c r="CG922" s="123"/>
      <c r="CH922" s="123"/>
      <c r="CI922" s="123"/>
    </row>
    <row r="923" spans="1:87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123"/>
      <c r="T923" s="124"/>
      <c r="U923" s="123"/>
      <c r="V923" s="123"/>
      <c r="W923" s="124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  <c r="AP923" s="123"/>
      <c r="AQ923" s="123"/>
      <c r="AR923" s="123"/>
      <c r="AS923" s="123"/>
      <c r="AT923" s="123"/>
      <c r="AU923" s="123"/>
      <c r="AV923" s="123"/>
      <c r="AW923" s="123"/>
      <c r="AX923" s="123"/>
      <c r="AY923" s="123"/>
      <c r="AZ923" s="123"/>
      <c r="BA923" s="123"/>
      <c r="BB923" s="123"/>
      <c r="BC923" s="123"/>
      <c r="BD923" s="123"/>
      <c r="BE923" s="123"/>
      <c r="BF923" s="123"/>
      <c r="BG923" s="123"/>
      <c r="BH923" s="123"/>
      <c r="BI923" s="123"/>
      <c r="BJ923" s="123"/>
      <c r="BK923" s="123"/>
      <c r="BL923" s="123"/>
      <c r="BM923" s="123"/>
      <c r="BN923" s="123"/>
      <c r="BO923" s="123"/>
      <c r="BP923" s="123"/>
      <c r="BQ923" s="123"/>
      <c r="BR923" s="123"/>
      <c r="BS923" s="123"/>
      <c r="BT923" s="123"/>
      <c r="BU923" s="123"/>
      <c r="BV923" s="123"/>
      <c r="BW923" s="123"/>
      <c r="BX923" s="123"/>
      <c r="BY923" s="123"/>
      <c r="BZ923" s="123"/>
      <c r="CA923" s="123"/>
      <c r="CB923" s="123"/>
      <c r="CC923" s="123"/>
      <c r="CD923" s="123"/>
      <c r="CE923" s="123"/>
      <c r="CF923" s="123"/>
      <c r="CG923" s="123"/>
      <c r="CH923" s="123"/>
      <c r="CI923" s="123"/>
    </row>
    <row r="924" spans="1:87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123"/>
      <c r="T924" s="124"/>
      <c r="U924" s="123"/>
      <c r="V924" s="123"/>
      <c r="W924" s="124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  <c r="AP924" s="123"/>
      <c r="AQ924" s="123"/>
      <c r="AR924" s="123"/>
      <c r="AS924" s="123"/>
      <c r="AT924" s="123"/>
      <c r="AU924" s="123"/>
      <c r="AV924" s="123"/>
      <c r="AW924" s="123"/>
      <c r="AX924" s="123"/>
      <c r="AY924" s="123"/>
      <c r="AZ924" s="123"/>
      <c r="BA924" s="123"/>
      <c r="BB924" s="123"/>
      <c r="BC924" s="123"/>
      <c r="BD924" s="123"/>
      <c r="BE924" s="123"/>
      <c r="BF924" s="123"/>
      <c r="BG924" s="123"/>
      <c r="BH924" s="123"/>
      <c r="BI924" s="123"/>
      <c r="BJ924" s="123"/>
      <c r="BK924" s="123"/>
      <c r="BL924" s="123"/>
      <c r="BM924" s="123"/>
      <c r="BN924" s="123"/>
      <c r="BO924" s="123"/>
      <c r="BP924" s="123"/>
      <c r="BQ924" s="123"/>
      <c r="BR924" s="123"/>
      <c r="BS924" s="123"/>
      <c r="BT924" s="123"/>
      <c r="BU924" s="123"/>
      <c r="BV924" s="123"/>
      <c r="BW924" s="123"/>
      <c r="BX924" s="123"/>
      <c r="BY924" s="123"/>
      <c r="BZ924" s="123"/>
      <c r="CA924" s="123"/>
      <c r="CB924" s="123"/>
      <c r="CC924" s="123"/>
      <c r="CD924" s="123"/>
      <c r="CE924" s="123"/>
      <c r="CF924" s="123"/>
      <c r="CG924" s="123"/>
      <c r="CH924" s="123"/>
      <c r="CI924" s="123"/>
    </row>
    <row r="925" spans="1:87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123"/>
      <c r="T925" s="124"/>
      <c r="U925" s="123"/>
      <c r="V925" s="123"/>
      <c r="W925" s="124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  <c r="AP925" s="123"/>
      <c r="AQ925" s="123"/>
      <c r="AR925" s="123"/>
      <c r="AS925" s="123"/>
      <c r="AT925" s="123"/>
      <c r="AU925" s="123"/>
      <c r="AV925" s="123"/>
      <c r="AW925" s="123"/>
      <c r="AX925" s="123"/>
      <c r="AY925" s="123"/>
      <c r="AZ925" s="123"/>
      <c r="BA925" s="123"/>
      <c r="BB925" s="123"/>
      <c r="BC925" s="123"/>
      <c r="BD925" s="123"/>
      <c r="BE925" s="123"/>
      <c r="BF925" s="123"/>
      <c r="BG925" s="123"/>
      <c r="BH925" s="123"/>
      <c r="BI925" s="123"/>
      <c r="BJ925" s="123"/>
      <c r="BK925" s="123"/>
      <c r="BL925" s="123"/>
      <c r="BM925" s="123"/>
      <c r="BN925" s="123"/>
      <c r="BO925" s="123"/>
      <c r="BP925" s="123"/>
      <c r="BQ925" s="123"/>
      <c r="BR925" s="123"/>
      <c r="BS925" s="123"/>
      <c r="BT925" s="123"/>
      <c r="BU925" s="123"/>
      <c r="BV925" s="123"/>
      <c r="BW925" s="123"/>
      <c r="BX925" s="123"/>
      <c r="BY925" s="123"/>
      <c r="BZ925" s="123"/>
      <c r="CA925" s="123"/>
      <c r="CB925" s="123"/>
      <c r="CC925" s="123"/>
      <c r="CD925" s="123"/>
      <c r="CE925" s="123"/>
      <c r="CF925" s="123"/>
      <c r="CG925" s="123"/>
      <c r="CH925" s="123"/>
      <c r="CI925" s="123"/>
    </row>
    <row r="926" spans="1:87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123"/>
      <c r="T926" s="124"/>
      <c r="U926" s="123"/>
      <c r="V926" s="123"/>
      <c r="W926" s="124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  <c r="AP926" s="123"/>
      <c r="AQ926" s="123"/>
      <c r="AR926" s="123"/>
      <c r="AS926" s="123"/>
      <c r="AT926" s="123"/>
      <c r="AU926" s="123"/>
      <c r="AV926" s="123"/>
      <c r="AW926" s="123"/>
      <c r="AX926" s="123"/>
      <c r="AY926" s="123"/>
      <c r="AZ926" s="123"/>
      <c r="BA926" s="123"/>
      <c r="BB926" s="123"/>
      <c r="BC926" s="123"/>
      <c r="BD926" s="123"/>
      <c r="BE926" s="123"/>
      <c r="BF926" s="123"/>
      <c r="BG926" s="123"/>
      <c r="BH926" s="123"/>
      <c r="BI926" s="123"/>
      <c r="BJ926" s="123"/>
      <c r="BK926" s="123"/>
      <c r="BL926" s="123"/>
      <c r="BM926" s="123"/>
      <c r="BN926" s="123"/>
      <c r="BO926" s="123"/>
      <c r="BP926" s="123"/>
      <c r="BQ926" s="123"/>
      <c r="BR926" s="123"/>
      <c r="BS926" s="123"/>
      <c r="BT926" s="123"/>
      <c r="BU926" s="123"/>
      <c r="BV926" s="123"/>
      <c r="BW926" s="123"/>
      <c r="BX926" s="123"/>
      <c r="BY926" s="123"/>
      <c r="BZ926" s="123"/>
      <c r="CA926" s="123"/>
      <c r="CB926" s="123"/>
      <c r="CC926" s="123"/>
      <c r="CD926" s="123"/>
      <c r="CE926" s="123"/>
      <c r="CF926" s="123"/>
      <c r="CG926" s="123"/>
      <c r="CH926" s="123"/>
      <c r="CI926" s="123"/>
    </row>
    <row r="927" spans="1:87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123"/>
      <c r="T927" s="124"/>
      <c r="U927" s="123"/>
      <c r="V927" s="123"/>
      <c r="W927" s="124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  <c r="AP927" s="123"/>
      <c r="AQ927" s="123"/>
      <c r="AR927" s="123"/>
      <c r="AS927" s="123"/>
      <c r="AT927" s="123"/>
      <c r="AU927" s="123"/>
      <c r="AV927" s="123"/>
      <c r="AW927" s="123"/>
      <c r="AX927" s="123"/>
      <c r="AY927" s="123"/>
      <c r="AZ927" s="123"/>
      <c r="BA927" s="123"/>
      <c r="BB927" s="123"/>
      <c r="BC927" s="123"/>
      <c r="BD927" s="123"/>
      <c r="BE927" s="123"/>
      <c r="BF927" s="123"/>
      <c r="BG927" s="123"/>
      <c r="BH927" s="123"/>
      <c r="BI927" s="123"/>
      <c r="BJ927" s="123"/>
      <c r="BK927" s="123"/>
      <c r="BL927" s="123"/>
      <c r="BM927" s="123"/>
      <c r="BN927" s="123"/>
      <c r="BO927" s="123"/>
      <c r="BP927" s="123"/>
      <c r="BQ927" s="123"/>
      <c r="BR927" s="123"/>
      <c r="BS927" s="123"/>
      <c r="BT927" s="123"/>
      <c r="BU927" s="123"/>
      <c r="BV927" s="123"/>
      <c r="BW927" s="123"/>
      <c r="BX927" s="123"/>
      <c r="BY927" s="123"/>
      <c r="BZ927" s="123"/>
      <c r="CA927" s="123"/>
      <c r="CB927" s="123"/>
      <c r="CC927" s="123"/>
      <c r="CD927" s="123"/>
      <c r="CE927" s="123"/>
      <c r="CF927" s="123"/>
      <c r="CG927" s="123"/>
      <c r="CH927" s="123"/>
      <c r="CI927" s="123"/>
    </row>
    <row r="928" spans="1:87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123"/>
      <c r="T928" s="124"/>
      <c r="U928" s="123"/>
      <c r="V928" s="123"/>
      <c r="W928" s="124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23"/>
      <c r="AQ928" s="123"/>
      <c r="AR928" s="123"/>
      <c r="AS928" s="123"/>
      <c r="AT928" s="123"/>
      <c r="AU928" s="123"/>
      <c r="AV928" s="123"/>
      <c r="AW928" s="123"/>
      <c r="AX928" s="123"/>
      <c r="AY928" s="123"/>
      <c r="AZ928" s="123"/>
      <c r="BA928" s="123"/>
      <c r="BB928" s="123"/>
      <c r="BC928" s="123"/>
      <c r="BD928" s="123"/>
      <c r="BE928" s="123"/>
      <c r="BF928" s="123"/>
      <c r="BG928" s="123"/>
      <c r="BH928" s="123"/>
      <c r="BI928" s="123"/>
      <c r="BJ928" s="123"/>
      <c r="BK928" s="123"/>
      <c r="BL928" s="123"/>
      <c r="BM928" s="123"/>
      <c r="BN928" s="123"/>
      <c r="BO928" s="123"/>
      <c r="BP928" s="123"/>
      <c r="BQ928" s="123"/>
      <c r="BR928" s="123"/>
      <c r="BS928" s="123"/>
      <c r="BT928" s="123"/>
      <c r="BU928" s="123"/>
      <c r="BV928" s="123"/>
      <c r="BW928" s="123"/>
      <c r="BX928" s="123"/>
      <c r="BY928" s="123"/>
      <c r="BZ928" s="123"/>
      <c r="CA928" s="123"/>
      <c r="CB928" s="123"/>
      <c r="CC928" s="123"/>
      <c r="CD928" s="123"/>
      <c r="CE928" s="123"/>
      <c r="CF928" s="123"/>
      <c r="CG928" s="123"/>
      <c r="CH928" s="123"/>
      <c r="CI928" s="123"/>
    </row>
    <row r="929" spans="1:87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123"/>
      <c r="T929" s="124"/>
      <c r="U929" s="123"/>
      <c r="V929" s="123"/>
      <c r="W929" s="124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  <c r="AP929" s="123"/>
      <c r="AQ929" s="123"/>
      <c r="AR929" s="123"/>
      <c r="AS929" s="123"/>
      <c r="AT929" s="123"/>
      <c r="AU929" s="123"/>
      <c r="AV929" s="123"/>
      <c r="AW929" s="123"/>
      <c r="AX929" s="123"/>
      <c r="AY929" s="123"/>
      <c r="AZ929" s="123"/>
      <c r="BA929" s="123"/>
      <c r="BB929" s="123"/>
      <c r="BC929" s="123"/>
      <c r="BD929" s="123"/>
      <c r="BE929" s="123"/>
      <c r="BF929" s="123"/>
      <c r="BG929" s="123"/>
      <c r="BH929" s="123"/>
      <c r="BI929" s="123"/>
      <c r="BJ929" s="123"/>
      <c r="BK929" s="123"/>
      <c r="BL929" s="123"/>
      <c r="BM929" s="123"/>
      <c r="BN929" s="123"/>
      <c r="BO929" s="123"/>
      <c r="BP929" s="123"/>
      <c r="BQ929" s="123"/>
      <c r="BR929" s="123"/>
      <c r="BS929" s="123"/>
      <c r="BT929" s="123"/>
      <c r="BU929" s="123"/>
      <c r="BV929" s="123"/>
      <c r="BW929" s="123"/>
      <c r="BX929" s="123"/>
      <c r="BY929" s="123"/>
      <c r="BZ929" s="123"/>
      <c r="CA929" s="123"/>
      <c r="CB929" s="123"/>
      <c r="CC929" s="123"/>
      <c r="CD929" s="123"/>
      <c r="CE929" s="123"/>
      <c r="CF929" s="123"/>
      <c r="CG929" s="123"/>
      <c r="CH929" s="123"/>
      <c r="CI929" s="123"/>
    </row>
    <row r="930" spans="1:87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123"/>
      <c r="T930" s="124"/>
      <c r="U930" s="123"/>
      <c r="V930" s="123"/>
      <c r="W930" s="124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  <c r="AP930" s="123"/>
      <c r="AQ930" s="123"/>
      <c r="AR930" s="123"/>
      <c r="AS930" s="123"/>
      <c r="AT930" s="123"/>
      <c r="AU930" s="123"/>
      <c r="AV930" s="123"/>
      <c r="AW930" s="123"/>
      <c r="AX930" s="123"/>
      <c r="AY930" s="123"/>
      <c r="AZ930" s="123"/>
      <c r="BA930" s="123"/>
      <c r="BB930" s="123"/>
      <c r="BC930" s="123"/>
      <c r="BD930" s="123"/>
      <c r="BE930" s="123"/>
      <c r="BF930" s="123"/>
      <c r="BG930" s="123"/>
      <c r="BH930" s="123"/>
      <c r="BI930" s="123"/>
      <c r="BJ930" s="123"/>
      <c r="BK930" s="123"/>
      <c r="BL930" s="123"/>
      <c r="BM930" s="123"/>
      <c r="BN930" s="123"/>
      <c r="BO930" s="123"/>
      <c r="BP930" s="123"/>
      <c r="BQ930" s="123"/>
      <c r="BR930" s="123"/>
      <c r="BS930" s="123"/>
      <c r="BT930" s="123"/>
      <c r="BU930" s="123"/>
      <c r="BV930" s="123"/>
      <c r="BW930" s="123"/>
      <c r="BX930" s="123"/>
      <c r="BY930" s="123"/>
      <c r="BZ930" s="123"/>
      <c r="CA930" s="123"/>
      <c r="CB930" s="123"/>
      <c r="CC930" s="123"/>
      <c r="CD930" s="123"/>
      <c r="CE930" s="123"/>
      <c r="CF930" s="123"/>
      <c r="CG930" s="123"/>
      <c r="CH930" s="123"/>
      <c r="CI930" s="123"/>
    </row>
    <row r="931" spans="1:87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123"/>
      <c r="T931" s="124"/>
      <c r="U931" s="123"/>
      <c r="V931" s="123"/>
      <c r="W931" s="124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  <c r="AP931" s="123"/>
      <c r="AQ931" s="123"/>
      <c r="AR931" s="123"/>
      <c r="AS931" s="123"/>
      <c r="AT931" s="123"/>
      <c r="AU931" s="123"/>
      <c r="AV931" s="123"/>
      <c r="AW931" s="123"/>
      <c r="AX931" s="123"/>
      <c r="AY931" s="123"/>
      <c r="AZ931" s="123"/>
      <c r="BA931" s="123"/>
      <c r="BB931" s="123"/>
      <c r="BC931" s="123"/>
      <c r="BD931" s="123"/>
      <c r="BE931" s="123"/>
      <c r="BF931" s="123"/>
      <c r="BG931" s="123"/>
      <c r="BH931" s="123"/>
      <c r="BI931" s="123"/>
      <c r="BJ931" s="123"/>
      <c r="BK931" s="123"/>
      <c r="BL931" s="123"/>
      <c r="BM931" s="123"/>
      <c r="BN931" s="123"/>
      <c r="BO931" s="123"/>
      <c r="BP931" s="123"/>
      <c r="BQ931" s="123"/>
      <c r="BR931" s="123"/>
      <c r="BS931" s="123"/>
      <c r="BT931" s="123"/>
      <c r="BU931" s="123"/>
      <c r="BV931" s="123"/>
      <c r="BW931" s="123"/>
      <c r="BX931" s="123"/>
      <c r="BY931" s="123"/>
      <c r="BZ931" s="123"/>
      <c r="CA931" s="123"/>
      <c r="CB931" s="123"/>
      <c r="CC931" s="123"/>
      <c r="CD931" s="123"/>
      <c r="CE931" s="123"/>
      <c r="CF931" s="123"/>
      <c r="CG931" s="123"/>
      <c r="CH931" s="123"/>
      <c r="CI931" s="123"/>
    </row>
    <row r="932" spans="1:87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123"/>
      <c r="T932" s="124"/>
      <c r="U932" s="123"/>
      <c r="V932" s="123"/>
      <c r="W932" s="124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  <c r="AP932" s="123"/>
      <c r="AQ932" s="123"/>
      <c r="AR932" s="123"/>
      <c r="AS932" s="123"/>
      <c r="AT932" s="123"/>
      <c r="AU932" s="123"/>
      <c r="AV932" s="123"/>
      <c r="AW932" s="123"/>
      <c r="AX932" s="123"/>
      <c r="AY932" s="123"/>
      <c r="AZ932" s="123"/>
      <c r="BA932" s="123"/>
      <c r="BB932" s="123"/>
      <c r="BC932" s="123"/>
      <c r="BD932" s="123"/>
      <c r="BE932" s="123"/>
      <c r="BF932" s="123"/>
      <c r="BG932" s="123"/>
      <c r="BH932" s="123"/>
      <c r="BI932" s="123"/>
      <c r="BJ932" s="123"/>
      <c r="BK932" s="123"/>
      <c r="BL932" s="123"/>
      <c r="BM932" s="123"/>
      <c r="BN932" s="123"/>
      <c r="BO932" s="123"/>
      <c r="BP932" s="123"/>
      <c r="BQ932" s="123"/>
      <c r="BR932" s="123"/>
      <c r="BS932" s="123"/>
      <c r="BT932" s="123"/>
      <c r="BU932" s="123"/>
      <c r="BV932" s="123"/>
      <c r="BW932" s="123"/>
      <c r="BX932" s="123"/>
      <c r="BY932" s="123"/>
      <c r="BZ932" s="123"/>
      <c r="CA932" s="123"/>
      <c r="CB932" s="123"/>
      <c r="CC932" s="123"/>
      <c r="CD932" s="123"/>
      <c r="CE932" s="123"/>
      <c r="CF932" s="123"/>
      <c r="CG932" s="123"/>
      <c r="CH932" s="123"/>
      <c r="CI932" s="123"/>
    </row>
    <row r="933" spans="1:87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123"/>
      <c r="T933" s="124"/>
      <c r="U933" s="123"/>
      <c r="V933" s="123"/>
      <c r="W933" s="124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  <c r="AP933" s="123"/>
      <c r="AQ933" s="123"/>
      <c r="AR933" s="123"/>
      <c r="AS933" s="123"/>
      <c r="AT933" s="123"/>
      <c r="AU933" s="123"/>
      <c r="AV933" s="123"/>
      <c r="AW933" s="123"/>
      <c r="AX933" s="123"/>
      <c r="AY933" s="123"/>
      <c r="AZ933" s="123"/>
      <c r="BA933" s="123"/>
      <c r="BB933" s="123"/>
      <c r="BC933" s="123"/>
      <c r="BD933" s="123"/>
      <c r="BE933" s="123"/>
      <c r="BF933" s="123"/>
      <c r="BG933" s="123"/>
      <c r="BH933" s="123"/>
      <c r="BI933" s="123"/>
      <c r="BJ933" s="123"/>
      <c r="BK933" s="123"/>
      <c r="BL933" s="123"/>
      <c r="BM933" s="123"/>
      <c r="BN933" s="123"/>
      <c r="BO933" s="123"/>
      <c r="BP933" s="123"/>
      <c r="BQ933" s="123"/>
      <c r="BR933" s="123"/>
      <c r="BS933" s="123"/>
      <c r="BT933" s="123"/>
      <c r="BU933" s="123"/>
      <c r="BV933" s="123"/>
      <c r="BW933" s="123"/>
      <c r="BX933" s="123"/>
      <c r="BY933" s="123"/>
      <c r="BZ933" s="123"/>
      <c r="CA933" s="123"/>
      <c r="CB933" s="123"/>
      <c r="CC933" s="123"/>
      <c r="CD933" s="123"/>
      <c r="CE933" s="123"/>
      <c r="CF933" s="123"/>
      <c r="CG933" s="123"/>
      <c r="CH933" s="123"/>
      <c r="CI933" s="123"/>
    </row>
    <row r="934" spans="1:87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123"/>
      <c r="T934" s="124"/>
      <c r="U934" s="123"/>
      <c r="V934" s="123"/>
      <c r="W934" s="124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  <c r="AP934" s="123"/>
      <c r="AQ934" s="123"/>
      <c r="AR934" s="123"/>
      <c r="AS934" s="123"/>
      <c r="AT934" s="123"/>
      <c r="AU934" s="123"/>
      <c r="AV934" s="123"/>
      <c r="AW934" s="123"/>
      <c r="AX934" s="123"/>
      <c r="AY934" s="123"/>
      <c r="AZ934" s="123"/>
      <c r="BA934" s="123"/>
      <c r="BB934" s="123"/>
      <c r="BC934" s="123"/>
      <c r="BD934" s="123"/>
      <c r="BE934" s="123"/>
      <c r="BF934" s="123"/>
      <c r="BG934" s="123"/>
      <c r="BH934" s="123"/>
      <c r="BI934" s="123"/>
      <c r="BJ934" s="123"/>
      <c r="BK934" s="123"/>
      <c r="BL934" s="123"/>
      <c r="BM934" s="123"/>
      <c r="BN934" s="123"/>
      <c r="BO934" s="123"/>
      <c r="BP934" s="123"/>
      <c r="BQ934" s="123"/>
      <c r="BR934" s="123"/>
      <c r="BS934" s="123"/>
      <c r="BT934" s="123"/>
      <c r="BU934" s="123"/>
      <c r="BV934" s="123"/>
      <c r="BW934" s="123"/>
      <c r="BX934" s="123"/>
      <c r="BY934" s="123"/>
      <c r="BZ934" s="123"/>
      <c r="CA934" s="123"/>
      <c r="CB934" s="123"/>
      <c r="CC934" s="123"/>
      <c r="CD934" s="123"/>
      <c r="CE934" s="123"/>
      <c r="CF934" s="123"/>
      <c r="CG934" s="123"/>
      <c r="CH934" s="123"/>
      <c r="CI934" s="123"/>
    </row>
    <row r="935" spans="1:87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123"/>
      <c r="T935" s="124"/>
      <c r="U935" s="123"/>
      <c r="V935" s="123"/>
      <c r="W935" s="124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23"/>
      <c r="AQ935" s="123"/>
      <c r="AR935" s="123"/>
      <c r="AS935" s="123"/>
      <c r="AT935" s="123"/>
      <c r="AU935" s="123"/>
      <c r="AV935" s="123"/>
      <c r="AW935" s="123"/>
      <c r="AX935" s="123"/>
      <c r="AY935" s="123"/>
      <c r="AZ935" s="123"/>
      <c r="BA935" s="123"/>
      <c r="BB935" s="123"/>
      <c r="BC935" s="123"/>
      <c r="BD935" s="123"/>
      <c r="BE935" s="123"/>
      <c r="BF935" s="123"/>
      <c r="BG935" s="123"/>
      <c r="BH935" s="123"/>
      <c r="BI935" s="123"/>
      <c r="BJ935" s="123"/>
      <c r="BK935" s="123"/>
      <c r="BL935" s="123"/>
      <c r="BM935" s="123"/>
      <c r="BN935" s="123"/>
      <c r="BO935" s="123"/>
      <c r="BP935" s="123"/>
      <c r="BQ935" s="123"/>
      <c r="BR935" s="123"/>
      <c r="BS935" s="123"/>
      <c r="BT935" s="123"/>
      <c r="BU935" s="123"/>
      <c r="BV935" s="123"/>
      <c r="BW935" s="123"/>
      <c r="BX935" s="123"/>
      <c r="BY935" s="123"/>
      <c r="BZ935" s="123"/>
      <c r="CA935" s="123"/>
      <c r="CB935" s="123"/>
      <c r="CC935" s="123"/>
      <c r="CD935" s="123"/>
      <c r="CE935" s="123"/>
      <c r="CF935" s="123"/>
      <c r="CG935" s="123"/>
      <c r="CH935" s="123"/>
      <c r="CI935" s="123"/>
    </row>
    <row r="936" spans="1:87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123"/>
      <c r="T936" s="124"/>
      <c r="U936" s="123"/>
      <c r="V936" s="123"/>
      <c r="W936" s="124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23"/>
      <c r="AQ936" s="123"/>
      <c r="AR936" s="123"/>
      <c r="AS936" s="123"/>
      <c r="AT936" s="123"/>
      <c r="AU936" s="123"/>
      <c r="AV936" s="123"/>
      <c r="AW936" s="123"/>
      <c r="AX936" s="123"/>
      <c r="AY936" s="123"/>
      <c r="AZ936" s="123"/>
      <c r="BA936" s="123"/>
      <c r="BB936" s="123"/>
      <c r="BC936" s="123"/>
      <c r="BD936" s="123"/>
      <c r="BE936" s="123"/>
      <c r="BF936" s="123"/>
      <c r="BG936" s="123"/>
      <c r="BH936" s="123"/>
      <c r="BI936" s="123"/>
      <c r="BJ936" s="123"/>
      <c r="BK936" s="123"/>
      <c r="BL936" s="123"/>
      <c r="BM936" s="123"/>
      <c r="BN936" s="123"/>
      <c r="BO936" s="123"/>
      <c r="BP936" s="123"/>
      <c r="BQ936" s="123"/>
      <c r="BR936" s="123"/>
      <c r="BS936" s="123"/>
      <c r="BT936" s="123"/>
      <c r="BU936" s="123"/>
      <c r="BV936" s="123"/>
      <c r="BW936" s="123"/>
      <c r="BX936" s="123"/>
      <c r="BY936" s="123"/>
      <c r="BZ936" s="123"/>
      <c r="CA936" s="123"/>
      <c r="CB936" s="123"/>
      <c r="CC936" s="123"/>
      <c r="CD936" s="123"/>
      <c r="CE936" s="123"/>
      <c r="CF936" s="123"/>
      <c r="CG936" s="123"/>
      <c r="CH936" s="123"/>
      <c r="CI936" s="123"/>
    </row>
    <row r="937" spans="1:87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123"/>
      <c r="T937" s="124"/>
      <c r="U937" s="123"/>
      <c r="V937" s="123"/>
      <c r="W937" s="124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  <c r="AP937" s="123"/>
      <c r="AQ937" s="123"/>
      <c r="AR937" s="123"/>
      <c r="AS937" s="123"/>
      <c r="AT937" s="123"/>
      <c r="AU937" s="123"/>
      <c r="AV937" s="123"/>
      <c r="AW937" s="123"/>
      <c r="AX937" s="123"/>
      <c r="AY937" s="123"/>
      <c r="AZ937" s="123"/>
      <c r="BA937" s="123"/>
      <c r="BB937" s="123"/>
      <c r="BC937" s="123"/>
      <c r="BD937" s="123"/>
      <c r="BE937" s="123"/>
      <c r="BF937" s="123"/>
      <c r="BG937" s="123"/>
      <c r="BH937" s="123"/>
      <c r="BI937" s="123"/>
      <c r="BJ937" s="123"/>
      <c r="BK937" s="123"/>
      <c r="BL937" s="123"/>
      <c r="BM937" s="123"/>
      <c r="BN937" s="123"/>
      <c r="BO937" s="123"/>
      <c r="BP937" s="123"/>
      <c r="BQ937" s="123"/>
      <c r="BR937" s="123"/>
      <c r="BS937" s="123"/>
      <c r="BT937" s="123"/>
      <c r="BU937" s="123"/>
      <c r="BV937" s="123"/>
      <c r="BW937" s="123"/>
      <c r="BX937" s="123"/>
      <c r="BY937" s="123"/>
      <c r="BZ937" s="123"/>
      <c r="CA937" s="123"/>
      <c r="CB937" s="123"/>
      <c r="CC937" s="123"/>
      <c r="CD937" s="123"/>
      <c r="CE937" s="123"/>
      <c r="CF937" s="123"/>
      <c r="CG937" s="123"/>
      <c r="CH937" s="123"/>
      <c r="CI937" s="123"/>
    </row>
    <row r="938" spans="1:87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123"/>
      <c r="T938" s="124"/>
      <c r="U938" s="123"/>
      <c r="V938" s="123"/>
      <c r="W938" s="124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  <c r="AP938" s="123"/>
      <c r="AQ938" s="123"/>
      <c r="AR938" s="123"/>
      <c r="AS938" s="123"/>
      <c r="AT938" s="123"/>
      <c r="AU938" s="123"/>
      <c r="AV938" s="123"/>
      <c r="AW938" s="123"/>
      <c r="AX938" s="123"/>
      <c r="AY938" s="123"/>
      <c r="AZ938" s="123"/>
      <c r="BA938" s="123"/>
      <c r="BB938" s="123"/>
      <c r="BC938" s="123"/>
      <c r="BD938" s="123"/>
      <c r="BE938" s="123"/>
      <c r="BF938" s="123"/>
      <c r="BG938" s="123"/>
      <c r="BH938" s="123"/>
      <c r="BI938" s="123"/>
      <c r="BJ938" s="123"/>
      <c r="BK938" s="123"/>
      <c r="BL938" s="123"/>
      <c r="BM938" s="123"/>
      <c r="BN938" s="123"/>
      <c r="BO938" s="123"/>
      <c r="BP938" s="123"/>
      <c r="BQ938" s="123"/>
      <c r="BR938" s="123"/>
      <c r="BS938" s="123"/>
      <c r="BT938" s="123"/>
      <c r="BU938" s="123"/>
      <c r="BV938" s="123"/>
      <c r="BW938" s="123"/>
      <c r="BX938" s="123"/>
      <c r="BY938" s="123"/>
      <c r="BZ938" s="123"/>
      <c r="CA938" s="123"/>
      <c r="CB938" s="123"/>
      <c r="CC938" s="123"/>
      <c r="CD938" s="123"/>
      <c r="CE938" s="123"/>
      <c r="CF938" s="123"/>
      <c r="CG938" s="123"/>
      <c r="CH938" s="123"/>
      <c r="CI938" s="123"/>
    </row>
    <row r="939" spans="1:87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123"/>
      <c r="T939" s="124"/>
      <c r="U939" s="123"/>
      <c r="V939" s="123"/>
      <c r="W939" s="124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  <c r="AP939" s="123"/>
      <c r="AQ939" s="123"/>
      <c r="AR939" s="123"/>
      <c r="AS939" s="123"/>
      <c r="AT939" s="123"/>
      <c r="AU939" s="123"/>
      <c r="AV939" s="123"/>
      <c r="AW939" s="123"/>
      <c r="AX939" s="123"/>
      <c r="AY939" s="123"/>
      <c r="AZ939" s="123"/>
      <c r="BA939" s="123"/>
      <c r="BB939" s="123"/>
      <c r="BC939" s="123"/>
      <c r="BD939" s="123"/>
      <c r="BE939" s="123"/>
      <c r="BF939" s="123"/>
      <c r="BG939" s="123"/>
      <c r="BH939" s="123"/>
      <c r="BI939" s="123"/>
      <c r="BJ939" s="123"/>
      <c r="BK939" s="123"/>
      <c r="BL939" s="123"/>
      <c r="BM939" s="123"/>
      <c r="BN939" s="123"/>
      <c r="BO939" s="123"/>
      <c r="BP939" s="123"/>
      <c r="BQ939" s="123"/>
      <c r="BR939" s="123"/>
      <c r="BS939" s="123"/>
      <c r="BT939" s="123"/>
      <c r="BU939" s="123"/>
      <c r="BV939" s="123"/>
      <c r="BW939" s="123"/>
      <c r="BX939" s="123"/>
      <c r="BY939" s="123"/>
      <c r="BZ939" s="123"/>
      <c r="CA939" s="123"/>
      <c r="CB939" s="123"/>
      <c r="CC939" s="123"/>
      <c r="CD939" s="123"/>
      <c r="CE939" s="123"/>
      <c r="CF939" s="123"/>
      <c r="CG939" s="123"/>
      <c r="CH939" s="123"/>
      <c r="CI939" s="123"/>
    </row>
    <row r="940" spans="1:87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123"/>
      <c r="T940" s="124"/>
      <c r="U940" s="123"/>
      <c r="V940" s="123"/>
      <c r="W940" s="124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23"/>
      <c r="AQ940" s="123"/>
      <c r="AR940" s="123"/>
      <c r="AS940" s="123"/>
      <c r="AT940" s="123"/>
      <c r="AU940" s="123"/>
      <c r="AV940" s="123"/>
      <c r="AW940" s="123"/>
      <c r="AX940" s="123"/>
      <c r="AY940" s="123"/>
      <c r="AZ940" s="123"/>
      <c r="BA940" s="123"/>
      <c r="BB940" s="123"/>
      <c r="BC940" s="123"/>
      <c r="BD940" s="123"/>
      <c r="BE940" s="123"/>
      <c r="BF940" s="123"/>
      <c r="BG940" s="123"/>
      <c r="BH940" s="123"/>
      <c r="BI940" s="123"/>
      <c r="BJ940" s="123"/>
      <c r="BK940" s="123"/>
      <c r="BL940" s="123"/>
      <c r="BM940" s="123"/>
      <c r="BN940" s="123"/>
      <c r="BO940" s="123"/>
      <c r="BP940" s="123"/>
      <c r="BQ940" s="123"/>
      <c r="BR940" s="123"/>
      <c r="BS940" s="123"/>
      <c r="BT940" s="123"/>
      <c r="BU940" s="123"/>
      <c r="BV940" s="123"/>
      <c r="BW940" s="123"/>
      <c r="BX940" s="123"/>
      <c r="BY940" s="123"/>
      <c r="BZ940" s="123"/>
      <c r="CA940" s="123"/>
      <c r="CB940" s="123"/>
      <c r="CC940" s="123"/>
      <c r="CD940" s="123"/>
      <c r="CE940" s="123"/>
      <c r="CF940" s="123"/>
      <c r="CG940" s="123"/>
      <c r="CH940" s="123"/>
      <c r="CI940" s="123"/>
    </row>
    <row r="941" spans="1:87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123"/>
      <c r="T941" s="124"/>
      <c r="U941" s="123"/>
      <c r="V941" s="123"/>
      <c r="W941" s="124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  <c r="AP941" s="123"/>
      <c r="AQ941" s="123"/>
      <c r="AR941" s="123"/>
      <c r="AS941" s="123"/>
      <c r="AT941" s="123"/>
      <c r="AU941" s="123"/>
      <c r="AV941" s="123"/>
      <c r="AW941" s="123"/>
      <c r="AX941" s="123"/>
      <c r="AY941" s="123"/>
      <c r="AZ941" s="123"/>
      <c r="BA941" s="123"/>
      <c r="BB941" s="123"/>
      <c r="BC941" s="123"/>
      <c r="BD941" s="123"/>
      <c r="BE941" s="123"/>
      <c r="BF941" s="123"/>
      <c r="BG941" s="123"/>
      <c r="BH941" s="123"/>
      <c r="BI941" s="123"/>
      <c r="BJ941" s="123"/>
      <c r="BK941" s="123"/>
      <c r="BL941" s="123"/>
      <c r="BM941" s="123"/>
      <c r="BN941" s="123"/>
      <c r="BO941" s="123"/>
      <c r="BP941" s="123"/>
      <c r="BQ941" s="123"/>
      <c r="BR941" s="123"/>
      <c r="BS941" s="123"/>
      <c r="BT941" s="123"/>
      <c r="BU941" s="123"/>
      <c r="BV941" s="123"/>
      <c r="BW941" s="123"/>
      <c r="BX941" s="123"/>
      <c r="BY941" s="123"/>
      <c r="BZ941" s="123"/>
      <c r="CA941" s="123"/>
      <c r="CB941" s="123"/>
      <c r="CC941" s="123"/>
      <c r="CD941" s="123"/>
      <c r="CE941" s="123"/>
      <c r="CF941" s="123"/>
      <c r="CG941" s="123"/>
      <c r="CH941" s="123"/>
      <c r="CI941" s="123"/>
    </row>
    <row r="942" spans="1:87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123"/>
      <c r="T942" s="124"/>
      <c r="U942" s="123"/>
      <c r="V942" s="123"/>
      <c r="W942" s="124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  <c r="AP942" s="123"/>
      <c r="AQ942" s="123"/>
      <c r="AR942" s="123"/>
      <c r="AS942" s="123"/>
      <c r="AT942" s="123"/>
      <c r="AU942" s="123"/>
      <c r="AV942" s="123"/>
      <c r="AW942" s="123"/>
      <c r="AX942" s="123"/>
      <c r="AY942" s="123"/>
      <c r="AZ942" s="123"/>
      <c r="BA942" s="123"/>
      <c r="BB942" s="123"/>
      <c r="BC942" s="123"/>
      <c r="BD942" s="123"/>
      <c r="BE942" s="123"/>
      <c r="BF942" s="123"/>
      <c r="BG942" s="123"/>
      <c r="BH942" s="123"/>
      <c r="BI942" s="123"/>
      <c r="BJ942" s="123"/>
      <c r="BK942" s="123"/>
      <c r="BL942" s="123"/>
      <c r="BM942" s="123"/>
      <c r="BN942" s="123"/>
      <c r="BO942" s="123"/>
      <c r="BP942" s="123"/>
      <c r="BQ942" s="123"/>
      <c r="BR942" s="123"/>
      <c r="BS942" s="123"/>
      <c r="BT942" s="123"/>
      <c r="BU942" s="123"/>
      <c r="BV942" s="123"/>
      <c r="BW942" s="123"/>
      <c r="BX942" s="123"/>
      <c r="BY942" s="123"/>
      <c r="BZ942" s="123"/>
      <c r="CA942" s="123"/>
      <c r="CB942" s="123"/>
      <c r="CC942" s="123"/>
      <c r="CD942" s="123"/>
      <c r="CE942" s="123"/>
      <c r="CF942" s="123"/>
      <c r="CG942" s="123"/>
      <c r="CH942" s="123"/>
      <c r="CI942" s="123"/>
    </row>
    <row r="943" spans="1:87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123"/>
      <c r="T943" s="124"/>
      <c r="U943" s="123"/>
      <c r="V943" s="123"/>
      <c r="W943" s="124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  <c r="AP943" s="123"/>
      <c r="AQ943" s="123"/>
      <c r="AR943" s="123"/>
      <c r="AS943" s="123"/>
      <c r="AT943" s="123"/>
      <c r="AU943" s="123"/>
      <c r="AV943" s="123"/>
      <c r="AW943" s="123"/>
      <c r="AX943" s="123"/>
      <c r="AY943" s="123"/>
      <c r="AZ943" s="123"/>
      <c r="BA943" s="123"/>
      <c r="BB943" s="123"/>
      <c r="BC943" s="123"/>
      <c r="BD943" s="123"/>
      <c r="BE943" s="123"/>
      <c r="BF943" s="123"/>
      <c r="BG943" s="123"/>
      <c r="BH943" s="123"/>
      <c r="BI943" s="123"/>
      <c r="BJ943" s="123"/>
      <c r="BK943" s="123"/>
      <c r="BL943" s="123"/>
      <c r="BM943" s="123"/>
      <c r="BN943" s="123"/>
      <c r="BO943" s="123"/>
      <c r="BP943" s="123"/>
      <c r="BQ943" s="123"/>
      <c r="BR943" s="123"/>
      <c r="BS943" s="123"/>
      <c r="BT943" s="123"/>
      <c r="BU943" s="123"/>
      <c r="BV943" s="123"/>
      <c r="BW943" s="123"/>
      <c r="BX943" s="123"/>
      <c r="BY943" s="123"/>
      <c r="BZ943" s="123"/>
      <c r="CA943" s="123"/>
      <c r="CB943" s="123"/>
      <c r="CC943" s="123"/>
      <c r="CD943" s="123"/>
      <c r="CE943" s="123"/>
      <c r="CF943" s="123"/>
      <c r="CG943" s="123"/>
      <c r="CH943" s="123"/>
      <c r="CI943" s="123"/>
    </row>
    <row r="944" spans="1:87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123"/>
      <c r="T944" s="124"/>
      <c r="U944" s="123"/>
      <c r="V944" s="123"/>
      <c r="W944" s="124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  <c r="AP944" s="123"/>
      <c r="AQ944" s="123"/>
      <c r="AR944" s="123"/>
      <c r="AS944" s="123"/>
      <c r="AT944" s="123"/>
      <c r="AU944" s="123"/>
      <c r="AV944" s="123"/>
      <c r="AW944" s="123"/>
      <c r="AX944" s="123"/>
      <c r="AY944" s="123"/>
      <c r="AZ944" s="123"/>
      <c r="BA944" s="123"/>
      <c r="BB944" s="123"/>
      <c r="BC944" s="123"/>
      <c r="BD944" s="123"/>
      <c r="BE944" s="123"/>
      <c r="BF944" s="123"/>
      <c r="BG944" s="123"/>
      <c r="BH944" s="123"/>
      <c r="BI944" s="123"/>
      <c r="BJ944" s="123"/>
      <c r="BK944" s="123"/>
      <c r="BL944" s="123"/>
      <c r="BM944" s="123"/>
      <c r="BN944" s="123"/>
      <c r="BO944" s="123"/>
      <c r="BP944" s="123"/>
      <c r="BQ944" s="123"/>
      <c r="BR944" s="123"/>
      <c r="BS944" s="123"/>
      <c r="BT944" s="123"/>
      <c r="BU944" s="123"/>
      <c r="BV944" s="123"/>
      <c r="BW944" s="123"/>
      <c r="BX944" s="123"/>
      <c r="BY944" s="123"/>
      <c r="BZ944" s="123"/>
      <c r="CA944" s="123"/>
      <c r="CB944" s="123"/>
      <c r="CC944" s="123"/>
      <c r="CD944" s="123"/>
      <c r="CE944" s="123"/>
      <c r="CF944" s="123"/>
      <c r="CG944" s="123"/>
      <c r="CH944" s="123"/>
      <c r="CI944" s="123"/>
    </row>
    <row r="945" spans="1:87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123"/>
      <c r="T945" s="124"/>
      <c r="U945" s="123"/>
      <c r="V945" s="123"/>
      <c r="W945" s="124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  <c r="AP945" s="123"/>
      <c r="AQ945" s="123"/>
      <c r="AR945" s="123"/>
      <c r="AS945" s="123"/>
      <c r="AT945" s="123"/>
      <c r="AU945" s="123"/>
      <c r="AV945" s="123"/>
      <c r="AW945" s="123"/>
      <c r="AX945" s="123"/>
      <c r="AY945" s="123"/>
      <c r="AZ945" s="123"/>
      <c r="BA945" s="123"/>
      <c r="BB945" s="123"/>
      <c r="BC945" s="123"/>
      <c r="BD945" s="123"/>
      <c r="BE945" s="123"/>
      <c r="BF945" s="123"/>
      <c r="BG945" s="123"/>
      <c r="BH945" s="123"/>
      <c r="BI945" s="123"/>
      <c r="BJ945" s="123"/>
      <c r="BK945" s="123"/>
      <c r="BL945" s="123"/>
      <c r="BM945" s="123"/>
      <c r="BN945" s="123"/>
      <c r="BO945" s="123"/>
      <c r="BP945" s="123"/>
      <c r="BQ945" s="123"/>
      <c r="BR945" s="123"/>
      <c r="BS945" s="123"/>
      <c r="BT945" s="123"/>
      <c r="BU945" s="123"/>
      <c r="BV945" s="123"/>
      <c r="BW945" s="123"/>
      <c r="BX945" s="123"/>
      <c r="BY945" s="123"/>
      <c r="BZ945" s="123"/>
      <c r="CA945" s="123"/>
      <c r="CB945" s="123"/>
      <c r="CC945" s="123"/>
      <c r="CD945" s="123"/>
      <c r="CE945" s="123"/>
      <c r="CF945" s="123"/>
      <c r="CG945" s="123"/>
      <c r="CH945" s="123"/>
      <c r="CI945" s="123"/>
    </row>
    <row r="946" spans="1:87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123"/>
      <c r="T946" s="124"/>
      <c r="U946" s="123"/>
      <c r="V946" s="123"/>
      <c r="W946" s="124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  <c r="AP946" s="123"/>
      <c r="AQ946" s="123"/>
      <c r="AR946" s="123"/>
      <c r="AS946" s="123"/>
      <c r="AT946" s="123"/>
      <c r="AU946" s="123"/>
      <c r="AV946" s="123"/>
      <c r="AW946" s="123"/>
      <c r="AX946" s="123"/>
      <c r="AY946" s="123"/>
      <c r="AZ946" s="123"/>
      <c r="BA946" s="123"/>
      <c r="BB946" s="123"/>
      <c r="BC946" s="123"/>
      <c r="BD946" s="123"/>
      <c r="BE946" s="123"/>
      <c r="BF946" s="123"/>
      <c r="BG946" s="123"/>
      <c r="BH946" s="123"/>
      <c r="BI946" s="123"/>
      <c r="BJ946" s="123"/>
      <c r="BK946" s="123"/>
      <c r="BL946" s="123"/>
      <c r="BM946" s="123"/>
      <c r="BN946" s="123"/>
      <c r="BO946" s="123"/>
      <c r="BP946" s="123"/>
      <c r="BQ946" s="123"/>
      <c r="BR946" s="123"/>
      <c r="BS946" s="123"/>
      <c r="BT946" s="123"/>
      <c r="BU946" s="123"/>
      <c r="BV946" s="123"/>
      <c r="BW946" s="123"/>
      <c r="BX946" s="123"/>
      <c r="BY946" s="123"/>
      <c r="BZ946" s="123"/>
      <c r="CA946" s="123"/>
      <c r="CB946" s="123"/>
      <c r="CC946" s="123"/>
      <c r="CD946" s="123"/>
      <c r="CE946" s="123"/>
      <c r="CF946" s="123"/>
      <c r="CG946" s="123"/>
      <c r="CH946" s="123"/>
      <c r="CI946" s="123"/>
    </row>
    <row r="947" spans="1:87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123"/>
      <c r="T947" s="124"/>
      <c r="U947" s="123"/>
      <c r="V947" s="123"/>
      <c r="W947" s="124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  <c r="AP947" s="123"/>
      <c r="AQ947" s="123"/>
      <c r="AR947" s="123"/>
      <c r="AS947" s="123"/>
      <c r="AT947" s="123"/>
      <c r="AU947" s="123"/>
      <c r="AV947" s="123"/>
      <c r="AW947" s="123"/>
      <c r="AX947" s="123"/>
      <c r="AY947" s="123"/>
      <c r="AZ947" s="123"/>
      <c r="BA947" s="123"/>
      <c r="BB947" s="123"/>
      <c r="BC947" s="123"/>
      <c r="BD947" s="123"/>
      <c r="BE947" s="123"/>
      <c r="BF947" s="123"/>
      <c r="BG947" s="123"/>
      <c r="BH947" s="123"/>
      <c r="BI947" s="123"/>
      <c r="BJ947" s="123"/>
      <c r="BK947" s="123"/>
      <c r="BL947" s="123"/>
      <c r="BM947" s="123"/>
      <c r="BN947" s="123"/>
      <c r="BO947" s="123"/>
      <c r="BP947" s="123"/>
      <c r="BQ947" s="123"/>
      <c r="BR947" s="123"/>
      <c r="BS947" s="123"/>
      <c r="BT947" s="123"/>
      <c r="BU947" s="123"/>
      <c r="BV947" s="123"/>
      <c r="BW947" s="123"/>
      <c r="BX947" s="123"/>
      <c r="BY947" s="123"/>
      <c r="BZ947" s="123"/>
      <c r="CA947" s="123"/>
      <c r="CB947" s="123"/>
      <c r="CC947" s="123"/>
      <c r="CD947" s="123"/>
      <c r="CE947" s="123"/>
      <c r="CF947" s="123"/>
      <c r="CG947" s="123"/>
      <c r="CH947" s="123"/>
      <c r="CI947" s="123"/>
    </row>
    <row r="948" spans="1:87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123"/>
      <c r="T948" s="124"/>
      <c r="U948" s="123"/>
      <c r="V948" s="123"/>
      <c r="W948" s="124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  <c r="AP948" s="123"/>
      <c r="AQ948" s="123"/>
      <c r="AR948" s="123"/>
      <c r="AS948" s="123"/>
      <c r="AT948" s="123"/>
      <c r="AU948" s="123"/>
      <c r="AV948" s="123"/>
      <c r="AW948" s="123"/>
      <c r="AX948" s="123"/>
      <c r="AY948" s="123"/>
      <c r="AZ948" s="123"/>
      <c r="BA948" s="123"/>
      <c r="BB948" s="123"/>
      <c r="BC948" s="123"/>
      <c r="BD948" s="123"/>
      <c r="BE948" s="123"/>
      <c r="BF948" s="123"/>
      <c r="BG948" s="123"/>
      <c r="BH948" s="123"/>
      <c r="BI948" s="123"/>
      <c r="BJ948" s="123"/>
      <c r="BK948" s="123"/>
      <c r="BL948" s="123"/>
      <c r="BM948" s="123"/>
      <c r="BN948" s="123"/>
      <c r="BO948" s="123"/>
      <c r="BP948" s="123"/>
      <c r="BQ948" s="123"/>
      <c r="BR948" s="123"/>
      <c r="BS948" s="123"/>
      <c r="BT948" s="123"/>
      <c r="BU948" s="123"/>
      <c r="BV948" s="123"/>
      <c r="BW948" s="123"/>
      <c r="BX948" s="123"/>
      <c r="BY948" s="123"/>
      <c r="BZ948" s="123"/>
      <c r="CA948" s="123"/>
      <c r="CB948" s="123"/>
      <c r="CC948" s="123"/>
      <c r="CD948" s="123"/>
      <c r="CE948" s="123"/>
      <c r="CF948" s="123"/>
      <c r="CG948" s="123"/>
      <c r="CH948" s="123"/>
      <c r="CI948" s="123"/>
    </row>
    <row r="949" spans="1:87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123"/>
      <c r="T949" s="124"/>
      <c r="U949" s="123"/>
      <c r="V949" s="123"/>
      <c r="W949" s="124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  <c r="AP949" s="123"/>
      <c r="AQ949" s="123"/>
      <c r="AR949" s="123"/>
      <c r="AS949" s="123"/>
      <c r="AT949" s="123"/>
      <c r="AU949" s="123"/>
      <c r="AV949" s="123"/>
      <c r="AW949" s="123"/>
      <c r="AX949" s="123"/>
      <c r="AY949" s="123"/>
      <c r="AZ949" s="123"/>
      <c r="BA949" s="123"/>
      <c r="BB949" s="123"/>
      <c r="BC949" s="123"/>
      <c r="BD949" s="123"/>
      <c r="BE949" s="123"/>
      <c r="BF949" s="123"/>
      <c r="BG949" s="123"/>
      <c r="BH949" s="123"/>
      <c r="BI949" s="123"/>
      <c r="BJ949" s="123"/>
      <c r="BK949" s="123"/>
      <c r="BL949" s="123"/>
      <c r="BM949" s="123"/>
      <c r="BN949" s="123"/>
      <c r="BO949" s="123"/>
      <c r="BP949" s="123"/>
      <c r="BQ949" s="123"/>
      <c r="BR949" s="123"/>
      <c r="BS949" s="123"/>
      <c r="BT949" s="123"/>
      <c r="BU949" s="123"/>
      <c r="BV949" s="123"/>
      <c r="BW949" s="123"/>
      <c r="BX949" s="123"/>
      <c r="BY949" s="123"/>
      <c r="BZ949" s="123"/>
      <c r="CA949" s="123"/>
      <c r="CB949" s="123"/>
      <c r="CC949" s="123"/>
      <c r="CD949" s="123"/>
      <c r="CE949" s="123"/>
      <c r="CF949" s="123"/>
      <c r="CG949" s="123"/>
      <c r="CH949" s="123"/>
      <c r="CI949" s="123"/>
    </row>
    <row r="950" spans="1:87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123"/>
      <c r="T950" s="124"/>
      <c r="U950" s="123"/>
      <c r="V950" s="123"/>
      <c r="W950" s="124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  <c r="AP950" s="123"/>
      <c r="AQ950" s="123"/>
      <c r="AR950" s="123"/>
      <c r="AS950" s="123"/>
      <c r="AT950" s="123"/>
      <c r="AU950" s="123"/>
      <c r="AV950" s="123"/>
      <c r="AW950" s="123"/>
      <c r="AX950" s="123"/>
      <c r="AY950" s="123"/>
      <c r="AZ950" s="123"/>
      <c r="BA950" s="123"/>
      <c r="BB950" s="123"/>
      <c r="BC950" s="123"/>
      <c r="BD950" s="123"/>
      <c r="BE950" s="123"/>
      <c r="BF950" s="123"/>
      <c r="BG950" s="123"/>
      <c r="BH950" s="123"/>
      <c r="BI950" s="123"/>
      <c r="BJ950" s="123"/>
      <c r="BK950" s="123"/>
      <c r="BL950" s="123"/>
      <c r="BM950" s="123"/>
      <c r="BN950" s="123"/>
      <c r="BO950" s="123"/>
      <c r="BP950" s="123"/>
      <c r="BQ950" s="123"/>
      <c r="BR950" s="123"/>
      <c r="BS950" s="123"/>
      <c r="BT950" s="123"/>
      <c r="BU950" s="123"/>
      <c r="BV950" s="123"/>
      <c r="BW950" s="123"/>
      <c r="BX950" s="123"/>
      <c r="BY950" s="123"/>
      <c r="BZ950" s="123"/>
      <c r="CA950" s="123"/>
      <c r="CB950" s="123"/>
      <c r="CC950" s="123"/>
      <c r="CD950" s="123"/>
      <c r="CE950" s="123"/>
      <c r="CF950" s="123"/>
      <c r="CG950" s="123"/>
      <c r="CH950" s="123"/>
      <c r="CI950" s="123"/>
    </row>
    <row r="951" spans="1:87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123"/>
      <c r="T951" s="124"/>
      <c r="U951" s="123"/>
      <c r="V951" s="123"/>
      <c r="W951" s="124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23"/>
      <c r="AQ951" s="123"/>
      <c r="AR951" s="123"/>
      <c r="AS951" s="123"/>
      <c r="AT951" s="123"/>
      <c r="AU951" s="123"/>
      <c r="AV951" s="123"/>
      <c r="AW951" s="123"/>
      <c r="AX951" s="123"/>
      <c r="AY951" s="123"/>
      <c r="AZ951" s="123"/>
      <c r="BA951" s="123"/>
      <c r="BB951" s="123"/>
      <c r="BC951" s="123"/>
      <c r="BD951" s="123"/>
      <c r="BE951" s="123"/>
      <c r="BF951" s="123"/>
      <c r="BG951" s="123"/>
      <c r="BH951" s="123"/>
      <c r="BI951" s="123"/>
      <c r="BJ951" s="123"/>
      <c r="BK951" s="123"/>
      <c r="BL951" s="123"/>
      <c r="BM951" s="123"/>
      <c r="BN951" s="123"/>
      <c r="BO951" s="123"/>
      <c r="BP951" s="123"/>
      <c r="BQ951" s="123"/>
      <c r="BR951" s="123"/>
      <c r="BS951" s="123"/>
      <c r="BT951" s="123"/>
      <c r="BU951" s="123"/>
      <c r="BV951" s="123"/>
      <c r="BW951" s="123"/>
      <c r="BX951" s="123"/>
      <c r="BY951" s="123"/>
      <c r="BZ951" s="123"/>
      <c r="CA951" s="123"/>
      <c r="CB951" s="123"/>
      <c r="CC951" s="123"/>
      <c r="CD951" s="123"/>
      <c r="CE951" s="123"/>
      <c r="CF951" s="123"/>
      <c r="CG951" s="123"/>
      <c r="CH951" s="123"/>
      <c r="CI951" s="123"/>
    </row>
    <row r="952" spans="1:87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123"/>
      <c r="T952" s="124"/>
      <c r="U952" s="123"/>
      <c r="V952" s="123"/>
      <c r="W952" s="124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  <c r="AP952" s="123"/>
      <c r="AQ952" s="123"/>
      <c r="AR952" s="123"/>
      <c r="AS952" s="123"/>
      <c r="AT952" s="123"/>
      <c r="AU952" s="123"/>
      <c r="AV952" s="123"/>
      <c r="AW952" s="123"/>
      <c r="AX952" s="123"/>
      <c r="AY952" s="123"/>
      <c r="AZ952" s="123"/>
      <c r="BA952" s="123"/>
      <c r="BB952" s="123"/>
      <c r="BC952" s="123"/>
      <c r="BD952" s="123"/>
      <c r="BE952" s="123"/>
      <c r="BF952" s="123"/>
      <c r="BG952" s="123"/>
      <c r="BH952" s="123"/>
      <c r="BI952" s="123"/>
      <c r="BJ952" s="123"/>
      <c r="BK952" s="123"/>
      <c r="BL952" s="123"/>
      <c r="BM952" s="123"/>
      <c r="BN952" s="123"/>
      <c r="BO952" s="123"/>
      <c r="BP952" s="123"/>
      <c r="BQ952" s="123"/>
      <c r="BR952" s="123"/>
      <c r="BS952" s="123"/>
      <c r="BT952" s="123"/>
      <c r="BU952" s="123"/>
      <c r="BV952" s="123"/>
      <c r="BW952" s="123"/>
      <c r="BX952" s="123"/>
      <c r="BY952" s="123"/>
      <c r="BZ952" s="123"/>
      <c r="CA952" s="123"/>
      <c r="CB952" s="123"/>
      <c r="CC952" s="123"/>
      <c r="CD952" s="123"/>
      <c r="CE952" s="123"/>
      <c r="CF952" s="123"/>
      <c r="CG952" s="123"/>
      <c r="CH952" s="123"/>
      <c r="CI952" s="123"/>
    </row>
    <row r="953" spans="1:87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123"/>
      <c r="T953" s="124"/>
      <c r="U953" s="123"/>
      <c r="V953" s="123"/>
      <c r="W953" s="124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  <c r="AP953" s="123"/>
      <c r="AQ953" s="123"/>
      <c r="AR953" s="123"/>
      <c r="AS953" s="123"/>
      <c r="AT953" s="123"/>
      <c r="AU953" s="123"/>
      <c r="AV953" s="123"/>
      <c r="AW953" s="123"/>
      <c r="AX953" s="123"/>
      <c r="AY953" s="123"/>
      <c r="AZ953" s="123"/>
      <c r="BA953" s="123"/>
      <c r="BB953" s="123"/>
      <c r="BC953" s="123"/>
      <c r="BD953" s="123"/>
      <c r="BE953" s="123"/>
      <c r="BF953" s="123"/>
      <c r="BG953" s="123"/>
      <c r="BH953" s="123"/>
      <c r="BI953" s="123"/>
      <c r="BJ953" s="123"/>
      <c r="BK953" s="123"/>
      <c r="BL953" s="123"/>
      <c r="BM953" s="123"/>
      <c r="BN953" s="123"/>
      <c r="BO953" s="123"/>
      <c r="BP953" s="123"/>
      <c r="BQ953" s="123"/>
      <c r="BR953" s="123"/>
      <c r="BS953" s="123"/>
      <c r="BT953" s="123"/>
      <c r="BU953" s="123"/>
      <c r="BV953" s="123"/>
      <c r="BW953" s="123"/>
      <c r="BX953" s="123"/>
      <c r="BY953" s="123"/>
      <c r="BZ953" s="123"/>
      <c r="CA953" s="123"/>
      <c r="CB953" s="123"/>
      <c r="CC953" s="123"/>
      <c r="CD953" s="123"/>
      <c r="CE953" s="123"/>
      <c r="CF953" s="123"/>
      <c r="CG953" s="123"/>
      <c r="CH953" s="123"/>
      <c r="CI953" s="123"/>
    </row>
    <row r="954" spans="1:87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123"/>
      <c r="T954" s="124"/>
      <c r="U954" s="123"/>
      <c r="V954" s="123"/>
      <c r="W954" s="124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  <c r="AP954" s="123"/>
      <c r="AQ954" s="123"/>
      <c r="AR954" s="123"/>
      <c r="AS954" s="123"/>
      <c r="AT954" s="123"/>
      <c r="AU954" s="123"/>
      <c r="AV954" s="123"/>
      <c r="AW954" s="123"/>
      <c r="AX954" s="123"/>
      <c r="AY954" s="123"/>
      <c r="AZ954" s="123"/>
      <c r="BA954" s="123"/>
      <c r="BB954" s="123"/>
      <c r="BC954" s="123"/>
      <c r="BD954" s="123"/>
      <c r="BE954" s="123"/>
      <c r="BF954" s="123"/>
      <c r="BG954" s="123"/>
      <c r="BH954" s="123"/>
      <c r="BI954" s="123"/>
      <c r="BJ954" s="123"/>
      <c r="BK954" s="123"/>
      <c r="BL954" s="123"/>
      <c r="BM954" s="123"/>
      <c r="BN954" s="123"/>
      <c r="BO954" s="123"/>
      <c r="BP954" s="123"/>
      <c r="BQ954" s="123"/>
      <c r="BR954" s="123"/>
      <c r="BS954" s="123"/>
      <c r="BT954" s="123"/>
      <c r="BU954" s="123"/>
      <c r="BV954" s="123"/>
      <c r="BW954" s="123"/>
      <c r="BX954" s="123"/>
      <c r="BY954" s="123"/>
      <c r="BZ954" s="123"/>
      <c r="CA954" s="123"/>
      <c r="CB954" s="123"/>
      <c r="CC954" s="123"/>
      <c r="CD954" s="123"/>
      <c r="CE954" s="123"/>
      <c r="CF954" s="123"/>
      <c r="CG954" s="123"/>
      <c r="CH954" s="123"/>
      <c r="CI954" s="123"/>
    </row>
    <row r="955" spans="1:87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123"/>
      <c r="T955" s="124"/>
      <c r="U955" s="123"/>
      <c r="V955" s="123"/>
      <c r="W955" s="124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  <c r="AP955" s="123"/>
      <c r="AQ955" s="123"/>
      <c r="AR955" s="123"/>
      <c r="AS955" s="123"/>
      <c r="AT955" s="123"/>
      <c r="AU955" s="123"/>
      <c r="AV955" s="123"/>
      <c r="AW955" s="123"/>
      <c r="AX955" s="123"/>
      <c r="AY955" s="123"/>
      <c r="AZ955" s="123"/>
      <c r="BA955" s="123"/>
      <c r="BB955" s="123"/>
      <c r="BC955" s="123"/>
      <c r="BD955" s="123"/>
      <c r="BE955" s="123"/>
      <c r="BF955" s="123"/>
      <c r="BG955" s="123"/>
      <c r="BH955" s="123"/>
      <c r="BI955" s="123"/>
      <c r="BJ955" s="123"/>
      <c r="BK955" s="123"/>
      <c r="BL955" s="123"/>
      <c r="BM955" s="123"/>
      <c r="BN955" s="123"/>
      <c r="BO955" s="123"/>
      <c r="BP955" s="123"/>
      <c r="BQ955" s="123"/>
      <c r="BR955" s="123"/>
      <c r="BS955" s="123"/>
      <c r="BT955" s="123"/>
      <c r="BU955" s="123"/>
      <c r="BV955" s="123"/>
      <c r="BW955" s="123"/>
      <c r="BX955" s="123"/>
      <c r="BY955" s="123"/>
      <c r="BZ955" s="123"/>
      <c r="CA955" s="123"/>
      <c r="CB955" s="123"/>
      <c r="CC955" s="123"/>
      <c r="CD955" s="123"/>
      <c r="CE955" s="123"/>
      <c r="CF955" s="123"/>
      <c r="CG955" s="123"/>
      <c r="CH955" s="123"/>
      <c r="CI955" s="123"/>
    </row>
    <row r="956" spans="1:87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123"/>
      <c r="T956" s="124"/>
      <c r="U956" s="123"/>
      <c r="V956" s="123"/>
      <c r="W956" s="124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  <c r="AP956" s="123"/>
      <c r="AQ956" s="123"/>
      <c r="AR956" s="123"/>
      <c r="AS956" s="123"/>
      <c r="AT956" s="123"/>
      <c r="AU956" s="123"/>
      <c r="AV956" s="123"/>
      <c r="AW956" s="123"/>
      <c r="AX956" s="123"/>
      <c r="AY956" s="123"/>
      <c r="AZ956" s="123"/>
      <c r="BA956" s="123"/>
      <c r="BB956" s="123"/>
      <c r="BC956" s="123"/>
      <c r="BD956" s="123"/>
      <c r="BE956" s="123"/>
      <c r="BF956" s="123"/>
      <c r="BG956" s="123"/>
      <c r="BH956" s="123"/>
      <c r="BI956" s="123"/>
      <c r="BJ956" s="123"/>
      <c r="BK956" s="123"/>
      <c r="BL956" s="123"/>
      <c r="BM956" s="123"/>
      <c r="BN956" s="123"/>
      <c r="BO956" s="123"/>
      <c r="BP956" s="123"/>
      <c r="BQ956" s="123"/>
      <c r="BR956" s="123"/>
      <c r="BS956" s="123"/>
      <c r="BT956" s="123"/>
      <c r="BU956" s="123"/>
      <c r="BV956" s="123"/>
      <c r="BW956" s="123"/>
      <c r="BX956" s="123"/>
      <c r="BY956" s="123"/>
      <c r="BZ956" s="123"/>
      <c r="CA956" s="123"/>
      <c r="CB956" s="123"/>
      <c r="CC956" s="123"/>
      <c r="CD956" s="123"/>
      <c r="CE956" s="123"/>
      <c r="CF956" s="123"/>
      <c r="CG956" s="123"/>
      <c r="CH956" s="123"/>
      <c r="CI956" s="123"/>
    </row>
    <row r="957" spans="1:87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123"/>
      <c r="T957" s="124"/>
      <c r="U957" s="123"/>
      <c r="V957" s="123"/>
      <c r="W957" s="124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  <c r="AP957" s="123"/>
      <c r="AQ957" s="123"/>
      <c r="AR957" s="123"/>
      <c r="AS957" s="123"/>
      <c r="AT957" s="123"/>
      <c r="AU957" s="123"/>
      <c r="AV957" s="123"/>
      <c r="AW957" s="123"/>
      <c r="AX957" s="123"/>
      <c r="AY957" s="123"/>
      <c r="AZ957" s="123"/>
      <c r="BA957" s="123"/>
      <c r="BB957" s="123"/>
      <c r="BC957" s="123"/>
      <c r="BD957" s="123"/>
      <c r="BE957" s="123"/>
      <c r="BF957" s="123"/>
      <c r="BG957" s="123"/>
      <c r="BH957" s="123"/>
      <c r="BI957" s="123"/>
      <c r="BJ957" s="123"/>
      <c r="BK957" s="123"/>
      <c r="BL957" s="123"/>
      <c r="BM957" s="123"/>
      <c r="BN957" s="123"/>
      <c r="BO957" s="123"/>
      <c r="BP957" s="123"/>
      <c r="BQ957" s="123"/>
      <c r="BR957" s="123"/>
      <c r="BS957" s="123"/>
      <c r="BT957" s="123"/>
      <c r="BU957" s="123"/>
      <c r="BV957" s="123"/>
      <c r="BW957" s="123"/>
      <c r="BX957" s="123"/>
      <c r="BY957" s="123"/>
      <c r="BZ957" s="123"/>
      <c r="CA957" s="123"/>
      <c r="CB957" s="123"/>
      <c r="CC957" s="123"/>
      <c r="CD957" s="123"/>
      <c r="CE957" s="123"/>
      <c r="CF957" s="123"/>
      <c r="CG957" s="123"/>
      <c r="CH957" s="123"/>
      <c r="CI957" s="123"/>
    </row>
    <row r="958" spans="1:87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123"/>
      <c r="T958" s="124"/>
      <c r="U958" s="123"/>
      <c r="V958" s="123"/>
      <c r="W958" s="124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  <c r="AP958" s="123"/>
      <c r="AQ958" s="123"/>
      <c r="AR958" s="123"/>
      <c r="AS958" s="123"/>
      <c r="AT958" s="123"/>
      <c r="AU958" s="123"/>
      <c r="AV958" s="123"/>
      <c r="AW958" s="123"/>
      <c r="AX958" s="123"/>
      <c r="AY958" s="123"/>
      <c r="AZ958" s="123"/>
      <c r="BA958" s="123"/>
      <c r="BB958" s="123"/>
      <c r="BC958" s="123"/>
      <c r="BD958" s="123"/>
      <c r="BE958" s="123"/>
      <c r="BF958" s="123"/>
      <c r="BG958" s="123"/>
      <c r="BH958" s="123"/>
      <c r="BI958" s="123"/>
      <c r="BJ958" s="123"/>
      <c r="BK958" s="123"/>
      <c r="BL958" s="123"/>
      <c r="BM958" s="123"/>
      <c r="BN958" s="123"/>
      <c r="BO958" s="123"/>
      <c r="BP958" s="123"/>
      <c r="BQ958" s="123"/>
      <c r="BR958" s="123"/>
      <c r="BS958" s="123"/>
      <c r="BT958" s="123"/>
      <c r="BU958" s="123"/>
      <c r="BV958" s="123"/>
      <c r="BW958" s="123"/>
      <c r="BX958" s="123"/>
      <c r="BY958" s="123"/>
      <c r="BZ958" s="123"/>
      <c r="CA958" s="123"/>
      <c r="CB958" s="123"/>
      <c r="CC958" s="123"/>
      <c r="CD958" s="123"/>
      <c r="CE958" s="123"/>
      <c r="CF958" s="123"/>
      <c r="CG958" s="123"/>
      <c r="CH958" s="123"/>
      <c r="CI958" s="123"/>
    </row>
    <row r="959" spans="1:87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123"/>
      <c r="T959" s="124"/>
      <c r="U959" s="123"/>
      <c r="V959" s="123"/>
      <c r="W959" s="124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  <c r="AP959" s="123"/>
      <c r="AQ959" s="123"/>
      <c r="AR959" s="123"/>
      <c r="AS959" s="123"/>
      <c r="AT959" s="123"/>
      <c r="AU959" s="123"/>
      <c r="AV959" s="123"/>
      <c r="AW959" s="123"/>
      <c r="AX959" s="123"/>
      <c r="AY959" s="123"/>
      <c r="AZ959" s="123"/>
      <c r="BA959" s="123"/>
      <c r="BB959" s="123"/>
      <c r="BC959" s="123"/>
      <c r="BD959" s="123"/>
      <c r="BE959" s="123"/>
      <c r="BF959" s="123"/>
      <c r="BG959" s="123"/>
      <c r="BH959" s="123"/>
      <c r="BI959" s="123"/>
      <c r="BJ959" s="123"/>
      <c r="BK959" s="123"/>
      <c r="BL959" s="123"/>
      <c r="BM959" s="123"/>
      <c r="BN959" s="123"/>
      <c r="BO959" s="123"/>
      <c r="BP959" s="123"/>
      <c r="BQ959" s="123"/>
      <c r="BR959" s="123"/>
      <c r="BS959" s="123"/>
      <c r="BT959" s="123"/>
      <c r="BU959" s="123"/>
      <c r="BV959" s="123"/>
      <c r="BW959" s="123"/>
      <c r="BX959" s="123"/>
      <c r="BY959" s="123"/>
      <c r="BZ959" s="123"/>
      <c r="CA959" s="123"/>
      <c r="CB959" s="123"/>
      <c r="CC959" s="123"/>
      <c r="CD959" s="123"/>
      <c r="CE959" s="123"/>
      <c r="CF959" s="123"/>
      <c r="CG959" s="123"/>
      <c r="CH959" s="123"/>
      <c r="CI959" s="123"/>
    </row>
    <row r="960" spans="1:87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123"/>
      <c r="T960" s="124"/>
      <c r="U960" s="123"/>
      <c r="V960" s="123"/>
      <c r="W960" s="124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  <c r="AP960" s="123"/>
      <c r="AQ960" s="123"/>
      <c r="AR960" s="123"/>
      <c r="AS960" s="123"/>
      <c r="AT960" s="123"/>
      <c r="AU960" s="123"/>
      <c r="AV960" s="123"/>
      <c r="AW960" s="123"/>
      <c r="AX960" s="123"/>
      <c r="AY960" s="123"/>
      <c r="AZ960" s="123"/>
      <c r="BA960" s="123"/>
      <c r="BB960" s="123"/>
      <c r="BC960" s="123"/>
      <c r="BD960" s="123"/>
      <c r="BE960" s="123"/>
      <c r="BF960" s="123"/>
      <c r="BG960" s="123"/>
      <c r="BH960" s="123"/>
      <c r="BI960" s="123"/>
      <c r="BJ960" s="123"/>
      <c r="BK960" s="123"/>
      <c r="BL960" s="123"/>
      <c r="BM960" s="123"/>
      <c r="BN960" s="123"/>
      <c r="BO960" s="123"/>
      <c r="BP960" s="123"/>
      <c r="BQ960" s="123"/>
      <c r="BR960" s="123"/>
      <c r="BS960" s="123"/>
      <c r="BT960" s="123"/>
      <c r="BU960" s="123"/>
      <c r="BV960" s="123"/>
      <c r="BW960" s="123"/>
      <c r="BX960" s="123"/>
      <c r="BY960" s="123"/>
      <c r="BZ960" s="123"/>
      <c r="CA960" s="123"/>
      <c r="CB960" s="123"/>
      <c r="CC960" s="123"/>
      <c r="CD960" s="123"/>
      <c r="CE960" s="123"/>
      <c r="CF960" s="123"/>
      <c r="CG960" s="123"/>
      <c r="CH960" s="123"/>
      <c r="CI960" s="123"/>
    </row>
    <row r="961" spans="1:87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123"/>
      <c r="T961" s="124"/>
      <c r="U961" s="123"/>
      <c r="V961" s="123"/>
      <c r="W961" s="124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  <c r="AP961" s="123"/>
      <c r="AQ961" s="123"/>
      <c r="AR961" s="123"/>
      <c r="AS961" s="123"/>
      <c r="AT961" s="123"/>
      <c r="AU961" s="123"/>
      <c r="AV961" s="123"/>
      <c r="AW961" s="123"/>
      <c r="AX961" s="123"/>
      <c r="AY961" s="123"/>
      <c r="AZ961" s="123"/>
      <c r="BA961" s="123"/>
      <c r="BB961" s="123"/>
      <c r="BC961" s="123"/>
      <c r="BD961" s="123"/>
      <c r="BE961" s="123"/>
      <c r="BF961" s="123"/>
      <c r="BG961" s="123"/>
      <c r="BH961" s="123"/>
      <c r="BI961" s="123"/>
      <c r="BJ961" s="123"/>
      <c r="BK961" s="123"/>
      <c r="BL961" s="123"/>
      <c r="BM961" s="123"/>
      <c r="BN961" s="123"/>
      <c r="BO961" s="123"/>
      <c r="BP961" s="123"/>
      <c r="BQ961" s="123"/>
      <c r="BR961" s="123"/>
      <c r="BS961" s="123"/>
      <c r="BT961" s="123"/>
      <c r="BU961" s="123"/>
      <c r="BV961" s="123"/>
      <c r="BW961" s="123"/>
      <c r="BX961" s="123"/>
      <c r="BY961" s="123"/>
      <c r="BZ961" s="123"/>
      <c r="CA961" s="123"/>
      <c r="CB961" s="123"/>
      <c r="CC961" s="123"/>
      <c r="CD961" s="123"/>
      <c r="CE961" s="123"/>
      <c r="CF961" s="123"/>
      <c r="CG961" s="123"/>
      <c r="CH961" s="123"/>
      <c r="CI961" s="123"/>
    </row>
    <row r="962" spans="1:87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123"/>
      <c r="T962" s="124"/>
      <c r="U962" s="123"/>
      <c r="V962" s="123"/>
      <c r="W962" s="124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  <c r="AP962" s="123"/>
      <c r="AQ962" s="123"/>
      <c r="AR962" s="123"/>
      <c r="AS962" s="123"/>
      <c r="AT962" s="123"/>
      <c r="AU962" s="123"/>
      <c r="AV962" s="123"/>
      <c r="AW962" s="123"/>
      <c r="AX962" s="123"/>
      <c r="AY962" s="123"/>
      <c r="AZ962" s="123"/>
      <c r="BA962" s="123"/>
      <c r="BB962" s="123"/>
      <c r="BC962" s="123"/>
      <c r="BD962" s="123"/>
      <c r="BE962" s="123"/>
      <c r="BF962" s="123"/>
      <c r="BG962" s="123"/>
      <c r="BH962" s="123"/>
      <c r="BI962" s="123"/>
      <c r="BJ962" s="123"/>
      <c r="BK962" s="123"/>
      <c r="BL962" s="123"/>
      <c r="BM962" s="123"/>
      <c r="BN962" s="123"/>
      <c r="BO962" s="123"/>
      <c r="BP962" s="123"/>
      <c r="BQ962" s="123"/>
      <c r="BR962" s="123"/>
      <c r="BS962" s="123"/>
      <c r="BT962" s="123"/>
      <c r="BU962" s="123"/>
      <c r="BV962" s="123"/>
      <c r="BW962" s="123"/>
      <c r="BX962" s="123"/>
      <c r="BY962" s="123"/>
      <c r="BZ962" s="123"/>
      <c r="CA962" s="123"/>
      <c r="CB962" s="123"/>
      <c r="CC962" s="123"/>
      <c r="CD962" s="123"/>
      <c r="CE962" s="123"/>
      <c r="CF962" s="123"/>
      <c r="CG962" s="123"/>
      <c r="CH962" s="123"/>
      <c r="CI962" s="123"/>
    </row>
    <row r="963" spans="1:87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123"/>
      <c r="T963" s="124"/>
      <c r="U963" s="123"/>
      <c r="V963" s="123"/>
      <c r="W963" s="124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  <c r="AP963" s="123"/>
      <c r="AQ963" s="123"/>
      <c r="AR963" s="123"/>
      <c r="AS963" s="123"/>
      <c r="AT963" s="123"/>
      <c r="AU963" s="123"/>
      <c r="AV963" s="123"/>
      <c r="AW963" s="123"/>
      <c r="AX963" s="123"/>
      <c r="AY963" s="123"/>
      <c r="AZ963" s="123"/>
      <c r="BA963" s="123"/>
      <c r="BB963" s="123"/>
      <c r="BC963" s="123"/>
      <c r="BD963" s="123"/>
      <c r="BE963" s="123"/>
      <c r="BF963" s="123"/>
      <c r="BG963" s="123"/>
      <c r="BH963" s="123"/>
      <c r="BI963" s="123"/>
      <c r="BJ963" s="123"/>
      <c r="BK963" s="123"/>
      <c r="BL963" s="123"/>
      <c r="BM963" s="123"/>
      <c r="BN963" s="123"/>
      <c r="BO963" s="123"/>
      <c r="BP963" s="123"/>
      <c r="BQ963" s="123"/>
      <c r="BR963" s="123"/>
      <c r="BS963" s="123"/>
      <c r="BT963" s="123"/>
      <c r="BU963" s="123"/>
      <c r="BV963" s="123"/>
      <c r="BW963" s="123"/>
      <c r="BX963" s="123"/>
      <c r="BY963" s="123"/>
      <c r="BZ963" s="123"/>
      <c r="CA963" s="123"/>
      <c r="CB963" s="123"/>
      <c r="CC963" s="123"/>
      <c r="CD963" s="123"/>
      <c r="CE963" s="123"/>
      <c r="CF963" s="123"/>
      <c r="CG963" s="123"/>
      <c r="CH963" s="123"/>
      <c r="CI963" s="123"/>
    </row>
    <row r="964" spans="1:87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123"/>
      <c r="T964" s="124"/>
      <c r="U964" s="123"/>
      <c r="V964" s="123"/>
      <c r="W964" s="124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  <c r="AP964" s="123"/>
      <c r="AQ964" s="123"/>
      <c r="AR964" s="123"/>
      <c r="AS964" s="123"/>
      <c r="AT964" s="123"/>
      <c r="AU964" s="123"/>
      <c r="AV964" s="123"/>
      <c r="AW964" s="123"/>
      <c r="AX964" s="123"/>
      <c r="AY964" s="123"/>
      <c r="AZ964" s="123"/>
      <c r="BA964" s="123"/>
      <c r="BB964" s="123"/>
      <c r="BC964" s="123"/>
      <c r="BD964" s="123"/>
      <c r="BE964" s="123"/>
      <c r="BF964" s="123"/>
      <c r="BG964" s="123"/>
      <c r="BH964" s="123"/>
      <c r="BI964" s="123"/>
      <c r="BJ964" s="123"/>
      <c r="BK964" s="123"/>
      <c r="BL964" s="123"/>
      <c r="BM964" s="123"/>
      <c r="BN964" s="123"/>
      <c r="BO964" s="123"/>
      <c r="BP964" s="123"/>
      <c r="BQ964" s="123"/>
      <c r="BR964" s="123"/>
      <c r="BS964" s="123"/>
      <c r="BT964" s="123"/>
      <c r="BU964" s="123"/>
      <c r="BV964" s="123"/>
      <c r="BW964" s="123"/>
      <c r="BX964" s="123"/>
      <c r="BY964" s="123"/>
      <c r="BZ964" s="123"/>
      <c r="CA964" s="123"/>
      <c r="CB964" s="123"/>
      <c r="CC964" s="123"/>
      <c r="CD964" s="123"/>
      <c r="CE964" s="123"/>
      <c r="CF964" s="123"/>
      <c r="CG964" s="123"/>
      <c r="CH964" s="123"/>
      <c r="CI964" s="123"/>
    </row>
    <row r="965" spans="1:87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123"/>
      <c r="T965" s="124"/>
      <c r="U965" s="123"/>
      <c r="V965" s="123"/>
      <c r="W965" s="124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  <c r="AP965" s="123"/>
      <c r="AQ965" s="123"/>
      <c r="AR965" s="123"/>
      <c r="AS965" s="123"/>
      <c r="AT965" s="123"/>
      <c r="AU965" s="123"/>
      <c r="AV965" s="123"/>
      <c r="AW965" s="123"/>
      <c r="AX965" s="123"/>
      <c r="AY965" s="123"/>
      <c r="AZ965" s="123"/>
      <c r="BA965" s="123"/>
      <c r="BB965" s="123"/>
      <c r="BC965" s="123"/>
      <c r="BD965" s="123"/>
      <c r="BE965" s="123"/>
      <c r="BF965" s="123"/>
      <c r="BG965" s="123"/>
      <c r="BH965" s="123"/>
      <c r="BI965" s="123"/>
      <c r="BJ965" s="123"/>
      <c r="BK965" s="123"/>
      <c r="BL965" s="123"/>
      <c r="BM965" s="123"/>
      <c r="BN965" s="123"/>
      <c r="BO965" s="123"/>
      <c r="BP965" s="123"/>
      <c r="BQ965" s="123"/>
      <c r="BR965" s="123"/>
      <c r="BS965" s="123"/>
      <c r="BT965" s="123"/>
      <c r="BU965" s="123"/>
      <c r="BV965" s="123"/>
      <c r="BW965" s="123"/>
      <c r="BX965" s="123"/>
      <c r="BY965" s="123"/>
      <c r="BZ965" s="123"/>
      <c r="CA965" s="123"/>
      <c r="CB965" s="123"/>
      <c r="CC965" s="123"/>
      <c r="CD965" s="123"/>
      <c r="CE965" s="123"/>
      <c r="CF965" s="123"/>
      <c r="CG965" s="123"/>
      <c r="CH965" s="123"/>
      <c r="CI965" s="123"/>
    </row>
    <row r="966" spans="1:87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123"/>
      <c r="T966" s="124"/>
      <c r="U966" s="123"/>
      <c r="V966" s="123"/>
      <c r="W966" s="124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  <c r="AP966" s="123"/>
      <c r="AQ966" s="123"/>
      <c r="AR966" s="123"/>
      <c r="AS966" s="123"/>
      <c r="AT966" s="123"/>
      <c r="AU966" s="123"/>
      <c r="AV966" s="123"/>
      <c r="AW966" s="123"/>
      <c r="AX966" s="123"/>
      <c r="AY966" s="123"/>
      <c r="AZ966" s="123"/>
      <c r="BA966" s="123"/>
      <c r="BB966" s="123"/>
      <c r="BC966" s="123"/>
      <c r="BD966" s="123"/>
      <c r="BE966" s="123"/>
      <c r="BF966" s="123"/>
      <c r="BG966" s="123"/>
      <c r="BH966" s="123"/>
      <c r="BI966" s="123"/>
      <c r="BJ966" s="123"/>
      <c r="BK966" s="123"/>
      <c r="BL966" s="123"/>
      <c r="BM966" s="123"/>
      <c r="BN966" s="123"/>
      <c r="BO966" s="123"/>
      <c r="BP966" s="123"/>
      <c r="BQ966" s="123"/>
      <c r="BR966" s="123"/>
      <c r="BS966" s="123"/>
      <c r="BT966" s="123"/>
      <c r="BU966" s="123"/>
      <c r="BV966" s="123"/>
      <c r="BW966" s="123"/>
      <c r="BX966" s="123"/>
      <c r="BY966" s="123"/>
      <c r="BZ966" s="123"/>
      <c r="CA966" s="123"/>
      <c r="CB966" s="123"/>
      <c r="CC966" s="123"/>
      <c r="CD966" s="123"/>
      <c r="CE966" s="123"/>
      <c r="CF966" s="123"/>
      <c r="CG966" s="123"/>
      <c r="CH966" s="123"/>
      <c r="CI966" s="123"/>
    </row>
    <row r="967" spans="1:87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123"/>
      <c r="T967" s="124"/>
      <c r="U967" s="123"/>
      <c r="V967" s="123"/>
      <c r="W967" s="124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23"/>
      <c r="AQ967" s="123"/>
      <c r="AR967" s="123"/>
      <c r="AS967" s="123"/>
      <c r="AT967" s="123"/>
      <c r="AU967" s="123"/>
      <c r="AV967" s="123"/>
      <c r="AW967" s="123"/>
      <c r="AX967" s="123"/>
      <c r="AY967" s="123"/>
      <c r="AZ967" s="123"/>
      <c r="BA967" s="123"/>
      <c r="BB967" s="123"/>
      <c r="BC967" s="123"/>
      <c r="BD967" s="123"/>
      <c r="BE967" s="123"/>
      <c r="BF967" s="123"/>
      <c r="BG967" s="123"/>
      <c r="BH967" s="123"/>
      <c r="BI967" s="123"/>
      <c r="BJ967" s="123"/>
      <c r="BK967" s="123"/>
      <c r="BL967" s="123"/>
      <c r="BM967" s="123"/>
      <c r="BN967" s="123"/>
      <c r="BO967" s="123"/>
      <c r="BP967" s="123"/>
      <c r="BQ967" s="123"/>
      <c r="BR967" s="123"/>
      <c r="BS967" s="123"/>
      <c r="BT967" s="123"/>
      <c r="BU967" s="123"/>
      <c r="BV967" s="123"/>
      <c r="BW967" s="123"/>
      <c r="BX967" s="123"/>
      <c r="BY967" s="123"/>
      <c r="BZ967" s="123"/>
      <c r="CA967" s="123"/>
      <c r="CB967" s="123"/>
      <c r="CC967" s="123"/>
      <c r="CD967" s="123"/>
      <c r="CE967" s="123"/>
      <c r="CF967" s="123"/>
      <c r="CG967" s="123"/>
      <c r="CH967" s="123"/>
      <c r="CI967" s="123"/>
    </row>
    <row r="968" spans="1:87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123"/>
      <c r="T968" s="124"/>
      <c r="U968" s="123"/>
      <c r="V968" s="123"/>
      <c r="W968" s="124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  <c r="AP968" s="123"/>
      <c r="AQ968" s="123"/>
      <c r="AR968" s="123"/>
      <c r="AS968" s="123"/>
      <c r="AT968" s="123"/>
      <c r="AU968" s="123"/>
      <c r="AV968" s="123"/>
      <c r="AW968" s="123"/>
      <c r="AX968" s="123"/>
      <c r="AY968" s="123"/>
      <c r="AZ968" s="123"/>
      <c r="BA968" s="123"/>
      <c r="BB968" s="123"/>
      <c r="BC968" s="123"/>
      <c r="BD968" s="123"/>
      <c r="BE968" s="123"/>
      <c r="BF968" s="123"/>
      <c r="BG968" s="123"/>
      <c r="BH968" s="123"/>
      <c r="BI968" s="123"/>
      <c r="BJ968" s="123"/>
      <c r="BK968" s="123"/>
      <c r="BL968" s="123"/>
      <c r="BM968" s="123"/>
      <c r="BN968" s="123"/>
      <c r="BO968" s="123"/>
      <c r="BP968" s="123"/>
      <c r="BQ968" s="123"/>
      <c r="BR968" s="123"/>
      <c r="BS968" s="123"/>
      <c r="BT968" s="123"/>
      <c r="BU968" s="123"/>
      <c r="BV968" s="123"/>
      <c r="BW968" s="123"/>
      <c r="BX968" s="123"/>
      <c r="BY968" s="123"/>
      <c r="BZ968" s="123"/>
      <c r="CA968" s="123"/>
      <c r="CB968" s="123"/>
      <c r="CC968" s="123"/>
      <c r="CD968" s="123"/>
      <c r="CE968" s="123"/>
      <c r="CF968" s="123"/>
      <c r="CG968" s="123"/>
      <c r="CH968" s="123"/>
      <c r="CI968" s="123"/>
    </row>
    <row r="969" spans="1:87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123"/>
      <c r="T969" s="124"/>
      <c r="U969" s="123"/>
      <c r="V969" s="123"/>
      <c r="W969" s="124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  <c r="AP969" s="123"/>
      <c r="AQ969" s="123"/>
      <c r="AR969" s="123"/>
      <c r="AS969" s="123"/>
      <c r="AT969" s="123"/>
      <c r="AU969" s="123"/>
      <c r="AV969" s="123"/>
      <c r="AW969" s="123"/>
      <c r="AX969" s="123"/>
      <c r="AY969" s="123"/>
      <c r="AZ969" s="123"/>
      <c r="BA969" s="123"/>
      <c r="BB969" s="123"/>
      <c r="BC969" s="123"/>
      <c r="BD969" s="123"/>
      <c r="BE969" s="123"/>
      <c r="BF969" s="123"/>
      <c r="BG969" s="123"/>
      <c r="BH969" s="123"/>
      <c r="BI969" s="123"/>
      <c r="BJ969" s="123"/>
      <c r="BK969" s="123"/>
      <c r="BL969" s="123"/>
      <c r="BM969" s="123"/>
      <c r="BN969" s="123"/>
      <c r="BO969" s="123"/>
      <c r="BP969" s="123"/>
      <c r="BQ969" s="123"/>
      <c r="BR969" s="123"/>
      <c r="BS969" s="123"/>
      <c r="BT969" s="123"/>
      <c r="BU969" s="123"/>
      <c r="BV969" s="123"/>
      <c r="BW969" s="123"/>
      <c r="BX969" s="123"/>
      <c r="BY969" s="123"/>
      <c r="BZ969" s="123"/>
      <c r="CA969" s="123"/>
      <c r="CB969" s="123"/>
      <c r="CC969" s="123"/>
      <c r="CD969" s="123"/>
      <c r="CE969" s="123"/>
      <c r="CF969" s="123"/>
      <c r="CG969" s="123"/>
      <c r="CH969" s="123"/>
      <c r="CI969" s="123"/>
    </row>
    <row r="970" spans="1:87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123"/>
      <c r="T970" s="124"/>
      <c r="U970" s="123"/>
      <c r="V970" s="123"/>
      <c r="W970" s="124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  <c r="AP970" s="123"/>
      <c r="AQ970" s="123"/>
      <c r="AR970" s="123"/>
      <c r="AS970" s="123"/>
      <c r="AT970" s="123"/>
      <c r="AU970" s="123"/>
      <c r="AV970" s="123"/>
      <c r="AW970" s="123"/>
      <c r="AX970" s="123"/>
      <c r="AY970" s="123"/>
      <c r="AZ970" s="123"/>
      <c r="BA970" s="123"/>
      <c r="BB970" s="123"/>
      <c r="BC970" s="123"/>
      <c r="BD970" s="123"/>
      <c r="BE970" s="123"/>
      <c r="BF970" s="123"/>
      <c r="BG970" s="123"/>
      <c r="BH970" s="123"/>
      <c r="BI970" s="123"/>
      <c r="BJ970" s="123"/>
      <c r="BK970" s="123"/>
      <c r="BL970" s="123"/>
      <c r="BM970" s="123"/>
      <c r="BN970" s="123"/>
      <c r="BO970" s="123"/>
      <c r="BP970" s="123"/>
      <c r="BQ970" s="123"/>
      <c r="BR970" s="123"/>
      <c r="BS970" s="123"/>
      <c r="BT970" s="123"/>
      <c r="BU970" s="123"/>
      <c r="BV970" s="123"/>
      <c r="BW970" s="123"/>
      <c r="BX970" s="123"/>
      <c r="BY970" s="123"/>
      <c r="BZ970" s="123"/>
      <c r="CA970" s="123"/>
      <c r="CB970" s="123"/>
      <c r="CC970" s="123"/>
      <c r="CD970" s="123"/>
      <c r="CE970" s="123"/>
      <c r="CF970" s="123"/>
      <c r="CG970" s="123"/>
      <c r="CH970" s="123"/>
      <c r="CI970" s="123"/>
    </row>
    <row r="971" spans="1:87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123"/>
      <c r="T971" s="124"/>
      <c r="U971" s="123"/>
      <c r="V971" s="123"/>
      <c r="W971" s="124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  <c r="AP971" s="123"/>
      <c r="AQ971" s="123"/>
      <c r="AR971" s="123"/>
      <c r="AS971" s="123"/>
      <c r="AT971" s="123"/>
      <c r="AU971" s="123"/>
      <c r="AV971" s="123"/>
      <c r="AW971" s="123"/>
      <c r="AX971" s="123"/>
      <c r="AY971" s="123"/>
      <c r="AZ971" s="123"/>
      <c r="BA971" s="123"/>
      <c r="BB971" s="123"/>
      <c r="BC971" s="123"/>
      <c r="BD971" s="123"/>
      <c r="BE971" s="123"/>
      <c r="BF971" s="123"/>
      <c r="BG971" s="123"/>
      <c r="BH971" s="123"/>
      <c r="BI971" s="123"/>
      <c r="BJ971" s="123"/>
      <c r="BK971" s="123"/>
      <c r="BL971" s="123"/>
      <c r="BM971" s="123"/>
      <c r="BN971" s="123"/>
      <c r="BO971" s="123"/>
      <c r="BP971" s="123"/>
      <c r="BQ971" s="123"/>
      <c r="BR971" s="123"/>
      <c r="BS971" s="123"/>
      <c r="BT971" s="123"/>
      <c r="BU971" s="123"/>
      <c r="BV971" s="123"/>
      <c r="BW971" s="123"/>
      <c r="BX971" s="123"/>
      <c r="BY971" s="123"/>
      <c r="BZ971" s="123"/>
      <c r="CA971" s="123"/>
      <c r="CB971" s="123"/>
      <c r="CC971" s="123"/>
      <c r="CD971" s="123"/>
      <c r="CE971" s="123"/>
      <c r="CF971" s="123"/>
      <c r="CG971" s="123"/>
      <c r="CH971" s="123"/>
      <c r="CI971" s="123"/>
    </row>
    <row r="972" spans="1:87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123"/>
      <c r="T972" s="124"/>
      <c r="U972" s="123"/>
      <c r="V972" s="123"/>
      <c r="W972" s="124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  <c r="AP972" s="123"/>
      <c r="AQ972" s="123"/>
      <c r="AR972" s="123"/>
      <c r="AS972" s="123"/>
      <c r="AT972" s="123"/>
      <c r="AU972" s="123"/>
      <c r="AV972" s="123"/>
      <c r="AW972" s="123"/>
      <c r="AX972" s="123"/>
      <c r="AY972" s="123"/>
      <c r="AZ972" s="123"/>
      <c r="BA972" s="123"/>
      <c r="BB972" s="123"/>
      <c r="BC972" s="123"/>
      <c r="BD972" s="123"/>
      <c r="BE972" s="123"/>
      <c r="BF972" s="123"/>
      <c r="BG972" s="123"/>
      <c r="BH972" s="123"/>
      <c r="BI972" s="123"/>
      <c r="BJ972" s="123"/>
      <c r="BK972" s="123"/>
      <c r="BL972" s="123"/>
      <c r="BM972" s="123"/>
      <c r="BN972" s="123"/>
      <c r="BO972" s="123"/>
      <c r="BP972" s="123"/>
      <c r="BQ972" s="123"/>
      <c r="BR972" s="123"/>
      <c r="BS972" s="123"/>
      <c r="BT972" s="123"/>
      <c r="BU972" s="123"/>
      <c r="BV972" s="123"/>
      <c r="BW972" s="123"/>
      <c r="BX972" s="123"/>
      <c r="BY972" s="123"/>
      <c r="BZ972" s="123"/>
      <c r="CA972" s="123"/>
      <c r="CB972" s="123"/>
      <c r="CC972" s="123"/>
      <c r="CD972" s="123"/>
      <c r="CE972" s="123"/>
      <c r="CF972" s="123"/>
      <c r="CG972" s="123"/>
      <c r="CH972" s="123"/>
      <c r="CI972" s="123"/>
    </row>
    <row r="973" spans="1:87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123"/>
      <c r="T973" s="124"/>
      <c r="U973" s="123"/>
      <c r="V973" s="123"/>
      <c r="W973" s="124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23"/>
      <c r="AQ973" s="123"/>
      <c r="AR973" s="123"/>
      <c r="AS973" s="123"/>
      <c r="AT973" s="123"/>
      <c r="AU973" s="123"/>
      <c r="AV973" s="123"/>
      <c r="AW973" s="123"/>
      <c r="AX973" s="123"/>
      <c r="AY973" s="123"/>
      <c r="AZ973" s="123"/>
      <c r="BA973" s="123"/>
      <c r="BB973" s="123"/>
      <c r="BC973" s="123"/>
      <c r="BD973" s="123"/>
      <c r="BE973" s="123"/>
      <c r="BF973" s="123"/>
      <c r="BG973" s="123"/>
      <c r="BH973" s="123"/>
      <c r="BI973" s="123"/>
      <c r="BJ973" s="123"/>
      <c r="BK973" s="123"/>
      <c r="BL973" s="123"/>
      <c r="BM973" s="123"/>
      <c r="BN973" s="123"/>
      <c r="BO973" s="123"/>
      <c r="BP973" s="123"/>
      <c r="BQ973" s="123"/>
      <c r="BR973" s="123"/>
      <c r="BS973" s="123"/>
      <c r="BT973" s="123"/>
      <c r="BU973" s="123"/>
      <c r="BV973" s="123"/>
      <c r="BW973" s="123"/>
      <c r="BX973" s="123"/>
      <c r="BY973" s="123"/>
      <c r="BZ973" s="123"/>
      <c r="CA973" s="123"/>
      <c r="CB973" s="123"/>
      <c r="CC973" s="123"/>
      <c r="CD973" s="123"/>
      <c r="CE973" s="123"/>
      <c r="CF973" s="123"/>
      <c r="CG973" s="123"/>
      <c r="CH973" s="123"/>
      <c r="CI973" s="123"/>
    </row>
    <row r="974" spans="1:87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123"/>
      <c r="T974" s="124"/>
      <c r="U974" s="123"/>
      <c r="V974" s="123"/>
      <c r="W974" s="124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23"/>
      <c r="AQ974" s="123"/>
      <c r="AR974" s="123"/>
      <c r="AS974" s="123"/>
      <c r="AT974" s="123"/>
      <c r="AU974" s="123"/>
      <c r="AV974" s="123"/>
      <c r="AW974" s="123"/>
      <c r="AX974" s="123"/>
      <c r="AY974" s="123"/>
      <c r="AZ974" s="123"/>
      <c r="BA974" s="123"/>
      <c r="BB974" s="123"/>
      <c r="BC974" s="123"/>
      <c r="BD974" s="123"/>
      <c r="BE974" s="123"/>
      <c r="BF974" s="123"/>
      <c r="BG974" s="123"/>
      <c r="BH974" s="123"/>
      <c r="BI974" s="123"/>
      <c r="BJ974" s="123"/>
      <c r="BK974" s="123"/>
      <c r="BL974" s="123"/>
      <c r="BM974" s="123"/>
      <c r="BN974" s="123"/>
      <c r="BO974" s="123"/>
      <c r="BP974" s="123"/>
      <c r="BQ974" s="123"/>
      <c r="BR974" s="123"/>
      <c r="BS974" s="123"/>
      <c r="BT974" s="123"/>
      <c r="BU974" s="123"/>
      <c r="BV974" s="123"/>
      <c r="BW974" s="123"/>
      <c r="BX974" s="123"/>
      <c r="BY974" s="123"/>
      <c r="BZ974" s="123"/>
      <c r="CA974" s="123"/>
      <c r="CB974" s="123"/>
      <c r="CC974" s="123"/>
      <c r="CD974" s="123"/>
      <c r="CE974" s="123"/>
      <c r="CF974" s="123"/>
      <c r="CG974" s="123"/>
      <c r="CH974" s="123"/>
      <c r="CI974" s="123"/>
    </row>
    <row r="975" spans="1:87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123"/>
      <c r="T975" s="124"/>
      <c r="U975" s="123"/>
      <c r="V975" s="123"/>
      <c r="W975" s="124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  <c r="AP975" s="123"/>
      <c r="AQ975" s="123"/>
      <c r="AR975" s="123"/>
      <c r="AS975" s="123"/>
      <c r="AT975" s="123"/>
      <c r="AU975" s="123"/>
      <c r="AV975" s="123"/>
      <c r="AW975" s="123"/>
      <c r="AX975" s="123"/>
      <c r="AY975" s="123"/>
      <c r="AZ975" s="123"/>
      <c r="BA975" s="123"/>
      <c r="BB975" s="123"/>
      <c r="BC975" s="123"/>
      <c r="BD975" s="123"/>
      <c r="BE975" s="123"/>
      <c r="BF975" s="123"/>
      <c r="BG975" s="123"/>
      <c r="BH975" s="123"/>
      <c r="BI975" s="123"/>
      <c r="BJ975" s="123"/>
      <c r="BK975" s="123"/>
      <c r="BL975" s="123"/>
      <c r="BM975" s="123"/>
      <c r="BN975" s="123"/>
      <c r="BO975" s="123"/>
      <c r="BP975" s="123"/>
      <c r="BQ975" s="123"/>
      <c r="BR975" s="123"/>
      <c r="BS975" s="123"/>
      <c r="BT975" s="123"/>
      <c r="BU975" s="123"/>
      <c r="BV975" s="123"/>
      <c r="BW975" s="123"/>
      <c r="BX975" s="123"/>
      <c r="BY975" s="123"/>
      <c r="BZ975" s="123"/>
      <c r="CA975" s="123"/>
      <c r="CB975" s="123"/>
      <c r="CC975" s="123"/>
      <c r="CD975" s="123"/>
      <c r="CE975" s="123"/>
      <c r="CF975" s="123"/>
      <c r="CG975" s="123"/>
      <c r="CH975" s="123"/>
      <c r="CI975" s="123"/>
    </row>
    <row r="976" spans="1:87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123"/>
      <c r="T976" s="124"/>
      <c r="U976" s="123"/>
      <c r="V976" s="123"/>
      <c r="W976" s="124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23"/>
      <c r="AQ976" s="123"/>
      <c r="AR976" s="123"/>
      <c r="AS976" s="123"/>
      <c r="AT976" s="123"/>
      <c r="AU976" s="123"/>
      <c r="AV976" s="123"/>
      <c r="AW976" s="123"/>
      <c r="AX976" s="123"/>
      <c r="AY976" s="123"/>
      <c r="AZ976" s="123"/>
      <c r="BA976" s="123"/>
      <c r="BB976" s="123"/>
      <c r="BC976" s="123"/>
      <c r="BD976" s="123"/>
      <c r="BE976" s="123"/>
      <c r="BF976" s="123"/>
      <c r="BG976" s="123"/>
      <c r="BH976" s="123"/>
      <c r="BI976" s="123"/>
      <c r="BJ976" s="123"/>
      <c r="BK976" s="123"/>
      <c r="BL976" s="123"/>
      <c r="BM976" s="123"/>
      <c r="BN976" s="123"/>
      <c r="BO976" s="123"/>
      <c r="BP976" s="123"/>
      <c r="BQ976" s="123"/>
      <c r="BR976" s="123"/>
      <c r="BS976" s="123"/>
      <c r="BT976" s="123"/>
      <c r="BU976" s="123"/>
      <c r="BV976" s="123"/>
      <c r="BW976" s="123"/>
      <c r="BX976" s="123"/>
      <c r="BY976" s="123"/>
      <c r="BZ976" s="123"/>
      <c r="CA976" s="123"/>
      <c r="CB976" s="123"/>
      <c r="CC976" s="123"/>
      <c r="CD976" s="123"/>
      <c r="CE976" s="123"/>
      <c r="CF976" s="123"/>
      <c r="CG976" s="123"/>
      <c r="CH976" s="123"/>
      <c r="CI976" s="123"/>
    </row>
    <row r="977" spans="1:87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123"/>
      <c r="T977" s="124"/>
      <c r="U977" s="123"/>
      <c r="V977" s="123"/>
      <c r="W977" s="124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  <c r="AR977" s="123"/>
      <c r="AS977" s="123"/>
      <c r="AT977" s="123"/>
      <c r="AU977" s="123"/>
      <c r="AV977" s="123"/>
      <c r="AW977" s="123"/>
      <c r="AX977" s="123"/>
      <c r="AY977" s="123"/>
      <c r="AZ977" s="123"/>
      <c r="BA977" s="123"/>
      <c r="BB977" s="123"/>
      <c r="BC977" s="123"/>
      <c r="BD977" s="123"/>
      <c r="BE977" s="123"/>
      <c r="BF977" s="123"/>
      <c r="BG977" s="123"/>
      <c r="BH977" s="123"/>
      <c r="BI977" s="123"/>
      <c r="BJ977" s="123"/>
      <c r="BK977" s="123"/>
      <c r="BL977" s="123"/>
      <c r="BM977" s="123"/>
      <c r="BN977" s="123"/>
      <c r="BO977" s="123"/>
      <c r="BP977" s="123"/>
      <c r="BQ977" s="123"/>
      <c r="BR977" s="123"/>
      <c r="BS977" s="123"/>
      <c r="BT977" s="123"/>
      <c r="BU977" s="123"/>
      <c r="BV977" s="123"/>
      <c r="BW977" s="123"/>
      <c r="BX977" s="123"/>
      <c r="BY977" s="123"/>
      <c r="BZ977" s="123"/>
      <c r="CA977" s="123"/>
      <c r="CB977" s="123"/>
      <c r="CC977" s="123"/>
      <c r="CD977" s="123"/>
      <c r="CE977" s="123"/>
      <c r="CF977" s="123"/>
      <c r="CG977" s="123"/>
      <c r="CH977" s="123"/>
      <c r="CI977" s="123"/>
    </row>
    <row r="978" spans="1:87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123"/>
      <c r="T978" s="124"/>
      <c r="U978" s="123"/>
      <c r="V978" s="123"/>
      <c r="W978" s="124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  <c r="AR978" s="123"/>
      <c r="AS978" s="123"/>
      <c r="AT978" s="123"/>
      <c r="AU978" s="123"/>
      <c r="AV978" s="123"/>
      <c r="AW978" s="123"/>
      <c r="AX978" s="123"/>
      <c r="AY978" s="123"/>
      <c r="AZ978" s="123"/>
      <c r="BA978" s="123"/>
      <c r="BB978" s="123"/>
      <c r="BC978" s="123"/>
      <c r="BD978" s="123"/>
      <c r="BE978" s="123"/>
      <c r="BF978" s="123"/>
      <c r="BG978" s="123"/>
      <c r="BH978" s="123"/>
      <c r="BI978" s="123"/>
      <c r="BJ978" s="123"/>
      <c r="BK978" s="123"/>
      <c r="BL978" s="123"/>
      <c r="BM978" s="123"/>
      <c r="BN978" s="123"/>
      <c r="BO978" s="123"/>
      <c r="BP978" s="123"/>
      <c r="BQ978" s="123"/>
      <c r="BR978" s="123"/>
      <c r="BS978" s="123"/>
      <c r="BT978" s="123"/>
      <c r="BU978" s="123"/>
      <c r="BV978" s="123"/>
      <c r="BW978" s="123"/>
      <c r="BX978" s="123"/>
      <c r="BY978" s="123"/>
      <c r="BZ978" s="123"/>
      <c r="CA978" s="123"/>
      <c r="CB978" s="123"/>
      <c r="CC978" s="123"/>
      <c r="CD978" s="123"/>
      <c r="CE978" s="123"/>
      <c r="CF978" s="123"/>
      <c r="CG978" s="123"/>
      <c r="CH978" s="123"/>
      <c r="CI978" s="123"/>
    </row>
    <row r="979" spans="1:87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123"/>
      <c r="T979" s="124"/>
      <c r="U979" s="123"/>
      <c r="V979" s="123"/>
      <c r="W979" s="124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  <c r="AR979" s="123"/>
      <c r="AS979" s="123"/>
      <c r="AT979" s="123"/>
      <c r="AU979" s="123"/>
      <c r="AV979" s="123"/>
      <c r="AW979" s="123"/>
      <c r="AX979" s="123"/>
      <c r="AY979" s="123"/>
      <c r="AZ979" s="123"/>
      <c r="BA979" s="123"/>
      <c r="BB979" s="123"/>
      <c r="BC979" s="123"/>
      <c r="BD979" s="123"/>
      <c r="BE979" s="123"/>
      <c r="BF979" s="123"/>
      <c r="BG979" s="123"/>
      <c r="BH979" s="123"/>
      <c r="BI979" s="123"/>
      <c r="BJ979" s="123"/>
      <c r="BK979" s="123"/>
      <c r="BL979" s="123"/>
      <c r="BM979" s="123"/>
      <c r="BN979" s="123"/>
      <c r="BO979" s="123"/>
      <c r="BP979" s="123"/>
      <c r="BQ979" s="123"/>
      <c r="BR979" s="123"/>
      <c r="BS979" s="123"/>
      <c r="BT979" s="123"/>
      <c r="BU979" s="123"/>
      <c r="BV979" s="123"/>
      <c r="BW979" s="123"/>
      <c r="BX979" s="123"/>
      <c r="BY979" s="123"/>
      <c r="BZ979" s="123"/>
      <c r="CA979" s="123"/>
      <c r="CB979" s="123"/>
      <c r="CC979" s="123"/>
      <c r="CD979" s="123"/>
      <c r="CE979" s="123"/>
      <c r="CF979" s="123"/>
      <c r="CG979" s="123"/>
      <c r="CH979" s="123"/>
      <c r="CI979" s="123"/>
    </row>
    <row r="980" spans="1:87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123"/>
      <c r="T980" s="124"/>
      <c r="U980" s="123"/>
      <c r="V980" s="123"/>
      <c r="W980" s="124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  <c r="AR980" s="123"/>
      <c r="AS980" s="123"/>
      <c r="AT980" s="123"/>
      <c r="AU980" s="123"/>
      <c r="AV980" s="123"/>
      <c r="AW980" s="123"/>
      <c r="AX980" s="123"/>
      <c r="AY980" s="123"/>
      <c r="AZ980" s="123"/>
      <c r="BA980" s="123"/>
      <c r="BB980" s="123"/>
      <c r="BC980" s="123"/>
      <c r="BD980" s="123"/>
      <c r="BE980" s="123"/>
      <c r="BF980" s="123"/>
      <c r="BG980" s="123"/>
      <c r="BH980" s="123"/>
      <c r="BI980" s="123"/>
      <c r="BJ980" s="123"/>
      <c r="BK980" s="123"/>
      <c r="BL980" s="123"/>
      <c r="BM980" s="123"/>
      <c r="BN980" s="123"/>
      <c r="BO980" s="123"/>
      <c r="BP980" s="123"/>
      <c r="BQ980" s="123"/>
      <c r="BR980" s="123"/>
      <c r="BS980" s="123"/>
      <c r="BT980" s="123"/>
      <c r="BU980" s="123"/>
      <c r="BV980" s="123"/>
      <c r="BW980" s="123"/>
      <c r="BX980" s="123"/>
      <c r="BY980" s="123"/>
      <c r="BZ980" s="123"/>
      <c r="CA980" s="123"/>
      <c r="CB980" s="123"/>
      <c r="CC980" s="123"/>
      <c r="CD980" s="123"/>
      <c r="CE980" s="123"/>
      <c r="CF980" s="123"/>
      <c r="CG980" s="123"/>
      <c r="CH980" s="123"/>
      <c r="CI980" s="123"/>
    </row>
    <row r="981" spans="1:87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123"/>
      <c r="T981" s="124"/>
      <c r="U981" s="123"/>
      <c r="V981" s="123"/>
      <c r="W981" s="124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23"/>
      <c r="AQ981" s="123"/>
      <c r="AR981" s="123"/>
      <c r="AS981" s="123"/>
      <c r="AT981" s="123"/>
      <c r="AU981" s="123"/>
      <c r="AV981" s="123"/>
      <c r="AW981" s="123"/>
      <c r="AX981" s="123"/>
      <c r="AY981" s="123"/>
      <c r="AZ981" s="123"/>
      <c r="BA981" s="123"/>
      <c r="BB981" s="123"/>
      <c r="BC981" s="123"/>
      <c r="BD981" s="123"/>
      <c r="BE981" s="123"/>
      <c r="BF981" s="123"/>
      <c r="BG981" s="123"/>
      <c r="BH981" s="123"/>
      <c r="BI981" s="123"/>
      <c r="BJ981" s="123"/>
      <c r="BK981" s="123"/>
      <c r="BL981" s="123"/>
      <c r="BM981" s="123"/>
      <c r="BN981" s="123"/>
      <c r="BO981" s="123"/>
      <c r="BP981" s="123"/>
      <c r="BQ981" s="123"/>
      <c r="BR981" s="123"/>
      <c r="BS981" s="123"/>
      <c r="BT981" s="123"/>
      <c r="BU981" s="123"/>
      <c r="BV981" s="123"/>
      <c r="BW981" s="123"/>
      <c r="BX981" s="123"/>
      <c r="BY981" s="123"/>
      <c r="BZ981" s="123"/>
      <c r="CA981" s="123"/>
      <c r="CB981" s="123"/>
      <c r="CC981" s="123"/>
      <c r="CD981" s="123"/>
      <c r="CE981" s="123"/>
      <c r="CF981" s="123"/>
      <c r="CG981" s="123"/>
      <c r="CH981" s="123"/>
      <c r="CI981" s="123"/>
    </row>
    <row r="982" spans="1:87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123"/>
      <c r="T982" s="124"/>
      <c r="U982" s="123"/>
      <c r="V982" s="123"/>
      <c r="W982" s="124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23"/>
      <c r="AQ982" s="123"/>
      <c r="AR982" s="123"/>
      <c r="AS982" s="123"/>
      <c r="AT982" s="123"/>
      <c r="AU982" s="123"/>
      <c r="AV982" s="123"/>
      <c r="AW982" s="123"/>
      <c r="AX982" s="123"/>
      <c r="AY982" s="123"/>
      <c r="AZ982" s="123"/>
      <c r="BA982" s="123"/>
      <c r="BB982" s="123"/>
      <c r="BC982" s="123"/>
      <c r="BD982" s="123"/>
      <c r="BE982" s="123"/>
      <c r="BF982" s="123"/>
      <c r="BG982" s="123"/>
      <c r="BH982" s="123"/>
      <c r="BI982" s="123"/>
      <c r="BJ982" s="123"/>
      <c r="BK982" s="123"/>
      <c r="BL982" s="123"/>
      <c r="BM982" s="123"/>
      <c r="BN982" s="123"/>
      <c r="BO982" s="123"/>
      <c r="BP982" s="123"/>
      <c r="BQ982" s="123"/>
      <c r="BR982" s="123"/>
      <c r="BS982" s="123"/>
      <c r="BT982" s="123"/>
      <c r="BU982" s="123"/>
      <c r="BV982" s="123"/>
      <c r="BW982" s="123"/>
      <c r="BX982" s="123"/>
      <c r="BY982" s="123"/>
      <c r="BZ982" s="123"/>
      <c r="CA982" s="123"/>
      <c r="CB982" s="123"/>
      <c r="CC982" s="123"/>
      <c r="CD982" s="123"/>
      <c r="CE982" s="123"/>
      <c r="CF982" s="123"/>
      <c r="CG982" s="123"/>
      <c r="CH982" s="123"/>
      <c r="CI982" s="123"/>
    </row>
    <row r="983" spans="1:87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123"/>
      <c r="T983" s="124"/>
      <c r="U983" s="123"/>
      <c r="V983" s="123"/>
      <c r="W983" s="124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  <c r="AR983" s="123"/>
      <c r="AS983" s="123"/>
      <c r="AT983" s="123"/>
      <c r="AU983" s="123"/>
      <c r="AV983" s="123"/>
      <c r="AW983" s="123"/>
      <c r="AX983" s="123"/>
      <c r="AY983" s="123"/>
      <c r="AZ983" s="123"/>
      <c r="BA983" s="123"/>
      <c r="BB983" s="123"/>
      <c r="BC983" s="123"/>
      <c r="BD983" s="123"/>
      <c r="BE983" s="123"/>
      <c r="BF983" s="123"/>
      <c r="BG983" s="123"/>
      <c r="BH983" s="123"/>
      <c r="BI983" s="123"/>
      <c r="BJ983" s="123"/>
      <c r="BK983" s="123"/>
      <c r="BL983" s="123"/>
      <c r="BM983" s="123"/>
      <c r="BN983" s="123"/>
      <c r="BO983" s="123"/>
      <c r="BP983" s="123"/>
      <c r="BQ983" s="123"/>
      <c r="BR983" s="123"/>
      <c r="BS983" s="123"/>
      <c r="BT983" s="123"/>
      <c r="BU983" s="123"/>
      <c r="BV983" s="123"/>
      <c r="BW983" s="123"/>
      <c r="BX983" s="123"/>
      <c r="BY983" s="123"/>
      <c r="BZ983" s="123"/>
      <c r="CA983" s="123"/>
      <c r="CB983" s="123"/>
      <c r="CC983" s="123"/>
      <c r="CD983" s="123"/>
      <c r="CE983" s="123"/>
      <c r="CF983" s="123"/>
      <c r="CG983" s="123"/>
      <c r="CH983" s="123"/>
      <c r="CI983" s="123"/>
    </row>
    <row r="984" spans="1:87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123"/>
      <c r="T984" s="124"/>
      <c r="U984" s="123"/>
      <c r="V984" s="123"/>
      <c r="W984" s="124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23"/>
      <c r="AQ984" s="123"/>
      <c r="AR984" s="123"/>
      <c r="AS984" s="123"/>
      <c r="AT984" s="123"/>
      <c r="AU984" s="123"/>
      <c r="AV984" s="123"/>
      <c r="AW984" s="123"/>
      <c r="AX984" s="123"/>
      <c r="AY984" s="123"/>
      <c r="AZ984" s="123"/>
      <c r="BA984" s="123"/>
      <c r="BB984" s="123"/>
      <c r="BC984" s="123"/>
      <c r="BD984" s="123"/>
      <c r="BE984" s="123"/>
      <c r="BF984" s="123"/>
      <c r="BG984" s="123"/>
      <c r="BH984" s="123"/>
      <c r="BI984" s="123"/>
      <c r="BJ984" s="123"/>
      <c r="BK984" s="123"/>
      <c r="BL984" s="123"/>
      <c r="BM984" s="123"/>
      <c r="BN984" s="123"/>
      <c r="BO984" s="123"/>
      <c r="BP984" s="123"/>
      <c r="BQ984" s="123"/>
      <c r="BR984" s="123"/>
      <c r="BS984" s="123"/>
      <c r="BT984" s="123"/>
      <c r="BU984" s="123"/>
      <c r="BV984" s="123"/>
      <c r="BW984" s="123"/>
      <c r="BX984" s="123"/>
      <c r="BY984" s="123"/>
      <c r="BZ984" s="123"/>
      <c r="CA984" s="123"/>
      <c r="CB984" s="123"/>
      <c r="CC984" s="123"/>
      <c r="CD984" s="123"/>
      <c r="CE984" s="123"/>
      <c r="CF984" s="123"/>
      <c r="CG984" s="123"/>
      <c r="CH984" s="123"/>
      <c r="CI984" s="123"/>
    </row>
    <row r="985" spans="1:87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123"/>
      <c r="S985" s="123"/>
      <c r="T985" s="124"/>
      <c r="U985" s="123"/>
      <c r="V985" s="123"/>
      <c r="W985" s="124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  <c r="AR985" s="123"/>
      <c r="AS985" s="123"/>
      <c r="AT985" s="123"/>
      <c r="AU985" s="123"/>
      <c r="AV985" s="123"/>
      <c r="AW985" s="123"/>
      <c r="AX985" s="123"/>
      <c r="AY985" s="123"/>
      <c r="AZ985" s="123"/>
      <c r="BA985" s="123"/>
      <c r="BB985" s="123"/>
      <c r="BC985" s="123"/>
      <c r="BD985" s="123"/>
      <c r="BE985" s="123"/>
      <c r="BF985" s="123"/>
      <c r="BG985" s="123"/>
      <c r="BH985" s="123"/>
      <c r="BI985" s="123"/>
      <c r="BJ985" s="123"/>
      <c r="BK985" s="123"/>
      <c r="BL985" s="123"/>
      <c r="BM985" s="123"/>
      <c r="BN985" s="123"/>
      <c r="BO985" s="123"/>
      <c r="BP985" s="123"/>
      <c r="BQ985" s="123"/>
      <c r="BR985" s="123"/>
      <c r="BS985" s="123"/>
      <c r="BT985" s="123"/>
      <c r="BU985" s="123"/>
      <c r="BV985" s="123"/>
      <c r="BW985" s="123"/>
      <c r="BX985" s="123"/>
      <c r="BY985" s="123"/>
      <c r="BZ985" s="123"/>
      <c r="CA985" s="123"/>
      <c r="CB985" s="123"/>
      <c r="CC985" s="123"/>
      <c r="CD985" s="123"/>
      <c r="CE985" s="123"/>
      <c r="CF985" s="123"/>
      <c r="CG985" s="123"/>
      <c r="CH985" s="123"/>
      <c r="CI985" s="123"/>
    </row>
    <row r="986" spans="1:87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123"/>
      <c r="S986" s="123"/>
      <c r="T986" s="124"/>
      <c r="U986" s="123"/>
      <c r="V986" s="123"/>
      <c r="W986" s="124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  <c r="AR986" s="123"/>
      <c r="AS986" s="123"/>
      <c r="AT986" s="123"/>
      <c r="AU986" s="123"/>
      <c r="AV986" s="123"/>
      <c r="AW986" s="123"/>
      <c r="AX986" s="123"/>
      <c r="AY986" s="123"/>
      <c r="AZ986" s="123"/>
      <c r="BA986" s="123"/>
      <c r="BB986" s="123"/>
      <c r="BC986" s="123"/>
      <c r="BD986" s="123"/>
      <c r="BE986" s="123"/>
      <c r="BF986" s="123"/>
      <c r="BG986" s="123"/>
      <c r="BH986" s="123"/>
      <c r="BI986" s="123"/>
      <c r="BJ986" s="123"/>
      <c r="BK986" s="123"/>
      <c r="BL986" s="123"/>
      <c r="BM986" s="123"/>
      <c r="BN986" s="123"/>
      <c r="BO986" s="123"/>
      <c r="BP986" s="123"/>
      <c r="BQ986" s="123"/>
      <c r="BR986" s="123"/>
      <c r="BS986" s="123"/>
      <c r="BT986" s="123"/>
      <c r="BU986" s="123"/>
      <c r="BV986" s="123"/>
      <c r="BW986" s="123"/>
      <c r="BX986" s="123"/>
      <c r="BY986" s="123"/>
      <c r="BZ986" s="123"/>
      <c r="CA986" s="123"/>
      <c r="CB986" s="123"/>
      <c r="CC986" s="123"/>
      <c r="CD986" s="123"/>
      <c r="CE986" s="123"/>
      <c r="CF986" s="123"/>
      <c r="CG986" s="123"/>
      <c r="CH986" s="123"/>
      <c r="CI986" s="123"/>
    </row>
    <row r="987" spans="1:87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123"/>
      <c r="S987" s="123"/>
      <c r="T987" s="124"/>
      <c r="U987" s="123"/>
      <c r="V987" s="123"/>
      <c r="W987" s="124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23"/>
      <c r="AQ987" s="123"/>
      <c r="AR987" s="123"/>
      <c r="AS987" s="123"/>
      <c r="AT987" s="123"/>
      <c r="AU987" s="123"/>
      <c r="AV987" s="123"/>
      <c r="AW987" s="123"/>
      <c r="AX987" s="123"/>
      <c r="AY987" s="123"/>
      <c r="AZ987" s="123"/>
      <c r="BA987" s="123"/>
      <c r="BB987" s="123"/>
      <c r="BC987" s="123"/>
      <c r="BD987" s="123"/>
      <c r="BE987" s="123"/>
      <c r="BF987" s="123"/>
      <c r="BG987" s="123"/>
      <c r="BH987" s="123"/>
      <c r="BI987" s="123"/>
      <c r="BJ987" s="123"/>
      <c r="BK987" s="123"/>
      <c r="BL987" s="123"/>
      <c r="BM987" s="123"/>
      <c r="BN987" s="123"/>
      <c r="BO987" s="123"/>
      <c r="BP987" s="123"/>
      <c r="BQ987" s="123"/>
      <c r="BR987" s="123"/>
      <c r="BS987" s="123"/>
      <c r="BT987" s="123"/>
      <c r="BU987" s="123"/>
      <c r="BV987" s="123"/>
      <c r="BW987" s="123"/>
      <c r="BX987" s="123"/>
      <c r="BY987" s="123"/>
      <c r="BZ987" s="123"/>
      <c r="CA987" s="123"/>
      <c r="CB987" s="123"/>
      <c r="CC987" s="123"/>
      <c r="CD987" s="123"/>
      <c r="CE987" s="123"/>
      <c r="CF987" s="123"/>
      <c r="CG987" s="123"/>
      <c r="CH987" s="123"/>
      <c r="CI987" s="123"/>
    </row>
    <row r="988" spans="1:87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123"/>
      <c r="S988" s="123"/>
      <c r="T988" s="124"/>
      <c r="U988" s="123"/>
      <c r="V988" s="123"/>
      <c r="W988" s="124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  <c r="AR988" s="123"/>
      <c r="AS988" s="123"/>
      <c r="AT988" s="123"/>
      <c r="AU988" s="123"/>
      <c r="AV988" s="123"/>
      <c r="AW988" s="123"/>
      <c r="AX988" s="123"/>
      <c r="AY988" s="123"/>
      <c r="AZ988" s="123"/>
      <c r="BA988" s="123"/>
      <c r="BB988" s="123"/>
      <c r="BC988" s="123"/>
      <c r="BD988" s="123"/>
      <c r="BE988" s="123"/>
      <c r="BF988" s="123"/>
      <c r="BG988" s="123"/>
      <c r="BH988" s="123"/>
      <c r="BI988" s="123"/>
      <c r="BJ988" s="123"/>
      <c r="BK988" s="123"/>
      <c r="BL988" s="123"/>
      <c r="BM988" s="123"/>
      <c r="BN988" s="123"/>
      <c r="BO988" s="123"/>
      <c r="BP988" s="123"/>
      <c r="BQ988" s="123"/>
      <c r="BR988" s="123"/>
      <c r="BS988" s="123"/>
      <c r="BT988" s="123"/>
      <c r="BU988" s="123"/>
      <c r="BV988" s="123"/>
      <c r="BW988" s="123"/>
      <c r="BX988" s="123"/>
      <c r="BY988" s="123"/>
      <c r="BZ988" s="123"/>
      <c r="CA988" s="123"/>
      <c r="CB988" s="123"/>
      <c r="CC988" s="123"/>
      <c r="CD988" s="123"/>
      <c r="CE988" s="123"/>
      <c r="CF988" s="123"/>
      <c r="CG988" s="123"/>
      <c r="CH988" s="123"/>
      <c r="CI988" s="123"/>
    </row>
    <row r="989" spans="1:87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123"/>
      <c r="S989" s="123"/>
      <c r="T989" s="124"/>
      <c r="U989" s="123"/>
      <c r="V989" s="123"/>
      <c r="W989" s="124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  <c r="AR989" s="123"/>
      <c r="AS989" s="123"/>
      <c r="AT989" s="123"/>
      <c r="AU989" s="123"/>
      <c r="AV989" s="123"/>
      <c r="AW989" s="123"/>
      <c r="AX989" s="123"/>
      <c r="AY989" s="123"/>
      <c r="AZ989" s="123"/>
      <c r="BA989" s="123"/>
      <c r="BB989" s="123"/>
      <c r="BC989" s="123"/>
      <c r="BD989" s="123"/>
      <c r="BE989" s="123"/>
      <c r="BF989" s="123"/>
      <c r="BG989" s="123"/>
      <c r="BH989" s="123"/>
      <c r="BI989" s="123"/>
      <c r="BJ989" s="123"/>
      <c r="BK989" s="123"/>
      <c r="BL989" s="123"/>
      <c r="BM989" s="123"/>
      <c r="BN989" s="123"/>
      <c r="BO989" s="123"/>
      <c r="BP989" s="123"/>
      <c r="BQ989" s="123"/>
      <c r="BR989" s="123"/>
      <c r="BS989" s="123"/>
      <c r="BT989" s="123"/>
      <c r="BU989" s="123"/>
      <c r="BV989" s="123"/>
      <c r="BW989" s="123"/>
      <c r="BX989" s="123"/>
      <c r="BY989" s="123"/>
      <c r="BZ989" s="123"/>
      <c r="CA989" s="123"/>
      <c r="CB989" s="123"/>
      <c r="CC989" s="123"/>
      <c r="CD989" s="123"/>
      <c r="CE989" s="123"/>
      <c r="CF989" s="123"/>
      <c r="CG989" s="123"/>
      <c r="CH989" s="123"/>
      <c r="CI989" s="123"/>
    </row>
  </sheetData>
  <mergeCells count="71">
    <mergeCell ref="A89:B89"/>
    <mergeCell ref="L5:N5"/>
    <mergeCell ref="O5:Q5"/>
    <mergeCell ref="S5:T5"/>
    <mergeCell ref="V5:W5"/>
    <mergeCell ref="A7:B7"/>
    <mergeCell ref="A13:B13"/>
    <mergeCell ref="A31:B31"/>
    <mergeCell ref="A52:B52"/>
    <mergeCell ref="A74:B74"/>
    <mergeCell ref="C3:Q3"/>
    <mergeCell ref="C4:G4"/>
    <mergeCell ref="H4:I4"/>
    <mergeCell ref="J4:Q4"/>
    <mergeCell ref="A2:B6"/>
    <mergeCell ref="C2:CI2"/>
    <mergeCell ref="R3:Z3"/>
    <mergeCell ref="AA3:AN3"/>
    <mergeCell ref="AO3:BC3"/>
    <mergeCell ref="BD3:BR3"/>
    <mergeCell ref="BS3:CI3"/>
    <mergeCell ref="G5:G6"/>
    <mergeCell ref="J5:K5"/>
    <mergeCell ref="AB5:AC5"/>
    <mergeCell ref="AE5:AF5"/>
    <mergeCell ref="AH5:AI5"/>
    <mergeCell ref="CE4:CG4"/>
    <mergeCell ref="CH4:CI4"/>
    <mergeCell ref="CF5:CG5"/>
    <mergeCell ref="C5:C6"/>
    <mergeCell ref="D5:D6"/>
    <mergeCell ref="E5:E6"/>
    <mergeCell ref="F5:F6"/>
    <mergeCell ref="AK5:AL5"/>
    <mergeCell ref="AM5:AN5"/>
    <mergeCell ref="AP5:AQ5"/>
    <mergeCell ref="AS5:AT5"/>
    <mergeCell ref="AV5:AW5"/>
    <mergeCell ref="BV4:BX4"/>
    <mergeCell ref="BT5:BU5"/>
    <mergeCell ref="BW5:BX5"/>
    <mergeCell ref="BY4:CA4"/>
    <mergeCell ref="CB4:CD4"/>
    <mergeCell ref="BZ5:CA5"/>
    <mergeCell ref="CC5:CD5"/>
    <mergeCell ref="BM4:BO4"/>
    <mergeCell ref="BP4:BR4"/>
    <mergeCell ref="BN5:BO5"/>
    <mergeCell ref="BQ5:BR5"/>
    <mergeCell ref="BS4:BU4"/>
    <mergeCell ref="BJ4:BL4"/>
    <mergeCell ref="AY5:AZ5"/>
    <mergeCell ref="BB5:BC5"/>
    <mergeCell ref="BE5:BF5"/>
    <mergeCell ref="BH5:BI5"/>
    <mergeCell ref="BK5:BL5"/>
    <mergeCell ref="AU4:AW4"/>
    <mergeCell ref="AX4:AZ4"/>
    <mergeCell ref="BA4:BC4"/>
    <mergeCell ref="BD4:BF4"/>
    <mergeCell ref="BG4:BI4"/>
    <mergeCell ref="AG4:AI4"/>
    <mergeCell ref="AJ4:AL4"/>
    <mergeCell ref="AM4:AN4"/>
    <mergeCell ref="AO4:AQ4"/>
    <mergeCell ref="AR4:AT4"/>
    <mergeCell ref="R4:T4"/>
    <mergeCell ref="U4:W4"/>
    <mergeCell ref="X4:Z4"/>
    <mergeCell ref="AA4:AC4"/>
    <mergeCell ref="AD4:AF4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AB990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89"/>
      <c r="S1" s="289"/>
      <c r="T1" s="289"/>
      <c r="U1" s="290"/>
      <c r="V1" s="290"/>
      <c r="W1" s="290"/>
      <c r="X1" s="290"/>
      <c r="Y1" s="290"/>
      <c r="Z1" s="290"/>
      <c r="AA1" s="290"/>
      <c r="AB1" s="290"/>
    </row>
    <row r="2" spans="1:28" ht="24" customHeight="1" x14ac:dyDescent="0.2">
      <c r="A2" s="399" t="s">
        <v>1</v>
      </c>
      <c r="B2" s="400"/>
      <c r="C2" s="369" t="s">
        <v>178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1"/>
    </row>
    <row r="3" spans="1:28" ht="30" customHeight="1" x14ac:dyDescent="0.2">
      <c r="A3" s="401"/>
      <c r="B3" s="402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58" t="s">
        <v>179</v>
      </c>
      <c r="S3" s="378"/>
      <c r="T3" s="379"/>
      <c r="U3" s="458" t="s">
        <v>4</v>
      </c>
      <c r="V3" s="378"/>
      <c r="W3" s="379"/>
      <c r="X3" s="458" t="s">
        <v>180</v>
      </c>
      <c r="Y3" s="378"/>
      <c r="Z3" s="378"/>
      <c r="AA3" s="378"/>
      <c r="AB3" s="379"/>
    </row>
    <row r="4" spans="1:28" ht="30" customHeight="1" x14ac:dyDescent="0.2">
      <c r="A4" s="401"/>
      <c r="B4" s="402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432"/>
      <c r="S4" s="446"/>
      <c r="T4" s="390"/>
      <c r="U4" s="433"/>
      <c r="V4" s="381"/>
      <c r="W4" s="382"/>
      <c r="X4" s="433"/>
      <c r="Y4" s="381"/>
      <c r="Z4" s="381"/>
      <c r="AA4" s="381"/>
      <c r="AB4" s="382"/>
    </row>
    <row r="5" spans="1:28" ht="45" customHeight="1" x14ac:dyDescent="0.2">
      <c r="A5" s="401"/>
      <c r="B5" s="402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291" t="s">
        <v>21</v>
      </c>
      <c r="S5" s="454" t="s">
        <v>22</v>
      </c>
      <c r="T5" s="376"/>
      <c r="U5" s="291" t="s">
        <v>21</v>
      </c>
      <c r="V5" s="455" t="s">
        <v>22</v>
      </c>
      <c r="W5" s="376"/>
      <c r="X5" s="291" t="s">
        <v>21</v>
      </c>
      <c r="Y5" s="456" t="s">
        <v>181</v>
      </c>
      <c r="Z5" s="376"/>
      <c r="AA5" s="457" t="s">
        <v>182</v>
      </c>
      <c r="AB5" s="446"/>
    </row>
    <row r="6" spans="1:28" ht="30" customHeight="1" x14ac:dyDescent="0.2">
      <c r="A6" s="403"/>
      <c r="B6" s="404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292" t="s">
        <v>132</v>
      </c>
      <c r="S6" s="293" t="s">
        <v>132</v>
      </c>
      <c r="T6" s="294" t="s">
        <v>24</v>
      </c>
      <c r="U6" s="295" t="s">
        <v>28</v>
      </c>
      <c r="V6" s="296" t="s">
        <v>28</v>
      </c>
      <c r="W6" s="297" t="s">
        <v>24</v>
      </c>
      <c r="X6" s="295" t="s">
        <v>28</v>
      </c>
      <c r="Y6" s="296" t="s">
        <v>28</v>
      </c>
      <c r="Z6" s="297" t="s">
        <v>24</v>
      </c>
      <c r="AA6" s="296" t="s">
        <v>28</v>
      </c>
      <c r="AB6" s="297" t="s">
        <v>24</v>
      </c>
    </row>
    <row r="7" spans="1:28" ht="24" customHeight="1" x14ac:dyDescent="0.3">
      <c r="A7" s="442" t="s">
        <v>31</v>
      </c>
      <c r="B7" s="417"/>
      <c r="C7" s="141">
        <f t="shared" ref="C7:C10" ca="1" si="0">D7+G7</f>
        <v>4729400</v>
      </c>
      <c r="D7" s="142">
        <f t="shared" ref="D7:E7" ca="1" si="1">D8+D9+D12</f>
        <v>4729400</v>
      </c>
      <c r="E7" s="143">
        <f t="shared" ca="1" si="1"/>
        <v>2128200</v>
      </c>
      <c r="F7" s="144">
        <f ca="1">F8+F9</f>
        <v>2601200</v>
      </c>
      <c r="G7" s="145">
        <f t="shared" ref="G7:I7" ca="1" si="2">G8+G9+G12</f>
        <v>0</v>
      </c>
      <c r="H7" s="211">
        <f t="shared" ca="1" si="2"/>
        <v>3796600</v>
      </c>
      <c r="I7" s="211">
        <f t="shared" ca="1" si="2"/>
        <v>0</v>
      </c>
      <c r="J7" s="147">
        <f t="shared" ref="J7:J10" ca="1" si="3">L7+O7</f>
        <v>905065.40999999992</v>
      </c>
      <c r="K7" s="148">
        <f t="shared" ref="K7:K10" ca="1" si="4">IF(C7&gt;0,J7*100/C7,0)</f>
        <v>19.137002791051717</v>
      </c>
      <c r="L7" s="147">
        <f ca="1">L8+L9+L12</f>
        <v>905065.40999999992</v>
      </c>
      <c r="M7" s="149">
        <f t="shared" ref="M7:M10" ca="1" si="5">IF(D7&gt;0,L7*100/D7,0)</f>
        <v>19.137002791051717</v>
      </c>
      <c r="N7" s="149">
        <f t="shared" ref="N7:N10" ca="1" si="6">IF(H7&gt;0,L7*100/H7,0)</f>
        <v>23.8388402781436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1">
        <f t="shared" ref="R7:S7" ca="1" si="9">R8</f>
        <v>6600</v>
      </c>
      <c r="S7" s="32">
        <f t="shared" ca="1" si="9"/>
        <v>1300</v>
      </c>
      <c r="T7" s="33">
        <f t="shared" ref="T7:T8" ca="1" si="10">IF(R7&gt;0,S7*100/R7,0)</f>
        <v>19.696969696969695</v>
      </c>
      <c r="U7" s="31">
        <f t="shared" ref="U7:V7" ca="1" si="11">U8</f>
        <v>660</v>
      </c>
      <c r="V7" s="32">
        <f t="shared" ca="1" si="11"/>
        <v>130</v>
      </c>
      <c r="W7" s="33">
        <f t="shared" ref="W7:W8" ca="1" si="12">IF(U7&gt;0,V7*100/U7,0)</f>
        <v>19.696969696969695</v>
      </c>
      <c r="X7" s="31">
        <f t="shared" ref="X7:Y7" ca="1" si="13">X8</f>
        <v>660</v>
      </c>
      <c r="Y7" s="32">
        <f t="shared" ca="1" si="13"/>
        <v>130</v>
      </c>
      <c r="Z7" s="33">
        <f t="shared" ref="Z7:Z8" ca="1" si="14">IF(X7&gt;0,Y7*100/X7,0)</f>
        <v>19.696969696969695</v>
      </c>
      <c r="AA7" s="298">
        <f ca="1">AA8</f>
        <v>130</v>
      </c>
      <c r="AB7" s="299">
        <f t="shared" ref="AB7:AB10" ca="1" si="15">IF(X7&gt;0,AA7*100/X7,0)</f>
        <v>19.696969696969695</v>
      </c>
    </row>
    <row r="8" spans="1:28" ht="28.5" customHeight="1" x14ac:dyDescent="0.3">
      <c r="A8" s="34" t="s">
        <v>32</v>
      </c>
      <c r="B8" s="35"/>
      <c r="C8" s="154">
        <f t="shared" ca="1" si="0"/>
        <v>3505200</v>
      </c>
      <c r="D8" s="154">
        <f t="shared" ref="D8:I8" ca="1" si="16">+D13+D31+D52+D74</f>
        <v>3505200</v>
      </c>
      <c r="E8" s="154">
        <f t="shared" ca="1" si="16"/>
        <v>1488200</v>
      </c>
      <c r="F8" s="154">
        <f t="shared" ca="1" si="16"/>
        <v>2017000</v>
      </c>
      <c r="G8" s="154">
        <f t="shared" ca="1" si="16"/>
        <v>0</v>
      </c>
      <c r="H8" s="154">
        <f t="shared" ca="1" si="16"/>
        <v>2792500</v>
      </c>
      <c r="I8" s="154">
        <f t="shared" ca="1" si="16"/>
        <v>0</v>
      </c>
      <c r="J8" s="154">
        <f t="shared" ca="1" si="3"/>
        <v>793147.29999999993</v>
      </c>
      <c r="K8" s="155">
        <f t="shared" ca="1" si="4"/>
        <v>22.627733082277757</v>
      </c>
      <c r="L8" s="154">
        <f ca="1">+L13+L31+L52+L74</f>
        <v>793147.29999999993</v>
      </c>
      <c r="M8" s="156">
        <f t="shared" ca="1" si="5"/>
        <v>22.627733082277757</v>
      </c>
      <c r="N8" s="156">
        <f t="shared" ca="1" si="6"/>
        <v>28.40276812891674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8">
        <f t="shared" ref="R8:S8" ca="1" si="17">+R13+R31+R52+R74</f>
        <v>6600</v>
      </c>
      <c r="S8" s="38">
        <f t="shared" ca="1" si="17"/>
        <v>1300</v>
      </c>
      <c r="T8" s="40">
        <f t="shared" ca="1" si="10"/>
        <v>19.696969696969695</v>
      </c>
      <c r="U8" s="38">
        <f t="shared" ref="U8:V8" ca="1" si="18">+U13+U31+U52+U74</f>
        <v>660</v>
      </c>
      <c r="V8" s="38">
        <f t="shared" ca="1" si="18"/>
        <v>130</v>
      </c>
      <c r="W8" s="40">
        <f t="shared" ca="1" si="12"/>
        <v>19.696969696969695</v>
      </c>
      <c r="X8" s="38">
        <f t="shared" ref="X8:Y8" ca="1" si="19">+X13+X31+X52+X74</f>
        <v>660</v>
      </c>
      <c r="Y8" s="38">
        <f t="shared" ca="1" si="19"/>
        <v>130</v>
      </c>
      <c r="Z8" s="40">
        <f t="shared" ca="1" si="14"/>
        <v>19.696969696969695</v>
      </c>
      <c r="AA8" s="300">
        <f ca="1">+AA13+AA31+AA52+AA74</f>
        <v>130</v>
      </c>
      <c r="AB8" s="301">
        <f t="shared" ca="1" si="15"/>
        <v>19.696969696969695</v>
      </c>
    </row>
    <row r="9" spans="1:28" ht="28.5" customHeight="1" x14ac:dyDescent="0.3">
      <c r="A9" s="44" t="s">
        <v>33</v>
      </c>
      <c r="B9" s="45"/>
      <c r="C9" s="160">
        <f t="shared" ca="1" si="0"/>
        <v>1224200</v>
      </c>
      <c r="D9" s="160">
        <f t="shared" ref="D9:I9" ca="1" si="20">+D10+D11</f>
        <v>1224200</v>
      </c>
      <c r="E9" s="160">
        <f t="shared" ca="1" si="20"/>
        <v>640000</v>
      </c>
      <c r="F9" s="160">
        <f t="shared" ca="1" si="20"/>
        <v>584200</v>
      </c>
      <c r="G9" s="160">
        <f t="shared" ca="1" si="20"/>
        <v>0</v>
      </c>
      <c r="H9" s="160">
        <f t="shared" ca="1" si="20"/>
        <v>1004100</v>
      </c>
      <c r="I9" s="160">
        <f t="shared" ca="1" si="20"/>
        <v>0</v>
      </c>
      <c r="J9" s="160">
        <f t="shared" ca="1" si="3"/>
        <v>111918.11</v>
      </c>
      <c r="K9" s="161">
        <f t="shared" ca="1" si="4"/>
        <v>9.1421426237542889</v>
      </c>
      <c r="L9" s="160">
        <f ca="1">+L10+L11</f>
        <v>111918.11</v>
      </c>
      <c r="M9" s="162">
        <f t="shared" ca="1" si="5"/>
        <v>9.1421426237542889</v>
      </c>
      <c r="N9" s="162">
        <f t="shared" ca="1" si="6"/>
        <v>11.146111941041729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46"/>
      <c r="S9" s="46"/>
      <c r="T9" s="49"/>
      <c r="U9" s="46"/>
      <c r="V9" s="46"/>
      <c r="W9" s="49"/>
      <c r="X9" s="46"/>
      <c r="Y9" s="46"/>
      <c r="Z9" s="49"/>
      <c r="AA9" s="302"/>
      <c r="AB9" s="303">
        <f t="shared" si="15"/>
        <v>0</v>
      </c>
    </row>
    <row r="10" spans="1:28" ht="28.5" customHeight="1" x14ac:dyDescent="0.3">
      <c r="A10" s="44" t="s">
        <v>34</v>
      </c>
      <c r="B10" s="45"/>
      <c r="C10" s="160">
        <f t="shared" ca="1" si="0"/>
        <v>1224200</v>
      </c>
      <c r="D10" s="160">
        <f t="shared" ref="D10:I10" ca="1" si="21">+D89</f>
        <v>1224200</v>
      </c>
      <c r="E10" s="160">
        <f t="shared" ca="1" si="21"/>
        <v>640000</v>
      </c>
      <c r="F10" s="160">
        <f t="shared" ca="1" si="21"/>
        <v>584200</v>
      </c>
      <c r="G10" s="160">
        <f t="shared" ca="1" si="21"/>
        <v>0</v>
      </c>
      <c r="H10" s="160">
        <f t="shared" ca="1" si="21"/>
        <v>1004100</v>
      </c>
      <c r="I10" s="160">
        <f t="shared" ca="1" si="21"/>
        <v>0</v>
      </c>
      <c r="J10" s="160">
        <f t="shared" ca="1" si="3"/>
        <v>111918.11</v>
      </c>
      <c r="K10" s="161">
        <f t="shared" ca="1" si="4"/>
        <v>9.1421426237542889</v>
      </c>
      <c r="L10" s="160">
        <f ca="1">+L89</f>
        <v>111918.11</v>
      </c>
      <c r="M10" s="162">
        <f t="shared" ca="1" si="5"/>
        <v>9.1421426237542889</v>
      </c>
      <c r="N10" s="162">
        <f t="shared" ca="1" si="6"/>
        <v>11.146111941041729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46"/>
      <c r="S10" s="46"/>
      <c r="T10" s="49"/>
      <c r="U10" s="46"/>
      <c r="V10" s="46"/>
      <c r="W10" s="49"/>
      <c r="X10" s="46"/>
      <c r="Y10" s="46"/>
      <c r="Z10" s="49"/>
      <c r="AA10" s="302"/>
      <c r="AB10" s="303">
        <f t="shared" si="15"/>
        <v>0</v>
      </c>
    </row>
    <row r="11" spans="1:28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218"/>
      <c r="S11" s="218"/>
      <c r="T11" s="219"/>
      <c r="U11" s="218"/>
      <c r="V11" s="218"/>
      <c r="W11" s="219"/>
      <c r="X11" s="218"/>
      <c r="Y11" s="218"/>
      <c r="Z11" s="219"/>
      <c r="AA11" s="304"/>
      <c r="AB11" s="303"/>
    </row>
    <row r="12" spans="1:28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221"/>
      <c r="S12" s="221"/>
      <c r="T12" s="222"/>
      <c r="U12" s="221"/>
      <c r="V12" s="221"/>
      <c r="W12" s="222"/>
      <c r="X12" s="221"/>
      <c r="Y12" s="221"/>
      <c r="Z12" s="222"/>
      <c r="AA12" s="305"/>
      <c r="AB12" s="306"/>
    </row>
    <row r="13" spans="1:28" ht="28.5" customHeight="1" x14ac:dyDescent="0.3">
      <c r="A13" s="394" t="s">
        <v>35</v>
      </c>
      <c r="B13" s="376"/>
      <c r="C13" s="154">
        <f t="shared" ref="C13:C88" ca="1" si="22">D13+G13</f>
        <v>1970540</v>
      </c>
      <c r="D13" s="154">
        <f t="shared" ref="D13:I13" ca="1" si="23">SUM(D14:D30)</f>
        <v>1970540</v>
      </c>
      <c r="E13" s="154">
        <f t="shared" ca="1" si="23"/>
        <v>649500</v>
      </c>
      <c r="F13" s="154">
        <f t="shared" ca="1" si="23"/>
        <v>1321040</v>
      </c>
      <c r="G13" s="154">
        <f t="shared" ca="1" si="23"/>
        <v>0</v>
      </c>
      <c r="H13" s="154">
        <f t="shared" ca="1" si="23"/>
        <v>1588660</v>
      </c>
      <c r="I13" s="154">
        <f t="shared" ca="1" si="23"/>
        <v>0</v>
      </c>
      <c r="J13" s="154">
        <f t="shared" ref="J13:J88" ca="1" si="24">L13+O13</f>
        <v>433523.34</v>
      </c>
      <c r="K13" s="155">
        <f t="shared" ref="K13:K88" ca="1" si="25">IF(C13&gt;0,J13*100/C13,0)</f>
        <v>22.000230393699191</v>
      </c>
      <c r="L13" s="154">
        <f ca="1">SUM(L14:L30)</f>
        <v>433523.34</v>
      </c>
      <c r="M13" s="156">
        <f t="shared" ref="M13:M88" ca="1" si="26">IF(D13&gt;0,L13*100/D13,0)</f>
        <v>22.000230393699191</v>
      </c>
      <c r="N13" s="156">
        <f t="shared" ref="N13:N88" ca="1" si="27">IF(H13&gt;0,L13*100/H13,0)</f>
        <v>27.28861682172397</v>
      </c>
      <c r="O13" s="157">
        <f ca="1">SUM(O14:O30)</f>
        <v>0</v>
      </c>
      <c r="P13" s="157">
        <f t="shared" ref="P13:P88" ca="1" si="28">IF(G13&gt;0,O13*100/G13,0)</f>
        <v>0</v>
      </c>
      <c r="Q13" s="156">
        <f t="shared" ref="Q13:Q88" ca="1" si="29">IF(I13&gt;0,O13*100/I13,0)</f>
        <v>0</v>
      </c>
      <c r="R13" s="70">
        <f t="shared" ref="R13:S13" ca="1" si="30">SUM(R14:R30)</f>
        <v>4100</v>
      </c>
      <c r="S13" s="70">
        <f t="shared" ca="1" si="30"/>
        <v>1300</v>
      </c>
      <c r="T13" s="72">
        <f t="shared" ref="T13:T88" ca="1" si="31">IF(R13&gt;0,S13*100/R13,0)</f>
        <v>31.707317073170731</v>
      </c>
      <c r="U13" s="70">
        <f t="shared" ref="U13:V13" ca="1" si="32">SUM(U14:U30)</f>
        <v>410</v>
      </c>
      <c r="V13" s="70">
        <f t="shared" ca="1" si="32"/>
        <v>130</v>
      </c>
      <c r="W13" s="72">
        <f t="shared" ref="W13:W88" ca="1" si="33">IF(U13&gt;0,V13*100/U13,0)</f>
        <v>31.707317073170731</v>
      </c>
      <c r="X13" s="70">
        <f t="shared" ref="X13:Y13" ca="1" si="34">SUM(X14:X30)</f>
        <v>410</v>
      </c>
      <c r="Y13" s="70">
        <f t="shared" ca="1" si="34"/>
        <v>130</v>
      </c>
      <c r="Z13" s="72">
        <f t="shared" ref="Z13:Z88" ca="1" si="35">IF(X13&gt;0,Y13*100/X13,0)</f>
        <v>31.707317073170731</v>
      </c>
      <c r="AA13" s="307">
        <f ca="1">SUM(AA14:AA30)</f>
        <v>130</v>
      </c>
      <c r="AB13" s="308">
        <f t="shared" ref="AB13:AB88" ca="1" si="36">IF(X13&gt;0,AA13*100/X13,0)</f>
        <v>31.707317073170731</v>
      </c>
    </row>
    <row r="14" spans="1:28" ht="24" customHeight="1" x14ac:dyDescent="0.3">
      <c r="A14" s="74">
        <v>1</v>
      </c>
      <c r="B14" s="75" t="s">
        <v>36</v>
      </c>
      <c r="C14" s="174">
        <f t="shared" ca="1" si="22"/>
        <v>197520</v>
      </c>
      <c r="D14" s="175">
        <f t="shared" ref="D14:D30" ca="1" si="37">+E14+F14</f>
        <v>197520</v>
      </c>
      <c r="E14" s="176">
        <f ca="1">IFERROR(__xludf.DUMMYFUNCTION("IMPORTRANGE(""https://docs.google.com/spreadsheets/d/1-uDff_7J0KD5mKrp0Vvzr7lt3OU09vwQwhkpOPPYv2Y/edit?usp=sharing"",""งบพรบ!DP14"")"),83400)</f>
        <v>83400</v>
      </c>
      <c r="F14" s="176">
        <f ca="1">IFERROR(__xludf.DUMMYFUNCTION("IMPORTRANGE(""https://docs.google.com/spreadsheets/d/1-uDff_7J0KD5mKrp0Vvzr7lt3OU09vwQwhkpOPPYv2Y/edit?usp=sharing"",""งบพรบ!DQ14"")"),114120)</f>
        <v>114120</v>
      </c>
      <c r="G14" s="177">
        <f ca="1">IFERROR(__xludf.DUMMYFUNCTION("IMPORTRANGE(""https://docs.google.com/spreadsheets/d/1-uDff_7J0KD5mKrp0Vvzr7lt3OU09vwQwhkpOPPYv2Y/edit?usp=sharing"",""งบพรบ!DR14"")"),0)</f>
        <v>0</v>
      </c>
      <c r="H14" s="177">
        <f ca="1">IFERROR(__xludf.DUMMYFUNCTION("IMPORTRANGE(""https://docs.google.com/spreadsheets/d/1-uDff_7J0KD5mKrp0Vvzr7lt3OU09vwQwhkpOPPYv2Y/edit?usp=sharing"",""งบพรบ!DT14"")"),162480)</f>
        <v>162480</v>
      </c>
      <c r="I14" s="177">
        <f ca="1">IFERROR(__xludf.DUMMYFUNCTION("IMPORTRANGE(""https://docs.google.com/spreadsheets/d/1-uDff_7J0KD5mKrp0Vvzr7lt3OU09vwQwhkpOPPYv2Y/edit?usp=sharing"",""งบพรบ!DU14"")"),0)</f>
        <v>0</v>
      </c>
      <c r="J14" s="177">
        <f t="shared" ca="1" si="24"/>
        <v>32740</v>
      </c>
      <c r="K14" s="178">
        <f t="shared" ca="1" si="25"/>
        <v>16.575536654516</v>
      </c>
      <c r="L14" s="177">
        <f ca="1">IFERROR(__xludf.DUMMYFUNCTION("IMPORTRANGE(""https://docs.google.com/spreadsheets/d/1-uDff_7J0KD5mKrp0Vvzr7lt3OU09vwQwhkpOPPYv2Y/edit?usp=sharing"",""งบพรบ!DV14"")"),32740)</f>
        <v>32740</v>
      </c>
      <c r="M14" s="179">
        <f t="shared" ca="1" si="26"/>
        <v>16.575536654516</v>
      </c>
      <c r="N14" s="179">
        <f t="shared" ca="1" si="27"/>
        <v>20.15017232890202</v>
      </c>
      <c r="O14" s="180">
        <f ca="1">IFERROR(__xludf.DUMMYFUNCTION("IMPORTRANGE(""https://docs.google.com/spreadsheets/d/1-uDff_7J0KD5mKrp0Vvzr7lt3OU09vwQwhkpOPPYv2Y/edit?usp=sharing"",""งบพรบ!DW14"")"),0)</f>
        <v>0</v>
      </c>
      <c r="P14" s="180">
        <f t="shared" ca="1" si="28"/>
        <v>0</v>
      </c>
      <c r="Q14" s="179">
        <f t="shared" ca="1" si="29"/>
        <v>0</v>
      </c>
      <c r="R14" s="79">
        <f ca="1">IFERROR(__xludf.DUMMYFUNCTION("IMPORTRANGE(""https://docs.google.com/spreadsheets/d/1jTcq05yEiRwXcBMLjiodW9e4biSGYWAHcDj22rKWQ3s/edit?usp=sharing"",""กำแพงเพชร!I292"")"),500)</f>
        <v>500</v>
      </c>
      <c r="S14" s="79">
        <f ca="1">IFERROR(__xludf.DUMMYFUNCTION("IMPORTRANGE(""https://docs.google.com/spreadsheets/d/1jTcq05yEiRwXcBMLjiodW9e4biSGYWAHcDj22rKWQ3s/edit?usp=sharing"",""กำแพงเพชร!J292"")"),0)</f>
        <v>0</v>
      </c>
      <c r="T14" s="83">
        <f t="shared" ca="1" si="31"/>
        <v>0</v>
      </c>
      <c r="U14" s="79">
        <f ca="1">IFERROR(__xludf.DUMMYFUNCTION("IMPORTRANGE(""https://docs.google.com/spreadsheets/d/1jTcq05yEiRwXcBMLjiodW9e4biSGYWAHcDj22rKWQ3s/edit?usp=sharing"",""กำแพงเพชร!I293"")"),50)</f>
        <v>50</v>
      </c>
      <c r="V14" s="79">
        <f ca="1">IFERROR(__xludf.DUMMYFUNCTION("IMPORTRANGE(""https://docs.google.com/spreadsheets/d/1jTcq05yEiRwXcBMLjiodW9e4biSGYWAHcDj22rKWQ3s/edit?usp=sharing"",""กำแพงเพชร!J293"")"),0)</f>
        <v>0</v>
      </c>
      <c r="W14" s="83">
        <f t="shared" ca="1" si="33"/>
        <v>0</v>
      </c>
      <c r="X14" s="79">
        <f ca="1">IFERROR(__xludf.DUMMYFUNCTION("IMPORTRANGE(""https://docs.google.com/spreadsheets/d/1jTcq05yEiRwXcBMLjiodW9e4biSGYWAHcDj22rKWQ3s/edit?usp=sharing"",""กำแพงเพชร!I295"")"),50)</f>
        <v>50</v>
      </c>
      <c r="Y14" s="79">
        <f ca="1">IFERROR(__xludf.DUMMYFUNCTION("IMPORTRANGE(""https://docs.google.com/spreadsheets/d/1jTcq05yEiRwXcBMLjiodW9e4biSGYWAHcDj22rKWQ3s/edit?usp=sharing"",""กำแพงเพชร!J295"")"),0)</f>
        <v>0</v>
      </c>
      <c r="Z14" s="83">
        <f t="shared" ca="1" si="35"/>
        <v>0</v>
      </c>
      <c r="AA14" s="309">
        <f ca="1">IFERROR(__xludf.DUMMYFUNCTION("IMPORTRANGE(""https://docs.google.com/spreadsheets/d/1jTcq05yEiRwXcBMLjiodW9e4biSGYWAHcDj22rKWQ3s/edit?usp=sharing"",""กำแพงเพชร!J296"")"),0)</f>
        <v>0</v>
      </c>
      <c r="AB14" s="310">
        <f t="shared" ca="1" si="36"/>
        <v>0</v>
      </c>
    </row>
    <row r="15" spans="1:28" ht="24" customHeight="1" x14ac:dyDescent="0.3">
      <c r="A15" s="84">
        <v>2</v>
      </c>
      <c r="B15" s="85" t="s">
        <v>37</v>
      </c>
      <c r="C15" s="174">
        <f t="shared" ca="1" si="22"/>
        <v>85120</v>
      </c>
      <c r="D15" s="175">
        <f t="shared" ca="1" si="37"/>
        <v>85120</v>
      </c>
      <c r="E15" s="176">
        <f ca="1">IFERROR(__xludf.DUMMYFUNCTION("IMPORTRANGE(""https://docs.google.com/spreadsheets/d/1-uDff_7J0KD5mKrp0Vvzr7lt3OU09vwQwhkpOPPYv2Y/edit?usp=sharing"",""งบพรบ!DP15"")"),0)</f>
        <v>0</v>
      </c>
      <c r="F15" s="176">
        <f ca="1">IFERROR(__xludf.DUMMYFUNCTION("IMPORTRANGE(""https://docs.google.com/spreadsheets/d/1-uDff_7J0KD5mKrp0Vvzr7lt3OU09vwQwhkpOPPYv2Y/edit?usp=sharing"",""งบพรบ!DQ15"")"),85120)</f>
        <v>85120</v>
      </c>
      <c r="G15" s="176">
        <f ca="1">IFERROR(__xludf.DUMMYFUNCTION("IMPORTRANGE(""https://docs.google.com/spreadsheets/d/1-uDff_7J0KD5mKrp0Vvzr7lt3OU09vwQwhkpOPPYv2Y/edit?usp=sharing"",""งบพรบ!DR15"")"),0)</f>
        <v>0</v>
      </c>
      <c r="H15" s="176">
        <f ca="1">IFERROR(__xludf.DUMMYFUNCTION("IMPORTRANGE(""https://docs.google.com/spreadsheets/d/1-uDff_7J0KD5mKrp0Vvzr7lt3OU09vwQwhkpOPPYv2Y/edit?usp=sharing"",""งบพรบ!DT15"")"),73480)</f>
        <v>73480</v>
      </c>
      <c r="I15" s="176">
        <f ca="1">IFERROR(__xludf.DUMMYFUNCTION("IMPORTRANGE(""https://docs.google.com/spreadsheets/d/1-uDff_7J0KD5mKrp0Vvzr7lt3OU09vwQwhkpOPPYv2Y/edit?usp=sharing"",""งบพรบ!DU15"")"),0)</f>
        <v>0</v>
      </c>
      <c r="J15" s="176">
        <f t="shared" ca="1" si="24"/>
        <v>1360</v>
      </c>
      <c r="K15" s="181">
        <f t="shared" ca="1" si="25"/>
        <v>1.5977443609022557</v>
      </c>
      <c r="L15" s="176">
        <f ca="1">IFERROR(__xludf.DUMMYFUNCTION("IMPORTRANGE(""https://docs.google.com/spreadsheets/d/1-uDff_7J0KD5mKrp0Vvzr7lt3OU09vwQwhkpOPPYv2Y/edit?usp=sharing"",""งบพรบ!DV15"")"),1360)</f>
        <v>1360</v>
      </c>
      <c r="M15" s="179">
        <f t="shared" ca="1" si="26"/>
        <v>1.5977443609022557</v>
      </c>
      <c r="N15" s="179">
        <f t="shared" ca="1" si="27"/>
        <v>1.8508437670114317</v>
      </c>
      <c r="O15" s="180">
        <f ca="1">IFERROR(__xludf.DUMMYFUNCTION("IMPORTRANGE(""https://docs.google.com/spreadsheets/d/1-uDff_7J0KD5mKrp0Vvzr7lt3OU09vwQwhkpOPPYv2Y/edit?usp=sharing"",""งบพรบ!DW15"")"),0)</f>
        <v>0</v>
      </c>
      <c r="P15" s="180">
        <f t="shared" ca="1" si="28"/>
        <v>0</v>
      </c>
      <c r="Q15" s="179">
        <f t="shared" ca="1" si="29"/>
        <v>0</v>
      </c>
      <c r="R15" s="92">
        <f ca="1">IFERROR(__xludf.DUMMYFUNCTION("IMPORTRANGE(""https://docs.google.com/spreadsheets/d/1KS0zmDSZPk8KnTAbGN-Xk6MtX1YRZD0ldgdt20K4CRk/edit?usp=sharing"",""เชียงราย!I292"")"),300)</f>
        <v>300</v>
      </c>
      <c r="S15" s="92">
        <f ca="1">IFERROR(__xludf.DUMMYFUNCTION("IMPORTRANGE(""https://docs.google.com/spreadsheets/d/1KS0zmDSZPk8KnTAbGN-Xk6MtX1YRZD0ldgdt20K4CRk/edit?usp=sharing"",""เชียงราย!J292"")"),0)</f>
        <v>0</v>
      </c>
      <c r="T15" s="93">
        <f t="shared" ca="1" si="31"/>
        <v>0</v>
      </c>
      <c r="U15" s="92">
        <f ca="1">IFERROR(__xludf.DUMMYFUNCTION("IMPORTRANGE(""https://docs.google.com/spreadsheets/d/1KS0zmDSZPk8KnTAbGN-Xk6MtX1YRZD0ldgdt20K4CRk/edit?usp=sharing"",""เชียงราย!I293"")"),30)</f>
        <v>30</v>
      </c>
      <c r="V15" s="92">
        <f ca="1">IFERROR(__xludf.DUMMYFUNCTION("IMPORTRANGE(""https://docs.google.com/spreadsheets/d/1KS0zmDSZPk8KnTAbGN-Xk6MtX1YRZD0ldgdt20K4CRk/edit?usp=sharing"",""เชียงราย!J293"")"),0)</f>
        <v>0</v>
      </c>
      <c r="W15" s="93">
        <f t="shared" ca="1" si="33"/>
        <v>0</v>
      </c>
      <c r="X15" s="92">
        <f ca="1">IFERROR(__xludf.DUMMYFUNCTION("IMPORTRANGE(""https://docs.google.com/spreadsheets/d/1KS0zmDSZPk8KnTAbGN-Xk6MtX1YRZD0ldgdt20K4CRk/edit?usp=sharing"",""เชียงราย!I295"")"),30)</f>
        <v>30</v>
      </c>
      <c r="Y15" s="92">
        <f ca="1">IFERROR(__xludf.DUMMYFUNCTION("IMPORTRANGE(""https://docs.google.com/spreadsheets/d/1KS0zmDSZPk8KnTAbGN-Xk6MtX1YRZD0ldgdt20K4CRk/edit?usp=sharing"",""เชียงราย!J295"")"),0)</f>
        <v>0</v>
      </c>
      <c r="Z15" s="93">
        <f t="shared" ca="1" si="35"/>
        <v>0</v>
      </c>
      <c r="AA15" s="311">
        <f ca="1">IFERROR(__xludf.DUMMYFUNCTION("IMPORTRANGE(""https://docs.google.com/spreadsheets/d/1KS0zmDSZPk8KnTAbGN-Xk6MtX1YRZD0ldgdt20K4CRk/edit?usp=sharing"",""เชียงราย!J296"")"),0)</f>
        <v>0</v>
      </c>
      <c r="AB15" s="312">
        <f t="shared" ca="1" si="36"/>
        <v>0</v>
      </c>
    </row>
    <row r="16" spans="1:28" ht="24" customHeight="1" x14ac:dyDescent="0.3">
      <c r="A16" s="84">
        <v>3</v>
      </c>
      <c r="B16" s="85" t="s">
        <v>38</v>
      </c>
      <c r="C16" s="174">
        <f t="shared" ca="1" si="22"/>
        <v>71120</v>
      </c>
      <c r="D16" s="175">
        <f t="shared" ca="1" si="37"/>
        <v>71120</v>
      </c>
      <c r="E16" s="176">
        <f ca="1">IFERROR(__xludf.DUMMYFUNCTION("IMPORTRANGE(""https://docs.google.com/spreadsheets/d/1-uDff_7J0KD5mKrp0Vvzr7lt3OU09vwQwhkpOPPYv2Y/edit?usp=sharing"",""งบพรบ!DP16"")"),0)</f>
        <v>0</v>
      </c>
      <c r="F16" s="176">
        <f ca="1">IFERROR(__xludf.DUMMYFUNCTION("IMPORTRANGE(""https://docs.google.com/spreadsheets/d/1-uDff_7J0KD5mKrp0Vvzr7lt3OU09vwQwhkpOPPYv2Y/edit?usp=sharing"",""งบพรบ!DQ16"")"),71120)</f>
        <v>71120</v>
      </c>
      <c r="G16" s="176">
        <f ca="1">IFERROR(__xludf.DUMMYFUNCTION("IMPORTRANGE(""https://docs.google.com/spreadsheets/d/1-uDff_7J0KD5mKrp0Vvzr7lt3OU09vwQwhkpOPPYv2Y/edit?usp=sharing"",""งบพรบ!DR16"")"),0)</f>
        <v>0</v>
      </c>
      <c r="H16" s="176">
        <f ca="1">IFERROR(__xludf.DUMMYFUNCTION("IMPORTRANGE(""https://docs.google.com/spreadsheets/d/1-uDff_7J0KD5mKrp0Vvzr7lt3OU09vwQwhkpOPPYv2Y/edit?usp=sharing"",""งบพรบ!DT16"")"),59480)</f>
        <v>59480</v>
      </c>
      <c r="I16" s="176">
        <f ca="1">IFERROR(__xludf.DUMMYFUNCTION("IMPORTRANGE(""https://docs.google.com/spreadsheets/d/1-uDff_7J0KD5mKrp0Vvzr7lt3OU09vwQwhkpOPPYv2Y/edit?usp=sharing"",""งบพรบ!DU16"")"),0)</f>
        <v>0</v>
      </c>
      <c r="J16" s="176">
        <f t="shared" ca="1" si="24"/>
        <v>2580</v>
      </c>
      <c r="K16" s="181">
        <f t="shared" ca="1" si="25"/>
        <v>3.6276715410573677</v>
      </c>
      <c r="L16" s="176">
        <f ca="1">IFERROR(__xludf.DUMMYFUNCTION("IMPORTRANGE(""https://docs.google.com/spreadsheets/d/1-uDff_7J0KD5mKrp0Vvzr7lt3OU09vwQwhkpOPPYv2Y/edit?usp=sharing"",""งบพรบ!DV16"")"),2580)</f>
        <v>2580</v>
      </c>
      <c r="M16" s="179">
        <f t="shared" ca="1" si="26"/>
        <v>3.6276715410573677</v>
      </c>
      <c r="N16" s="179">
        <f t="shared" ca="1" si="27"/>
        <v>4.3375924680564895</v>
      </c>
      <c r="O16" s="180">
        <f ca="1">IFERROR(__xludf.DUMMYFUNCTION("IMPORTRANGE(""https://docs.google.com/spreadsheets/d/1-uDff_7J0KD5mKrp0Vvzr7lt3OU09vwQwhkpOPPYv2Y/edit?usp=sharing"",""งบพรบ!DW16"")"),0)</f>
        <v>0</v>
      </c>
      <c r="P16" s="180">
        <f t="shared" ca="1" si="28"/>
        <v>0</v>
      </c>
      <c r="Q16" s="179">
        <f t="shared" ca="1" si="29"/>
        <v>0</v>
      </c>
      <c r="R16" s="92">
        <f ca="1">IFERROR(__xludf.DUMMYFUNCTION("IMPORTRANGE(""https://docs.google.com/spreadsheets/d/1rEDxBtusbi64tE0zunoIbsTVV16HeL0oJ6trHQeQ7K8/edit?usp=sharing"",""เชียงใหม่!I292"")"),200)</f>
        <v>200</v>
      </c>
      <c r="S16" s="92">
        <f ca="1">IFERROR(__xludf.DUMMYFUNCTION("IMPORTRANGE(""https://docs.google.com/spreadsheets/d/1rEDxBtusbi64tE0zunoIbsTVV16HeL0oJ6trHQeQ7K8/edit?usp=sharing"",""เชียงใหม่!J292"")"),0)</f>
        <v>0</v>
      </c>
      <c r="T16" s="93">
        <f t="shared" ca="1" si="31"/>
        <v>0</v>
      </c>
      <c r="U16" s="92">
        <f ca="1">IFERROR(__xludf.DUMMYFUNCTION("IMPORTRANGE(""https://docs.google.com/spreadsheets/d/1rEDxBtusbi64tE0zunoIbsTVV16HeL0oJ6trHQeQ7K8/edit?usp=sharing"",""เชียงใหม่!I293"")"),20)</f>
        <v>20</v>
      </c>
      <c r="V16" s="92">
        <f ca="1">IFERROR(__xludf.DUMMYFUNCTION("IMPORTRANGE(""https://docs.google.com/spreadsheets/d/1rEDxBtusbi64tE0zunoIbsTVV16HeL0oJ6trHQeQ7K8/edit?usp=sharing"",""เชียงใหม่!J293"")"),0)</f>
        <v>0</v>
      </c>
      <c r="W16" s="93">
        <f t="shared" ca="1" si="33"/>
        <v>0</v>
      </c>
      <c r="X16" s="92">
        <f ca="1">IFERROR(__xludf.DUMMYFUNCTION("IMPORTRANGE(""https://docs.google.com/spreadsheets/d/1rEDxBtusbi64tE0zunoIbsTVV16HeL0oJ6trHQeQ7K8/edit?usp=sharing"",""เชียงใหม่!I295"")"),20)</f>
        <v>20</v>
      </c>
      <c r="Y16" s="92">
        <f ca="1">IFERROR(__xludf.DUMMYFUNCTION("IMPORTRANGE(""https://docs.google.com/spreadsheets/d/1rEDxBtusbi64tE0zunoIbsTVV16HeL0oJ6trHQeQ7K8/edit?usp=sharing"",""เชียงใหม่!J295"")"),0)</f>
        <v>0</v>
      </c>
      <c r="Z16" s="93">
        <f t="shared" ca="1" si="35"/>
        <v>0</v>
      </c>
      <c r="AA16" s="311">
        <f ca="1">IFERROR(__xludf.DUMMYFUNCTION("IMPORTRANGE(""https://docs.google.com/spreadsheets/d/1rEDxBtusbi64tE0zunoIbsTVV16HeL0oJ6trHQeQ7K8/edit?usp=sharing"",""เชียงใหม่!J296"")"),0)</f>
        <v>0</v>
      </c>
      <c r="AB16" s="312">
        <f t="shared" ca="1" si="36"/>
        <v>0</v>
      </c>
    </row>
    <row r="17" spans="1:28" ht="24" customHeight="1" x14ac:dyDescent="0.3">
      <c r="A17" s="84">
        <v>4</v>
      </c>
      <c r="B17" s="85" t="s">
        <v>39</v>
      </c>
      <c r="C17" s="174">
        <f t="shared" ca="1" si="22"/>
        <v>71120</v>
      </c>
      <c r="D17" s="175">
        <f t="shared" ca="1" si="37"/>
        <v>71120</v>
      </c>
      <c r="E17" s="176">
        <f ca="1">IFERROR(__xludf.DUMMYFUNCTION("IMPORTRANGE(""https://docs.google.com/spreadsheets/d/1-uDff_7J0KD5mKrp0Vvzr7lt3OU09vwQwhkpOPPYv2Y/edit?usp=sharing"",""งบพรบ!DP17"")"),0)</f>
        <v>0</v>
      </c>
      <c r="F17" s="176">
        <f ca="1">IFERROR(__xludf.DUMMYFUNCTION("IMPORTRANGE(""https://docs.google.com/spreadsheets/d/1-uDff_7J0KD5mKrp0Vvzr7lt3OU09vwQwhkpOPPYv2Y/edit?usp=sharing"",""งบพรบ!DQ17"")"),71120)</f>
        <v>71120</v>
      </c>
      <c r="G17" s="176">
        <f ca="1">IFERROR(__xludf.DUMMYFUNCTION("IMPORTRANGE(""https://docs.google.com/spreadsheets/d/1-uDff_7J0KD5mKrp0Vvzr7lt3OU09vwQwhkpOPPYv2Y/edit?usp=sharing"",""งบพรบ!DR17"")"),0)</f>
        <v>0</v>
      </c>
      <c r="H17" s="176">
        <f ca="1">IFERROR(__xludf.DUMMYFUNCTION("IMPORTRANGE(""https://docs.google.com/spreadsheets/d/1-uDff_7J0KD5mKrp0Vvzr7lt3OU09vwQwhkpOPPYv2Y/edit?usp=sharing"",""งบพรบ!DT17"")"),59480)</f>
        <v>59480</v>
      </c>
      <c r="I17" s="176">
        <f ca="1">IFERROR(__xludf.DUMMYFUNCTION("IMPORTRANGE(""https://docs.google.com/spreadsheets/d/1-uDff_7J0KD5mKrp0Vvzr7lt3OU09vwQwhkpOPPYv2Y/edit?usp=sharing"",""งบพรบ!DU17"")"),0)</f>
        <v>0</v>
      </c>
      <c r="J17" s="176">
        <f t="shared" ca="1" si="24"/>
        <v>0</v>
      </c>
      <c r="K17" s="181">
        <f t="shared" ca="1" si="25"/>
        <v>0</v>
      </c>
      <c r="L17" s="176">
        <f ca="1">IFERROR(__xludf.DUMMYFUNCTION("IMPORTRANGE(""https://docs.google.com/spreadsheets/d/1-uDff_7J0KD5mKrp0Vvzr7lt3OU09vwQwhkpOPPYv2Y/edit?usp=sharing"",""งบพรบ!DV17"")"),0)</f>
        <v>0</v>
      </c>
      <c r="M17" s="179">
        <f t="shared" ca="1" si="26"/>
        <v>0</v>
      </c>
      <c r="N17" s="179">
        <f t="shared" ca="1" si="27"/>
        <v>0</v>
      </c>
      <c r="O17" s="180">
        <f ca="1">IFERROR(__xludf.DUMMYFUNCTION("IMPORTRANGE(""https://docs.google.com/spreadsheets/d/1-uDff_7J0KD5mKrp0Vvzr7lt3OU09vwQwhkpOPPYv2Y/edit?usp=sharing"",""งบพรบ!DW17"")"),0)</f>
        <v>0</v>
      </c>
      <c r="P17" s="180">
        <f t="shared" ca="1" si="28"/>
        <v>0</v>
      </c>
      <c r="Q17" s="179">
        <f t="shared" ca="1" si="29"/>
        <v>0</v>
      </c>
      <c r="R17" s="92">
        <f ca="1">IFERROR(__xludf.DUMMYFUNCTION("IMPORTRANGE(""https://docs.google.com/spreadsheets/d/1W6MnUbDkMi6xHnHko_XkFDO9kkuL6Wqyc-6OCDFjW9I/edit?usp=sharing"",""ตาก!I292"")"),200)</f>
        <v>200</v>
      </c>
      <c r="S17" s="92">
        <f ca="1">IFERROR(__xludf.DUMMYFUNCTION("IMPORTRANGE(""https://docs.google.com/spreadsheets/d/1W6MnUbDkMi6xHnHko_XkFDO9kkuL6Wqyc-6OCDFjW9I/edit?usp=sharing"",""ตาก!J292"")"),0)</f>
        <v>0</v>
      </c>
      <c r="T17" s="93">
        <f t="shared" ca="1" si="31"/>
        <v>0</v>
      </c>
      <c r="U17" s="92">
        <f ca="1">IFERROR(__xludf.DUMMYFUNCTION("IMPORTRANGE(""https://docs.google.com/spreadsheets/d/1W6MnUbDkMi6xHnHko_XkFDO9kkuL6Wqyc-6OCDFjW9I/edit?usp=sharing"",""ตาก!I293"")"),20)</f>
        <v>20</v>
      </c>
      <c r="V17" s="92">
        <f ca="1">IFERROR(__xludf.DUMMYFUNCTION("IMPORTRANGE(""https://docs.google.com/spreadsheets/d/1W6MnUbDkMi6xHnHko_XkFDO9kkuL6Wqyc-6OCDFjW9I/edit?usp=sharing"",""ตาก!J293"")"),0)</f>
        <v>0</v>
      </c>
      <c r="W17" s="93">
        <f t="shared" ca="1" si="33"/>
        <v>0</v>
      </c>
      <c r="X17" s="92">
        <f ca="1">IFERROR(__xludf.DUMMYFUNCTION("IMPORTRANGE(""https://docs.google.com/spreadsheets/d/1W6MnUbDkMi6xHnHko_XkFDO9kkuL6Wqyc-6OCDFjW9I/edit?usp=sharing"",""ตาก!I295"")"),20)</f>
        <v>20</v>
      </c>
      <c r="Y17" s="92">
        <f ca="1">IFERROR(__xludf.DUMMYFUNCTION("IMPORTRANGE(""https://docs.google.com/spreadsheets/d/1W6MnUbDkMi6xHnHko_XkFDO9kkuL6Wqyc-6OCDFjW9I/edit?usp=sharing"",""ตาก!J295"")"),0)</f>
        <v>0</v>
      </c>
      <c r="Z17" s="93">
        <f t="shared" ca="1" si="35"/>
        <v>0</v>
      </c>
      <c r="AA17" s="311">
        <f ca="1">IFERROR(__xludf.DUMMYFUNCTION("IMPORTRANGE(""https://docs.google.com/spreadsheets/d/1W6MnUbDkMi6xHnHko_XkFDO9kkuL6Wqyc-6OCDFjW9I/edit?usp=sharing"",""ตาก!J296"")"),0)</f>
        <v>0</v>
      </c>
      <c r="AB17" s="312">
        <f t="shared" ca="1" si="36"/>
        <v>0</v>
      </c>
    </row>
    <row r="18" spans="1:28" ht="24" customHeight="1" x14ac:dyDescent="0.3">
      <c r="A18" s="84">
        <v>5</v>
      </c>
      <c r="B18" s="85" t="s">
        <v>40</v>
      </c>
      <c r="C18" s="174">
        <f t="shared" ca="1" si="22"/>
        <v>193220</v>
      </c>
      <c r="D18" s="175">
        <f t="shared" ca="1" si="37"/>
        <v>193220</v>
      </c>
      <c r="E18" s="176">
        <f ca="1">IFERROR(__xludf.DUMMYFUNCTION("IMPORTRANGE(""https://docs.google.com/spreadsheets/d/1-uDff_7J0KD5mKrp0Vvzr7lt3OU09vwQwhkpOPPYv2Y/edit?usp=sharing"",""งบพรบ!DP18"")"),79100)</f>
        <v>79100</v>
      </c>
      <c r="F18" s="176">
        <f ca="1">IFERROR(__xludf.DUMMYFUNCTION("IMPORTRANGE(""https://docs.google.com/spreadsheets/d/1-uDff_7J0KD5mKrp0Vvzr7lt3OU09vwQwhkpOPPYv2Y/edit?usp=sharing"",""งบพรบ!DQ18"")"),114120)</f>
        <v>114120</v>
      </c>
      <c r="G18" s="176">
        <f ca="1">IFERROR(__xludf.DUMMYFUNCTION("IMPORTRANGE(""https://docs.google.com/spreadsheets/d/1-uDff_7J0KD5mKrp0Vvzr7lt3OU09vwQwhkpOPPYv2Y/edit?usp=sharing"",""งบพรบ!DR18"")"),0)</f>
        <v>0</v>
      </c>
      <c r="H18" s="176">
        <f ca="1">IFERROR(__xludf.DUMMYFUNCTION("IMPORTRANGE(""https://docs.google.com/spreadsheets/d/1-uDff_7J0KD5mKrp0Vvzr7lt3OU09vwQwhkpOPPYv2Y/edit?usp=sharing"",""งบพรบ!DT18"")"),158980)</f>
        <v>158980</v>
      </c>
      <c r="I18" s="176">
        <f ca="1">IFERROR(__xludf.DUMMYFUNCTION("IMPORTRANGE(""https://docs.google.com/spreadsheets/d/1-uDff_7J0KD5mKrp0Vvzr7lt3OU09vwQwhkpOPPYv2Y/edit?usp=sharing"",""งบพรบ!DU18"")"),0)</f>
        <v>0</v>
      </c>
      <c r="J18" s="176">
        <f t="shared" ca="1" si="24"/>
        <v>25876</v>
      </c>
      <c r="K18" s="181">
        <f t="shared" ca="1" si="25"/>
        <v>13.391988406997205</v>
      </c>
      <c r="L18" s="176">
        <f ca="1">IFERROR(__xludf.DUMMYFUNCTION("IMPORTRANGE(""https://docs.google.com/spreadsheets/d/1-uDff_7J0KD5mKrp0Vvzr7lt3OU09vwQwhkpOPPYv2Y/edit?usp=sharing"",""งบพรบ!DV18"")"),25876)</f>
        <v>25876</v>
      </c>
      <c r="M18" s="179">
        <f t="shared" ca="1" si="26"/>
        <v>13.391988406997205</v>
      </c>
      <c r="N18" s="179">
        <f t="shared" ca="1" si="27"/>
        <v>16.276261164926407</v>
      </c>
      <c r="O18" s="180">
        <f ca="1">IFERROR(__xludf.DUMMYFUNCTION("IMPORTRANGE(""https://docs.google.com/spreadsheets/d/1-uDff_7J0KD5mKrp0Vvzr7lt3OU09vwQwhkpOPPYv2Y/edit?usp=sharing"",""งบพรบ!DW18"")"),0)</f>
        <v>0</v>
      </c>
      <c r="P18" s="180">
        <f t="shared" ca="1" si="28"/>
        <v>0</v>
      </c>
      <c r="Q18" s="179">
        <f t="shared" ca="1" si="29"/>
        <v>0</v>
      </c>
      <c r="R18" s="92">
        <f ca="1">IFERROR(__xludf.DUMMYFUNCTION("IMPORTRANGE(""https://docs.google.com/spreadsheets/d/1IQAWArduLkta9LpYo4a_ULsyqdta6-6aDDiwpUnQT6c/edit?usp=sharing"",""นครสวรรค์!I292"")"),500)</f>
        <v>500</v>
      </c>
      <c r="S18" s="92">
        <f ca="1">IFERROR(__xludf.DUMMYFUNCTION("IMPORTRANGE(""https://docs.google.com/spreadsheets/d/1IQAWArduLkta9LpYo4a_ULsyqdta6-6aDDiwpUnQT6c/edit?usp=sharing"",""นครสวรรค์!J292"")"),0)</f>
        <v>0</v>
      </c>
      <c r="T18" s="93">
        <f t="shared" ca="1" si="31"/>
        <v>0</v>
      </c>
      <c r="U18" s="92">
        <f ca="1">IFERROR(__xludf.DUMMYFUNCTION("IMPORTRANGE(""https://docs.google.com/spreadsheets/d/1IQAWArduLkta9LpYo4a_ULsyqdta6-6aDDiwpUnQT6c/edit?usp=sharing"",""นครสวรรค์!I293"")"),50)</f>
        <v>50</v>
      </c>
      <c r="V18" s="92">
        <f ca="1">IFERROR(__xludf.DUMMYFUNCTION("IMPORTRANGE(""https://docs.google.com/spreadsheets/d/1IQAWArduLkta9LpYo4a_ULsyqdta6-6aDDiwpUnQT6c/edit?usp=sharing"",""นครสวรรค์!J293"")"),0)</f>
        <v>0</v>
      </c>
      <c r="W18" s="93">
        <f t="shared" ca="1" si="33"/>
        <v>0</v>
      </c>
      <c r="X18" s="92">
        <f ca="1">IFERROR(__xludf.DUMMYFUNCTION("IMPORTRANGE(""https://docs.google.com/spreadsheets/d/1IQAWArduLkta9LpYo4a_ULsyqdta6-6aDDiwpUnQT6c/edit?usp=sharing"",""นครสวรรค์!I295"")"),50)</f>
        <v>50</v>
      </c>
      <c r="Y18" s="92">
        <f ca="1">IFERROR(__xludf.DUMMYFUNCTION("IMPORTRANGE(""https://docs.google.com/spreadsheets/d/1IQAWArduLkta9LpYo4a_ULsyqdta6-6aDDiwpUnQT6c/edit?usp=sharing"",""นครสวรรค์!J295"")"),0)</f>
        <v>0</v>
      </c>
      <c r="Z18" s="93">
        <f t="shared" ca="1" si="35"/>
        <v>0</v>
      </c>
      <c r="AA18" s="311">
        <f ca="1">IFERROR(__xludf.DUMMYFUNCTION("IMPORTRANGE(""https://docs.google.com/spreadsheets/d/1IQAWArduLkta9LpYo4a_ULsyqdta6-6aDDiwpUnQT6c/edit?usp=sharing"",""นครสวรรค์!J296"")"),0)</f>
        <v>0</v>
      </c>
      <c r="AB18" s="312">
        <f t="shared" ca="1" si="36"/>
        <v>0</v>
      </c>
    </row>
    <row r="19" spans="1:28" ht="24" customHeight="1" x14ac:dyDescent="0.3">
      <c r="A19" s="84">
        <v>6</v>
      </c>
      <c r="B19" s="85" t="s">
        <v>41</v>
      </c>
      <c r="C19" s="174">
        <f t="shared" ca="1" si="22"/>
        <v>137220</v>
      </c>
      <c r="D19" s="175">
        <f t="shared" ca="1" si="37"/>
        <v>137220</v>
      </c>
      <c r="E19" s="176">
        <f ca="1">IFERROR(__xludf.DUMMYFUNCTION("IMPORTRANGE(""https://docs.google.com/spreadsheets/d/1-uDff_7J0KD5mKrp0Vvzr7lt3OU09vwQwhkpOPPYv2Y/edit?usp=sharing"",""งบพรบ!DP19"")"),81100)</f>
        <v>81100</v>
      </c>
      <c r="F19" s="176">
        <f ca="1">IFERROR(__xludf.DUMMYFUNCTION("IMPORTRANGE(""https://docs.google.com/spreadsheets/d/1-uDff_7J0KD5mKrp0Vvzr7lt3OU09vwQwhkpOPPYv2Y/edit?usp=sharing"",""งบพรบ!DQ19"")"),56120)</f>
        <v>56120</v>
      </c>
      <c r="G19" s="176">
        <f ca="1">IFERROR(__xludf.DUMMYFUNCTION("IMPORTRANGE(""https://docs.google.com/spreadsheets/d/1-uDff_7J0KD5mKrp0Vvzr7lt3OU09vwQwhkpOPPYv2Y/edit?usp=sharing"",""งบพรบ!DR19"")"),0)</f>
        <v>0</v>
      </c>
      <c r="H19" s="176">
        <f ca="1">IFERROR(__xludf.DUMMYFUNCTION("IMPORTRANGE(""https://docs.google.com/spreadsheets/d/1-uDff_7J0KD5mKrp0Vvzr7lt3OU09vwQwhkpOPPYv2Y/edit?usp=sharing"",""งบพรบ!DT19"")"),102480)</f>
        <v>102480</v>
      </c>
      <c r="I19" s="176">
        <f ca="1">IFERROR(__xludf.DUMMYFUNCTION("IMPORTRANGE(""https://docs.google.com/spreadsheets/d/1-uDff_7J0KD5mKrp0Vvzr7lt3OU09vwQwhkpOPPYv2Y/edit?usp=sharing"",""งบพรบ!DU19"")"),0)</f>
        <v>0</v>
      </c>
      <c r="J19" s="176">
        <f t="shared" ca="1" si="24"/>
        <v>22875</v>
      </c>
      <c r="K19" s="181">
        <f t="shared" ca="1" si="25"/>
        <v>16.670310450371666</v>
      </c>
      <c r="L19" s="176">
        <f ca="1">IFERROR(__xludf.DUMMYFUNCTION("IMPORTRANGE(""https://docs.google.com/spreadsheets/d/1-uDff_7J0KD5mKrp0Vvzr7lt3OU09vwQwhkpOPPYv2Y/edit?usp=sharing"",""งบพรบ!DV19"")"),22875)</f>
        <v>22875</v>
      </c>
      <c r="M19" s="179">
        <f t="shared" ca="1" si="26"/>
        <v>16.670310450371666</v>
      </c>
      <c r="N19" s="179">
        <f t="shared" ca="1" si="27"/>
        <v>22.321428571428573</v>
      </c>
      <c r="O19" s="180">
        <f ca="1">IFERROR(__xludf.DUMMYFUNCTION("IMPORTRANGE(""https://docs.google.com/spreadsheets/d/1-uDff_7J0KD5mKrp0Vvzr7lt3OU09vwQwhkpOPPYv2Y/edit?usp=sharing"",""งบพรบ!DW19"")"),0)</f>
        <v>0</v>
      </c>
      <c r="P19" s="180">
        <f t="shared" ca="1" si="28"/>
        <v>0</v>
      </c>
      <c r="Q19" s="179">
        <f t="shared" ca="1" si="29"/>
        <v>0</v>
      </c>
      <c r="R19" s="92">
        <f ca="1">IFERROR(__xludf.DUMMYFUNCTION("IMPORTRANGE(""https://docs.google.com/spreadsheets/d/10s13Sk5xrltsiR-Zkbmk5DwIaDIKO8XlbJAfqyT7Gvg/edit?usp=sharing"",""น่าน!I292"")"),100)</f>
        <v>100</v>
      </c>
      <c r="S19" s="92">
        <f ca="1">IFERROR(__xludf.DUMMYFUNCTION("IMPORTRANGE(""https://docs.google.com/spreadsheets/d/10s13Sk5xrltsiR-Zkbmk5DwIaDIKO8XlbJAfqyT7Gvg/edit?usp=sharing"",""น่าน!J292"")"),0)</f>
        <v>0</v>
      </c>
      <c r="T19" s="93">
        <f t="shared" ca="1" si="31"/>
        <v>0</v>
      </c>
      <c r="U19" s="92">
        <f ca="1">IFERROR(__xludf.DUMMYFUNCTION("IMPORTRANGE(""https://docs.google.com/spreadsheets/d/10s13Sk5xrltsiR-Zkbmk5DwIaDIKO8XlbJAfqyT7Gvg/edit?usp=sharing"",""น่าน!I293"")"),10)</f>
        <v>10</v>
      </c>
      <c r="V19" s="92">
        <f ca="1">IFERROR(__xludf.DUMMYFUNCTION("IMPORTRANGE(""https://docs.google.com/spreadsheets/d/10s13Sk5xrltsiR-Zkbmk5DwIaDIKO8XlbJAfqyT7Gvg/edit?usp=sharing"",""น่าน!J293"")"),0)</f>
        <v>0</v>
      </c>
      <c r="W19" s="93">
        <f t="shared" ca="1" si="33"/>
        <v>0</v>
      </c>
      <c r="X19" s="92">
        <f ca="1">IFERROR(__xludf.DUMMYFUNCTION("IMPORTRANGE(""https://docs.google.com/spreadsheets/d/10s13Sk5xrltsiR-Zkbmk5DwIaDIKO8XlbJAfqyT7Gvg/edit?usp=sharing"",""น่าน!I295"")"),10)</f>
        <v>10</v>
      </c>
      <c r="Y19" s="92">
        <f ca="1">IFERROR(__xludf.DUMMYFUNCTION("IMPORTRANGE(""https://docs.google.com/spreadsheets/d/10s13Sk5xrltsiR-Zkbmk5DwIaDIKO8XlbJAfqyT7Gvg/edit?usp=sharing"",""น่าน!J295"")"),0)</f>
        <v>0</v>
      </c>
      <c r="Z19" s="93">
        <f t="shared" ca="1" si="35"/>
        <v>0</v>
      </c>
      <c r="AA19" s="311">
        <f ca="1">IFERROR(__xludf.DUMMYFUNCTION("IMPORTRANGE(""https://docs.google.com/spreadsheets/d/10s13Sk5xrltsiR-Zkbmk5DwIaDIKO8XlbJAfqyT7Gvg/edit?usp=sharing"",""น่าน!J296"")"),0)</f>
        <v>0</v>
      </c>
      <c r="AB19" s="312">
        <f t="shared" ca="1" si="36"/>
        <v>0</v>
      </c>
    </row>
    <row r="20" spans="1:28" ht="24" customHeight="1" x14ac:dyDescent="0.3">
      <c r="A20" s="84">
        <v>7</v>
      </c>
      <c r="B20" s="85" t="s">
        <v>42</v>
      </c>
      <c r="C20" s="174">
        <f t="shared" ca="1" si="22"/>
        <v>56120</v>
      </c>
      <c r="D20" s="175">
        <f t="shared" ca="1" si="37"/>
        <v>56120</v>
      </c>
      <c r="E20" s="176">
        <f ca="1">IFERROR(__xludf.DUMMYFUNCTION("IMPORTRANGE(""https://docs.google.com/spreadsheets/d/1-uDff_7J0KD5mKrp0Vvzr7lt3OU09vwQwhkpOPPYv2Y/edit?usp=sharing"",""งบพรบ!DP20"")"),0)</f>
        <v>0</v>
      </c>
      <c r="F20" s="176">
        <f ca="1">IFERROR(__xludf.DUMMYFUNCTION("IMPORTRANGE(""https://docs.google.com/spreadsheets/d/1-uDff_7J0KD5mKrp0Vvzr7lt3OU09vwQwhkpOPPYv2Y/edit?usp=sharing"",""งบพรบ!DQ20"")"),56120)</f>
        <v>56120</v>
      </c>
      <c r="G20" s="176">
        <f ca="1">IFERROR(__xludf.DUMMYFUNCTION("IMPORTRANGE(""https://docs.google.com/spreadsheets/d/1-uDff_7J0KD5mKrp0Vvzr7lt3OU09vwQwhkpOPPYv2Y/edit?usp=sharing"",""งบพรบ!DR20"")"),0)</f>
        <v>0</v>
      </c>
      <c r="H20" s="176">
        <f ca="1">IFERROR(__xludf.DUMMYFUNCTION("IMPORTRANGE(""https://docs.google.com/spreadsheets/d/1-uDff_7J0KD5mKrp0Vvzr7lt3OU09vwQwhkpOPPYv2Y/edit?usp=sharing"",""งบพรบ!DT20"")"),44480)</f>
        <v>44480</v>
      </c>
      <c r="I20" s="176">
        <f ca="1">IFERROR(__xludf.DUMMYFUNCTION("IMPORTRANGE(""https://docs.google.com/spreadsheets/d/1-uDff_7J0KD5mKrp0Vvzr7lt3OU09vwQwhkpOPPYv2Y/edit?usp=sharing"",""งบพรบ!DU20"")"),0)</f>
        <v>0</v>
      </c>
      <c r="J20" s="176">
        <f t="shared" ca="1" si="24"/>
        <v>0</v>
      </c>
      <c r="K20" s="181">
        <f t="shared" ca="1" si="25"/>
        <v>0</v>
      </c>
      <c r="L20" s="176">
        <f ca="1">IFERROR(__xludf.DUMMYFUNCTION("IMPORTRANGE(""https://docs.google.com/spreadsheets/d/1-uDff_7J0KD5mKrp0Vvzr7lt3OU09vwQwhkpOPPYv2Y/edit?usp=sharing"",""งบพรบ!DV20"")"),0)</f>
        <v>0</v>
      </c>
      <c r="M20" s="179">
        <f t="shared" ca="1" si="26"/>
        <v>0</v>
      </c>
      <c r="N20" s="179">
        <f t="shared" ca="1" si="27"/>
        <v>0</v>
      </c>
      <c r="O20" s="180">
        <f ca="1">IFERROR(__xludf.DUMMYFUNCTION("IMPORTRANGE(""https://docs.google.com/spreadsheets/d/1-uDff_7J0KD5mKrp0Vvzr7lt3OU09vwQwhkpOPPYv2Y/edit?usp=sharing"",""งบพรบ!DW20"")"),0)</f>
        <v>0</v>
      </c>
      <c r="P20" s="180">
        <f t="shared" ca="1" si="28"/>
        <v>0</v>
      </c>
      <c r="Q20" s="179">
        <f t="shared" ca="1" si="29"/>
        <v>0</v>
      </c>
      <c r="R20" s="92">
        <f ca="1">IFERROR(__xludf.DUMMYFUNCTION("IMPORTRANGE(""https://docs.google.com/spreadsheets/d/1uu4nAn4Dbi1XREnLKKotUANlKXa7yCgRcgq8HEzQYW8/edit?usp=sharing"",""พะเยา!I292"")"),100)</f>
        <v>100</v>
      </c>
      <c r="S20" s="92">
        <f ca="1">IFERROR(__xludf.DUMMYFUNCTION("IMPORTRANGE(""https://docs.google.com/spreadsheets/d/1uu4nAn4Dbi1XREnLKKotUANlKXa7yCgRcgq8HEzQYW8/edit?usp=sharing"",""พะเยา!J292"")"),0)</f>
        <v>0</v>
      </c>
      <c r="T20" s="93">
        <f t="shared" ca="1" si="31"/>
        <v>0</v>
      </c>
      <c r="U20" s="92">
        <f ca="1">IFERROR(__xludf.DUMMYFUNCTION("IMPORTRANGE(""https://docs.google.com/spreadsheets/d/1uu4nAn4Dbi1XREnLKKotUANlKXa7yCgRcgq8HEzQYW8/edit?usp=sharing"",""พะเยา!I293"")"),10)</f>
        <v>10</v>
      </c>
      <c r="V20" s="92">
        <f ca="1">IFERROR(__xludf.DUMMYFUNCTION("IMPORTRANGE(""https://docs.google.com/spreadsheets/d/1uu4nAn4Dbi1XREnLKKotUANlKXa7yCgRcgq8HEzQYW8/edit?usp=sharing"",""พะเยา!J293"")"),0)</f>
        <v>0</v>
      </c>
      <c r="W20" s="93">
        <f t="shared" ca="1" si="33"/>
        <v>0</v>
      </c>
      <c r="X20" s="92">
        <f ca="1">IFERROR(__xludf.DUMMYFUNCTION("IMPORTRANGE(""https://docs.google.com/spreadsheets/d/1uu4nAn4Dbi1XREnLKKotUANlKXa7yCgRcgq8HEzQYW8/edit?usp=sharing"",""พะเยา!I295"")"),10)</f>
        <v>10</v>
      </c>
      <c r="Y20" s="92">
        <f ca="1">IFERROR(__xludf.DUMMYFUNCTION("IMPORTRANGE(""https://docs.google.com/spreadsheets/d/1uu4nAn4Dbi1XREnLKKotUANlKXa7yCgRcgq8HEzQYW8/edit?usp=sharing"",""พะเยา!J295"")"),0)</f>
        <v>0</v>
      </c>
      <c r="Z20" s="93">
        <f t="shared" ca="1" si="35"/>
        <v>0</v>
      </c>
      <c r="AA20" s="311">
        <f ca="1">IFERROR(__xludf.DUMMYFUNCTION("IMPORTRANGE(""https://docs.google.com/spreadsheets/d/1uu4nAn4Dbi1XREnLKKotUANlKXa7yCgRcgq8HEzQYW8/edit?usp=sharing"",""พะเยา!J296"")"),0)</f>
        <v>0</v>
      </c>
      <c r="AB20" s="312">
        <f t="shared" ca="1" si="36"/>
        <v>0</v>
      </c>
    </row>
    <row r="21" spans="1:28" ht="24" customHeight="1" x14ac:dyDescent="0.3">
      <c r="A21" s="84">
        <v>8</v>
      </c>
      <c r="B21" s="85" t="s">
        <v>43</v>
      </c>
      <c r="C21" s="174">
        <f t="shared" ca="1" si="22"/>
        <v>132320</v>
      </c>
      <c r="D21" s="175">
        <f t="shared" ca="1" si="37"/>
        <v>132320</v>
      </c>
      <c r="E21" s="176">
        <f ca="1">IFERROR(__xludf.DUMMYFUNCTION("IMPORTRANGE(""https://docs.google.com/spreadsheets/d/1-uDff_7J0KD5mKrp0Vvzr7lt3OU09vwQwhkpOPPYv2Y/edit?usp=sharing"",""งบพรบ!DP21"")"),76200)</f>
        <v>76200</v>
      </c>
      <c r="F21" s="176">
        <f ca="1">IFERROR(__xludf.DUMMYFUNCTION("IMPORTRANGE(""https://docs.google.com/spreadsheets/d/1-uDff_7J0KD5mKrp0Vvzr7lt3OU09vwQwhkpOPPYv2Y/edit?usp=sharing"",""งบพรบ!DQ21"")"),56120)</f>
        <v>56120</v>
      </c>
      <c r="G21" s="176">
        <f ca="1">IFERROR(__xludf.DUMMYFUNCTION("IMPORTRANGE(""https://docs.google.com/spreadsheets/d/1-uDff_7J0KD5mKrp0Vvzr7lt3OU09vwQwhkpOPPYv2Y/edit?usp=sharing"",""งบพรบ!DR21"")"),0)</f>
        <v>0</v>
      </c>
      <c r="H21" s="176">
        <f ca="1">IFERROR(__xludf.DUMMYFUNCTION("IMPORTRANGE(""https://docs.google.com/spreadsheets/d/1-uDff_7J0KD5mKrp0Vvzr7lt3OU09vwQwhkpOPPYv2Y/edit?usp=sharing"",""งบพรบ!DT21"")"),98980)</f>
        <v>98980</v>
      </c>
      <c r="I21" s="176">
        <f ca="1">IFERROR(__xludf.DUMMYFUNCTION("IMPORTRANGE(""https://docs.google.com/spreadsheets/d/1-uDff_7J0KD5mKrp0Vvzr7lt3OU09vwQwhkpOPPYv2Y/edit?usp=sharing"",""งบพรบ!DU21"")"),0)</f>
        <v>0</v>
      </c>
      <c r="J21" s="176">
        <f t="shared" ca="1" si="24"/>
        <v>26876</v>
      </c>
      <c r="K21" s="181">
        <f t="shared" ca="1" si="25"/>
        <v>20.311366384522369</v>
      </c>
      <c r="L21" s="176">
        <f ca="1">IFERROR(__xludf.DUMMYFUNCTION("IMPORTRANGE(""https://docs.google.com/spreadsheets/d/1-uDff_7J0KD5mKrp0Vvzr7lt3OU09vwQwhkpOPPYv2Y/edit?usp=sharing"",""งบพรบ!DV21"")"),26876)</f>
        <v>26876</v>
      </c>
      <c r="M21" s="179">
        <f t="shared" ca="1" si="26"/>
        <v>20.311366384522369</v>
      </c>
      <c r="N21" s="179">
        <f t="shared" ca="1" si="27"/>
        <v>27.152960193978583</v>
      </c>
      <c r="O21" s="180">
        <f ca="1">IFERROR(__xludf.DUMMYFUNCTION("IMPORTRANGE(""https://docs.google.com/spreadsheets/d/1-uDff_7J0KD5mKrp0Vvzr7lt3OU09vwQwhkpOPPYv2Y/edit?usp=sharing"",""งบพรบ!DW21"")"),0)</f>
        <v>0</v>
      </c>
      <c r="P21" s="180">
        <f t="shared" ca="1" si="28"/>
        <v>0</v>
      </c>
      <c r="Q21" s="179">
        <f t="shared" ca="1" si="29"/>
        <v>0</v>
      </c>
      <c r="R21" s="92">
        <f ca="1">IFERROR(__xludf.DUMMYFUNCTION("IMPORTRANGE(""https://docs.google.com/spreadsheets/d/1xfJKIQxVOaPDIICqsflNlLu3JacTDk1FP9RH4phX7mI/edit?usp=sharing"",""พิจิตร!I292"")"),100)</f>
        <v>100</v>
      </c>
      <c r="S21" s="92">
        <f ca="1">IFERROR(__xludf.DUMMYFUNCTION("IMPORTRANGE(""https://docs.google.com/spreadsheets/d/1xfJKIQxVOaPDIICqsflNlLu3JacTDk1FP9RH4phX7mI/edit?usp=sharing"",""พิจิตร!J292"")"),0)</f>
        <v>0</v>
      </c>
      <c r="T21" s="93">
        <f t="shared" ca="1" si="31"/>
        <v>0</v>
      </c>
      <c r="U21" s="92">
        <f ca="1">IFERROR(__xludf.DUMMYFUNCTION("IMPORTRANGE(""https://docs.google.com/spreadsheets/d/1xfJKIQxVOaPDIICqsflNlLu3JacTDk1FP9RH4phX7mI/edit?usp=sharing"",""พิจิตร!I293"")"),10)</f>
        <v>10</v>
      </c>
      <c r="V21" s="92">
        <f ca="1">IFERROR(__xludf.DUMMYFUNCTION("IMPORTRANGE(""https://docs.google.com/spreadsheets/d/1xfJKIQxVOaPDIICqsflNlLu3JacTDk1FP9RH4phX7mI/edit?usp=sharing"",""พิจิตร!J293"")"),0)</f>
        <v>0</v>
      </c>
      <c r="W21" s="93">
        <f t="shared" ca="1" si="33"/>
        <v>0</v>
      </c>
      <c r="X21" s="92">
        <f ca="1">IFERROR(__xludf.DUMMYFUNCTION("IMPORTRANGE(""https://docs.google.com/spreadsheets/d/1xfJKIQxVOaPDIICqsflNlLu3JacTDk1FP9RH4phX7mI/edit?usp=sharing"",""พิจิตร!I295"")"),10)</f>
        <v>10</v>
      </c>
      <c r="Y21" s="92">
        <f ca="1">IFERROR(__xludf.DUMMYFUNCTION("IMPORTRANGE(""https://docs.google.com/spreadsheets/d/1xfJKIQxVOaPDIICqsflNlLu3JacTDk1FP9RH4phX7mI/edit?usp=sharing"",""พิจิตร!J295"")"),0)</f>
        <v>0</v>
      </c>
      <c r="Z21" s="93">
        <f t="shared" ca="1" si="35"/>
        <v>0</v>
      </c>
      <c r="AA21" s="311">
        <f ca="1">IFERROR(__xludf.DUMMYFUNCTION("IMPORTRANGE(""https://docs.google.com/spreadsheets/d/1xfJKIQxVOaPDIICqsflNlLu3JacTDk1FP9RH4phX7mI/edit?usp=sharing"",""พิจิตร!J296"")"),0)</f>
        <v>0</v>
      </c>
      <c r="AB21" s="312">
        <f t="shared" ca="1" si="36"/>
        <v>0</v>
      </c>
    </row>
    <row r="22" spans="1:28" ht="24" customHeight="1" x14ac:dyDescent="0.3">
      <c r="A22" s="84">
        <v>9</v>
      </c>
      <c r="B22" s="85" t="s">
        <v>44</v>
      </c>
      <c r="C22" s="174">
        <f t="shared" ca="1" si="22"/>
        <v>140620</v>
      </c>
      <c r="D22" s="175">
        <f t="shared" ca="1" si="37"/>
        <v>140620</v>
      </c>
      <c r="E22" s="176">
        <f ca="1">IFERROR(__xludf.DUMMYFUNCTION("IMPORTRANGE(""https://docs.google.com/spreadsheets/d/1-uDff_7J0KD5mKrp0Vvzr7lt3OU09vwQwhkpOPPYv2Y/edit?usp=sharing"",""งบพรบ!DP22"")"),84500)</f>
        <v>84500</v>
      </c>
      <c r="F22" s="176">
        <f ca="1">IFERROR(__xludf.DUMMYFUNCTION("IMPORTRANGE(""https://docs.google.com/spreadsheets/d/1-uDff_7J0KD5mKrp0Vvzr7lt3OU09vwQwhkpOPPYv2Y/edit?usp=sharing"",""งบพรบ!DQ22"")"),56120)</f>
        <v>56120</v>
      </c>
      <c r="G22" s="176">
        <f ca="1">IFERROR(__xludf.DUMMYFUNCTION("IMPORTRANGE(""https://docs.google.com/spreadsheets/d/1-uDff_7J0KD5mKrp0Vvzr7lt3OU09vwQwhkpOPPYv2Y/edit?usp=sharing"",""งบพรบ!DR22"")"),0)</f>
        <v>0</v>
      </c>
      <c r="H22" s="176">
        <f ca="1">IFERROR(__xludf.DUMMYFUNCTION("IMPORTRANGE(""https://docs.google.com/spreadsheets/d/1-uDff_7J0KD5mKrp0Vvzr7lt3OU09vwQwhkpOPPYv2Y/edit?usp=sharing"",""งบพรบ!DT22"")"),104980)</f>
        <v>104980</v>
      </c>
      <c r="I22" s="176">
        <f ca="1">IFERROR(__xludf.DUMMYFUNCTION("IMPORTRANGE(""https://docs.google.com/spreadsheets/d/1-uDff_7J0KD5mKrp0Vvzr7lt3OU09vwQwhkpOPPYv2Y/edit?usp=sharing"",""งบพรบ!DU22"")"),0)</f>
        <v>0</v>
      </c>
      <c r="J22" s="176">
        <f t="shared" ca="1" si="24"/>
        <v>4584.95</v>
      </c>
      <c r="K22" s="181">
        <f t="shared" ca="1" si="25"/>
        <v>3.2605248186602189</v>
      </c>
      <c r="L22" s="176">
        <f ca="1">IFERROR(__xludf.DUMMYFUNCTION("IMPORTRANGE(""https://docs.google.com/spreadsheets/d/1-uDff_7J0KD5mKrp0Vvzr7lt3OU09vwQwhkpOPPYv2Y/edit?usp=sharing"",""งบพรบ!DV22"")"),4584.95)</f>
        <v>4584.95</v>
      </c>
      <c r="M22" s="179">
        <f t="shared" ca="1" si="26"/>
        <v>3.2605248186602189</v>
      </c>
      <c r="N22" s="179">
        <f t="shared" ca="1" si="27"/>
        <v>4.3674509430367685</v>
      </c>
      <c r="O22" s="180">
        <f ca="1">IFERROR(__xludf.DUMMYFUNCTION("IMPORTRANGE(""https://docs.google.com/spreadsheets/d/1-uDff_7J0KD5mKrp0Vvzr7lt3OU09vwQwhkpOPPYv2Y/edit?usp=sharing"",""งบพรบ!DW22"")"),0)</f>
        <v>0</v>
      </c>
      <c r="P22" s="180">
        <f t="shared" ca="1" si="28"/>
        <v>0</v>
      </c>
      <c r="Q22" s="179">
        <f t="shared" ca="1" si="29"/>
        <v>0</v>
      </c>
      <c r="R22" s="92">
        <f ca="1">IFERROR(__xludf.DUMMYFUNCTION("IMPORTRANGE(""https://docs.google.com/spreadsheets/d/1JtRfZkJMHtEhI5RdRHxYUG4FIZHqKDpNyIuN7A1Q0_k/edit?usp=sharing"",""พิษณุโลก!I292"")"),100)</f>
        <v>100</v>
      </c>
      <c r="S22" s="92">
        <f ca="1">IFERROR(__xludf.DUMMYFUNCTION("IMPORTRANGE(""https://docs.google.com/spreadsheets/d/1JtRfZkJMHtEhI5RdRHxYUG4FIZHqKDpNyIuN7A1Q0_k/edit?usp=sharing"",""พิษณุโลก!J292"")"),0)</f>
        <v>0</v>
      </c>
      <c r="T22" s="93">
        <f t="shared" ca="1" si="31"/>
        <v>0</v>
      </c>
      <c r="U22" s="92">
        <f ca="1">IFERROR(__xludf.DUMMYFUNCTION("IMPORTRANGE(""https://docs.google.com/spreadsheets/d/1JtRfZkJMHtEhI5RdRHxYUG4FIZHqKDpNyIuN7A1Q0_k/edit?usp=sharing"",""พิษณุโลก!I293"")"),10)</f>
        <v>10</v>
      </c>
      <c r="V22" s="92">
        <f ca="1">IFERROR(__xludf.DUMMYFUNCTION("IMPORTRANGE(""https://docs.google.com/spreadsheets/d/1JtRfZkJMHtEhI5RdRHxYUG4FIZHqKDpNyIuN7A1Q0_k/edit?usp=sharing"",""พิษณุโลก!J293"")"),0)</f>
        <v>0</v>
      </c>
      <c r="W22" s="93">
        <f t="shared" ca="1" si="33"/>
        <v>0</v>
      </c>
      <c r="X22" s="92">
        <f ca="1">IFERROR(__xludf.DUMMYFUNCTION("IMPORTRANGE(""https://docs.google.com/spreadsheets/d/1JtRfZkJMHtEhI5RdRHxYUG4FIZHqKDpNyIuN7A1Q0_k/edit?usp=sharing"",""พิษณุโลก!I295"")"),10)</f>
        <v>10</v>
      </c>
      <c r="Y22" s="92">
        <f ca="1">IFERROR(__xludf.DUMMYFUNCTION("IMPORTRANGE(""https://docs.google.com/spreadsheets/d/1JtRfZkJMHtEhI5RdRHxYUG4FIZHqKDpNyIuN7A1Q0_k/edit?usp=sharing"",""พิษณุโลก!J295"")"),0)</f>
        <v>0</v>
      </c>
      <c r="Z22" s="93">
        <f t="shared" ca="1" si="35"/>
        <v>0</v>
      </c>
      <c r="AA22" s="311">
        <f ca="1">IFERROR(__xludf.DUMMYFUNCTION("IMPORTRANGE(""https://docs.google.com/spreadsheets/d/1JtRfZkJMHtEhI5RdRHxYUG4FIZHqKDpNyIuN7A1Q0_k/edit?usp=sharing"",""พิษณุโลก!J296"")"),0)</f>
        <v>0</v>
      </c>
      <c r="AB22" s="312">
        <f t="shared" ca="1" si="36"/>
        <v>0</v>
      </c>
    </row>
    <row r="23" spans="1:28" ht="24" customHeight="1" x14ac:dyDescent="0.3">
      <c r="A23" s="84">
        <v>10</v>
      </c>
      <c r="B23" s="85" t="s">
        <v>45</v>
      </c>
      <c r="C23" s="174">
        <f t="shared" ca="1" si="22"/>
        <v>222220</v>
      </c>
      <c r="D23" s="175">
        <f t="shared" ca="1" si="37"/>
        <v>222220</v>
      </c>
      <c r="E23" s="176">
        <f ca="1">IFERROR(__xludf.DUMMYFUNCTION("IMPORTRANGE(""https://docs.google.com/spreadsheets/d/1-uDff_7J0KD5mKrp0Vvzr7lt3OU09vwQwhkpOPPYv2Y/edit?usp=sharing"",""งบพรบ!DP23"")"),79100)</f>
        <v>79100</v>
      </c>
      <c r="F23" s="176">
        <f ca="1">IFERROR(__xludf.DUMMYFUNCTION("IMPORTRANGE(""https://docs.google.com/spreadsheets/d/1-uDff_7J0KD5mKrp0Vvzr7lt3OU09vwQwhkpOPPYv2Y/edit?usp=sharing"",""งบพรบ!DQ23"")"),143120)</f>
        <v>143120</v>
      </c>
      <c r="G23" s="176">
        <f ca="1">IFERROR(__xludf.DUMMYFUNCTION("IMPORTRANGE(""https://docs.google.com/spreadsheets/d/1-uDff_7J0KD5mKrp0Vvzr7lt3OU09vwQwhkpOPPYv2Y/edit?usp=sharing"",""งบพรบ!DR23"")"),0)</f>
        <v>0</v>
      </c>
      <c r="H23" s="176">
        <f ca="1">IFERROR(__xludf.DUMMYFUNCTION("IMPORTRANGE(""https://docs.google.com/spreadsheets/d/1-uDff_7J0KD5mKrp0Vvzr7lt3OU09vwQwhkpOPPYv2Y/edit?usp=sharing"",""งบพรบ!DT23"")"),187980)</f>
        <v>187980</v>
      </c>
      <c r="I23" s="176">
        <f ca="1">IFERROR(__xludf.DUMMYFUNCTION("IMPORTRANGE(""https://docs.google.com/spreadsheets/d/1-uDff_7J0KD5mKrp0Vvzr7lt3OU09vwQwhkpOPPYv2Y/edit?usp=sharing"",""งบพรบ!DU23"")"),0)</f>
        <v>0</v>
      </c>
      <c r="J23" s="176">
        <f t="shared" ca="1" si="24"/>
        <v>152642.95000000001</v>
      </c>
      <c r="K23" s="181">
        <f t="shared" ca="1" si="25"/>
        <v>68.690014400144008</v>
      </c>
      <c r="L23" s="176">
        <f ca="1">IFERROR(__xludf.DUMMYFUNCTION("IMPORTRANGE(""https://docs.google.com/spreadsheets/d/1-uDff_7J0KD5mKrp0Vvzr7lt3OU09vwQwhkpOPPYv2Y/edit?usp=sharing"",""งบพรบ!DV23"")"),152642.95)</f>
        <v>152642.95000000001</v>
      </c>
      <c r="M23" s="179">
        <f t="shared" ca="1" si="26"/>
        <v>68.690014400144008</v>
      </c>
      <c r="N23" s="179">
        <f t="shared" ca="1" si="27"/>
        <v>81.201696989041395</v>
      </c>
      <c r="O23" s="180">
        <f ca="1">IFERROR(__xludf.DUMMYFUNCTION("IMPORTRANGE(""https://docs.google.com/spreadsheets/d/1-uDff_7J0KD5mKrp0Vvzr7lt3OU09vwQwhkpOPPYv2Y/edit?usp=sharing"",""งบพรบ!DW23"")"),0)</f>
        <v>0</v>
      </c>
      <c r="P23" s="180">
        <f t="shared" ca="1" si="28"/>
        <v>0</v>
      </c>
      <c r="Q23" s="179">
        <f t="shared" ca="1" si="29"/>
        <v>0</v>
      </c>
      <c r="R23" s="92">
        <f ca="1">IFERROR(__xludf.DUMMYFUNCTION("IMPORTRANGE(""https://docs.google.com/spreadsheets/d/1xlcVZWUNn6SuWm0c307h32SiGkd9BaeQWlAktfD3KO8/edit?usp=sharing"",""เพชรบูรณ์!I292"")"),700)</f>
        <v>700</v>
      </c>
      <c r="S23" s="92">
        <f ca="1">IFERROR(__xludf.DUMMYFUNCTION("IMPORTRANGE(""https://docs.google.com/spreadsheets/d/1xlcVZWUNn6SuWm0c307h32SiGkd9BaeQWlAktfD3KO8/edit?usp=sharing"",""เพชรบูรณ์!J292"")"),700)</f>
        <v>700</v>
      </c>
      <c r="T23" s="93">
        <f t="shared" ca="1" si="31"/>
        <v>100</v>
      </c>
      <c r="U23" s="92">
        <f ca="1">IFERROR(__xludf.DUMMYFUNCTION("IMPORTRANGE(""https://docs.google.com/spreadsheets/d/1xlcVZWUNn6SuWm0c307h32SiGkd9BaeQWlAktfD3KO8/edit?usp=sharing"",""เพชรบูรณ์!I293"")"),70)</f>
        <v>70</v>
      </c>
      <c r="V23" s="92">
        <f ca="1">IFERROR(__xludf.DUMMYFUNCTION("IMPORTRANGE(""https://docs.google.com/spreadsheets/d/1xlcVZWUNn6SuWm0c307h32SiGkd9BaeQWlAktfD3KO8/edit?usp=sharing"",""เพชรบูรณ์!J293"")"),70)</f>
        <v>70</v>
      </c>
      <c r="W23" s="93">
        <f t="shared" ca="1" si="33"/>
        <v>100</v>
      </c>
      <c r="X23" s="92">
        <f ca="1">IFERROR(__xludf.DUMMYFUNCTION("IMPORTRANGE(""https://docs.google.com/spreadsheets/d/1xlcVZWUNn6SuWm0c307h32SiGkd9BaeQWlAktfD3KO8/edit?usp=sharing"",""เพชรบูรณ์!I295"")"),70)</f>
        <v>70</v>
      </c>
      <c r="Y23" s="92">
        <f ca="1">IFERROR(__xludf.DUMMYFUNCTION("IMPORTRANGE(""https://docs.google.com/spreadsheets/d/1xlcVZWUNn6SuWm0c307h32SiGkd9BaeQWlAktfD3KO8/edit?usp=sharing"",""เพชรบูรณ์!J295"")"),70)</f>
        <v>70</v>
      </c>
      <c r="Z23" s="93">
        <f t="shared" ca="1" si="35"/>
        <v>100</v>
      </c>
      <c r="AA23" s="311">
        <f ca="1">IFERROR(__xludf.DUMMYFUNCTION("IMPORTRANGE(""https://docs.google.com/spreadsheets/d/1xlcVZWUNn6SuWm0c307h32SiGkd9BaeQWlAktfD3KO8/edit?usp=sharing"",""เพชรบูรณ์!J296"")"),70)</f>
        <v>70</v>
      </c>
      <c r="AB23" s="312">
        <f t="shared" ca="1" si="36"/>
        <v>100</v>
      </c>
    </row>
    <row r="24" spans="1:28" ht="24" customHeight="1" x14ac:dyDescent="0.3">
      <c r="A24" s="84">
        <v>11</v>
      </c>
      <c r="B24" s="85" t="s">
        <v>46</v>
      </c>
      <c r="C24" s="174">
        <f t="shared" ca="1" si="22"/>
        <v>56120</v>
      </c>
      <c r="D24" s="175">
        <f t="shared" ca="1" si="37"/>
        <v>56120</v>
      </c>
      <c r="E24" s="176">
        <f ca="1">IFERROR(__xludf.DUMMYFUNCTION("IMPORTRANGE(""https://docs.google.com/spreadsheets/d/1-uDff_7J0KD5mKrp0Vvzr7lt3OU09vwQwhkpOPPYv2Y/edit?usp=sharing"",""งบพรบ!DP24"")"),0)</f>
        <v>0</v>
      </c>
      <c r="F24" s="176">
        <f ca="1">IFERROR(__xludf.DUMMYFUNCTION("IMPORTRANGE(""https://docs.google.com/spreadsheets/d/1-uDff_7J0KD5mKrp0Vvzr7lt3OU09vwQwhkpOPPYv2Y/edit?usp=sharing"",""งบพรบ!DQ24"")"),56120)</f>
        <v>56120</v>
      </c>
      <c r="G24" s="176">
        <f ca="1">IFERROR(__xludf.DUMMYFUNCTION("IMPORTRANGE(""https://docs.google.com/spreadsheets/d/1-uDff_7J0KD5mKrp0Vvzr7lt3OU09vwQwhkpOPPYv2Y/edit?usp=sharing"",""งบพรบ!DR24"")"),0)</f>
        <v>0</v>
      </c>
      <c r="H24" s="176">
        <f ca="1">IFERROR(__xludf.DUMMYFUNCTION("IMPORTRANGE(""https://docs.google.com/spreadsheets/d/1-uDff_7J0KD5mKrp0Vvzr7lt3OU09vwQwhkpOPPYv2Y/edit?usp=sharing"",""งบพรบ!DT24"")"),44480)</f>
        <v>44480</v>
      </c>
      <c r="I24" s="176">
        <f ca="1">IFERROR(__xludf.DUMMYFUNCTION("IMPORTRANGE(""https://docs.google.com/spreadsheets/d/1-uDff_7J0KD5mKrp0Vvzr7lt3OU09vwQwhkpOPPYv2Y/edit?usp=sharing"",""งบพรบ!DU24"")"),0)</f>
        <v>0</v>
      </c>
      <c r="J24" s="176">
        <f t="shared" ca="1" si="24"/>
        <v>6670</v>
      </c>
      <c r="K24" s="181">
        <f t="shared" ca="1" si="25"/>
        <v>11.885245901639344</v>
      </c>
      <c r="L24" s="176">
        <f ca="1">IFERROR(__xludf.DUMMYFUNCTION("IMPORTRANGE(""https://docs.google.com/spreadsheets/d/1-uDff_7J0KD5mKrp0Vvzr7lt3OU09vwQwhkpOPPYv2Y/edit?usp=sharing"",""งบพรบ!DV24"")"),6670)</f>
        <v>6670</v>
      </c>
      <c r="M24" s="179">
        <f t="shared" ca="1" si="26"/>
        <v>11.885245901639344</v>
      </c>
      <c r="N24" s="179">
        <f t="shared" ca="1" si="27"/>
        <v>14.995503597122303</v>
      </c>
      <c r="O24" s="180">
        <f ca="1">IFERROR(__xludf.DUMMYFUNCTION("IMPORTRANGE(""https://docs.google.com/spreadsheets/d/1-uDff_7J0KD5mKrp0Vvzr7lt3OU09vwQwhkpOPPYv2Y/edit?usp=sharing"",""งบพรบ!DW24"")"),0)</f>
        <v>0</v>
      </c>
      <c r="P24" s="180">
        <f t="shared" ca="1" si="28"/>
        <v>0</v>
      </c>
      <c r="Q24" s="179">
        <f t="shared" ca="1" si="29"/>
        <v>0</v>
      </c>
      <c r="R24" s="92">
        <f ca="1">IFERROR(__xludf.DUMMYFUNCTION("IMPORTRANGE(""https://docs.google.com/spreadsheets/d/1lOVebEIsI9qjGXl6EX66luk7wiuP2tBaryw-wKvv4e0/edit?usp=sharing"",""แพร่!I292"")"),100)</f>
        <v>100</v>
      </c>
      <c r="S24" s="92">
        <f ca="1">IFERROR(__xludf.DUMMYFUNCTION("IMPORTRANGE(""https://docs.google.com/spreadsheets/d/1lOVebEIsI9qjGXl6EX66luk7wiuP2tBaryw-wKvv4e0/edit?usp=sharing"",""แพร่!J292"")"),0)</f>
        <v>0</v>
      </c>
      <c r="T24" s="93">
        <f t="shared" ca="1" si="31"/>
        <v>0</v>
      </c>
      <c r="U24" s="92">
        <f ca="1">IFERROR(__xludf.DUMMYFUNCTION("IMPORTRANGE(""https://docs.google.com/spreadsheets/d/1lOVebEIsI9qjGXl6EX66luk7wiuP2tBaryw-wKvv4e0/edit?usp=sharing"",""แพร่!I293"")"),10)</f>
        <v>10</v>
      </c>
      <c r="V24" s="92">
        <f ca="1">IFERROR(__xludf.DUMMYFUNCTION("IMPORTRANGE(""https://docs.google.com/spreadsheets/d/1lOVebEIsI9qjGXl6EX66luk7wiuP2tBaryw-wKvv4e0/edit?usp=sharing"",""แพร่!J293"")"),0)</f>
        <v>0</v>
      </c>
      <c r="W24" s="93">
        <f t="shared" ca="1" si="33"/>
        <v>0</v>
      </c>
      <c r="X24" s="92">
        <f ca="1">IFERROR(__xludf.DUMMYFUNCTION("IMPORTRANGE(""https://docs.google.com/spreadsheets/d/1lOVebEIsI9qjGXl6EX66luk7wiuP2tBaryw-wKvv4e0/edit?usp=sharing"",""แพร่!I295"")"),10)</f>
        <v>10</v>
      </c>
      <c r="Y24" s="92">
        <f ca="1">IFERROR(__xludf.DUMMYFUNCTION("IMPORTRANGE(""https://docs.google.com/spreadsheets/d/1lOVebEIsI9qjGXl6EX66luk7wiuP2tBaryw-wKvv4e0/edit?usp=sharing"",""แพร่!J295"")"),0)</f>
        <v>0</v>
      </c>
      <c r="Z24" s="93">
        <f t="shared" ca="1" si="35"/>
        <v>0</v>
      </c>
      <c r="AA24" s="311">
        <f ca="1">IFERROR(__xludf.DUMMYFUNCTION("IMPORTRANGE(""https://docs.google.com/spreadsheets/d/1lOVebEIsI9qjGXl6EX66luk7wiuP2tBaryw-wKvv4e0/edit?usp=sharing"",""แพร่!J296"")"),0)</f>
        <v>0</v>
      </c>
      <c r="AB24" s="312">
        <f t="shared" ca="1" si="36"/>
        <v>0</v>
      </c>
    </row>
    <row r="25" spans="1:28" ht="24" customHeight="1" x14ac:dyDescent="0.3">
      <c r="A25" s="84">
        <v>12</v>
      </c>
      <c r="B25" s="85" t="s">
        <v>47</v>
      </c>
      <c r="C25" s="174">
        <f t="shared" ca="1" si="22"/>
        <v>140120</v>
      </c>
      <c r="D25" s="175">
        <f t="shared" ca="1" si="37"/>
        <v>140120</v>
      </c>
      <c r="E25" s="176">
        <f ca="1">IFERROR(__xludf.DUMMYFUNCTION("IMPORTRANGE(""https://docs.google.com/spreadsheets/d/1-uDff_7J0KD5mKrp0Vvzr7lt3OU09vwQwhkpOPPYv2Y/edit?usp=sharing"",""งบพรบ!DP25"")"),82000)</f>
        <v>82000</v>
      </c>
      <c r="F25" s="176">
        <f ca="1">IFERROR(__xludf.DUMMYFUNCTION("IMPORTRANGE(""https://docs.google.com/spreadsheets/d/1-uDff_7J0KD5mKrp0Vvzr7lt3OU09vwQwhkpOPPYv2Y/edit?usp=sharing"",""งบพรบ!DQ25"")"),58120)</f>
        <v>58120</v>
      </c>
      <c r="G25" s="176">
        <f ca="1">IFERROR(__xludf.DUMMYFUNCTION("IMPORTRANGE(""https://docs.google.com/spreadsheets/d/1-uDff_7J0KD5mKrp0Vvzr7lt3OU09vwQwhkpOPPYv2Y/edit?usp=sharing"",""งบพรบ!DR25"")"),0)</f>
        <v>0</v>
      </c>
      <c r="H25" s="176">
        <f ca="1">IFERROR(__xludf.DUMMYFUNCTION("IMPORTRANGE(""https://docs.google.com/spreadsheets/d/1-uDff_7J0KD5mKrp0Vvzr7lt3OU09vwQwhkpOPPYv2Y/edit?usp=sharing"",""งบพรบ!DT25"")"),105480)</f>
        <v>105480</v>
      </c>
      <c r="I25" s="176">
        <f ca="1">IFERROR(__xludf.DUMMYFUNCTION("IMPORTRANGE(""https://docs.google.com/spreadsheets/d/1-uDff_7J0KD5mKrp0Vvzr7lt3OU09vwQwhkpOPPYv2Y/edit?usp=sharing"",""งบพรบ!DU25"")"),0)</f>
        <v>0</v>
      </c>
      <c r="J25" s="176">
        <f t="shared" ca="1" si="24"/>
        <v>34119.440000000002</v>
      </c>
      <c r="K25" s="181">
        <f t="shared" ca="1" si="25"/>
        <v>24.350157008278618</v>
      </c>
      <c r="L25" s="176">
        <f ca="1">IFERROR(__xludf.DUMMYFUNCTION("IMPORTRANGE(""https://docs.google.com/spreadsheets/d/1-uDff_7J0KD5mKrp0Vvzr7lt3OU09vwQwhkpOPPYv2Y/edit?usp=sharing"",""งบพรบ!DV25"")"),34119.44)</f>
        <v>34119.440000000002</v>
      </c>
      <c r="M25" s="179">
        <f t="shared" ca="1" si="26"/>
        <v>24.350157008278618</v>
      </c>
      <c r="N25" s="179">
        <f t="shared" ca="1" si="27"/>
        <v>32.346833522942738</v>
      </c>
      <c r="O25" s="180">
        <f ca="1">IFERROR(__xludf.DUMMYFUNCTION("IMPORTRANGE(""https://docs.google.com/spreadsheets/d/1-uDff_7J0KD5mKrp0Vvzr7lt3OU09vwQwhkpOPPYv2Y/edit?usp=sharing"",""งบพรบ!DW25"")"),0)</f>
        <v>0</v>
      </c>
      <c r="P25" s="180">
        <f t="shared" ca="1" si="28"/>
        <v>0</v>
      </c>
      <c r="Q25" s="179">
        <f t="shared" ca="1" si="29"/>
        <v>0</v>
      </c>
      <c r="R25" s="92">
        <f ca="1">IFERROR(__xludf.DUMMYFUNCTION("IMPORTRANGE(""https://docs.google.com/spreadsheets/d/1dQrvX0vEcN7Gu0fnZ0B5S90AeR19zth4XlExFBeExMY/edit?usp=sharing"",""แม่ฮ่องสอน!I292"")"),100)</f>
        <v>100</v>
      </c>
      <c r="S25" s="92">
        <f ca="1">IFERROR(__xludf.DUMMYFUNCTION("IMPORTRANGE(""https://docs.google.com/spreadsheets/d/1dQrvX0vEcN7Gu0fnZ0B5S90AeR19zth4XlExFBeExMY/edit?usp=sharing"",""แม่ฮ่องสอน!J292"")"),0)</f>
        <v>0</v>
      </c>
      <c r="T25" s="93">
        <f t="shared" ca="1" si="31"/>
        <v>0</v>
      </c>
      <c r="U25" s="92">
        <f ca="1">IFERROR(__xludf.DUMMYFUNCTION("IMPORTRANGE(""https://docs.google.com/spreadsheets/d/1dQrvX0vEcN7Gu0fnZ0B5S90AeR19zth4XlExFBeExMY/edit?usp=sharing"",""แม่ฮ่องสอน!I293"")"),10)</f>
        <v>10</v>
      </c>
      <c r="V25" s="92">
        <f ca="1">IFERROR(__xludf.DUMMYFUNCTION("IMPORTRANGE(""https://docs.google.com/spreadsheets/d/1dQrvX0vEcN7Gu0fnZ0B5S90AeR19zth4XlExFBeExMY/edit?usp=sharing"",""แม่ฮ่องสอน!J293"")"),0)</f>
        <v>0</v>
      </c>
      <c r="W25" s="93">
        <f t="shared" ca="1" si="33"/>
        <v>0</v>
      </c>
      <c r="X25" s="92">
        <f ca="1">IFERROR(__xludf.DUMMYFUNCTION("IMPORTRANGE(""https://docs.google.com/spreadsheets/d/1dQrvX0vEcN7Gu0fnZ0B5S90AeR19zth4XlExFBeExMY/edit?usp=sharing"",""แม่ฮ่องสอน!I295"")"),10)</f>
        <v>10</v>
      </c>
      <c r="Y25" s="92">
        <f ca="1">IFERROR(__xludf.DUMMYFUNCTION("IMPORTRANGE(""https://docs.google.com/spreadsheets/d/1dQrvX0vEcN7Gu0fnZ0B5S90AeR19zth4XlExFBeExMY/edit?usp=sharing"",""แม่ฮ่องสอน!J295"")"),0)</f>
        <v>0</v>
      </c>
      <c r="Z25" s="93">
        <f t="shared" ca="1" si="35"/>
        <v>0</v>
      </c>
      <c r="AA25" s="311">
        <f ca="1">IFERROR(__xludf.DUMMYFUNCTION("IMPORTRANGE(""https://docs.google.com/spreadsheets/d/1dQrvX0vEcN7Gu0fnZ0B5S90AeR19zth4XlExFBeExMY/edit?usp=sharing"",""แม่ฮ่องสอน!J296"")"),0)</f>
        <v>0</v>
      </c>
      <c r="AB25" s="312">
        <f t="shared" ca="1" si="36"/>
        <v>0</v>
      </c>
    </row>
    <row r="26" spans="1:28" ht="24" customHeight="1" x14ac:dyDescent="0.3">
      <c r="A26" s="84">
        <v>13</v>
      </c>
      <c r="B26" s="85" t="s">
        <v>48</v>
      </c>
      <c r="C26" s="174">
        <f t="shared" ca="1" si="22"/>
        <v>85120</v>
      </c>
      <c r="D26" s="175">
        <f t="shared" ca="1" si="37"/>
        <v>85120</v>
      </c>
      <c r="E26" s="176">
        <f ca="1">IFERROR(__xludf.DUMMYFUNCTION("IMPORTRANGE(""https://docs.google.com/spreadsheets/d/1-uDff_7J0KD5mKrp0Vvzr7lt3OU09vwQwhkpOPPYv2Y/edit?usp=sharing"",""งบพรบ!DP26"")"),0)</f>
        <v>0</v>
      </c>
      <c r="F26" s="176">
        <f ca="1">IFERROR(__xludf.DUMMYFUNCTION("IMPORTRANGE(""https://docs.google.com/spreadsheets/d/1-uDff_7J0KD5mKrp0Vvzr7lt3OU09vwQwhkpOPPYv2Y/edit?usp=sharing"",""งบพรบ!DQ26"")"),85120)</f>
        <v>85120</v>
      </c>
      <c r="G26" s="176">
        <f ca="1">IFERROR(__xludf.DUMMYFUNCTION("IMPORTRANGE(""https://docs.google.com/spreadsheets/d/1-uDff_7J0KD5mKrp0Vvzr7lt3OU09vwQwhkpOPPYv2Y/edit?usp=sharing"",""งบพรบ!DR26"")"),0)</f>
        <v>0</v>
      </c>
      <c r="H26" s="176">
        <f ca="1">IFERROR(__xludf.DUMMYFUNCTION("IMPORTRANGE(""https://docs.google.com/spreadsheets/d/1-uDff_7J0KD5mKrp0Vvzr7lt3OU09vwQwhkpOPPYv2Y/edit?usp=sharing"",""งบพรบ!DT26"")"),73480)</f>
        <v>73480</v>
      </c>
      <c r="I26" s="176">
        <f ca="1">IFERROR(__xludf.DUMMYFUNCTION("IMPORTRANGE(""https://docs.google.com/spreadsheets/d/1-uDff_7J0KD5mKrp0Vvzr7lt3OU09vwQwhkpOPPYv2Y/edit?usp=sharing"",""งบพรบ!DU26"")"),0)</f>
        <v>0</v>
      </c>
      <c r="J26" s="176">
        <f t="shared" ca="1" si="24"/>
        <v>62480</v>
      </c>
      <c r="K26" s="181">
        <f t="shared" ca="1" si="25"/>
        <v>73.402255639097746</v>
      </c>
      <c r="L26" s="176">
        <f ca="1">IFERROR(__xludf.DUMMYFUNCTION("IMPORTRANGE(""https://docs.google.com/spreadsheets/d/1-uDff_7J0KD5mKrp0Vvzr7lt3OU09vwQwhkpOPPYv2Y/edit?usp=sharing"",""งบพรบ!DV26"")"),62480)</f>
        <v>62480</v>
      </c>
      <c r="M26" s="179">
        <f t="shared" ca="1" si="26"/>
        <v>73.402255639097746</v>
      </c>
      <c r="N26" s="179">
        <f t="shared" ca="1" si="27"/>
        <v>85.029940119760482</v>
      </c>
      <c r="O26" s="180">
        <f ca="1">IFERROR(__xludf.DUMMYFUNCTION("IMPORTRANGE(""https://docs.google.com/spreadsheets/d/1-uDff_7J0KD5mKrp0Vvzr7lt3OU09vwQwhkpOPPYv2Y/edit?usp=sharing"",""งบพรบ!DW26"")"),0)</f>
        <v>0</v>
      </c>
      <c r="P26" s="180">
        <f t="shared" ca="1" si="28"/>
        <v>0</v>
      </c>
      <c r="Q26" s="179">
        <f t="shared" ca="1" si="29"/>
        <v>0</v>
      </c>
      <c r="R26" s="92">
        <f ca="1">IFERROR(__xludf.DUMMYFUNCTION("IMPORTRANGE(""https://docs.google.com/spreadsheets/d/1DY4XTNNwjluuxqdfdn6qvOSlMRrZqUtmYcZR0ttFiG4/edit?usp=sharing"",""ลำปาง!I292"")"),300)</f>
        <v>300</v>
      </c>
      <c r="S26" s="92">
        <f ca="1">IFERROR(__xludf.DUMMYFUNCTION("IMPORTRANGE(""https://docs.google.com/spreadsheets/d/1DY4XTNNwjluuxqdfdn6qvOSlMRrZqUtmYcZR0ttFiG4/edit?usp=sharing"",""ลำปาง!J292"")"),300)</f>
        <v>300</v>
      </c>
      <c r="T26" s="93">
        <f t="shared" ca="1" si="31"/>
        <v>100</v>
      </c>
      <c r="U26" s="92">
        <f ca="1">IFERROR(__xludf.DUMMYFUNCTION("IMPORTRANGE(""https://docs.google.com/spreadsheets/d/1DY4XTNNwjluuxqdfdn6qvOSlMRrZqUtmYcZR0ttFiG4/edit?usp=sharing"",""ลำปาง!I293"")"),30)</f>
        <v>30</v>
      </c>
      <c r="V26" s="92">
        <f ca="1">IFERROR(__xludf.DUMMYFUNCTION("IMPORTRANGE(""https://docs.google.com/spreadsheets/d/1DY4XTNNwjluuxqdfdn6qvOSlMRrZqUtmYcZR0ttFiG4/edit?usp=sharing"",""ลำปาง!J293"")"),30)</f>
        <v>30</v>
      </c>
      <c r="W26" s="93">
        <f t="shared" ca="1" si="33"/>
        <v>100</v>
      </c>
      <c r="X26" s="92">
        <f ca="1">IFERROR(__xludf.DUMMYFUNCTION("IMPORTRANGE(""https://docs.google.com/spreadsheets/d/1DY4XTNNwjluuxqdfdn6qvOSlMRrZqUtmYcZR0ttFiG4/edit?usp=sharing"",""ลำปาง!I295"")"),30)</f>
        <v>30</v>
      </c>
      <c r="Y26" s="92">
        <f ca="1">IFERROR(__xludf.DUMMYFUNCTION("IMPORTRANGE(""https://docs.google.com/spreadsheets/d/1DY4XTNNwjluuxqdfdn6qvOSlMRrZqUtmYcZR0ttFiG4/edit?usp=sharing"",""ลำปาง!J295"")"),30)</f>
        <v>30</v>
      </c>
      <c r="Z26" s="93">
        <f t="shared" ca="1" si="35"/>
        <v>100</v>
      </c>
      <c r="AA26" s="311">
        <f ca="1">IFERROR(__xludf.DUMMYFUNCTION("IMPORTRANGE(""https://docs.google.com/spreadsheets/d/1DY4XTNNwjluuxqdfdn6qvOSlMRrZqUtmYcZR0ttFiG4/edit?usp=sharing"",""ลำปาง!J296"")"),30)</f>
        <v>30</v>
      </c>
      <c r="AB26" s="312">
        <f t="shared" ca="1" si="36"/>
        <v>100</v>
      </c>
    </row>
    <row r="27" spans="1:28" ht="24" customHeight="1" x14ac:dyDescent="0.3">
      <c r="A27" s="84">
        <v>14</v>
      </c>
      <c r="B27" s="85" t="s">
        <v>49</v>
      </c>
      <c r="C27" s="174">
        <f t="shared" ca="1" si="22"/>
        <v>56120</v>
      </c>
      <c r="D27" s="175">
        <f t="shared" ca="1" si="37"/>
        <v>56120</v>
      </c>
      <c r="E27" s="176">
        <f ca="1">IFERROR(__xludf.DUMMYFUNCTION("IMPORTRANGE(""https://docs.google.com/spreadsheets/d/1-uDff_7J0KD5mKrp0Vvzr7lt3OU09vwQwhkpOPPYv2Y/edit?usp=sharing"",""งบพรบ!DP27"")"),0)</f>
        <v>0</v>
      </c>
      <c r="F27" s="176">
        <f ca="1">IFERROR(__xludf.DUMMYFUNCTION("IMPORTRANGE(""https://docs.google.com/spreadsheets/d/1-uDff_7J0KD5mKrp0Vvzr7lt3OU09vwQwhkpOPPYv2Y/edit?usp=sharing"",""งบพรบ!DQ27"")"),56120)</f>
        <v>56120</v>
      </c>
      <c r="G27" s="176">
        <f ca="1">IFERROR(__xludf.DUMMYFUNCTION("IMPORTRANGE(""https://docs.google.com/spreadsheets/d/1-uDff_7J0KD5mKrp0Vvzr7lt3OU09vwQwhkpOPPYv2Y/edit?usp=sharing"",""งบพรบ!DR27"")"),0)</f>
        <v>0</v>
      </c>
      <c r="H27" s="176">
        <f ca="1">IFERROR(__xludf.DUMMYFUNCTION("IMPORTRANGE(""https://docs.google.com/spreadsheets/d/1-uDff_7J0KD5mKrp0Vvzr7lt3OU09vwQwhkpOPPYv2Y/edit?usp=sharing"",""งบพรบ!DT27"")"),44480)</f>
        <v>44480</v>
      </c>
      <c r="I27" s="176">
        <f ca="1">IFERROR(__xludf.DUMMYFUNCTION("IMPORTRANGE(""https://docs.google.com/spreadsheets/d/1-uDff_7J0KD5mKrp0Vvzr7lt3OU09vwQwhkpOPPYv2Y/edit?usp=sharing"",""งบพรบ!DU27"")"),0)</f>
        <v>0</v>
      </c>
      <c r="J27" s="176">
        <f t="shared" ca="1" si="24"/>
        <v>4940</v>
      </c>
      <c r="K27" s="181">
        <f t="shared" ca="1" si="25"/>
        <v>8.8025659301496795</v>
      </c>
      <c r="L27" s="176">
        <f ca="1">IFERROR(__xludf.DUMMYFUNCTION("IMPORTRANGE(""https://docs.google.com/spreadsheets/d/1-uDff_7J0KD5mKrp0Vvzr7lt3OU09vwQwhkpOPPYv2Y/edit?usp=sharing"",""งบพรบ!DV27"")"),4940)</f>
        <v>4940</v>
      </c>
      <c r="M27" s="179">
        <f t="shared" ca="1" si="26"/>
        <v>8.8025659301496795</v>
      </c>
      <c r="N27" s="179">
        <f t="shared" ca="1" si="27"/>
        <v>11.106115107913668</v>
      </c>
      <c r="O27" s="180">
        <f ca="1">IFERROR(__xludf.DUMMYFUNCTION("IMPORTRANGE(""https://docs.google.com/spreadsheets/d/1-uDff_7J0KD5mKrp0Vvzr7lt3OU09vwQwhkpOPPYv2Y/edit?usp=sharing"",""งบพรบ!DW27"")"),0)</f>
        <v>0</v>
      </c>
      <c r="P27" s="180">
        <f t="shared" ca="1" si="28"/>
        <v>0</v>
      </c>
      <c r="Q27" s="179">
        <f t="shared" ca="1" si="29"/>
        <v>0</v>
      </c>
      <c r="R27" s="92">
        <f ca="1">IFERROR(__xludf.DUMMYFUNCTION("IMPORTRANGE(""https://docs.google.com/spreadsheets/d/1ICwG78r0OFT8biBlxnBF8r7she7gNSzOvJ958PWT09c/edit?usp=sharing"",""ลำพูน!I292"")"),100)</f>
        <v>100</v>
      </c>
      <c r="S27" s="92">
        <f ca="1">IFERROR(__xludf.DUMMYFUNCTION("IMPORTRANGE(""https://docs.google.com/spreadsheets/d/1ICwG78r0OFT8biBlxnBF8r7she7gNSzOvJ958PWT09c/edit?usp=sharing"",""ลำพูน!J292"")"),0)</f>
        <v>0</v>
      </c>
      <c r="T27" s="93">
        <f t="shared" ca="1" si="31"/>
        <v>0</v>
      </c>
      <c r="U27" s="92">
        <f ca="1">IFERROR(__xludf.DUMMYFUNCTION("IMPORTRANGE(""https://docs.google.com/spreadsheets/d/1ICwG78r0OFT8biBlxnBF8r7she7gNSzOvJ958PWT09c/edit?usp=sharing"",""ลำพูน!I293"")"),10)</f>
        <v>10</v>
      </c>
      <c r="V27" s="92">
        <f ca="1">IFERROR(__xludf.DUMMYFUNCTION("IMPORTRANGE(""https://docs.google.com/spreadsheets/d/1ICwG78r0OFT8biBlxnBF8r7she7gNSzOvJ958PWT09c/edit?usp=sharing"",""ลำพูน!J293"")"),0)</f>
        <v>0</v>
      </c>
      <c r="W27" s="93">
        <f t="shared" ca="1" si="33"/>
        <v>0</v>
      </c>
      <c r="X27" s="92">
        <f ca="1">IFERROR(__xludf.DUMMYFUNCTION("IMPORTRANGE(""https://docs.google.com/spreadsheets/d/1ICwG78r0OFT8biBlxnBF8r7she7gNSzOvJ958PWT09c/edit?usp=sharing"",""ลำพูน!I295"")"),10)</f>
        <v>10</v>
      </c>
      <c r="Y27" s="92">
        <f ca="1">IFERROR(__xludf.DUMMYFUNCTION("IMPORTRANGE(""https://docs.google.com/spreadsheets/d/1ICwG78r0OFT8biBlxnBF8r7she7gNSzOvJ958PWT09c/edit?usp=sharing"",""ลำพูน!J295"")"),0)</f>
        <v>0</v>
      </c>
      <c r="Z27" s="93">
        <f t="shared" ca="1" si="35"/>
        <v>0</v>
      </c>
      <c r="AA27" s="311">
        <f ca="1">IFERROR(__xludf.DUMMYFUNCTION("IMPORTRANGE(""https://docs.google.com/spreadsheets/d/1ICwG78r0OFT8biBlxnBF8r7she7gNSzOvJ958PWT09c/edit?usp=sharing"",""ลำพูน!J296"")"),0)</f>
        <v>0</v>
      </c>
      <c r="AB27" s="312">
        <f t="shared" ca="1" si="36"/>
        <v>0</v>
      </c>
    </row>
    <row r="28" spans="1:28" ht="24" customHeight="1" x14ac:dyDescent="0.3">
      <c r="A28" s="84">
        <v>15</v>
      </c>
      <c r="B28" s="85" t="s">
        <v>50</v>
      </c>
      <c r="C28" s="174">
        <f t="shared" ca="1" si="22"/>
        <v>155220</v>
      </c>
      <c r="D28" s="175">
        <f t="shared" ca="1" si="37"/>
        <v>155220</v>
      </c>
      <c r="E28" s="176">
        <f ca="1">IFERROR(__xludf.DUMMYFUNCTION("IMPORTRANGE(""https://docs.google.com/spreadsheets/d/1-uDff_7J0KD5mKrp0Vvzr7lt3OU09vwQwhkpOPPYv2Y/edit?usp=sharing"",""งบพรบ!DP28"")"),84100)</f>
        <v>84100</v>
      </c>
      <c r="F28" s="176">
        <f ca="1">IFERROR(__xludf.DUMMYFUNCTION("IMPORTRANGE(""https://docs.google.com/spreadsheets/d/1-uDff_7J0KD5mKrp0Vvzr7lt3OU09vwQwhkpOPPYv2Y/edit?usp=sharing"",""งบพรบ!DQ28"")"),71120)</f>
        <v>71120</v>
      </c>
      <c r="G28" s="176">
        <f ca="1">IFERROR(__xludf.DUMMYFUNCTION("IMPORTRANGE(""https://docs.google.com/spreadsheets/d/1-uDff_7J0KD5mKrp0Vvzr7lt3OU09vwQwhkpOPPYv2Y/edit?usp=sharing"",""งบพรบ!DR28"")"),0)</f>
        <v>0</v>
      </c>
      <c r="H28" s="176">
        <f ca="1">IFERROR(__xludf.DUMMYFUNCTION("IMPORTRANGE(""https://docs.google.com/spreadsheets/d/1-uDff_7J0KD5mKrp0Vvzr7lt3OU09vwQwhkpOPPYv2Y/edit?usp=sharing"",""งบพรบ!DT28"")"),119980)</f>
        <v>119980</v>
      </c>
      <c r="I28" s="176">
        <f ca="1">IFERROR(__xludf.DUMMYFUNCTION("IMPORTRANGE(""https://docs.google.com/spreadsheets/d/1-uDff_7J0KD5mKrp0Vvzr7lt3OU09vwQwhkpOPPYv2Y/edit?usp=sharing"",""งบพรบ!DU28"")"),0)</f>
        <v>0</v>
      </c>
      <c r="J28" s="176">
        <f t="shared" ca="1" si="24"/>
        <v>43979</v>
      </c>
      <c r="K28" s="181">
        <f t="shared" ca="1" si="25"/>
        <v>28.333333333333332</v>
      </c>
      <c r="L28" s="176">
        <f ca="1">IFERROR(__xludf.DUMMYFUNCTION("IMPORTRANGE(""https://docs.google.com/spreadsheets/d/1-uDff_7J0KD5mKrp0Vvzr7lt3OU09vwQwhkpOPPYv2Y/edit?usp=sharing"",""งบพรบ!DV28"")"),43979)</f>
        <v>43979</v>
      </c>
      <c r="M28" s="179">
        <f t="shared" ca="1" si="26"/>
        <v>28.333333333333332</v>
      </c>
      <c r="N28" s="179">
        <f t="shared" ca="1" si="27"/>
        <v>36.655275879313216</v>
      </c>
      <c r="O28" s="180">
        <f ca="1">IFERROR(__xludf.DUMMYFUNCTION("IMPORTRANGE(""https://docs.google.com/spreadsheets/d/1-uDff_7J0KD5mKrp0Vvzr7lt3OU09vwQwhkpOPPYv2Y/edit?usp=sharing"",""งบพรบ!DW28"")"),0)</f>
        <v>0</v>
      </c>
      <c r="P28" s="180">
        <f t="shared" ca="1" si="28"/>
        <v>0</v>
      </c>
      <c r="Q28" s="179">
        <f t="shared" ca="1" si="29"/>
        <v>0</v>
      </c>
      <c r="R28" s="92">
        <f ca="1">IFERROR(__xludf.DUMMYFUNCTION("IMPORTRANGE(""https://docs.google.com/spreadsheets/d/1B0f2xJpZUC6Z0xXnqKlZtEPzsf6L84eP1r1Q15seqRM/edit?usp=sharing"",""สุโขทัย!I292"")"),200)</f>
        <v>200</v>
      </c>
      <c r="S28" s="92">
        <f ca="1">IFERROR(__xludf.DUMMYFUNCTION("IMPORTRANGE(""https://docs.google.com/spreadsheets/d/1B0f2xJpZUC6Z0xXnqKlZtEPzsf6L84eP1r1Q15seqRM/edit?usp=sharing"",""สุโขทัย!J292"")"),0)</f>
        <v>0</v>
      </c>
      <c r="T28" s="93">
        <f t="shared" ca="1" si="31"/>
        <v>0</v>
      </c>
      <c r="U28" s="92">
        <f ca="1">IFERROR(__xludf.DUMMYFUNCTION("IMPORTRANGE(""https://docs.google.com/spreadsheets/d/1B0f2xJpZUC6Z0xXnqKlZtEPzsf6L84eP1r1Q15seqRM/edit?usp=sharing"",""สุโขทัย!I293"")"),20)</f>
        <v>20</v>
      </c>
      <c r="V28" s="92">
        <f ca="1">IFERROR(__xludf.DUMMYFUNCTION("IMPORTRANGE(""https://docs.google.com/spreadsheets/d/1B0f2xJpZUC6Z0xXnqKlZtEPzsf6L84eP1r1Q15seqRM/edit?usp=sharing"",""สุโขทัย!J293"")"),0)</f>
        <v>0</v>
      </c>
      <c r="W28" s="93">
        <f t="shared" ca="1" si="33"/>
        <v>0</v>
      </c>
      <c r="X28" s="92">
        <f ca="1">IFERROR(__xludf.DUMMYFUNCTION("IMPORTRANGE(""https://docs.google.com/spreadsheets/d/1B0f2xJpZUC6Z0xXnqKlZtEPzsf6L84eP1r1Q15seqRM/edit?usp=sharing"",""สุโขทัย!I295"")"),20)</f>
        <v>20</v>
      </c>
      <c r="Y28" s="92">
        <f ca="1">IFERROR(__xludf.DUMMYFUNCTION("IMPORTRANGE(""https://docs.google.com/spreadsheets/d/1B0f2xJpZUC6Z0xXnqKlZtEPzsf6L84eP1r1Q15seqRM/edit?usp=sharing"",""สุโขทัย!J295"")"),0)</f>
        <v>0</v>
      </c>
      <c r="Z28" s="93">
        <f t="shared" ca="1" si="35"/>
        <v>0</v>
      </c>
      <c r="AA28" s="311">
        <f ca="1">IFERROR(__xludf.DUMMYFUNCTION("IMPORTRANGE(""https://docs.google.com/spreadsheets/d/1B0f2xJpZUC6Z0xXnqKlZtEPzsf6L84eP1r1Q15seqRM/edit?usp=sharing"",""สุโขทัย!J296"")"),0)</f>
        <v>0</v>
      </c>
      <c r="AB28" s="312">
        <f t="shared" ca="1" si="36"/>
        <v>0</v>
      </c>
    </row>
    <row r="29" spans="1:28" ht="24" customHeight="1" x14ac:dyDescent="0.3">
      <c r="A29" s="84">
        <v>16</v>
      </c>
      <c r="B29" s="85" t="s">
        <v>51</v>
      </c>
      <c r="C29" s="174">
        <f t="shared" ca="1" si="22"/>
        <v>71120</v>
      </c>
      <c r="D29" s="175">
        <f t="shared" ca="1" si="37"/>
        <v>71120</v>
      </c>
      <c r="E29" s="176">
        <f ca="1">IFERROR(__xludf.DUMMYFUNCTION("IMPORTRANGE(""https://docs.google.com/spreadsheets/d/1-uDff_7J0KD5mKrp0Vvzr7lt3OU09vwQwhkpOPPYv2Y/edit?usp=sharing"",""งบพรบ!DP29"")"),0)</f>
        <v>0</v>
      </c>
      <c r="F29" s="176">
        <f ca="1">IFERROR(__xludf.DUMMYFUNCTION("IMPORTRANGE(""https://docs.google.com/spreadsheets/d/1-uDff_7J0KD5mKrp0Vvzr7lt3OU09vwQwhkpOPPYv2Y/edit?usp=sharing"",""งบพรบ!DQ29"")"),71120)</f>
        <v>71120</v>
      </c>
      <c r="G29" s="176">
        <f ca="1">IFERROR(__xludf.DUMMYFUNCTION("IMPORTRANGE(""https://docs.google.com/spreadsheets/d/1-uDff_7J0KD5mKrp0Vvzr7lt3OU09vwQwhkpOPPYv2Y/edit?usp=sharing"",""งบพรบ!DR29"")"),0)</f>
        <v>0</v>
      </c>
      <c r="H29" s="176">
        <f ca="1">IFERROR(__xludf.DUMMYFUNCTION("IMPORTRANGE(""https://docs.google.com/spreadsheets/d/1-uDff_7J0KD5mKrp0Vvzr7lt3OU09vwQwhkpOPPYv2Y/edit?usp=sharing"",""งบพรบ!DT29"")"),59480)</f>
        <v>59480</v>
      </c>
      <c r="I29" s="176">
        <f ca="1">IFERROR(__xludf.DUMMYFUNCTION("IMPORTRANGE(""https://docs.google.com/spreadsheets/d/1-uDff_7J0KD5mKrp0Vvzr7lt3OU09vwQwhkpOPPYv2Y/edit?usp=sharing"",""งบพรบ!DU29"")"),0)</f>
        <v>0</v>
      </c>
      <c r="J29" s="176">
        <f t="shared" ca="1" si="24"/>
        <v>0</v>
      </c>
      <c r="K29" s="181">
        <f t="shared" ca="1" si="25"/>
        <v>0</v>
      </c>
      <c r="L29" s="176">
        <f ca="1">IFERROR(__xludf.DUMMYFUNCTION("IMPORTRANGE(""https://docs.google.com/spreadsheets/d/1-uDff_7J0KD5mKrp0Vvzr7lt3OU09vwQwhkpOPPYv2Y/edit?usp=sharing"",""งบพรบ!DV29"")"),0)</f>
        <v>0</v>
      </c>
      <c r="M29" s="179">
        <f t="shared" ca="1" si="26"/>
        <v>0</v>
      </c>
      <c r="N29" s="179">
        <f t="shared" ca="1" si="27"/>
        <v>0</v>
      </c>
      <c r="O29" s="180">
        <f ca="1">IFERROR(__xludf.DUMMYFUNCTION("IMPORTRANGE(""https://docs.google.com/spreadsheets/d/1-uDff_7J0KD5mKrp0Vvzr7lt3OU09vwQwhkpOPPYv2Y/edit?usp=sharing"",""งบพรบ!DW29"")"),0)</f>
        <v>0</v>
      </c>
      <c r="P29" s="180">
        <f t="shared" ca="1" si="28"/>
        <v>0</v>
      </c>
      <c r="Q29" s="179">
        <f t="shared" ca="1" si="29"/>
        <v>0</v>
      </c>
      <c r="R29" s="92">
        <f ca="1">IFERROR(__xludf.DUMMYFUNCTION("IMPORTRANGE(""https://docs.google.com/spreadsheets/d/1v0b9pFQCsKUVExMei7AgY2yQkdeNQvtOssygGsXbiKo/edit?usp=sharing"",""อุตรดิตถ์!I292"")"),200)</f>
        <v>200</v>
      </c>
      <c r="S29" s="92">
        <f ca="1">IFERROR(__xludf.DUMMYFUNCTION("IMPORTRANGE(""https://docs.google.com/spreadsheets/d/1v0b9pFQCsKUVExMei7AgY2yQkdeNQvtOssygGsXbiKo/edit?usp=sharing"",""อุตรดิตถ์!J292"")"),0)</f>
        <v>0</v>
      </c>
      <c r="T29" s="93">
        <f t="shared" ca="1" si="31"/>
        <v>0</v>
      </c>
      <c r="U29" s="92">
        <f ca="1">IFERROR(__xludf.DUMMYFUNCTION("IMPORTRANGE(""https://docs.google.com/spreadsheets/d/1v0b9pFQCsKUVExMei7AgY2yQkdeNQvtOssygGsXbiKo/edit?usp=sharing"",""อุตรดิตถ์!I293"")"),20)</f>
        <v>20</v>
      </c>
      <c r="V29" s="92">
        <f ca="1">IFERROR(__xludf.DUMMYFUNCTION("IMPORTRANGE(""https://docs.google.com/spreadsheets/d/1v0b9pFQCsKUVExMei7AgY2yQkdeNQvtOssygGsXbiKo/edit?usp=sharing"",""อุตรดิตถ์!J293"")"),0)</f>
        <v>0</v>
      </c>
      <c r="W29" s="93">
        <f t="shared" ca="1" si="33"/>
        <v>0</v>
      </c>
      <c r="X29" s="92">
        <f ca="1">IFERROR(__xludf.DUMMYFUNCTION("IMPORTRANGE(""https://docs.google.com/spreadsheets/d/1v0b9pFQCsKUVExMei7AgY2yQkdeNQvtOssygGsXbiKo/edit?usp=sharing"",""อุตรดิตถ์!I295"")"),20)</f>
        <v>20</v>
      </c>
      <c r="Y29" s="92">
        <f ca="1">IFERROR(__xludf.DUMMYFUNCTION("IMPORTRANGE(""https://docs.google.com/spreadsheets/d/1v0b9pFQCsKUVExMei7AgY2yQkdeNQvtOssygGsXbiKo/edit?usp=sharing"",""อุตรดิตถ์!J295"")"),0)</f>
        <v>0</v>
      </c>
      <c r="Z29" s="93">
        <f t="shared" ca="1" si="35"/>
        <v>0</v>
      </c>
      <c r="AA29" s="311">
        <f ca="1">IFERROR(__xludf.DUMMYFUNCTION("IMPORTRANGE(""https://docs.google.com/spreadsheets/d/1v0b9pFQCsKUVExMei7AgY2yQkdeNQvtOssygGsXbiKo/edit?usp=sharing"",""อุตรดิตถ์!J296"")"),0)</f>
        <v>0</v>
      </c>
      <c r="AB29" s="312">
        <f t="shared" ca="1" si="36"/>
        <v>0</v>
      </c>
    </row>
    <row r="30" spans="1:28" ht="24" customHeight="1" x14ac:dyDescent="0.3">
      <c r="A30" s="95">
        <v>17</v>
      </c>
      <c r="B30" s="96" t="s">
        <v>52</v>
      </c>
      <c r="C30" s="184">
        <f t="shared" ca="1" si="22"/>
        <v>100120</v>
      </c>
      <c r="D30" s="185">
        <f t="shared" ca="1" si="37"/>
        <v>100120</v>
      </c>
      <c r="E30" s="186">
        <f ca="1">IFERROR(__xludf.DUMMYFUNCTION("IMPORTRANGE(""https://docs.google.com/spreadsheets/d/1-uDff_7J0KD5mKrp0Vvzr7lt3OU09vwQwhkpOPPYv2Y/edit?usp=sharing"",""งบพรบ!DP30"")"),0)</f>
        <v>0</v>
      </c>
      <c r="F30" s="186">
        <f ca="1">IFERROR(__xludf.DUMMYFUNCTION("IMPORTRANGE(""https://docs.google.com/spreadsheets/d/1-uDff_7J0KD5mKrp0Vvzr7lt3OU09vwQwhkpOPPYv2Y/edit?usp=sharing"",""งบพรบ!DQ30"")"),100120)</f>
        <v>100120</v>
      </c>
      <c r="G30" s="186">
        <f ca="1">IFERROR(__xludf.DUMMYFUNCTION("IMPORTRANGE(""https://docs.google.com/spreadsheets/d/1-uDff_7J0KD5mKrp0Vvzr7lt3OU09vwQwhkpOPPYv2Y/edit?usp=sharing"",""งบพรบ!DR30"")"),0)</f>
        <v>0</v>
      </c>
      <c r="H30" s="186">
        <f ca="1">IFERROR(__xludf.DUMMYFUNCTION("IMPORTRANGE(""https://docs.google.com/spreadsheets/d/1-uDff_7J0KD5mKrp0Vvzr7lt3OU09vwQwhkpOPPYv2Y/edit?usp=sharing"",""งบพรบ!DT30"")"),88480)</f>
        <v>88480</v>
      </c>
      <c r="I30" s="186">
        <f ca="1">IFERROR(__xludf.DUMMYFUNCTION("IMPORTRANGE(""https://docs.google.com/spreadsheets/d/1-uDff_7J0KD5mKrp0Vvzr7lt3OU09vwQwhkpOPPYv2Y/edit?usp=sharing"",""งบพรบ!DU30"")"),0)</f>
        <v>0</v>
      </c>
      <c r="J30" s="186">
        <f t="shared" ca="1" si="24"/>
        <v>11800</v>
      </c>
      <c r="K30" s="187">
        <f t="shared" ca="1" si="25"/>
        <v>11.78585697163404</v>
      </c>
      <c r="L30" s="186">
        <f ca="1">IFERROR(__xludf.DUMMYFUNCTION("IMPORTRANGE(""https://docs.google.com/spreadsheets/d/1-uDff_7J0KD5mKrp0Vvzr7lt3OU09vwQwhkpOPPYv2Y/edit?usp=sharing"",""งบพรบ!DV30"")"),11800)</f>
        <v>11800</v>
      </c>
      <c r="M30" s="188">
        <f t="shared" ca="1" si="26"/>
        <v>11.78585697163404</v>
      </c>
      <c r="N30" s="188">
        <f t="shared" ca="1" si="27"/>
        <v>13.33634719710669</v>
      </c>
      <c r="O30" s="189">
        <f ca="1">IFERROR(__xludf.DUMMYFUNCTION("IMPORTRANGE(""https://docs.google.com/spreadsheets/d/1-uDff_7J0KD5mKrp0Vvzr7lt3OU09vwQwhkpOPPYv2Y/edit?usp=sharing"",""งบพรบ!DW30"")"),0)</f>
        <v>0</v>
      </c>
      <c r="P30" s="189">
        <f t="shared" ca="1" si="28"/>
        <v>0</v>
      </c>
      <c r="Q30" s="188">
        <f t="shared" ca="1" si="29"/>
        <v>0</v>
      </c>
      <c r="R30" s="103">
        <f ca="1">IFERROR(__xludf.DUMMYFUNCTION("IMPORTRANGE(""https://docs.google.com/spreadsheets/d/1UsNK1e-WWiCo2PvGqdNfdme4m17_Ezd3J69EeeiQPD0/edit?usp=sharing"",""อุทัยธานี!I292"")"),300)</f>
        <v>300</v>
      </c>
      <c r="S30" s="103">
        <f ca="1">IFERROR(__xludf.DUMMYFUNCTION("IMPORTRANGE(""https://docs.google.com/spreadsheets/d/1UsNK1e-WWiCo2PvGqdNfdme4m17_Ezd3J69EeeiQPD0/edit?usp=sharing"",""อุทัยธานี!J292"")"),300)</f>
        <v>300</v>
      </c>
      <c r="T30" s="104">
        <f t="shared" ca="1" si="31"/>
        <v>100</v>
      </c>
      <c r="U30" s="103">
        <f ca="1">IFERROR(__xludf.DUMMYFUNCTION("IMPORTRANGE(""https://docs.google.com/spreadsheets/d/1UsNK1e-WWiCo2PvGqdNfdme4m17_Ezd3J69EeeiQPD0/edit?usp=sharing"",""อุทัยธานี!I293"")"),30)</f>
        <v>30</v>
      </c>
      <c r="V30" s="103">
        <f ca="1">IFERROR(__xludf.DUMMYFUNCTION("IMPORTRANGE(""https://docs.google.com/spreadsheets/d/1UsNK1e-WWiCo2PvGqdNfdme4m17_Ezd3J69EeeiQPD0/edit?usp=sharing"",""อุทัยธานี!J293"")"),30)</f>
        <v>30</v>
      </c>
      <c r="W30" s="104">
        <f t="shared" ca="1" si="33"/>
        <v>100</v>
      </c>
      <c r="X30" s="103">
        <f ca="1">IFERROR(__xludf.DUMMYFUNCTION("IMPORTRANGE(""https://docs.google.com/spreadsheets/d/1UsNK1e-WWiCo2PvGqdNfdme4m17_Ezd3J69EeeiQPD0/edit?usp=sharing"",""อุทัยธานี!I295"")"),30)</f>
        <v>30</v>
      </c>
      <c r="Y30" s="103">
        <f ca="1">IFERROR(__xludf.DUMMYFUNCTION("IMPORTRANGE(""https://docs.google.com/spreadsheets/d/1UsNK1e-WWiCo2PvGqdNfdme4m17_Ezd3J69EeeiQPD0/edit?usp=sharing"",""อุทัยธานี!J295"")"),30)</f>
        <v>30</v>
      </c>
      <c r="Z30" s="104">
        <f t="shared" ca="1" si="35"/>
        <v>100</v>
      </c>
      <c r="AA30" s="313">
        <f ca="1">IFERROR(__xludf.DUMMYFUNCTION("IMPORTRANGE(""https://docs.google.com/spreadsheets/d/1UsNK1e-WWiCo2PvGqdNfdme4m17_Ezd3J69EeeiQPD0/edit?usp=sharing"",""อุทัยธานี!J296"")"),30)</f>
        <v>30</v>
      </c>
      <c r="AB30" s="314">
        <f t="shared" ca="1" si="36"/>
        <v>100</v>
      </c>
    </row>
    <row r="31" spans="1:28" ht="21" customHeight="1" x14ac:dyDescent="0.3">
      <c r="A31" s="395" t="s">
        <v>53</v>
      </c>
      <c r="B31" s="396"/>
      <c r="C31" s="154">
        <f t="shared" ca="1" si="22"/>
        <v>1104420</v>
      </c>
      <c r="D31" s="154">
        <f t="shared" ref="D31:I31" ca="1" si="38">SUM(D32:D51)</f>
        <v>1104420</v>
      </c>
      <c r="E31" s="154">
        <f t="shared" ca="1" si="38"/>
        <v>520700</v>
      </c>
      <c r="F31" s="154">
        <f t="shared" ca="1" si="38"/>
        <v>583720</v>
      </c>
      <c r="G31" s="154">
        <f t="shared" ca="1" si="38"/>
        <v>0</v>
      </c>
      <c r="H31" s="154">
        <f t="shared" ca="1" si="38"/>
        <v>887380</v>
      </c>
      <c r="I31" s="154">
        <f t="shared" ca="1" si="38"/>
        <v>0</v>
      </c>
      <c r="J31" s="154">
        <f t="shared" ca="1" si="24"/>
        <v>247405.11</v>
      </c>
      <c r="K31" s="155">
        <f t="shared" ca="1" si="25"/>
        <v>22.401360895311566</v>
      </c>
      <c r="L31" s="154">
        <f ca="1">SUM(L32:L51)</f>
        <v>247405.11</v>
      </c>
      <c r="M31" s="156">
        <f t="shared" ca="1" si="26"/>
        <v>22.401360895311566</v>
      </c>
      <c r="N31" s="156">
        <f t="shared" ca="1" si="27"/>
        <v>27.880401857152517</v>
      </c>
      <c r="O31" s="157">
        <f ca="1">SUM(O32:O51)</f>
        <v>0</v>
      </c>
      <c r="P31" s="157">
        <f t="shared" ca="1" si="28"/>
        <v>0</v>
      </c>
      <c r="Q31" s="156">
        <f t="shared" ca="1" si="29"/>
        <v>0</v>
      </c>
      <c r="R31" s="68">
        <f t="shared" ref="R31:S31" ca="1" si="39">SUM(R32:R51)</f>
        <v>2300</v>
      </c>
      <c r="S31" s="68">
        <f t="shared" ca="1" si="39"/>
        <v>0</v>
      </c>
      <c r="T31" s="107">
        <f t="shared" ca="1" si="31"/>
        <v>0</v>
      </c>
      <c r="U31" s="68">
        <f t="shared" ref="U31:V31" ca="1" si="40">SUM(U32:U51)</f>
        <v>230</v>
      </c>
      <c r="V31" s="68">
        <f t="shared" ca="1" si="40"/>
        <v>0</v>
      </c>
      <c r="W31" s="107">
        <f t="shared" ca="1" si="33"/>
        <v>0</v>
      </c>
      <c r="X31" s="68">
        <f t="shared" ref="X31:Y31" ca="1" si="41">SUM(X32:X51)</f>
        <v>230</v>
      </c>
      <c r="Y31" s="68">
        <f t="shared" ca="1" si="41"/>
        <v>0</v>
      </c>
      <c r="Z31" s="107">
        <f t="shared" ca="1" si="35"/>
        <v>0</v>
      </c>
      <c r="AA31" s="315">
        <f ca="1">SUM(AA32:AA51)</f>
        <v>0</v>
      </c>
      <c r="AB31" s="316">
        <f t="shared" ca="1" si="36"/>
        <v>0</v>
      </c>
    </row>
    <row r="32" spans="1:28" ht="21" customHeight="1" x14ac:dyDescent="0.3">
      <c r="A32" s="74">
        <v>1</v>
      </c>
      <c r="B32" s="75" t="s">
        <v>54</v>
      </c>
      <c r="C32" s="174">
        <f t="shared" ca="1" si="22"/>
        <v>156420</v>
      </c>
      <c r="D32" s="175">
        <f t="shared" ref="D32:D51" ca="1" si="42">+E32+F32</f>
        <v>156420</v>
      </c>
      <c r="E32" s="176">
        <f ca="1">IFERROR(__xludf.DUMMYFUNCTION("IMPORTRANGE(""https://docs.google.com/spreadsheets/d/1-uDff_7J0KD5mKrp0Vvzr7lt3OU09vwQwhkpOPPYv2Y/edit?usp=sharing"",""งบพรบ!DP32"")"),85300)</f>
        <v>85300</v>
      </c>
      <c r="F32" s="176">
        <f ca="1">IFERROR(__xludf.DUMMYFUNCTION("IMPORTRANGE(""https://docs.google.com/spreadsheets/d/1-uDff_7J0KD5mKrp0Vvzr7lt3OU09vwQwhkpOPPYv2Y/edit?usp=sharing"",""งบพรบ!DQ32"")"),71120)</f>
        <v>71120</v>
      </c>
      <c r="G32" s="177">
        <f ca="1">IFERROR(__xludf.DUMMYFUNCTION("IMPORTRANGE(""https://docs.google.com/spreadsheets/d/1-uDff_7J0KD5mKrp0Vvzr7lt3OU09vwQwhkpOPPYv2Y/edit?usp=sharing"",""งบพรบ!DR32"")"),0)</f>
        <v>0</v>
      </c>
      <c r="H32" s="177">
        <f ca="1">IFERROR(__xludf.DUMMYFUNCTION("IMPORTRANGE(""https://docs.google.com/spreadsheets/d/1-uDff_7J0KD5mKrp0Vvzr7lt3OU09vwQwhkpOPPYv2Y/edit?usp=sharing"",""งบพรบ!DT32"")"),120480)</f>
        <v>120480</v>
      </c>
      <c r="I32" s="177">
        <f ca="1">IFERROR(__xludf.DUMMYFUNCTION("IMPORTRANGE(""https://docs.google.com/spreadsheets/d/1-uDff_7J0KD5mKrp0Vvzr7lt3OU09vwQwhkpOPPYv2Y/edit?usp=sharing"",""งบพรบ!DU32"")"),0)</f>
        <v>0</v>
      </c>
      <c r="J32" s="177">
        <f t="shared" ca="1" si="24"/>
        <v>56221.26</v>
      </c>
      <c r="K32" s="178">
        <f t="shared" ca="1" si="25"/>
        <v>35.942500958956657</v>
      </c>
      <c r="L32" s="177">
        <f ca="1">IFERROR(__xludf.DUMMYFUNCTION("IMPORTRANGE(""https://docs.google.com/spreadsheets/d/1-uDff_7J0KD5mKrp0Vvzr7lt3OU09vwQwhkpOPPYv2Y/edit?usp=sharing"",""งบพรบ!DV32"")"),56221.26)</f>
        <v>56221.26</v>
      </c>
      <c r="M32" s="179">
        <f t="shared" ca="1" si="26"/>
        <v>35.942500958956657</v>
      </c>
      <c r="N32" s="179">
        <f t="shared" ca="1" si="27"/>
        <v>46.664392430278888</v>
      </c>
      <c r="O32" s="180">
        <f ca="1">IFERROR(__xludf.DUMMYFUNCTION("IMPORTRANGE(""https://docs.google.com/spreadsheets/d/1-uDff_7J0KD5mKrp0Vvzr7lt3OU09vwQwhkpOPPYv2Y/edit?usp=sharing"",""งบพรบ!DW32"")"),0)</f>
        <v>0</v>
      </c>
      <c r="P32" s="180">
        <f t="shared" ca="1" si="28"/>
        <v>0</v>
      </c>
      <c r="Q32" s="179">
        <f t="shared" ca="1" si="29"/>
        <v>0</v>
      </c>
      <c r="R32" s="79">
        <f ca="1">IFERROR(__xludf.DUMMYFUNCTION("IMPORTRANGE(""https://docs.google.com/spreadsheets/d/1yhBcrRPreicbMKl9Bu_Snb2-OcQAF62RKfhTLhJ2eAA/edit?usp=sharing"",""กาฬสินธุ์!I292"")"),200)</f>
        <v>200</v>
      </c>
      <c r="S32" s="79">
        <f ca="1">IFERROR(__xludf.DUMMYFUNCTION("IMPORTRANGE(""https://docs.google.com/spreadsheets/d/1yhBcrRPreicbMKl9Bu_Snb2-OcQAF62RKfhTLhJ2eAA/edit?usp=sharing"",""กาฬสินธุ์!J292"")"),0)</f>
        <v>0</v>
      </c>
      <c r="T32" s="83">
        <f t="shared" ca="1" si="31"/>
        <v>0</v>
      </c>
      <c r="U32" s="79">
        <f ca="1">IFERROR(__xludf.DUMMYFUNCTION("IMPORTRANGE(""https://docs.google.com/spreadsheets/d/1yhBcrRPreicbMKl9Bu_Snb2-OcQAF62RKfhTLhJ2eAA/edit?usp=sharing"",""กาฬสินธุ์!I293"")"),20)</f>
        <v>20</v>
      </c>
      <c r="V32" s="79">
        <f ca="1">IFERROR(__xludf.DUMMYFUNCTION("IMPORTRANGE(""https://docs.google.com/spreadsheets/d/1yhBcrRPreicbMKl9Bu_Snb2-OcQAF62RKfhTLhJ2eAA/edit?usp=sharing"",""กาฬสินธุ์!J293"")"),0)</f>
        <v>0</v>
      </c>
      <c r="W32" s="83">
        <f t="shared" ca="1" si="33"/>
        <v>0</v>
      </c>
      <c r="X32" s="79">
        <f ca="1">IFERROR(__xludf.DUMMYFUNCTION("IMPORTRANGE(""https://docs.google.com/spreadsheets/d/1yhBcrRPreicbMKl9Bu_Snb2-OcQAF62RKfhTLhJ2eAA/edit?usp=sharing"",""กาฬสินธุ์!I295"")"),20)</f>
        <v>20</v>
      </c>
      <c r="Y32" s="79">
        <f ca="1">IFERROR(__xludf.DUMMYFUNCTION("IMPORTRANGE(""https://docs.google.com/spreadsheets/d/1yhBcrRPreicbMKl9Bu_Snb2-OcQAF62RKfhTLhJ2eAA/edit?usp=sharing"",""กาฬสินธุ์!J295"")"),0)</f>
        <v>0</v>
      </c>
      <c r="Z32" s="83">
        <f t="shared" ca="1" si="35"/>
        <v>0</v>
      </c>
      <c r="AA32" s="309">
        <f ca="1">IFERROR(__xludf.DUMMYFUNCTION("IMPORTRANGE(""https://docs.google.com/spreadsheets/d/1yhBcrRPreicbMKl9Bu_Snb2-OcQAF62RKfhTLhJ2eAA/edit?usp=sharing"",""กาฬสินธุ์!J296"")"),0)</f>
        <v>0</v>
      </c>
      <c r="AB32" s="310">
        <f t="shared" ca="1" si="36"/>
        <v>0</v>
      </c>
    </row>
    <row r="33" spans="1:28" ht="21" customHeight="1" x14ac:dyDescent="0.3">
      <c r="A33" s="84">
        <v>2</v>
      </c>
      <c r="B33" s="85" t="s">
        <v>55</v>
      </c>
      <c r="C33" s="174">
        <f t="shared" ca="1" si="22"/>
        <v>0</v>
      </c>
      <c r="D33" s="175">
        <f t="shared" ca="1" si="42"/>
        <v>0</v>
      </c>
      <c r="E33" s="176">
        <f ca="1">IFERROR(__xludf.DUMMYFUNCTION("IMPORTRANGE(""https://docs.google.com/spreadsheets/d/1-uDff_7J0KD5mKrp0Vvzr7lt3OU09vwQwhkpOPPYv2Y/edit?usp=sharing"",""งบพรบ!DP33"")"),0)</f>
        <v>0</v>
      </c>
      <c r="F33" s="176">
        <f ca="1">IFERROR(__xludf.DUMMYFUNCTION("IMPORTRANGE(""https://docs.google.com/spreadsheets/d/1-uDff_7J0KD5mKrp0Vvzr7lt3OU09vwQwhkpOPPYv2Y/edit?usp=sharing"",""งบพรบ!DQ33"")"),0)</f>
        <v>0</v>
      </c>
      <c r="G33" s="176">
        <f ca="1">IFERROR(__xludf.DUMMYFUNCTION("IMPORTRANGE(""https://docs.google.com/spreadsheets/d/1-uDff_7J0KD5mKrp0Vvzr7lt3OU09vwQwhkpOPPYv2Y/edit?usp=sharing"",""งบพรบ!DR33"")"),0)</f>
        <v>0</v>
      </c>
      <c r="H33" s="176">
        <f ca="1">IFERROR(__xludf.DUMMYFUNCTION("IMPORTRANGE(""https://docs.google.com/spreadsheets/d/1-uDff_7J0KD5mKrp0Vvzr7lt3OU09vwQwhkpOPPYv2Y/edit?usp=sharing"",""งบพรบ!DT33"")"),0)</f>
        <v>0</v>
      </c>
      <c r="I33" s="176">
        <f ca="1">IFERROR(__xludf.DUMMYFUNCTION("IMPORTRANGE(""https://docs.google.com/spreadsheets/d/1-uDff_7J0KD5mKrp0Vvzr7lt3OU09vwQwhkpOPPYv2Y/edit?usp=sharing"",""งบพรบ!DU33"")"),0)</f>
        <v>0</v>
      </c>
      <c r="J33" s="176">
        <f t="shared" ca="1" si="24"/>
        <v>0</v>
      </c>
      <c r="K33" s="181">
        <f t="shared" ca="1" si="25"/>
        <v>0</v>
      </c>
      <c r="L33" s="176">
        <f ca="1">IFERROR(__xludf.DUMMYFUNCTION("IMPORTRANGE(""https://docs.google.com/spreadsheets/d/1-uDff_7J0KD5mKrp0Vvzr7lt3OU09vwQwhkpOPPYv2Y/edit?usp=sharing"",""งบพรบ!DV33"")"),0)</f>
        <v>0</v>
      </c>
      <c r="M33" s="179">
        <f t="shared" ca="1" si="26"/>
        <v>0</v>
      </c>
      <c r="N33" s="179">
        <f t="shared" ca="1" si="27"/>
        <v>0</v>
      </c>
      <c r="O33" s="180">
        <f ca="1">IFERROR(__xludf.DUMMYFUNCTION("IMPORTRANGE(""https://docs.google.com/spreadsheets/d/1-uDff_7J0KD5mKrp0Vvzr7lt3OU09vwQwhkpOPPYv2Y/edit?usp=sharing"",""งบพรบ!DW33"")"),0)</f>
        <v>0</v>
      </c>
      <c r="P33" s="180">
        <f t="shared" ca="1" si="28"/>
        <v>0</v>
      </c>
      <c r="Q33" s="179">
        <f t="shared" ca="1" si="29"/>
        <v>0</v>
      </c>
      <c r="R33" s="92">
        <f ca="1">IFERROR(__xludf.DUMMYFUNCTION("IMPORTRANGE(""https://docs.google.com/spreadsheets/d/1aHkj4IaQMThhwWwevcOymEh837vdxeC_PycurhTbGFA/edit?usp=sharing"",""ขอนแก่น!I292"")"),0)</f>
        <v>0</v>
      </c>
      <c r="S33" s="92">
        <f ca="1">IFERROR(__xludf.DUMMYFUNCTION("IMPORTRANGE(""https://docs.google.com/spreadsheets/d/1aHkj4IaQMThhwWwevcOymEh837vdxeC_PycurhTbGFA/edit?usp=sharing"",""ขอนแก่น!J292"")"),0)</f>
        <v>0</v>
      </c>
      <c r="T33" s="93">
        <f t="shared" ca="1" si="31"/>
        <v>0</v>
      </c>
      <c r="U33" s="92">
        <f ca="1">IFERROR(__xludf.DUMMYFUNCTION("IMPORTRANGE(""https://docs.google.com/spreadsheets/d/1aHkj4IaQMThhwWwevcOymEh837vdxeC_PycurhTbGFA/edit?usp=sharing"",""ขอนแก่น!I293"")"),0)</f>
        <v>0</v>
      </c>
      <c r="V33" s="92">
        <f ca="1">IFERROR(__xludf.DUMMYFUNCTION("IMPORTRANGE(""https://docs.google.com/spreadsheets/d/1aHkj4IaQMThhwWwevcOymEh837vdxeC_PycurhTbGFA/edit?usp=sharing"",""ขอนแก่น!J293"")"),0)</f>
        <v>0</v>
      </c>
      <c r="W33" s="93">
        <f t="shared" ca="1" si="33"/>
        <v>0</v>
      </c>
      <c r="X33" s="92">
        <f ca="1">IFERROR(__xludf.DUMMYFUNCTION("IMPORTRANGE(""https://docs.google.com/spreadsheets/d/1aHkj4IaQMThhwWwevcOymEh837vdxeC_PycurhTbGFA/edit?usp=sharing"",""ขอนแก่น!I295"")"),0)</f>
        <v>0</v>
      </c>
      <c r="Y33" s="92">
        <f ca="1">IFERROR(__xludf.DUMMYFUNCTION("IMPORTRANGE(""https://docs.google.com/spreadsheets/d/1aHkj4IaQMThhwWwevcOymEh837vdxeC_PycurhTbGFA/edit?usp=sharing"",""ขอนแก่น!J295"")"),0)</f>
        <v>0</v>
      </c>
      <c r="Z33" s="93">
        <f t="shared" ca="1" si="35"/>
        <v>0</v>
      </c>
      <c r="AA33" s="311">
        <f ca="1">IFERROR(__xludf.DUMMYFUNCTION("IMPORTRANGE(""https://docs.google.com/spreadsheets/d/1aHkj4IaQMThhwWwevcOymEh837vdxeC_PycurhTbGFA/edit?usp=sharing"",""ขอนแก่น!J296"")"),0)</f>
        <v>0</v>
      </c>
      <c r="AB33" s="312">
        <f t="shared" ca="1" si="36"/>
        <v>0</v>
      </c>
    </row>
    <row r="34" spans="1:28" ht="21" customHeight="1" x14ac:dyDescent="0.3">
      <c r="A34" s="84">
        <v>3</v>
      </c>
      <c r="B34" s="85" t="s">
        <v>56</v>
      </c>
      <c r="C34" s="174">
        <f t="shared" ca="1" si="22"/>
        <v>226520</v>
      </c>
      <c r="D34" s="175">
        <f t="shared" ca="1" si="42"/>
        <v>226520</v>
      </c>
      <c r="E34" s="176">
        <f ca="1">IFERROR(__xludf.DUMMYFUNCTION("IMPORTRANGE(""https://docs.google.com/spreadsheets/d/1-uDff_7J0KD5mKrp0Vvzr7lt3OU09vwQwhkpOPPYv2Y/edit?usp=sharing"",""งบพรบ!DP34"")"),83400)</f>
        <v>83400</v>
      </c>
      <c r="F34" s="176">
        <f ca="1">IFERROR(__xludf.DUMMYFUNCTION("IMPORTRANGE(""https://docs.google.com/spreadsheets/d/1-uDff_7J0KD5mKrp0Vvzr7lt3OU09vwQwhkpOPPYv2Y/edit?usp=sharing"",""งบพรบ!DQ34"")"),143120)</f>
        <v>143120</v>
      </c>
      <c r="G34" s="176">
        <f ca="1">IFERROR(__xludf.DUMMYFUNCTION("IMPORTRANGE(""https://docs.google.com/spreadsheets/d/1-uDff_7J0KD5mKrp0Vvzr7lt3OU09vwQwhkpOPPYv2Y/edit?usp=sharing"",""งบพรบ!DR34"")"),0)</f>
        <v>0</v>
      </c>
      <c r="H34" s="176">
        <f ca="1">IFERROR(__xludf.DUMMYFUNCTION("IMPORTRANGE(""https://docs.google.com/spreadsheets/d/1-uDff_7J0KD5mKrp0Vvzr7lt3OU09vwQwhkpOPPYv2Y/edit?usp=sharing"",""งบพรบ!DT34"")"),191480)</f>
        <v>191480</v>
      </c>
      <c r="I34" s="176">
        <f ca="1">IFERROR(__xludf.DUMMYFUNCTION("IMPORTRANGE(""https://docs.google.com/spreadsheets/d/1-uDff_7J0KD5mKrp0Vvzr7lt3OU09vwQwhkpOPPYv2Y/edit?usp=sharing"",""งบพรบ!DU34"")"),0)</f>
        <v>0</v>
      </c>
      <c r="J34" s="176">
        <f t="shared" ca="1" si="24"/>
        <v>11736</v>
      </c>
      <c r="K34" s="181">
        <f t="shared" ca="1" si="25"/>
        <v>5.1809994702454532</v>
      </c>
      <c r="L34" s="176">
        <f ca="1">IFERROR(__xludf.DUMMYFUNCTION("IMPORTRANGE(""https://docs.google.com/spreadsheets/d/1-uDff_7J0KD5mKrp0Vvzr7lt3OU09vwQwhkpOPPYv2Y/edit?usp=sharing"",""งบพรบ!DV34"")"),11736)</f>
        <v>11736</v>
      </c>
      <c r="M34" s="179">
        <f t="shared" ca="1" si="26"/>
        <v>5.1809994702454532</v>
      </c>
      <c r="N34" s="179">
        <f t="shared" ca="1" si="27"/>
        <v>6.1290996448715269</v>
      </c>
      <c r="O34" s="180">
        <f ca="1">IFERROR(__xludf.DUMMYFUNCTION("IMPORTRANGE(""https://docs.google.com/spreadsheets/d/1-uDff_7J0KD5mKrp0Vvzr7lt3OU09vwQwhkpOPPYv2Y/edit?usp=sharing"",""งบพรบ!DW34"")"),0)</f>
        <v>0</v>
      </c>
      <c r="P34" s="180">
        <f t="shared" ca="1" si="28"/>
        <v>0</v>
      </c>
      <c r="Q34" s="179">
        <f t="shared" ca="1" si="29"/>
        <v>0</v>
      </c>
      <c r="R34" s="92">
        <f ca="1">IFERROR(__xludf.DUMMYFUNCTION("IMPORTRANGE(""https://docs.google.com/spreadsheets/d/1FvTu2DsIWUjP6WCWra38Bkj_oOl_sOMf14r5Fg5srxU/edit?usp=sharing"",""ชัยภูมิ!I292"")"),700)</f>
        <v>700</v>
      </c>
      <c r="S34" s="92">
        <f ca="1">IFERROR(__xludf.DUMMYFUNCTION("IMPORTRANGE(""https://docs.google.com/spreadsheets/d/1FvTu2DsIWUjP6WCWra38Bkj_oOl_sOMf14r5Fg5srxU/edit?usp=sharing"",""ชัยภูมิ!J292"")"),0)</f>
        <v>0</v>
      </c>
      <c r="T34" s="93">
        <f t="shared" ca="1" si="31"/>
        <v>0</v>
      </c>
      <c r="U34" s="92">
        <f ca="1">IFERROR(__xludf.DUMMYFUNCTION("IMPORTRANGE(""https://docs.google.com/spreadsheets/d/1FvTu2DsIWUjP6WCWra38Bkj_oOl_sOMf14r5Fg5srxU/edit?usp=sharing"",""ชัยภูมิ!I293"")"),70)</f>
        <v>70</v>
      </c>
      <c r="V34" s="92">
        <f ca="1">IFERROR(__xludf.DUMMYFUNCTION("IMPORTRANGE(""https://docs.google.com/spreadsheets/d/1FvTu2DsIWUjP6WCWra38Bkj_oOl_sOMf14r5Fg5srxU/edit?usp=sharing"",""ชัยภูมิ!J293"")"),0)</f>
        <v>0</v>
      </c>
      <c r="W34" s="93">
        <f t="shared" ca="1" si="33"/>
        <v>0</v>
      </c>
      <c r="X34" s="92">
        <f ca="1">IFERROR(__xludf.DUMMYFUNCTION("IMPORTRANGE(""https://docs.google.com/spreadsheets/d/1FvTu2DsIWUjP6WCWra38Bkj_oOl_sOMf14r5Fg5srxU/edit?usp=sharing"",""ชัยภูมิ!I295"")"),70)</f>
        <v>70</v>
      </c>
      <c r="Y34" s="92">
        <f ca="1">IFERROR(__xludf.DUMMYFUNCTION("IMPORTRANGE(""https://docs.google.com/spreadsheets/d/1FvTu2DsIWUjP6WCWra38Bkj_oOl_sOMf14r5Fg5srxU/edit?usp=sharing"",""ชัยภูมิ!J295"")"),0)</f>
        <v>0</v>
      </c>
      <c r="Z34" s="93">
        <f t="shared" ca="1" si="35"/>
        <v>0</v>
      </c>
      <c r="AA34" s="311">
        <f ca="1">IFERROR(__xludf.DUMMYFUNCTION("IMPORTRANGE(""https://docs.google.com/spreadsheets/d/1FvTu2DsIWUjP6WCWra38Bkj_oOl_sOMf14r5Fg5srxU/edit?usp=sharing"",""ชัยภูมิ!J296"")"),0)</f>
        <v>0</v>
      </c>
      <c r="AB34" s="312">
        <f t="shared" ca="1" si="36"/>
        <v>0</v>
      </c>
    </row>
    <row r="35" spans="1:28" ht="21" customHeight="1" x14ac:dyDescent="0.3">
      <c r="A35" s="84">
        <v>4</v>
      </c>
      <c r="B35" s="85" t="s">
        <v>57</v>
      </c>
      <c r="C35" s="174">
        <f t="shared" ca="1" si="22"/>
        <v>0</v>
      </c>
      <c r="D35" s="175">
        <f t="shared" ca="1" si="42"/>
        <v>0</v>
      </c>
      <c r="E35" s="176">
        <f ca="1">IFERROR(__xludf.DUMMYFUNCTION("IMPORTRANGE(""https://docs.google.com/spreadsheets/d/1-uDff_7J0KD5mKrp0Vvzr7lt3OU09vwQwhkpOPPYv2Y/edit?usp=sharing"",""งบพรบ!DP35"")"),0)</f>
        <v>0</v>
      </c>
      <c r="F35" s="176">
        <f ca="1">IFERROR(__xludf.DUMMYFUNCTION("IMPORTRANGE(""https://docs.google.com/spreadsheets/d/1-uDff_7J0KD5mKrp0Vvzr7lt3OU09vwQwhkpOPPYv2Y/edit?usp=sharing"",""งบพรบ!DQ35"")"),0)</f>
        <v>0</v>
      </c>
      <c r="G35" s="176">
        <f ca="1">IFERROR(__xludf.DUMMYFUNCTION("IMPORTRANGE(""https://docs.google.com/spreadsheets/d/1-uDff_7J0KD5mKrp0Vvzr7lt3OU09vwQwhkpOPPYv2Y/edit?usp=sharing"",""งบพรบ!DR35"")"),0)</f>
        <v>0</v>
      </c>
      <c r="H35" s="176">
        <f ca="1">IFERROR(__xludf.DUMMYFUNCTION("IMPORTRANGE(""https://docs.google.com/spreadsheets/d/1-uDff_7J0KD5mKrp0Vvzr7lt3OU09vwQwhkpOPPYv2Y/edit?usp=sharing"",""งบพรบ!DT35"")"),0)</f>
        <v>0</v>
      </c>
      <c r="I35" s="176">
        <f ca="1">IFERROR(__xludf.DUMMYFUNCTION("IMPORTRANGE(""https://docs.google.com/spreadsheets/d/1-uDff_7J0KD5mKrp0Vvzr7lt3OU09vwQwhkpOPPYv2Y/edit?usp=sharing"",""งบพรบ!DU35"")"),0)</f>
        <v>0</v>
      </c>
      <c r="J35" s="176">
        <f t="shared" ca="1" si="24"/>
        <v>0</v>
      </c>
      <c r="K35" s="181">
        <f t="shared" ca="1" si="25"/>
        <v>0</v>
      </c>
      <c r="L35" s="176">
        <f ca="1">IFERROR(__xludf.DUMMYFUNCTION("IMPORTRANGE(""https://docs.google.com/spreadsheets/d/1-uDff_7J0KD5mKrp0Vvzr7lt3OU09vwQwhkpOPPYv2Y/edit?usp=sharing"",""งบพรบ!DV35"")"),0)</f>
        <v>0</v>
      </c>
      <c r="M35" s="179">
        <f t="shared" ca="1" si="26"/>
        <v>0</v>
      </c>
      <c r="N35" s="179">
        <f t="shared" ca="1" si="27"/>
        <v>0</v>
      </c>
      <c r="O35" s="180">
        <f ca="1">IFERROR(__xludf.DUMMYFUNCTION("IMPORTRANGE(""https://docs.google.com/spreadsheets/d/1-uDff_7J0KD5mKrp0Vvzr7lt3OU09vwQwhkpOPPYv2Y/edit?usp=sharing"",""งบพรบ!DW35"")"),0)</f>
        <v>0</v>
      </c>
      <c r="P35" s="180">
        <f t="shared" ca="1" si="28"/>
        <v>0</v>
      </c>
      <c r="Q35" s="179">
        <f t="shared" ca="1" si="29"/>
        <v>0</v>
      </c>
      <c r="R35" s="92">
        <f ca="1">IFERROR(__xludf.DUMMYFUNCTION("IMPORTRANGE(""https://docs.google.com/spreadsheets/d/1XVB7oCJ3pr-vBUdflwPQ8Z2LlzhnCvZaaYjAfP-647E/edit?usp=sharing"",""นครพนม!I292"")"),0)</f>
        <v>0</v>
      </c>
      <c r="S35" s="92">
        <f ca="1">IFERROR(__xludf.DUMMYFUNCTION("IMPORTRANGE(""https://docs.google.com/spreadsheets/d/1XVB7oCJ3pr-vBUdflwPQ8Z2LlzhnCvZaaYjAfP-647E/edit?usp=sharing"",""นครพนม!J292"")"),0)</f>
        <v>0</v>
      </c>
      <c r="T35" s="93">
        <f t="shared" ca="1" si="31"/>
        <v>0</v>
      </c>
      <c r="U35" s="92">
        <f ca="1">IFERROR(__xludf.DUMMYFUNCTION("IMPORTRANGE(""https://docs.google.com/spreadsheets/d/1XVB7oCJ3pr-vBUdflwPQ8Z2LlzhnCvZaaYjAfP-647E/edit?usp=sharing"",""นครพนม!I293"")"),0)</f>
        <v>0</v>
      </c>
      <c r="V35" s="92">
        <f ca="1">IFERROR(__xludf.DUMMYFUNCTION("IMPORTRANGE(""https://docs.google.com/spreadsheets/d/1XVB7oCJ3pr-vBUdflwPQ8Z2LlzhnCvZaaYjAfP-647E/edit?usp=sharing"",""นครพนม!J293"")"),0)</f>
        <v>0</v>
      </c>
      <c r="W35" s="93">
        <f t="shared" ca="1" si="33"/>
        <v>0</v>
      </c>
      <c r="X35" s="92">
        <f ca="1">IFERROR(__xludf.DUMMYFUNCTION("IMPORTRANGE(""https://docs.google.com/spreadsheets/d/1XVB7oCJ3pr-vBUdflwPQ8Z2LlzhnCvZaaYjAfP-647E/edit?usp=sharing"",""นครพนม!I295"")"),0)</f>
        <v>0</v>
      </c>
      <c r="Y35" s="92">
        <f ca="1">IFERROR(__xludf.DUMMYFUNCTION("IMPORTRANGE(""https://docs.google.com/spreadsheets/d/1XVB7oCJ3pr-vBUdflwPQ8Z2LlzhnCvZaaYjAfP-647E/edit?usp=sharing"",""นครพนม!J295"")"),0)</f>
        <v>0</v>
      </c>
      <c r="Z35" s="93">
        <f t="shared" ca="1" si="35"/>
        <v>0</v>
      </c>
      <c r="AA35" s="311">
        <f ca="1">IFERROR(__xludf.DUMMYFUNCTION("IMPORTRANGE(""https://docs.google.com/spreadsheets/d/1XVB7oCJ3pr-vBUdflwPQ8Z2LlzhnCvZaaYjAfP-647E/edit?usp=sharing"",""นครพนม!J296"")"),0)</f>
        <v>0</v>
      </c>
      <c r="AB35" s="312">
        <f t="shared" ca="1" si="36"/>
        <v>0</v>
      </c>
    </row>
    <row r="36" spans="1:28" ht="21" customHeight="1" x14ac:dyDescent="0.3">
      <c r="A36" s="84">
        <v>5</v>
      </c>
      <c r="B36" s="85" t="s">
        <v>58</v>
      </c>
      <c r="C36" s="174">
        <f t="shared" ca="1" si="22"/>
        <v>219620</v>
      </c>
      <c r="D36" s="175">
        <f t="shared" ca="1" si="42"/>
        <v>219620</v>
      </c>
      <c r="E36" s="176">
        <f ca="1">IFERROR(__xludf.DUMMYFUNCTION("IMPORTRANGE(""https://docs.google.com/spreadsheets/d/1-uDff_7J0KD5mKrp0Vvzr7lt3OU09vwQwhkpOPPYv2Y/edit?usp=sharing"",""งบพรบ!DP36"")"),90500)</f>
        <v>90500</v>
      </c>
      <c r="F36" s="176">
        <f ca="1">IFERROR(__xludf.DUMMYFUNCTION("IMPORTRANGE(""https://docs.google.com/spreadsheets/d/1-uDff_7J0KD5mKrp0Vvzr7lt3OU09vwQwhkpOPPYv2Y/edit?usp=sharing"",""งบพรบ!DQ36"")"),129120)</f>
        <v>129120</v>
      </c>
      <c r="G36" s="176">
        <f ca="1">IFERROR(__xludf.DUMMYFUNCTION("IMPORTRANGE(""https://docs.google.com/spreadsheets/d/1-uDff_7J0KD5mKrp0Vvzr7lt3OU09vwQwhkpOPPYv2Y/edit?usp=sharing"",""งบพรบ!DR36"")"),0)</f>
        <v>0</v>
      </c>
      <c r="H36" s="176">
        <f ca="1">IFERROR(__xludf.DUMMYFUNCTION("IMPORTRANGE(""https://docs.google.com/spreadsheets/d/1-uDff_7J0KD5mKrp0Vvzr7lt3OU09vwQwhkpOPPYv2Y/edit?usp=sharing"",""งบพรบ!DT36"")"),182480)</f>
        <v>182480</v>
      </c>
      <c r="I36" s="176">
        <f ca="1">IFERROR(__xludf.DUMMYFUNCTION("IMPORTRANGE(""https://docs.google.com/spreadsheets/d/1-uDff_7J0KD5mKrp0Vvzr7lt3OU09vwQwhkpOPPYv2Y/edit?usp=sharing"",""งบพรบ!DU36"")"),0)</f>
        <v>0</v>
      </c>
      <c r="J36" s="176">
        <f t="shared" ca="1" si="24"/>
        <v>68748.75</v>
      </c>
      <c r="K36" s="181">
        <f t="shared" ca="1" si="25"/>
        <v>31.303501502595392</v>
      </c>
      <c r="L36" s="176">
        <f ca="1">IFERROR(__xludf.DUMMYFUNCTION("IMPORTRANGE(""https://docs.google.com/spreadsheets/d/1-uDff_7J0KD5mKrp0Vvzr7lt3OU09vwQwhkpOPPYv2Y/edit?usp=sharing"",""งบพรบ!DV36"")"),68748.75)</f>
        <v>68748.75</v>
      </c>
      <c r="M36" s="179">
        <f t="shared" ca="1" si="26"/>
        <v>31.303501502595392</v>
      </c>
      <c r="N36" s="179">
        <f t="shared" ca="1" si="27"/>
        <v>37.674676676896098</v>
      </c>
      <c r="O36" s="180">
        <f ca="1">IFERROR(__xludf.DUMMYFUNCTION("IMPORTRANGE(""https://docs.google.com/spreadsheets/d/1-uDff_7J0KD5mKrp0Vvzr7lt3OU09vwQwhkpOPPYv2Y/edit?usp=sharing"",""งบพรบ!DW36"")"),0)</f>
        <v>0</v>
      </c>
      <c r="P36" s="180">
        <f t="shared" ca="1" si="28"/>
        <v>0</v>
      </c>
      <c r="Q36" s="179">
        <f t="shared" ca="1" si="29"/>
        <v>0</v>
      </c>
      <c r="R36" s="92">
        <f ca="1">IFERROR(__xludf.DUMMYFUNCTION("IMPORTRANGE(""https://docs.google.com/spreadsheets/d/1Mnpb-8PYAgn85W6KOTD40hc_Xc55CaLfHoGAbrZ8tls/edit?usp=sharing"",""นครราชสีมา!I292"")"),600)</f>
        <v>600</v>
      </c>
      <c r="S36" s="92">
        <f ca="1">IFERROR(__xludf.DUMMYFUNCTION("IMPORTRANGE(""https://docs.google.com/spreadsheets/d/1Mnpb-8PYAgn85W6KOTD40hc_Xc55CaLfHoGAbrZ8tls/edit?usp=sharing"",""นครราชสีมา!J292"")"),0)</f>
        <v>0</v>
      </c>
      <c r="T36" s="93">
        <f t="shared" ca="1" si="31"/>
        <v>0</v>
      </c>
      <c r="U36" s="92">
        <f ca="1">IFERROR(__xludf.DUMMYFUNCTION("IMPORTRANGE(""https://docs.google.com/spreadsheets/d/1Mnpb-8PYAgn85W6KOTD40hc_Xc55CaLfHoGAbrZ8tls/edit?usp=sharing"",""นครราชสีมา!I293"")"),60)</f>
        <v>60</v>
      </c>
      <c r="V36" s="92">
        <f ca="1">IFERROR(__xludf.DUMMYFUNCTION("IMPORTRANGE(""https://docs.google.com/spreadsheets/d/1Mnpb-8PYAgn85W6KOTD40hc_Xc55CaLfHoGAbrZ8tls/edit?usp=sharing"",""นครราชสีมา!J293"")"),0)</f>
        <v>0</v>
      </c>
      <c r="W36" s="93">
        <f t="shared" ca="1" si="33"/>
        <v>0</v>
      </c>
      <c r="X36" s="92">
        <f ca="1">IFERROR(__xludf.DUMMYFUNCTION("IMPORTRANGE(""https://docs.google.com/spreadsheets/d/1Mnpb-8PYAgn85W6KOTD40hc_Xc55CaLfHoGAbrZ8tls/edit?usp=sharing"",""นครราชสีมา!I295"")"),60)</f>
        <v>60</v>
      </c>
      <c r="Y36" s="92">
        <f ca="1">IFERROR(__xludf.DUMMYFUNCTION("IMPORTRANGE(""https://docs.google.com/spreadsheets/d/1Mnpb-8PYAgn85W6KOTD40hc_Xc55CaLfHoGAbrZ8tls/edit?usp=sharing"",""นครราชสีมา!J295"")"),0)</f>
        <v>0</v>
      </c>
      <c r="Z36" s="93">
        <f t="shared" ca="1" si="35"/>
        <v>0</v>
      </c>
      <c r="AA36" s="311">
        <f ca="1">IFERROR(__xludf.DUMMYFUNCTION("IMPORTRANGE(""https://docs.google.com/spreadsheets/d/1Mnpb-8PYAgn85W6KOTD40hc_Xc55CaLfHoGAbrZ8tls/edit?usp=sharing"",""นครราชสีมา!J296"")"),0)</f>
        <v>0</v>
      </c>
      <c r="AB36" s="312">
        <f t="shared" ca="1" si="36"/>
        <v>0</v>
      </c>
    </row>
    <row r="37" spans="1:28" ht="21" customHeight="1" x14ac:dyDescent="0.3">
      <c r="A37" s="84">
        <v>6</v>
      </c>
      <c r="B37" s="85" t="s">
        <v>59</v>
      </c>
      <c r="C37" s="174">
        <f t="shared" ca="1" si="22"/>
        <v>0</v>
      </c>
      <c r="D37" s="175">
        <f t="shared" ca="1" si="42"/>
        <v>0</v>
      </c>
      <c r="E37" s="176">
        <f ca="1">IFERROR(__xludf.DUMMYFUNCTION("IMPORTRANGE(""https://docs.google.com/spreadsheets/d/1-uDff_7J0KD5mKrp0Vvzr7lt3OU09vwQwhkpOPPYv2Y/edit?usp=sharing"",""งบพรบ!DP37"")"),0)</f>
        <v>0</v>
      </c>
      <c r="F37" s="176">
        <f ca="1">IFERROR(__xludf.DUMMYFUNCTION("IMPORTRANGE(""https://docs.google.com/spreadsheets/d/1-uDff_7J0KD5mKrp0Vvzr7lt3OU09vwQwhkpOPPYv2Y/edit?usp=sharing"",""งบพรบ!DQ37"")"),0)</f>
        <v>0</v>
      </c>
      <c r="G37" s="176">
        <f ca="1">IFERROR(__xludf.DUMMYFUNCTION("IMPORTRANGE(""https://docs.google.com/spreadsheets/d/1-uDff_7J0KD5mKrp0Vvzr7lt3OU09vwQwhkpOPPYv2Y/edit?usp=sharing"",""งบพรบ!DR37"")"),0)</f>
        <v>0</v>
      </c>
      <c r="H37" s="176">
        <f ca="1">IFERROR(__xludf.DUMMYFUNCTION("IMPORTRANGE(""https://docs.google.com/spreadsheets/d/1-uDff_7J0KD5mKrp0Vvzr7lt3OU09vwQwhkpOPPYv2Y/edit?usp=sharing"",""งบพรบ!DT37"")"),0)</f>
        <v>0</v>
      </c>
      <c r="I37" s="176">
        <f ca="1">IFERROR(__xludf.DUMMYFUNCTION("IMPORTRANGE(""https://docs.google.com/spreadsheets/d/1-uDff_7J0KD5mKrp0Vvzr7lt3OU09vwQwhkpOPPYv2Y/edit?usp=sharing"",""งบพรบ!DU37"")"),0)</f>
        <v>0</v>
      </c>
      <c r="J37" s="176">
        <f t="shared" ca="1" si="24"/>
        <v>0</v>
      </c>
      <c r="K37" s="181">
        <f t="shared" ca="1" si="25"/>
        <v>0</v>
      </c>
      <c r="L37" s="176">
        <f ca="1">IFERROR(__xludf.DUMMYFUNCTION("IMPORTRANGE(""https://docs.google.com/spreadsheets/d/1-uDff_7J0KD5mKrp0Vvzr7lt3OU09vwQwhkpOPPYv2Y/edit?usp=sharing"",""งบพรบ!DV37"")"),0)</f>
        <v>0</v>
      </c>
      <c r="M37" s="179">
        <f t="shared" ca="1" si="26"/>
        <v>0</v>
      </c>
      <c r="N37" s="179">
        <f t="shared" ca="1" si="27"/>
        <v>0</v>
      </c>
      <c r="O37" s="180">
        <f ca="1">IFERROR(__xludf.DUMMYFUNCTION("IMPORTRANGE(""https://docs.google.com/spreadsheets/d/1-uDff_7J0KD5mKrp0Vvzr7lt3OU09vwQwhkpOPPYv2Y/edit?usp=sharing"",""งบพรบ!DW37"")"),0)</f>
        <v>0</v>
      </c>
      <c r="P37" s="180">
        <f t="shared" ca="1" si="28"/>
        <v>0</v>
      </c>
      <c r="Q37" s="179">
        <f t="shared" ca="1" si="29"/>
        <v>0</v>
      </c>
      <c r="R37" s="92">
        <f ca="1">IFERROR(__xludf.DUMMYFUNCTION("IMPORTRANGE(""https://docs.google.com/spreadsheets/d/1xoDLGBv9CYbyosIhki0kTq6IpYNj-gpjxfobnaDiut0/edit?usp=sharing"",""บึงกาฬ!I292"")"),0)</f>
        <v>0</v>
      </c>
      <c r="S37" s="92">
        <f ca="1">IFERROR(__xludf.DUMMYFUNCTION("IMPORTRANGE(""https://docs.google.com/spreadsheets/d/1xoDLGBv9CYbyosIhki0kTq6IpYNj-gpjxfobnaDiut0/edit?usp=sharing"",""บึงกาฬ!J292"")"),0)</f>
        <v>0</v>
      </c>
      <c r="T37" s="93">
        <f t="shared" ca="1" si="31"/>
        <v>0</v>
      </c>
      <c r="U37" s="92">
        <f ca="1">IFERROR(__xludf.DUMMYFUNCTION("IMPORTRANGE(""https://docs.google.com/spreadsheets/d/1xoDLGBv9CYbyosIhki0kTq6IpYNj-gpjxfobnaDiut0/edit?usp=sharing"",""บึงกาฬ!I293"")"),0)</f>
        <v>0</v>
      </c>
      <c r="V37" s="92">
        <f ca="1">IFERROR(__xludf.DUMMYFUNCTION("IMPORTRANGE(""https://docs.google.com/spreadsheets/d/1xoDLGBv9CYbyosIhki0kTq6IpYNj-gpjxfobnaDiut0/edit?usp=sharing"",""บึงกาฬ!J293"")"),0)</f>
        <v>0</v>
      </c>
      <c r="W37" s="93">
        <f t="shared" ca="1" si="33"/>
        <v>0</v>
      </c>
      <c r="X37" s="92">
        <f ca="1">IFERROR(__xludf.DUMMYFUNCTION("IMPORTRANGE(""https://docs.google.com/spreadsheets/d/1xoDLGBv9CYbyosIhki0kTq6IpYNj-gpjxfobnaDiut0/edit?usp=sharing"",""บึงกาฬ!I295"")"),0)</f>
        <v>0</v>
      </c>
      <c r="Y37" s="92">
        <f ca="1">IFERROR(__xludf.DUMMYFUNCTION("IMPORTRANGE(""https://docs.google.com/spreadsheets/d/1xoDLGBv9CYbyosIhki0kTq6IpYNj-gpjxfobnaDiut0/edit?usp=sharing"",""บึงกาฬ!J295"")"),0)</f>
        <v>0</v>
      </c>
      <c r="Z37" s="93">
        <f t="shared" ca="1" si="35"/>
        <v>0</v>
      </c>
      <c r="AA37" s="311">
        <f ca="1">IFERROR(__xludf.DUMMYFUNCTION("IMPORTRANGE(""https://docs.google.com/spreadsheets/d/1xoDLGBv9CYbyosIhki0kTq6IpYNj-gpjxfobnaDiut0/edit?usp=sharing"",""บึงกาฬ!J296"")"),0)</f>
        <v>0</v>
      </c>
      <c r="AB37" s="312">
        <f t="shared" ca="1" si="36"/>
        <v>0</v>
      </c>
    </row>
    <row r="38" spans="1:28" ht="21" customHeight="1" x14ac:dyDescent="0.3">
      <c r="A38" s="84">
        <v>7</v>
      </c>
      <c r="B38" s="85" t="s">
        <v>60</v>
      </c>
      <c r="C38" s="174">
        <f t="shared" ca="1" si="22"/>
        <v>0</v>
      </c>
      <c r="D38" s="175">
        <f t="shared" ca="1" si="42"/>
        <v>0</v>
      </c>
      <c r="E38" s="176">
        <f ca="1">IFERROR(__xludf.DUMMYFUNCTION("IMPORTRANGE(""https://docs.google.com/spreadsheets/d/1-uDff_7J0KD5mKrp0Vvzr7lt3OU09vwQwhkpOPPYv2Y/edit?usp=sharing"",""งบพรบ!DP38"")"),0)</f>
        <v>0</v>
      </c>
      <c r="F38" s="176">
        <f ca="1">IFERROR(__xludf.DUMMYFUNCTION("IMPORTRANGE(""https://docs.google.com/spreadsheets/d/1-uDff_7J0KD5mKrp0Vvzr7lt3OU09vwQwhkpOPPYv2Y/edit?usp=sharing"",""งบพรบ!DQ38"")"),0)</f>
        <v>0</v>
      </c>
      <c r="G38" s="176">
        <f ca="1">IFERROR(__xludf.DUMMYFUNCTION("IMPORTRANGE(""https://docs.google.com/spreadsheets/d/1-uDff_7J0KD5mKrp0Vvzr7lt3OU09vwQwhkpOPPYv2Y/edit?usp=sharing"",""งบพรบ!DR38"")"),0)</f>
        <v>0</v>
      </c>
      <c r="H38" s="176">
        <f ca="1">IFERROR(__xludf.DUMMYFUNCTION("IMPORTRANGE(""https://docs.google.com/spreadsheets/d/1-uDff_7J0KD5mKrp0Vvzr7lt3OU09vwQwhkpOPPYv2Y/edit?usp=sharing"",""งบพรบ!DT38"")"),0)</f>
        <v>0</v>
      </c>
      <c r="I38" s="176">
        <f ca="1">IFERROR(__xludf.DUMMYFUNCTION("IMPORTRANGE(""https://docs.google.com/spreadsheets/d/1-uDff_7J0KD5mKrp0Vvzr7lt3OU09vwQwhkpOPPYv2Y/edit?usp=sharing"",""งบพรบ!DU38"")"),0)</f>
        <v>0</v>
      </c>
      <c r="J38" s="176">
        <f t="shared" ca="1" si="24"/>
        <v>0</v>
      </c>
      <c r="K38" s="181">
        <f t="shared" ca="1" si="25"/>
        <v>0</v>
      </c>
      <c r="L38" s="176">
        <f ca="1">IFERROR(__xludf.DUMMYFUNCTION("IMPORTRANGE(""https://docs.google.com/spreadsheets/d/1-uDff_7J0KD5mKrp0Vvzr7lt3OU09vwQwhkpOPPYv2Y/edit?usp=sharing"",""งบพรบ!DV38"")"),0)</f>
        <v>0</v>
      </c>
      <c r="M38" s="179">
        <f t="shared" ca="1" si="26"/>
        <v>0</v>
      </c>
      <c r="N38" s="179">
        <f t="shared" ca="1" si="27"/>
        <v>0</v>
      </c>
      <c r="O38" s="180">
        <f ca="1">IFERROR(__xludf.DUMMYFUNCTION("IMPORTRANGE(""https://docs.google.com/spreadsheets/d/1-uDff_7J0KD5mKrp0Vvzr7lt3OU09vwQwhkpOPPYv2Y/edit?usp=sharing"",""งบพรบ!DW38"")"),0)</f>
        <v>0</v>
      </c>
      <c r="P38" s="180">
        <f t="shared" ca="1" si="28"/>
        <v>0</v>
      </c>
      <c r="Q38" s="179">
        <f t="shared" ca="1" si="29"/>
        <v>0</v>
      </c>
      <c r="R38" s="92">
        <f ca="1">IFERROR(__xludf.DUMMYFUNCTION("IMPORTRANGE(""https://docs.google.com/spreadsheets/d/1MMPq-JyI6DSgQETxuSiXkesP-P7JHuemnE6QJIa-Nlw/edit?usp=sharing"",""บุรีรัมย์!I292"")"),0)</f>
        <v>0</v>
      </c>
      <c r="S38" s="92">
        <f ca="1">IFERROR(__xludf.DUMMYFUNCTION("IMPORTRANGE(""https://docs.google.com/spreadsheets/d/1MMPq-JyI6DSgQETxuSiXkesP-P7JHuemnE6QJIa-Nlw/edit?usp=sharing"",""บุรีรัมย์!J292"")"),0)</f>
        <v>0</v>
      </c>
      <c r="T38" s="93">
        <f t="shared" ca="1" si="31"/>
        <v>0</v>
      </c>
      <c r="U38" s="92">
        <f ca="1">IFERROR(__xludf.DUMMYFUNCTION("IMPORTRANGE(""https://docs.google.com/spreadsheets/d/1MMPq-JyI6DSgQETxuSiXkesP-P7JHuemnE6QJIa-Nlw/edit?usp=sharing"",""บุรีรัมย์!I293"")"),0)</f>
        <v>0</v>
      </c>
      <c r="V38" s="92">
        <f ca="1">IFERROR(__xludf.DUMMYFUNCTION("IMPORTRANGE(""https://docs.google.com/spreadsheets/d/1MMPq-JyI6DSgQETxuSiXkesP-P7JHuemnE6QJIa-Nlw/edit?usp=sharing"",""บุรีรัมย์!J293"")"),0)</f>
        <v>0</v>
      </c>
      <c r="W38" s="93">
        <f t="shared" ca="1" si="33"/>
        <v>0</v>
      </c>
      <c r="X38" s="92">
        <f ca="1">IFERROR(__xludf.DUMMYFUNCTION("IMPORTRANGE(""https://docs.google.com/spreadsheets/d/1MMPq-JyI6DSgQETxuSiXkesP-P7JHuemnE6QJIa-Nlw/edit?usp=sharing"",""บุรีรัมย์!I295"")"),0)</f>
        <v>0</v>
      </c>
      <c r="Y38" s="92">
        <f ca="1">IFERROR(__xludf.DUMMYFUNCTION("IMPORTRANGE(""https://docs.google.com/spreadsheets/d/1MMPq-JyI6DSgQETxuSiXkesP-P7JHuemnE6QJIa-Nlw/edit?usp=sharing"",""บุรีรัมย์!J295"")"),0)</f>
        <v>0</v>
      </c>
      <c r="Z38" s="93">
        <f t="shared" ca="1" si="35"/>
        <v>0</v>
      </c>
      <c r="AA38" s="311">
        <f ca="1">IFERROR(__xludf.DUMMYFUNCTION("IMPORTRANGE(""https://docs.google.com/spreadsheets/d/1MMPq-JyI6DSgQETxuSiXkesP-P7JHuemnE6QJIa-Nlw/edit?usp=sharing"",""บุรีรัมย์!J296"")"),0)</f>
        <v>0</v>
      </c>
      <c r="AB38" s="312">
        <f t="shared" ca="1" si="36"/>
        <v>0</v>
      </c>
    </row>
    <row r="39" spans="1:28" ht="21" customHeight="1" x14ac:dyDescent="0.3">
      <c r="A39" s="84">
        <v>8</v>
      </c>
      <c r="B39" s="85" t="s">
        <v>61</v>
      </c>
      <c r="C39" s="174">
        <f t="shared" ca="1" si="22"/>
        <v>0</v>
      </c>
      <c r="D39" s="175">
        <f t="shared" ca="1" si="42"/>
        <v>0</v>
      </c>
      <c r="E39" s="176">
        <f ca="1">IFERROR(__xludf.DUMMYFUNCTION("IMPORTRANGE(""https://docs.google.com/spreadsheets/d/1-uDff_7J0KD5mKrp0Vvzr7lt3OU09vwQwhkpOPPYv2Y/edit?usp=sharing"",""งบพรบ!DP39"")"),0)</f>
        <v>0</v>
      </c>
      <c r="F39" s="176">
        <f ca="1">IFERROR(__xludf.DUMMYFUNCTION("IMPORTRANGE(""https://docs.google.com/spreadsheets/d/1-uDff_7J0KD5mKrp0Vvzr7lt3OU09vwQwhkpOPPYv2Y/edit?usp=sharing"",""งบพรบ!DQ39"")"),0)</f>
        <v>0</v>
      </c>
      <c r="G39" s="176">
        <f ca="1">IFERROR(__xludf.DUMMYFUNCTION("IMPORTRANGE(""https://docs.google.com/spreadsheets/d/1-uDff_7J0KD5mKrp0Vvzr7lt3OU09vwQwhkpOPPYv2Y/edit?usp=sharing"",""งบพรบ!DR39"")"),0)</f>
        <v>0</v>
      </c>
      <c r="H39" s="176">
        <f ca="1">IFERROR(__xludf.DUMMYFUNCTION("IMPORTRANGE(""https://docs.google.com/spreadsheets/d/1-uDff_7J0KD5mKrp0Vvzr7lt3OU09vwQwhkpOPPYv2Y/edit?usp=sharing"",""งบพรบ!DT39"")"),0)</f>
        <v>0</v>
      </c>
      <c r="I39" s="176">
        <f ca="1">IFERROR(__xludf.DUMMYFUNCTION("IMPORTRANGE(""https://docs.google.com/spreadsheets/d/1-uDff_7J0KD5mKrp0Vvzr7lt3OU09vwQwhkpOPPYv2Y/edit?usp=sharing"",""งบพรบ!DU39"")"),0)</f>
        <v>0</v>
      </c>
      <c r="J39" s="176">
        <f t="shared" ca="1" si="24"/>
        <v>0</v>
      </c>
      <c r="K39" s="181">
        <f t="shared" ca="1" si="25"/>
        <v>0</v>
      </c>
      <c r="L39" s="176">
        <f ca="1">IFERROR(__xludf.DUMMYFUNCTION("IMPORTRANGE(""https://docs.google.com/spreadsheets/d/1-uDff_7J0KD5mKrp0Vvzr7lt3OU09vwQwhkpOPPYv2Y/edit?usp=sharing"",""งบพรบ!DV39"")"),0)</f>
        <v>0</v>
      </c>
      <c r="M39" s="179">
        <f t="shared" ca="1" si="26"/>
        <v>0</v>
      </c>
      <c r="N39" s="179">
        <f t="shared" ca="1" si="27"/>
        <v>0</v>
      </c>
      <c r="O39" s="180">
        <f ca="1">IFERROR(__xludf.DUMMYFUNCTION("IMPORTRANGE(""https://docs.google.com/spreadsheets/d/1-uDff_7J0KD5mKrp0Vvzr7lt3OU09vwQwhkpOPPYv2Y/edit?usp=sharing"",""งบพรบ!DW39"")"),0)</f>
        <v>0</v>
      </c>
      <c r="P39" s="180">
        <f t="shared" ca="1" si="28"/>
        <v>0</v>
      </c>
      <c r="Q39" s="179">
        <f t="shared" ca="1" si="29"/>
        <v>0</v>
      </c>
      <c r="R39" s="92">
        <f ca="1">IFERROR(__xludf.DUMMYFUNCTION("IMPORTRANGE(""https://docs.google.com/spreadsheets/d/1l6IZ8xUPgMrESzcTYwhA1k_tPjeQjJPTqlm8Gd9eU5g/edit?usp=sharing"",""มหาสารคาม!I292"")"),0)</f>
        <v>0</v>
      </c>
      <c r="S39" s="92">
        <f ca="1">IFERROR(__xludf.DUMMYFUNCTION("IMPORTRANGE(""https://docs.google.com/spreadsheets/d/1l6IZ8xUPgMrESzcTYwhA1k_tPjeQjJPTqlm8Gd9eU5g/edit?usp=sharing"",""มหาสารคาม!J292"")"),0)</f>
        <v>0</v>
      </c>
      <c r="T39" s="93">
        <f t="shared" ca="1" si="31"/>
        <v>0</v>
      </c>
      <c r="U39" s="92">
        <f ca="1">IFERROR(__xludf.DUMMYFUNCTION("IMPORTRANGE(""https://docs.google.com/spreadsheets/d/1l6IZ8xUPgMrESzcTYwhA1k_tPjeQjJPTqlm8Gd9eU5g/edit?usp=sharing"",""มหาสารคาม!I293"")"),0)</f>
        <v>0</v>
      </c>
      <c r="V39" s="92">
        <f ca="1">IFERROR(__xludf.DUMMYFUNCTION("IMPORTRANGE(""https://docs.google.com/spreadsheets/d/1l6IZ8xUPgMrESzcTYwhA1k_tPjeQjJPTqlm8Gd9eU5g/edit?usp=sharing"",""มหาสารคาม!J293"")"),0)</f>
        <v>0</v>
      </c>
      <c r="W39" s="93">
        <f t="shared" ca="1" si="33"/>
        <v>0</v>
      </c>
      <c r="X39" s="92">
        <f ca="1">IFERROR(__xludf.DUMMYFUNCTION("IMPORTRANGE(""https://docs.google.com/spreadsheets/d/1l6IZ8xUPgMrESzcTYwhA1k_tPjeQjJPTqlm8Gd9eU5g/edit?usp=sharing"",""มหาสารคาม!I295"")"),0)</f>
        <v>0</v>
      </c>
      <c r="Y39" s="92">
        <f ca="1">IFERROR(__xludf.DUMMYFUNCTION("IMPORTRANGE(""https://docs.google.com/spreadsheets/d/1l6IZ8xUPgMrESzcTYwhA1k_tPjeQjJPTqlm8Gd9eU5g/edit?usp=sharing"",""มหาสารคาม!J295"")"),0)</f>
        <v>0</v>
      </c>
      <c r="Z39" s="93">
        <f t="shared" ca="1" si="35"/>
        <v>0</v>
      </c>
      <c r="AA39" s="311">
        <f ca="1">IFERROR(__xludf.DUMMYFUNCTION("IMPORTRANGE(""https://docs.google.com/spreadsheets/d/1l6IZ8xUPgMrESzcTYwhA1k_tPjeQjJPTqlm8Gd9eU5g/edit?usp=sharing"",""มหาสารคาม!J296"")"),0)</f>
        <v>0</v>
      </c>
      <c r="AB39" s="312">
        <f t="shared" ca="1" si="36"/>
        <v>0</v>
      </c>
    </row>
    <row r="40" spans="1:28" ht="21" customHeight="1" x14ac:dyDescent="0.3">
      <c r="A40" s="84">
        <v>9</v>
      </c>
      <c r="B40" s="85" t="s">
        <v>62</v>
      </c>
      <c r="C40" s="174">
        <f t="shared" ca="1" si="22"/>
        <v>0</v>
      </c>
      <c r="D40" s="175">
        <f t="shared" ca="1" si="42"/>
        <v>0</v>
      </c>
      <c r="E40" s="176">
        <f ca="1">IFERROR(__xludf.DUMMYFUNCTION("IMPORTRANGE(""https://docs.google.com/spreadsheets/d/1-uDff_7J0KD5mKrp0Vvzr7lt3OU09vwQwhkpOPPYv2Y/edit?usp=sharing"",""งบพรบ!DP40"")"),0)</f>
        <v>0</v>
      </c>
      <c r="F40" s="176">
        <f ca="1">IFERROR(__xludf.DUMMYFUNCTION("IMPORTRANGE(""https://docs.google.com/spreadsheets/d/1-uDff_7J0KD5mKrp0Vvzr7lt3OU09vwQwhkpOPPYv2Y/edit?usp=sharing"",""งบพรบ!DQ40"")"),0)</f>
        <v>0</v>
      </c>
      <c r="G40" s="176">
        <f ca="1">IFERROR(__xludf.DUMMYFUNCTION("IMPORTRANGE(""https://docs.google.com/spreadsheets/d/1-uDff_7J0KD5mKrp0Vvzr7lt3OU09vwQwhkpOPPYv2Y/edit?usp=sharing"",""งบพรบ!DR40"")"),0)</f>
        <v>0</v>
      </c>
      <c r="H40" s="176">
        <f ca="1">IFERROR(__xludf.DUMMYFUNCTION("IMPORTRANGE(""https://docs.google.com/spreadsheets/d/1-uDff_7J0KD5mKrp0Vvzr7lt3OU09vwQwhkpOPPYv2Y/edit?usp=sharing"",""งบพรบ!DT40"")"),0)</f>
        <v>0</v>
      </c>
      <c r="I40" s="176">
        <f ca="1">IFERROR(__xludf.DUMMYFUNCTION("IMPORTRANGE(""https://docs.google.com/spreadsheets/d/1-uDff_7J0KD5mKrp0Vvzr7lt3OU09vwQwhkpOPPYv2Y/edit?usp=sharing"",""งบพรบ!DU40"")"),0)</f>
        <v>0</v>
      </c>
      <c r="J40" s="176">
        <f t="shared" ca="1" si="24"/>
        <v>0</v>
      </c>
      <c r="K40" s="181">
        <f t="shared" ca="1" si="25"/>
        <v>0</v>
      </c>
      <c r="L40" s="176">
        <f ca="1">IFERROR(__xludf.DUMMYFUNCTION("IMPORTRANGE(""https://docs.google.com/spreadsheets/d/1-uDff_7J0KD5mKrp0Vvzr7lt3OU09vwQwhkpOPPYv2Y/edit?usp=sharing"",""งบพรบ!DV40"")"),0)</f>
        <v>0</v>
      </c>
      <c r="M40" s="179">
        <f t="shared" ca="1" si="26"/>
        <v>0</v>
      </c>
      <c r="N40" s="179">
        <f t="shared" ca="1" si="27"/>
        <v>0</v>
      </c>
      <c r="O40" s="180">
        <f ca="1">IFERROR(__xludf.DUMMYFUNCTION("IMPORTRANGE(""https://docs.google.com/spreadsheets/d/1-uDff_7J0KD5mKrp0Vvzr7lt3OU09vwQwhkpOPPYv2Y/edit?usp=sharing"",""งบพรบ!DW40"")"),0)</f>
        <v>0</v>
      </c>
      <c r="P40" s="180">
        <f t="shared" ca="1" si="28"/>
        <v>0</v>
      </c>
      <c r="Q40" s="179">
        <f t="shared" ca="1" si="29"/>
        <v>0</v>
      </c>
      <c r="R40" s="92">
        <f ca="1">IFERROR(__xludf.DUMMYFUNCTION("IMPORTRANGE(""https://docs.google.com/spreadsheets/d/1uB74YLqNjWX6FObjekfB2NtSYigTQyR2rq9u4Ub2Sq4/edit?usp=sharing"",""มุกดาหาร!I292"")"),0)</f>
        <v>0</v>
      </c>
      <c r="S40" s="92">
        <f ca="1">IFERROR(__xludf.DUMMYFUNCTION("IMPORTRANGE(""https://docs.google.com/spreadsheets/d/1uB74YLqNjWX6FObjekfB2NtSYigTQyR2rq9u4Ub2Sq4/edit?usp=sharing"",""มุกดาหาร!J292"")"),0)</f>
        <v>0</v>
      </c>
      <c r="T40" s="93">
        <f t="shared" ca="1" si="31"/>
        <v>0</v>
      </c>
      <c r="U40" s="92">
        <f ca="1">IFERROR(__xludf.DUMMYFUNCTION("IMPORTRANGE(""https://docs.google.com/spreadsheets/d/1uB74YLqNjWX6FObjekfB2NtSYigTQyR2rq9u4Ub2Sq4/edit?usp=sharing"",""มุกดาหาร!I293"")"),0)</f>
        <v>0</v>
      </c>
      <c r="V40" s="92">
        <f ca="1">IFERROR(__xludf.DUMMYFUNCTION("IMPORTRANGE(""https://docs.google.com/spreadsheets/d/1uB74YLqNjWX6FObjekfB2NtSYigTQyR2rq9u4Ub2Sq4/edit?usp=sharing"",""มุกดาหาร!J293"")"),0)</f>
        <v>0</v>
      </c>
      <c r="W40" s="93">
        <f t="shared" ca="1" si="33"/>
        <v>0</v>
      </c>
      <c r="X40" s="92">
        <f ca="1">IFERROR(__xludf.DUMMYFUNCTION("IMPORTRANGE(""https://docs.google.com/spreadsheets/d/1uB74YLqNjWX6FObjekfB2NtSYigTQyR2rq9u4Ub2Sq4/edit?usp=sharing"",""มุกดาหาร!I295"")"),0)</f>
        <v>0</v>
      </c>
      <c r="Y40" s="92">
        <f ca="1">IFERROR(__xludf.DUMMYFUNCTION("IMPORTRANGE(""https://docs.google.com/spreadsheets/d/1uB74YLqNjWX6FObjekfB2NtSYigTQyR2rq9u4Ub2Sq4/edit?usp=sharing"",""มุกดาหาร!J295"")"),0)</f>
        <v>0</v>
      </c>
      <c r="Z40" s="93">
        <f t="shared" ca="1" si="35"/>
        <v>0</v>
      </c>
      <c r="AA40" s="311">
        <f ca="1">IFERROR(__xludf.DUMMYFUNCTION("IMPORTRANGE(""https://docs.google.com/spreadsheets/d/1uB74YLqNjWX6FObjekfB2NtSYigTQyR2rq9u4Ub2Sq4/edit?usp=sharing"",""มุกดาหาร!J296"")"),0)</f>
        <v>0</v>
      </c>
      <c r="AB40" s="312">
        <f t="shared" ca="1" si="36"/>
        <v>0</v>
      </c>
    </row>
    <row r="41" spans="1:28" ht="21" customHeight="1" x14ac:dyDescent="0.3">
      <c r="A41" s="84">
        <v>10</v>
      </c>
      <c r="B41" s="85" t="s">
        <v>63</v>
      </c>
      <c r="C41" s="174">
        <f t="shared" ca="1" si="22"/>
        <v>0</v>
      </c>
      <c r="D41" s="175">
        <f t="shared" ca="1" si="42"/>
        <v>0</v>
      </c>
      <c r="E41" s="176">
        <f ca="1">IFERROR(__xludf.DUMMYFUNCTION("IMPORTRANGE(""https://docs.google.com/spreadsheets/d/1-uDff_7J0KD5mKrp0Vvzr7lt3OU09vwQwhkpOPPYv2Y/edit?usp=sharing"",""งบพรบ!DP41"")"),0)</f>
        <v>0</v>
      </c>
      <c r="F41" s="176">
        <f ca="1">IFERROR(__xludf.DUMMYFUNCTION("IMPORTRANGE(""https://docs.google.com/spreadsheets/d/1-uDff_7J0KD5mKrp0Vvzr7lt3OU09vwQwhkpOPPYv2Y/edit?usp=sharing"",""งบพรบ!DQ41"")"),0)</f>
        <v>0</v>
      </c>
      <c r="G41" s="176">
        <f ca="1">IFERROR(__xludf.DUMMYFUNCTION("IMPORTRANGE(""https://docs.google.com/spreadsheets/d/1-uDff_7J0KD5mKrp0Vvzr7lt3OU09vwQwhkpOPPYv2Y/edit?usp=sharing"",""งบพรบ!DR41"")"),0)</f>
        <v>0</v>
      </c>
      <c r="H41" s="176">
        <f ca="1">IFERROR(__xludf.DUMMYFUNCTION("IMPORTRANGE(""https://docs.google.com/spreadsheets/d/1-uDff_7J0KD5mKrp0Vvzr7lt3OU09vwQwhkpOPPYv2Y/edit?usp=sharing"",""งบพรบ!DT41"")"),0)</f>
        <v>0</v>
      </c>
      <c r="I41" s="176">
        <f ca="1">IFERROR(__xludf.DUMMYFUNCTION("IMPORTRANGE(""https://docs.google.com/spreadsheets/d/1-uDff_7J0KD5mKrp0Vvzr7lt3OU09vwQwhkpOPPYv2Y/edit?usp=sharing"",""งบพรบ!DU41"")"),0)</f>
        <v>0</v>
      </c>
      <c r="J41" s="176">
        <f t="shared" ca="1" si="24"/>
        <v>0</v>
      </c>
      <c r="K41" s="181">
        <f t="shared" ca="1" si="25"/>
        <v>0</v>
      </c>
      <c r="L41" s="176">
        <f ca="1">IFERROR(__xludf.DUMMYFUNCTION("IMPORTRANGE(""https://docs.google.com/spreadsheets/d/1-uDff_7J0KD5mKrp0Vvzr7lt3OU09vwQwhkpOPPYv2Y/edit?usp=sharing"",""งบพรบ!DV41"")"),0)</f>
        <v>0</v>
      </c>
      <c r="M41" s="179">
        <f t="shared" ca="1" si="26"/>
        <v>0</v>
      </c>
      <c r="N41" s="179">
        <f t="shared" ca="1" si="27"/>
        <v>0</v>
      </c>
      <c r="O41" s="180">
        <f ca="1">IFERROR(__xludf.DUMMYFUNCTION("IMPORTRANGE(""https://docs.google.com/spreadsheets/d/1-uDff_7J0KD5mKrp0Vvzr7lt3OU09vwQwhkpOPPYv2Y/edit?usp=sharing"",""งบพรบ!DW41"")"),0)</f>
        <v>0</v>
      </c>
      <c r="P41" s="180">
        <f t="shared" ca="1" si="28"/>
        <v>0</v>
      </c>
      <c r="Q41" s="179">
        <f t="shared" ca="1" si="29"/>
        <v>0</v>
      </c>
      <c r="R41" s="92">
        <f ca="1">IFERROR(__xludf.DUMMYFUNCTION("IMPORTRANGE(""https://docs.google.com/spreadsheets/d/1NexK3geCPxCTO1fzNF8dPec7yZyUx3OaWkFBC9HsQOo/edit?usp=sharing"",""ยโสธร!I292"")"),0)</f>
        <v>0</v>
      </c>
      <c r="S41" s="92">
        <f ca="1">IFERROR(__xludf.DUMMYFUNCTION("IMPORTRANGE(""https://docs.google.com/spreadsheets/d/1NexK3geCPxCTO1fzNF8dPec7yZyUx3OaWkFBC9HsQOo/edit?usp=sharing"",""ยโสธร!J292"")"),0)</f>
        <v>0</v>
      </c>
      <c r="T41" s="93">
        <f t="shared" ca="1" si="31"/>
        <v>0</v>
      </c>
      <c r="U41" s="92">
        <f ca="1">IFERROR(__xludf.DUMMYFUNCTION("IMPORTRANGE(""https://docs.google.com/spreadsheets/d/1NexK3geCPxCTO1fzNF8dPec7yZyUx3OaWkFBC9HsQOo/edit?usp=sharing"",""ยโสธร!I293"")"),0)</f>
        <v>0</v>
      </c>
      <c r="V41" s="92">
        <f ca="1">IFERROR(__xludf.DUMMYFUNCTION("IMPORTRANGE(""https://docs.google.com/spreadsheets/d/1NexK3geCPxCTO1fzNF8dPec7yZyUx3OaWkFBC9HsQOo/edit?usp=sharing"",""ยโสธร!J293"")"),0)</f>
        <v>0</v>
      </c>
      <c r="W41" s="93">
        <f t="shared" ca="1" si="33"/>
        <v>0</v>
      </c>
      <c r="X41" s="92">
        <f ca="1">IFERROR(__xludf.DUMMYFUNCTION("IMPORTRANGE(""https://docs.google.com/spreadsheets/d/1NexK3geCPxCTO1fzNF8dPec7yZyUx3OaWkFBC9HsQOo/edit?usp=sharing"",""ยโสธร!I295"")"),0)</f>
        <v>0</v>
      </c>
      <c r="Y41" s="92">
        <f ca="1">IFERROR(__xludf.DUMMYFUNCTION("IMPORTRANGE(""https://docs.google.com/spreadsheets/d/1NexK3geCPxCTO1fzNF8dPec7yZyUx3OaWkFBC9HsQOo/edit?usp=sharing"",""ยโสธร!J295"")"),0)</f>
        <v>0</v>
      </c>
      <c r="Z41" s="93">
        <f t="shared" ca="1" si="35"/>
        <v>0</v>
      </c>
      <c r="AA41" s="311">
        <f ca="1">IFERROR(__xludf.DUMMYFUNCTION("IMPORTRANGE(""https://docs.google.com/spreadsheets/d/1NexK3geCPxCTO1fzNF8dPec7yZyUx3OaWkFBC9HsQOo/edit?usp=sharing"",""ยโสธร!J296"")"),0)</f>
        <v>0</v>
      </c>
      <c r="AB41" s="312">
        <f t="shared" ca="1" si="36"/>
        <v>0</v>
      </c>
    </row>
    <row r="42" spans="1:28" ht="21" customHeight="1" x14ac:dyDescent="0.3">
      <c r="A42" s="84">
        <v>11</v>
      </c>
      <c r="B42" s="85" t="s">
        <v>64</v>
      </c>
      <c r="C42" s="174">
        <f t="shared" ca="1" si="22"/>
        <v>172920</v>
      </c>
      <c r="D42" s="175">
        <f t="shared" ca="1" si="42"/>
        <v>172920</v>
      </c>
      <c r="E42" s="176">
        <f ca="1">IFERROR(__xludf.DUMMYFUNCTION("IMPORTRANGE(""https://docs.google.com/spreadsheets/d/1-uDff_7J0KD5mKrp0Vvzr7lt3OU09vwQwhkpOPPYv2Y/edit?usp=sharing"",""งบพรบ!DP42"")"),87800)</f>
        <v>87800</v>
      </c>
      <c r="F42" s="176">
        <f ca="1">IFERROR(__xludf.DUMMYFUNCTION("IMPORTRANGE(""https://docs.google.com/spreadsheets/d/1-uDff_7J0KD5mKrp0Vvzr7lt3OU09vwQwhkpOPPYv2Y/edit?usp=sharing"",""งบพรบ!DQ42"")"),85120)</f>
        <v>85120</v>
      </c>
      <c r="G42" s="176">
        <f ca="1">IFERROR(__xludf.DUMMYFUNCTION("IMPORTRANGE(""https://docs.google.com/spreadsheets/d/1-uDff_7J0KD5mKrp0Vvzr7lt3OU09vwQwhkpOPPYv2Y/edit?usp=sharing"",""งบพรบ!DR42"")"),0)</f>
        <v>0</v>
      </c>
      <c r="H42" s="176">
        <f ca="1">IFERROR(__xludf.DUMMYFUNCTION("IMPORTRANGE(""https://docs.google.com/spreadsheets/d/1-uDff_7J0KD5mKrp0Vvzr7lt3OU09vwQwhkpOPPYv2Y/edit?usp=sharing"",""งบพรบ!DT42"")"),136480)</f>
        <v>136480</v>
      </c>
      <c r="I42" s="176">
        <f ca="1">IFERROR(__xludf.DUMMYFUNCTION("IMPORTRANGE(""https://docs.google.com/spreadsheets/d/1-uDff_7J0KD5mKrp0Vvzr7lt3OU09vwQwhkpOPPYv2Y/edit?usp=sharing"",""งบพรบ!DU42"")"),0)</f>
        <v>0</v>
      </c>
      <c r="J42" s="176">
        <f t="shared" ca="1" si="24"/>
        <v>32251.8</v>
      </c>
      <c r="K42" s="181">
        <f t="shared" ca="1" si="25"/>
        <v>18.651283830673144</v>
      </c>
      <c r="L42" s="176">
        <f ca="1">IFERROR(__xludf.DUMMYFUNCTION("IMPORTRANGE(""https://docs.google.com/spreadsheets/d/1-uDff_7J0KD5mKrp0Vvzr7lt3OU09vwQwhkpOPPYv2Y/edit?usp=sharing"",""งบพรบ!DV42"")"),32251.8)</f>
        <v>32251.8</v>
      </c>
      <c r="M42" s="179">
        <f t="shared" ca="1" si="26"/>
        <v>18.651283830673144</v>
      </c>
      <c r="N42" s="179">
        <f t="shared" ca="1" si="27"/>
        <v>23.631154747948418</v>
      </c>
      <c r="O42" s="180">
        <f ca="1">IFERROR(__xludf.DUMMYFUNCTION("IMPORTRANGE(""https://docs.google.com/spreadsheets/d/1-uDff_7J0KD5mKrp0Vvzr7lt3OU09vwQwhkpOPPYv2Y/edit?usp=sharing"",""งบพรบ!DW42"")"),0)</f>
        <v>0</v>
      </c>
      <c r="P42" s="180">
        <f t="shared" ca="1" si="28"/>
        <v>0</v>
      </c>
      <c r="Q42" s="179">
        <f t="shared" ca="1" si="29"/>
        <v>0</v>
      </c>
      <c r="R42" s="92">
        <f ca="1">IFERROR(__xludf.DUMMYFUNCTION("IMPORTRANGE(""https://docs.google.com/spreadsheets/d/1v_cJrbBlyqmnHPReHk44g9NrMRdENNlSy_E_c5M9fIg/edit?usp=sharing"",""ร้อยเอ็ด!I292"")"),300)</f>
        <v>300</v>
      </c>
      <c r="S42" s="92">
        <f ca="1">IFERROR(__xludf.DUMMYFUNCTION("IMPORTRANGE(""https://docs.google.com/spreadsheets/d/1v_cJrbBlyqmnHPReHk44g9NrMRdENNlSy_E_c5M9fIg/edit?usp=sharing"",""ร้อยเอ็ด!J292"")"),0)</f>
        <v>0</v>
      </c>
      <c r="T42" s="93">
        <f t="shared" ca="1" si="31"/>
        <v>0</v>
      </c>
      <c r="U42" s="92">
        <f ca="1">IFERROR(__xludf.DUMMYFUNCTION("IMPORTRANGE(""https://docs.google.com/spreadsheets/d/1v_cJrbBlyqmnHPReHk44g9NrMRdENNlSy_E_c5M9fIg/edit?usp=sharing"",""ร้อยเอ็ด!I293"")"),30)</f>
        <v>30</v>
      </c>
      <c r="V42" s="92">
        <f ca="1">IFERROR(__xludf.DUMMYFUNCTION("IMPORTRANGE(""https://docs.google.com/spreadsheets/d/1v_cJrbBlyqmnHPReHk44g9NrMRdENNlSy_E_c5M9fIg/edit?usp=sharing"",""ร้อยเอ็ด!J293"")"),0)</f>
        <v>0</v>
      </c>
      <c r="W42" s="93">
        <f t="shared" ca="1" si="33"/>
        <v>0</v>
      </c>
      <c r="X42" s="92">
        <f ca="1">IFERROR(__xludf.DUMMYFUNCTION("IMPORTRANGE(""https://docs.google.com/spreadsheets/d/1v_cJrbBlyqmnHPReHk44g9NrMRdENNlSy_E_c5M9fIg/edit?usp=sharing"",""ร้อยเอ็ด!I295"")"),30)</f>
        <v>30</v>
      </c>
      <c r="Y42" s="92">
        <f ca="1">IFERROR(__xludf.DUMMYFUNCTION("IMPORTRANGE(""https://docs.google.com/spreadsheets/d/1v_cJrbBlyqmnHPReHk44g9NrMRdENNlSy_E_c5M9fIg/edit?usp=sharing"",""ร้อยเอ็ด!J295"")"),0)</f>
        <v>0</v>
      </c>
      <c r="Z42" s="93">
        <f t="shared" ca="1" si="35"/>
        <v>0</v>
      </c>
      <c r="AA42" s="311">
        <f ca="1">IFERROR(__xludf.DUMMYFUNCTION("IMPORTRANGE(""https://docs.google.com/spreadsheets/d/1v_cJrbBlyqmnHPReHk44g9NrMRdENNlSy_E_c5M9fIg/edit?usp=sharing"",""ร้อยเอ็ด!J296"")"),0)</f>
        <v>0</v>
      </c>
      <c r="AB42" s="312">
        <f t="shared" ca="1" si="36"/>
        <v>0</v>
      </c>
    </row>
    <row r="43" spans="1:28" ht="21" customHeight="1" x14ac:dyDescent="0.3">
      <c r="A43" s="84">
        <v>12</v>
      </c>
      <c r="B43" s="85" t="s">
        <v>65</v>
      </c>
      <c r="C43" s="174">
        <f t="shared" ca="1" si="22"/>
        <v>0</v>
      </c>
      <c r="D43" s="175">
        <f t="shared" ca="1" si="42"/>
        <v>0</v>
      </c>
      <c r="E43" s="176">
        <f ca="1">IFERROR(__xludf.DUMMYFUNCTION("IMPORTRANGE(""https://docs.google.com/spreadsheets/d/1-uDff_7J0KD5mKrp0Vvzr7lt3OU09vwQwhkpOPPYv2Y/edit?usp=sharing"",""งบพรบ!DP43"")"),0)</f>
        <v>0</v>
      </c>
      <c r="F43" s="176">
        <f ca="1">IFERROR(__xludf.DUMMYFUNCTION("IMPORTRANGE(""https://docs.google.com/spreadsheets/d/1-uDff_7J0KD5mKrp0Vvzr7lt3OU09vwQwhkpOPPYv2Y/edit?usp=sharing"",""งบพรบ!DQ43"")"),0)</f>
        <v>0</v>
      </c>
      <c r="G43" s="176">
        <f ca="1">IFERROR(__xludf.DUMMYFUNCTION("IMPORTRANGE(""https://docs.google.com/spreadsheets/d/1-uDff_7J0KD5mKrp0Vvzr7lt3OU09vwQwhkpOPPYv2Y/edit?usp=sharing"",""งบพรบ!DR43"")"),0)</f>
        <v>0</v>
      </c>
      <c r="H43" s="176">
        <f ca="1">IFERROR(__xludf.DUMMYFUNCTION("IMPORTRANGE(""https://docs.google.com/spreadsheets/d/1-uDff_7J0KD5mKrp0Vvzr7lt3OU09vwQwhkpOPPYv2Y/edit?usp=sharing"",""งบพรบ!DT43"")"),0)</f>
        <v>0</v>
      </c>
      <c r="I43" s="176">
        <f ca="1">IFERROR(__xludf.DUMMYFUNCTION("IMPORTRANGE(""https://docs.google.com/spreadsheets/d/1-uDff_7J0KD5mKrp0Vvzr7lt3OU09vwQwhkpOPPYv2Y/edit?usp=sharing"",""งบพรบ!DU43"")"),0)</f>
        <v>0</v>
      </c>
      <c r="J43" s="176">
        <f t="shared" ca="1" si="24"/>
        <v>0</v>
      </c>
      <c r="K43" s="181">
        <f t="shared" ca="1" si="25"/>
        <v>0</v>
      </c>
      <c r="L43" s="176">
        <f ca="1">IFERROR(__xludf.DUMMYFUNCTION("IMPORTRANGE(""https://docs.google.com/spreadsheets/d/1-uDff_7J0KD5mKrp0Vvzr7lt3OU09vwQwhkpOPPYv2Y/edit?usp=sharing"",""งบพรบ!DV43"")"),0)</f>
        <v>0</v>
      </c>
      <c r="M43" s="179">
        <f t="shared" ca="1" si="26"/>
        <v>0</v>
      </c>
      <c r="N43" s="179">
        <f t="shared" ca="1" si="27"/>
        <v>0</v>
      </c>
      <c r="O43" s="180">
        <f ca="1">IFERROR(__xludf.DUMMYFUNCTION("IMPORTRANGE(""https://docs.google.com/spreadsheets/d/1-uDff_7J0KD5mKrp0Vvzr7lt3OU09vwQwhkpOPPYv2Y/edit?usp=sharing"",""งบพรบ!DW43"")"),0)</f>
        <v>0</v>
      </c>
      <c r="P43" s="180">
        <f t="shared" ca="1" si="28"/>
        <v>0</v>
      </c>
      <c r="Q43" s="179">
        <f t="shared" ca="1" si="29"/>
        <v>0</v>
      </c>
      <c r="R43" s="92">
        <f ca="1">IFERROR(__xludf.DUMMYFUNCTION("IMPORTRANGE(""https://docs.google.com/spreadsheets/d/1Ul4RCpCX66NxYADU1QpwAPjOmBzW64SsT11s1wzXw_c/edit?usp=sharing"",""เลย!I292"")"),0)</f>
        <v>0</v>
      </c>
      <c r="S43" s="92">
        <f ca="1">IFERROR(__xludf.DUMMYFUNCTION("IMPORTRANGE(""https://docs.google.com/spreadsheets/d/1Ul4RCpCX66NxYADU1QpwAPjOmBzW64SsT11s1wzXw_c/edit?usp=sharing"",""เลย!J292"")"),0)</f>
        <v>0</v>
      </c>
      <c r="T43" s="93">
        <f t="shared" ca="1" si="31"/>
        <v>0</v>
      </c>
      <c r="U43" s="92">
        <f ca="1">IFERROR(__xludf.DUMMYFUNCTION("IMPORTRANGE(""https://docs.google.com/spreadsheets/d/1Ul4RCpCX66NxYADU1QpwAPjOmBzW64SsT11s1wzXw_c/edit?usp=sharing"",""เลย!I293"")"),0)</f>
        <v>0</v>
      </c>
      <c r="V43" s="92">
        <f ca="1">IFERROR(__xludf.DUMMYFUNCTION("IMPORTRANGE(""https://docs.google.com/spreadsheets/d/1Ul4RCpCX66NxYADU1QpwAPjOmBzW64SsT11s1wzXw_c/edit?usp=sharing"",""เลย!J293"")"),0)</f>
        <v>0</v>
      </c>
      <c r="W43" s="93">
        <f t="shared" ca="1" si="33"/>
        <v>0</v>
      </c>
      <c r="X43" s="92">
        <f ca="1">IFERROR(__xludf.DUMMYFUNCTION("IMPORTRANGE(""https://docs.google.com/spreadsheets/d/1Ul4RCpCX66NxYADU1QpwAPjOmBzW64SsT11s1wzXw_c/edit?usp=sharing"",""เลย!I295"")"),0)</f>
        <v>0</v>
      </c>
      <c r="Y43" s="92">
        <f ca="1">IFERROR(__xludf.DUMMYFUNCTION("IMPORTRANGE(""https://docs.google.com/spreadsheets/d/1Ul4RCpCX66NxYADU1QpwAPjOmBzW64SsT11s1wzXw_c/edit?usp=sharing"",""เลย!J295"")"),0)</f>
        <v>0</v>
      </c>
      <c r="Z43" s="93">
        <f t="shared" ca="1" si="35"/>
        <v>0</v>
      </c>
      <c r="AA43" s="311">
        <f ca="1">IFERROR(__xludf.DUMMYFUNCTION("IMPORTRANGE(""https://docs.google.com/spreadsheets/d/1Ul4RCpCX66NxYADU1QpwAPjOmBzW64SsT11s1wzXw_c/edit?usp=sharing"",""เลย!J296"")"),0)</f>
        <v>0</v>
      </c>
      <c r="AB43" s="312">
        <f t="shared" ca="1" si="36"/>
        <v>0</v>
      </c>
    </row>
    <row r="44" spans="1:28" ht="21" customHeight="1" x14ac:dyDescent="0.3">
      <c r="A44" s="84">
        <v>13</v>
      </c>
      <c r="B44" s="85" t="s">
        <v>66</v>
      </c>
      <c r="C44" s="174">
        <f t="shared" ca="1" si="22"/>
        <v>0</v>
      </c>
      <c r="D44" s="175">
        <f t="shared" ca="1" si="42"/>
        <v>0</v>
      </c>
      <c r="E44" s="176">
        <f ca="1">IFERROR(__xludf.DUMMYFUNCTION("IMPORTRANGE(""https://docs.google.com/spreadsheets/d/1-uDff_7J0KD5mKrp0Vvzr7lt3OU09vwQwhkpOPPYv2Y/edit?usp=sharing"",""งบพรบ!DP44"")"),0)</f>
        <v>0</v>
      </c>
      <c r="F44" s="176">
        <f ca="1">IFERROR(__xludf.DUMMYFUNCTION("IMPORTRANGE(""https://docs.google.com/spreadsheets/d/1-uDff_7J0KD5mKrp0Vvzr7lt3OU09vwQwhkpOPPYv2Y/edit?usp=sharing"",""งบพรบ!DQ44"")"),0)</f>
        <v>0</v>
      </c>
      <c r="G44" s="176">
        <f ca="1">IFERROR(__xludf.DUMMYFUNCTION("IMPORTRANGE(""https://docs.google.com/spreadsheets/d/1-uDff_7J0KD5mKrp0Vvzr7lt3OU09vwQwhkpOPPYv2Y/edit?usp=sharing"",""งบพรบ!DR44"")"),0)</f>
        <v>0</v>
      </c>
      <c r="H44" s="176">
        <f ca="1">IFERROR(__xludf.DUMMYFUNCTION("IMPORTRANGE(""https://docs.google.com/spreadsheets/d/1-uDff_7J0KD5mKrp0Vvzr7lt3OU09vwQwhkpOPPYv2Y/edit?usp=sharing"",""งบพรบ!DT44"")"),0)</f>
        <v>0</v>
      </c>
      <c r="I44" s="176">
        <f ca="1">IFERROR(__xludf.DUMMYFUNCTION("IMPORTRANGE(""https://docs.google.com/spreadsheets/d/1-uDff_7J0KD5mKrp0Vvzr7lt3OU09vwQwhkpOPPYv2Y/edit?usp=sharing"",""งบพรบ!DU44"")"),0)</f>
        <v>0</v>
      </c>
      <c r="J44" s="176">
        <f t="shared" ca="1" si="24"/>
        <v>0</v>
      </c>
      <c r="K44" s="181">
        <f t="shared" ca="1" si="25"/>
        <v>0</v>
      </c>
      <c r="L44" s="176">
        <f ca="1">IFERROR(__xludf.DUMMYFUNCTION("IMPORTRANGE(""https://docs.google.com/spreadsheets/d/1-uDff_7J0KD5mKrp0Vvzr7lt3OU09vwQwhkpOPPYv2Y/edit?usp=sharing"",""งบพรบ!DV44"")"),0)</f>
        <v>0</v>
      </c>
      <c r="M44" s="179">
        <f t="shared" ca="1" si="26"/>
        <v>0</v>
      </c>
      <c r="N44" s="179">
        <f t="shared" ca="1" si="27"/>
        <v>0</v>
      </c>
      <c r="O44" s="180">
        <f ca="1">IFERROR(__xludf.DUMMYFUNCTION("IMPORTRANGE(""https://docs.google.com/spreadsheets/d/1-uDff_7J0KD5mKrp0Vvzr7lt3OU09vwQwhkpOPPYv2Y/edit?usp=sharing"",""งบพรบ!DW44"")"),0)</f>
        <v>0</v>
      </c>
      <c r="P44" s="180">
        <f t="shared" ca="1" si="28"/>
        <v>0</v>
      </c>
      <c r="Q44" s="179">
        <f t="shared" ca="1" si="29"/>
        <v>0</v>
      </c>
      <c r="R44" s="92">
        <f ca="1">IFERROR(__xludf.DUMMYFUNCTION("IMPORTRANGE(""https://docs.google.com/spreadsheets/d/1bRrNKwbHDVktQG10isr5vbWRtt5spIZPpkOSWgbT5ug/edit?usp=sharing"",""ศรีสะเกษ!I292"")"),0)</f>
        <v>0</v>
      </c>
      <c r="S44" s="92">
        <f ca="1">IFERROR(__xludf.DUMMYFUNCTION("IMPORTRANGE(""https://docs.google.com/spreadsheets/d/1bRrNKwbHDVktQG10isr5vbWRtt5spIZPpkOSWgbT5ug/edit?usp=sharing"",""ศรีสะเกษ!J292"")"),0)</f>
        <v>0</v>
      </c>
      <c r="T44" s="93">
        <f t="shared" ca="1" si="31"/>
        <v>0</v>
      </c>
      <c r="U44" s="92">
        <f ca="1">IFERROR(__xludf.DUMMYFUNCTION("IMPORTRANGE(""https://docs.google.com/spreadsheets/d/1bRrNKwbHDVktQG10isr5vbWRtt5spIZPpkOSWgbT5ug/edit?usp=sharing"",""ศรีสะเกษ!I293"")"),0)</f>
        <v>0</v>
      </c>
      <c r="V44" s="92">
        <f ca="1">IFERROR(__xludf.DUMMYFUNCTION("IMPORTRANGE(""https://docs.google.com/spreadsheets/d/1bRrNKwbHDVktQG10isr5vbWRtt5spIZPpkOSWgbT5ug/edit?usp=sharing"",""ศรีสะเกษ!J293"")"),0)</f>
        <v>0</v>
      </c>
      <c r="W44" s="93">
        <f t="shared" ca="1" si="33"/>
        <v>0</v>
      </c>
      <c r="X44" s="92">
        <f ca="1">IFERROR(__xludf.DUMMYFUNCTION("IMPORTRANGE(""https://docs.google.com/spreadsheets/d/1bRrNKwbHDVktQG10isr5vbWRtt5spIZPpkOSWgbT5ug/edit?usp=sharing"",""ศรีสะเกษ!I295"")"),0)</f>
        <v>0</v>
      </c>
      <c r="Y44" s="92">
        <f ca="1">IFERROR(__xludf.DUMMYFUNCTION("IMPORTRANGE(""https://docs.google.com/spreadsheets/d/1bRrNKwbHDVktQG10isr5vbWRtt5spIZPpkOSWgbT5ug/edit?usp=sharing"",""ศรีสะเกษ!J295"")"),0)</f>
        <v>0</v>
      </c>
      <c r="Z44" s="93">
        <f t="shared" ca="1" si="35"/>
        <v>0</v>
      </c>
      <c r="AA44" s="311">
        <f ca="1">IFERROR(__xludf.DUMMYFUNCTION("IMPORTRANGE(""https://docs.google.com/spreadsheets/d/1bRrNKwbHDVktQG10isr5vbWRtt5spIZPpkOSWgbT5ug/edit?usp=sharing"",""ศรีสะเกษ!J296"")"),0)</f>
        <v>0</v>
      </c>
      <c r="AB44" s="312">
        <f t="shared" ca="1" si="36"/>
        <v>0</v>
      </c>
    </row>
    <row r="45" spans="1:28" ht="21" customHeight="1" x14ac:dyDescent="0.3">
      <c r="A45" s="84">
        <v>14</v>
      </c>
      <c r="B45" s="85" t="s">
        <v>67</v>
      </c>
      <c r="C45" s="174">
        <f t="shared" ca="1" si="22"/>
        <v>175420</v>
      </c>
      <c r="D45" s="175">
        <f t="shared" ca="1" si="42"/>
        <v>175420</v>
      </c>
      <c r="E45" s="176">
        <f ca="1">IFERROR(__xludf.DUMMYFUNCTION("IMPORTRANGE(""https://docs.google.com/spreadsheets/d/1-uDff_7J0KD5mKrp0Vvzr7lt3OU09vwQwhkpOPPYv2Y/edit?usp=sharing"",""งบพรบ!DP45"")"),90300)</f>
        <v>90300</v>
      </c>
      <c r="F45" s="176">
        <f ca="1">IFERROR(__xludf.DUMMYFUNCTION("IMPORTRANGE(""https://docs.google.com/spreadsheets/d/1-uDff_7J0KD5mKrp0Vvzr7lt3OU09vwQwhkpOPPYv2Y/edit?usp=sharing"",""งบพรบ!DQ45"")"),85120)</f>
        <v>85120</v>
      </c>
      <c r="G45" s="176">
        <f ca="1">IFERROR(__xludf.DUMMYFUNCTION("IMPORTRANGE(""https://docs.google.com/spreadsheets/d/1-uDff_7J0KD5mKrp0Vvzr7lt3OU09vwQwhkpOPPYv2Y/edit?usp=sharing"",""งบพรบ!DR45"")"),0)</f>
        <v>0</v>
      </c>
      <c r="H45" s="176">
        <f ca="1">IFERROR(__xludf.DUMMYFUNCTION("IMPORTRANGE(""https://docs.google.com/spreadsheets/d/1-uDff_7J0KD5mKrp0Vvzr7lt3OU09vwQwhkpOPPYv2Y/edit?usp=sharing"",""งบพรบ!DT45"")"),137980)</f>
        <v>137980</v>
      </c>
      <c r="I45" s="176">
        <f ca="1">IFERROR(__xludf.DUMMYFUNCTION("IMPORTRANGE(""https://docs.google.com/spreadsheets/d/1-uDff_7J0KD5mKrp0Vvzr7lt3OU09vwQwhkpOPPYv2Y/edit?usp=sharing"",""งบพรบ!DU45"")"),0)</f>
        <v>0</v>
      </c>
      <c r="J45" s="176">
        <f t="shared" ca="1" si="24"/>
        <v>44402.400000000001</v>
      </c>
      <c r="K45" s="181">
        <f t="shared" ca="1" si="25"/>
        <v>25.312051077414207</v>
      </c>
      <c r="L45" s="176">
        <f ca="1">IFERROR(__xludf.DUMMYFUNCTION("IMPORTRANGE(""https://docs.google.com/spreadsheets/d/1-uDff_7J0KD5mKrp0Vvzr7lt3OU09vwQwhkpOPPYv2Y/edit?usp=sharing"",""งบพรบ!DV45"")"),44402.4)</f>
        <v>44402.400000000001</v>
      </c>
      <c r="M45" s="179">
        <f t="shared" ca="1" si="26"/>
        <v>25.312051077414207</v>
      </c>
      <c r="N45" s="179">
        <f t="shared" ca="1" si="27"/>
        <v>32.180315987824322</v>
      </c>
      <c r="O45" s="180">
        <f ca="1">IFERROR(__xludf.DUMMYFUNCTION("IMPORTRANGE(""https://docs.google.com/spreadsheets/d/1-uDff_7J0KD5mKrp0Vvzr7lt3OU09vwQwhkpOPPYv2Y/edit?usp=sharing"",""งบพรบ!DW45"")"),0)</f>
        <v>0</v>
      </c>
      <c r="P45" s="180">
        <f t="shared" ca="1" si="28"/>
        <v>0</v>
      </c>
      <c r="Q45" s="179">
        <f t="shared" ca="1" si="29"/>
        <v>0</v>
      </c>
      <c r="R45" s="92">
        <f ca="1">IFERROR(__xludf.DUMMYFUNCTION("IMPORTRANGE(""https://docs.google.com/spreadsheets/d/17P34_Ow5kFBfdQD0qspb2UuPX5zpi6WMrQzslghyvrI/edit?usp=sharing"",""สกลนคร!I292"")"),300)</f>
        <v>300</v>
      </c>
      <c r="S45" s="92">
        <f ca="1">IFERROR(__xludf.DUMMYFUNCTION("IMPORTRANGE(""https://docs.google.com/spreadsheets/d/17P34_Ow5kFBfdQD0qspb2UuPX5zpi6WMrQzslghyvrI/edit?usp=sharing"",""สกลนคร!J292"")"),0)</f>
        <v>0</v>
      </c>
      <c r="T45" s="93">
        <f t="shared" ca="1" si="31"/>
        <v>0</v>
      </c>
      <c r="U45" s="92">
        <f ca="1">IFERROR(__xludf.DUMMYFUNCTION("IMPORTRANGE(""https://docs.google.com/spreadsheets/d/17P34_Ow5kFBfdQD0qspb2UuPX5zpi6WMrQzslghyvrI/edit?usp=sharing"",""สกลนคร!I293"")"),30)</f>
        <v>30</v>
      </c>
      <c r="V45" s="92">
        <f ca="1">IFERROR(__xludf.DUMMYFUNCTION("IMPORTRANGE(""https://docs.google.com/spreadsheets/d/17P34_Ow5kFBfdQD0qspb2UuPX5zpi6WMrQzslghyvrI/edit?usp=sharing"",""สกลนคร!J293"")"),0)</f>
        <v>0</v>
      </c>
      <c r="W45" s="93">
        <f t="shared" ca="1" si="33"/>
        <v>0</v>
      </c>
      <c r="X45" s="92">
        <f ca="1">IFERROR(__xludf.DUMMYFUNCTION("IMPORTRANGE(""https://docs.google.com/spreadsheets/d/17P34_Ow5kFBfdQD0qspb2UuPX5zpi6WMrQzslghyvrI/edit?usp=sharing"",""สกลนคร!I295"")"),30)</f>
        <v>30</v>
      </c>
      <c r="Y45" s="92">
        <f ca="1">IFERROR(__xludf.DUMMYFUNCTION("IMPORTRANGE(""https://docs.google.com/spreadsheets/d/17P34_Ow5kFBfdQD0qspb2UuPX5zpi6WMrQzslghyvrI/edit?usp=sharing"",""สกลนคร!J295"")"),0)</f>
        <v>0</v>
      </c>
      <c r="Z45" s="93">
        <f t="shared" ca="1" si="35"/>
        <v>0</v>
      </c>
      <c r="AA45" s="311">
        <f ca="1">IFERROR(__xludf.DUMMYFUNCTION("IMPORTRANGE(""https://docs.google.com/spreadsheets/d/17P34_Ow5kFBfdQD0qspb2UuPX5zpi6WMrQzslghyvrI/edit?usp=sharing"",""สกลนคร!J296"")"),0)</f>
        <v>0</v>
      </c>
      <c r="AB45" s="312">
        <f t="shared" ca="1" si="36"/>
        <v>0</v>
      </c>
    </row>
    <row r="46" spans="1:28" ht="21" customHeight="1" x14ac:dyDescent="0.3">
      <c r="A46" s="84">
        <v>15</v>
      </c>
      <c r="B46" s="85" t="s">
        <v>68</v>
      </c>
      <c r="C46" s="174">
        <f t="shared" ca="1" si="22"/>
        <v>153520</v>
      </c>
      <c r="D46" s="175">
        <f t="shared" ca="1" si="42"/>
        <v>153520</v>
      </c>
      <c r="E46" s="176">
        <f ca="1">IFERROR(__xludf.DUMMYFUNCTION("IMPORTRANGE(""https://docs.google.com/spreadsheets/d/1-uDff_7J0KD5mKrp0Vvzr7lt3OU09vwQwhkpOPPYv2Y/edit?usp=sharing"",""งบพรบ!DP46"")"),83400)</f>
        <v>83400</v>
      </c>
      <c r="F46" s="176">
        <f ca="1">IFERROR(__xludf.DUMMYFUNCTION("IMPORTRANGE(""https://docs.google.com/spreadsheets/d/1-uDff_7J0KD5mKrp0Vvzr7lt3OU09vwQwhkpOPPYv2Y/edit?usp=sharing"",""งบพรบ!DQ46"")"),70120)</f>
        <v>70120</v>
      </c>
      <c r="G46" s="176">
        <f ca="1">IFERROR(__xludf.DUMMYFUNCTION("IMPORTRANGE(""https://docs.google.com/spreadsheets/d/1-uDff_7J0KD5mKrp0Vvzr7lt3OU09vwQwhkpOPPYv2Y/edit?usp=sharing"",""งบพรบ!DR46"")"),0)</f>
        <v>0</v>
      </c>
      <c r="H46" s="176">
        <f ca="1">IFERROR(__xludf.DUMMYFUNCTION("IMPORTRANGE(""https://docs.google.com/spreadsheets/d/1-uDff_7J0KD5mKrp0Vvzr7lt3OU09vwQwhkpOPPYv2Y/edit?usp=sharing"",""งบพรบ!DT46"")"),118480)</f>
        <v>118480</v>
      </c>
      <c r="I46" s="176">
        <f ca="1">IFERROR(__xludf.DUMMYFUNCTION("IMPORTRANGE(""https://docs.google.com/spreadsheets/d/1-uDff_7J0KD5mKrp0Vvzr7lt3OU09vwQwhkpOPPYv2Y/edit?usp=sharing"",""งบพรบ!DU46"")"),0)</f>
        <v>0</v>
      </c>
      <c r="J46" s="176">
        <f t="shared" ca="1" si="24"/>
        <v>34044.9</v>
      </c>
      <c r="K46" s="181">
        <f t="shared" ca="1" si="25"/>
        <v>22.176198540906721</v>
      </c>
      <c r="L46" s="176">
        <f ca="1">IFERROR(__xludf.DUMMYFUNCTION("IMPORTRANGE(""https://docs.google.com/spreadsheets/d/1-uDff_7J0KD5mKrp0Vvzr7lt3OU09vwQwhkpOPPYv2Y/edit?usp=sharing"",""งบพรบ!DV46"")"),34044.9)</f>
        <v>34044.9</v>
      </c>
      <c r="M46" s="179">
        <f t="shared" ca="1" si="26"/>
        <v>22.176198540906721</v>
      </c>
      <c r="N46" s="179">
        <f t="shared" ca="1" si="27"/>
        <v>28.734723160027009</v>
      </c>
      <c r="O46" s="180">
        <f ca="1">IFERROR(__xludf.DUMMYFUNCTION("IMPORTRANGE(""https://docs.google.com/spreadsheets/d/1-uDff_7J0KD5mKrp0Vvzr7lt3OU09vwQwhkpOPPYv2Y/edit?usp=sharing"",""งบพรบ!DW46"")"),0)</f>
        <v>0</v>
      </c>
      <c r="P46" s="180">
        <f t="shared" ca="1" si="28"/>
        <v>0</v>
      </c>
      <c r="Q46" s="179">
        <f t="shared" ca="1" si="29"/>
        <v>0</v>
      </c>
      <c r="R46" s="92">
        <f ca="1">IFERROR(__xludf.DUMMYFUNCTION("IMPORTRANGE(""https://docs.google.com/spreadsheets/d/1yswqbM3-AEpThF3ZSUa1AcmHnmRTF1vlJ1CZGcJ8YuU/edit?usp=sharing"",""สุรินทร์!I292"")"),200)</f>
        <v>200</v>
      </c>
      <c r="S46" s="92">
        <f ca="1">IFERROR(__xludf.DUMMYFUNCTION("IMPORTRANGE(""https://docs.google.com/spreadsheets/d/1yswqbM3-AEpThF3ZSUa1AcmHnmRTF1vlJ1CZGcJ8YuU/edit?usp=sharing"",""สุรินทร์!J292"")"),0)</f>
        <v>0</v>
      </c>
      <c r="T46" s="93">
        <f t="shared" ca="1" si="31"/>
        <v>0</v>
      </c>
      <c r="U46" s="92">
        <f ca="1">IFERROR(__xludf.DUMMYFUNCTION("IMPORTRANGE(""https://docs.google.com/spreadsheets/d/1yswqbM3-AEpThF3ZSUa1AcmHnmRTF1vlJ1CZGcJ8YuU/edit?usp=sharing"",""สุรินทร์!I293"")"),20)</f>
        <v>20</v>
      </c>
      <c r="V46" s="92">
        <f ca="1">IFERROR(__xludf.DUMMYFUNCTION("IMPORTRANGE(""https://docs.google.com/spreadsheets/d/1yswqbM3-AEpThF3ZSUa1AcmHnmRTF1vlJ1CZGcJ8YuU/edit?usp=sharing"",""สุรินทร์!J293"")"),0)</f>
        <v>0</v>
      </c>
      <c r="W46" s="93">
        <f t="shared" ca="1" si="33"/>
        <v>0</v>
      </c>
      <c r="X46" s="92">
        <f ca="1">IFERROR(__xludf.DUMMYFUNCTION("IMPORTRANGE(""https://docs.google.com/spreadsheets/d/1yswqbM3-AEpThF3ZSUa1AcmHnmRTF1vlJ1CZGcJ8YuU/edit?usp=sharing"",""สุรินทร์!I295"")"),20)</f>
        <v>20</v>
      </c>
      <c r="Y46" s="92">
        <f ca="1">IFERROR(__xludf.DUMMYFUNCTION("IMPORTRANGE(""https://docs.google.com/spreadsheets/d/1yswqbM3-AEpThF3ZSUa1AcmHnmRTF1vlJ1CZGcJ8YuU/edit?usp=sharing"",""สุรินทร์!J295"")"),0)</f>
        <v>0</v>
      </c>
      <c r="Z46" s="93">
        <f t="shared" ca="1" si="35"/>
        <v>0</v>
      </c>
      <c r="AA46" s="311">
        <f ca="1">IFERROR(__xludf.DUMMYFUNCTION("IMPORTRANGE(""https://docs.google.com/spreadsheets/d/1yswqbM3-AEpThF3ZSUa1AcmHnmRTF1vlJ1CZGcJ8YuU/edit?usp=sharing"",""สุรินทร์!J296"")"),0)</f>
        <v>0</v>
      </c>
      <c r="AB46" s="312">
        <f t="shared" ca="1" si="36"/>
        <v>0</v>
      </c>
    </row>
    <row r="47" spans="1:28" ht="21" customHeight="1" x14ac:dyDescent="0.3">
      <c r="A47" s="84">
        <v>16</v>
      </c>
      <c r="B47" s="85" t="s">
        <v>69</v>
      </c>
      <c r="C47" s="174">
        <f t="shared" ca="1" si="22"/>
        <v>0</v>
      </c>
      <c r="D47" s="175">
        <f t="shared" ca="1" si="42"/>
        <v>0</v>
      </c>
      <c r="E47" s="176">
        <f ca="1">IFERROR(__xludf.DUMMYFUNCTION("IMPORTRANGE(""https://docs.google.com/spreadsheets/d/1-uDff_7J0KD5mKrp0Vvzr7lt3OU09vwQwhkpOPPYv2Y/edit?usp=sharing"",""งบพรบ!DP47"")"),0)</f>
        <v>0</v>
      </c>
      <c r="F47" s="176">
        <f ca="1">IFERROR(__xludf.DUMMYFUNCTION("IMPORTRANGE(""https://docs.google.com/spreadsheets/d/1-uDff_7J0KD5mKrp0Vvzr7lt3OU09vwQwhkpOPPYv2Y/edit?usp=sharing"",""งบพรบ!DQ47"")"),0)</f>
        <v>0</v>
      </c>
      <c r="G47" s="176">
        <f ca="1">IFERROR(__xludf.DUMMYFUNCTION("IMPORTRANGE(""https://docs.google.com/spreadsheets/d/1-uDff_7J0KD5mKrp0Vvzr7lt3OU09vwQwhkpOPPYv2Y/edit?usp=sharing"",""งบพรบ!DR47"")"),0)</f>
        <v>0</v>
      </c>
      <c r="H47" s="176">
        <f ca="1">IFERROR(__xludf.DUMMYFUNCTION("IMPORTRANGE(""https://docs.google.com/spreadsheets/d/1-uDff_7J0KD5mKrp0Vvzr7lt3OU09vwQwhkpOPPYv2Y/edit?usp=sharing"",""งบพรบ!DT47"")"),0)</f>
        <v>0</v>
      </c>
      <c r="I47" s="176">
        <f ca="1">IFERROR(__xludf.DUMMYFUNCTION("IMPORTRANGE(""https://docs.google.com/spreadsheets/d/1-uDff_7J0KD5mKrp0Vvzr7lt3OU09vwQwhkpOPPYv2Y/edit?usp=sharing"",""งบพรบ!DU47"")"),0)</f>
        <v>0</v>
      </c>
      <c r="J47" s="176">
        <f t="shared" ca="1" si="24"/>
        <v>0</v>
      </c>
      <c r="K47" s="181">
        <f t="shared" ca="1" si="25"/>
        <v>0</v>
      </c>
      <c r="L47" s="176">
        <f ca="1">IFERROR(__xludf.DUMMYFUNCTION("IMPORTRANGE(""https://docs.google.com/spreadsheets/d/1-uDff_7J0KD5mKrp0Vvzr7lt3OU09vwQwhkpOPPYv2Y/edit?usp=sharing"",""งบพรบ!DV47"")"),0)</f>
        <v>0</v>
      </c>
      <c r="M47" s="179">
        <f t="shared" ca="1" si="26"/>
        <v>0</v>
      </c>
      <c r="N47" s="179">
        <f t="shared" ca="1" si="27"/>
        <v>0</v>
      </c>
      <c r="O47" s="180">
        <f ca="1">IFERROR(__xludf.DUMMYFUNCTION("IMPORTRANGE(""https://docs.google.com/spreadsheets/d/1-uDff_7J0KD5mKrp0Vvzr7lt3OU09vwQwhkpOPPYv2Y/edit?usp=sharing"",""งบพรบ!DW47"")"),0)</f>
        <v>0</v>
      </c>
      <c r="P47" s="180">
        <f t="shared" ca="1" si="28"/>
        <v>0</v>
      </c>
      <c r="Q47" s="179">
        <f t="shared" ca="1" si="29"/>
        <v>0</v>
      </c>
      <c r="R47" s="92">
        <f ca="1">IFERROR(__xludf.DUMMYFUNCTION("IMPORTRANGE(""https://docs.google.com/spreadsheets/d/13JHU_EFbsQOUQ0JSQ3dWy1VTRosIWcDq6Nc99z2qzdc/edit?usp=sharing"",""หนองคาย!I292"")"),0)</f>
        <v>0</v>
      </c>
      <c r="S47" s="92">
        <f ca="1">IFERROR(__xludf.DUMMYFUNCTION("IMPORTRANGE(""https://docs.google.com/spreadsheets/d/13JHU_EFbsQOUQ0JSQ3dWy1VTRosIWcDq6Nc99z2qzdc/edit?usp=sharing"",""หนองคาย!J292"")"),0)</f>
        <v>0</v>
      </c>
      <c r="T47" s="93">
        <f t="shared" ca="1" si="31"/>
        <v>0</v>
      </c>
      <c r="U47" s="92">
        <f ca="1">IFERROR(__xludf.DUMMYFUNCTION("IMPORTRANGE(""https://docs.google.com/spreadsheets/d/13JHU_EFbsQOUQ0JSQ3dWy1VTRosIWcDq6Nc99z2qzdc/edit?usp=sharing"",""หนองคาย!I293"")"),0)</f>
        <v>0</v>
      </c>
      <c r="V47" s="92">
        <f ca="1">IFERROR(__xludf.DUMMYFUNCTION("IMPORTRANGE(""https://docs.google.com/spreadsheets/d/13JHU_EFbsQOUQ0JSQ3dWy1VTRosIWcDq6Nc99z2qzdc/edit?usp=sharing"",""หนองคาย!J293"")"),0)</f>
        <v>0</v>
      </c>
      <c r="W47" s="93">
        <f t="shared" ca="1" si="33"/>
        <v>0</v>
      </c>
      <c r="X47" s="92">
        <f ca="1">IFERROR(__xludf.DUMMYFUNCTION("IMPORTRANGE(""https://docs.google.com/spreadsheets/d/13JHU_EFbsQOUQ0JSQ3dWy1VTRosIWcDq6Nc99z2qzdc/edit?usp=sharing"",""หนองคาย!I295"")"),0)</f>
        <v>0</v>
      </c>
      <c r="Y47" s="92">
        <f ca="1">IFERROR(__xludf.DUMMYFUNCTION("IMPORTRANGE(""https://docs.google.com/spreadsheets/d/13JHU_EFbsQOUQ0JSQ3dWy1VTRosIWcDq6Nc99z2qzdc/edit?usp=sharing"",""หนองคาย!J295"")"),0)</f>
        <v>0</v>
      </c>
      <c r="Z47" s="93">
        <f t="shared" ca="1" si="35"/>
        <v>0</v>
      </c>
      <c r="AA47" s="311">
        <f ca="1">IFERROR(__xludf.DUMMYFUNCTION("IMPORTRANGE(""https://docs.google.com/spreadsheets/d/13JHU_EFbsQOUQ0JSQ3dWy1VTRosIWcDq6Nc99z2qzdc/edit?usp=sharing"",""หนองคาย!J296"")"),0)</f>
        <v>0</v>
      </c>
      <c r="AB47" s="312">
        <f t="shared" ca="1" si="36"/>
        <v>0</v>
      </c>
    </row>
    <row r="48" spans="1:28" ht="21" customHeight="1" x14ac:dyDescent="0.3">
      <c r="A48" s="84">
        <v>17</v>
      </c>
      <c r="B48" s="85" t="s">
        <v>70</v>
      </c>
      <c r="C48" s="174">
        <f t="shared" ca="1" si="22"/>
        <v>0</v>
      </c>
      <c r="D48" s="175">
        <f t="shared" ca="1" si="42"/>
        <v>0</v>
      </c>
      <c r="E48" s="176">
        <f ca="1">IFERROR(__xludf.DUMMYFUNCTION("IMPORTRANGE(""https://docs.google.com/spreadsheets/d/1-uDff_7J0KD5mKrp0Vvzr7lt3OU09vwQwhkpOPPYv2Y/edit?usp=sharing"",""งบพรบ!DP48"")"),0)</f>
        <v>0</v>
      </c>
      <c r="F48" s="176">
        <f ca="1">IFERROR(__xludf.DUMMYFUNCTION("IMPORTRANGE(""https://docs.google.com/spreadsheets/d/1-uDff_7J0KD5mKrp0Vvzr7lt3OU09vwQwhkpOPPYv2Y/edit?usp=sharing"",""งบพรบ!DQ48"")"),0)</f>
        <v>0</v>
      </c>
      <c r="G48" s="176">
        <f ca="1">IFERROR(__xludf.DUMMYFUNCTION("IMPORTRANGE(""https://docs.google.com/spreadsheets/d/1-uDff_7J0KD5mKrp0Vvzr7lt3OU09vwQwhkpOPPYv2Y/edit?usp=sharing"",""งบพรบ!DR48"")"),0)</f>
        <v>0</v>
      </c>
      <c r="H48" s="176">
        <f ca="1">IFERROR(__xludf.DUMMYFUNCTION("IMPORTRANGE(""https://docs.google.com/spreadsheets/d/1-uDff_7J0KD5mKrp0Vvzr7lt3OU09vwQwhkpOPPYv2Y/edit?usp=sharing"",""งบพรบ!DT48"")"),0)</f>
        <v>0</v>
      </c>
      <c r="I48" s="176">
        <f ca="1">IFERROR(__xludf.DUMMYFUNCTION("IMPORTRANGE(""https://docs.google.com/spreadsheets/d/1-uDff_7J0KD5mKrp0Vvzr7lt3OU09vwQwhkpOPPYv2Y/edit?usp=sharing"",""งบพรบ!DU48"")"),0)</f>
        <v>0</v>
      </c>
      <c r="J48" s="176">
        <f t="shared" ca="1" si="24"/>
        <v>0</v>
      </c>
      <c r="K48" s="181">
        <f t="shared" ca="1" si="25"/>
        <v>0</v>
      </c>
      <c r="L48" s="176">
        <f ca="1">IFERROR(__xludf.DUMMYFUNCTION("IMPORTRANGE(""https://docs.google.com/spreadsheets/d/1-uDff_7J0KD5mKrp0Vvzr7lt3OU09vwQwhkpOPPYv2Y/edit?usp=sharing"",""งบพรบ!DV48"")"),0)</f>
        <v>0</v>
      </c>
      <c r="M48" s="179">
        <f t="shared" ca="1" si="26"/>
        <v>0</v>
      </c>
      <c r="N48" s="179">
        <f t="shared" ca="1" si="27"/>
        <v>0</v>
      </c>
      <c r="O48" s="180">
        <f ca="1">IFERROR(__xludf.DUMMYFUNCTION("IMPORTRANGE(""https://docs.google.com/spreadsheets/d/1-uDff_7J0KD5mKrp0Vvzr7lt3OU09vwQwhkpOPPYv2Y/edit?usp=sharing"",""งบพรบ!DW48"")"),0)</f>
        <v>0</v>
      </c>
      <c r="P48" s="180">
        <f t="shared" ca="1" si="28"/>
        <v>0</v>
      </c>
      <c r="Q48" s="179">
        <f t="shared" ca="1" si="29"/>
        <v>0</v>
      </c>
      <c r="R48" s="92">
        <f ca="1">IFERROR(__xludf.DUMMYFUNCTION("IMPORTRANGE(""https://docs.google.com/spreadsheets/d/1Hx73zIEgVdDZZaYSTc46Dqv64atFhpr3GelxLbaIN8A/edit?usp=sharing"",""หนองบัวลำภู!I292"")"),0)</f>
        <v>0</v>
      </c>
      <c r="S48" s="92">
        <f ca="1">IFERROR(__xludf.DUMMYFUNCTION("IMPORTRANGE(""https://docs.google.com/spreadsheets/d/1Hx73zIEgVdDZZaYSTc46Dqv64atFhpr3GelxLbaIN8A/edit?usp=sharing"",""หนองบัวลำภู!J292"")"),0)</f>
        <v>0</v>
      </c>
      <c r="T48" s="93">
        <f t="shared" ca="1" si="31"/>
        <v>0</v>
      </c>
      <c r="U48" s="92">
        <f ca="1">IFERROR(__xludf.DUMMYFUNCTION("IMPORTRANGE(""https://docs.google.com/spreadsheets/d/1Hx73zIEgVdDZZaYSTc46Dqv64atFhpr3GelxLbaIN8A/edit?usp=sharing"",""หนองบัวลำภู!I293"")"),0)</f>
        <v>0</v>
      </c>
      <c r="V48" s="92">
        <f ca="1">IFERROR(__xludf.DUMMYFUNCTION("IMPORTRANGE(""https://docs.google.com/spreadsheets/d/1Hx73zIEgVdDZZaYSTc46Dqv64atFhpr3GelxLbaIN8A/edit?usp=sharing"",""หนองบัวลำภู!J293"")"),0)</f>
        <v>0</v>
      </c>
      <c r="W48" s="93">
        <f t="shared" ca="1" si="33"/>
        <v>0</v>
      </c>
      <c r="X48" s="92">
        <f ca="1">IFERROR(__xludf.DUMMYFUNCTION("IMPORTRANGE(""https://docs.google.com/spreadsheets/d/1Hx73zIEgVdDZZaYSTc46Dqv64atFhpr3GelxLbaIN8A/edit?usp=sharing"",""หนองบัวลำภู!I295"")"),0)</f>
        <v>0</v>
      </c>
      <c r="Y48" s="92">
        <f ca="1">IFERROR(__xludf.DUMMYFUNCTION("IMPORTRANGE(""https://docs.google.com/spreadsheets/d/1Hx73zIEgVdDZZaYSTc46Dqv64atFhpr3GelxLbaIN8A/edit?usp=sharing"",""หนองบัวลำภู!J295"")"),0)</f>
        <v>0</v>
      </c>
      <c r="Z48" s="93">
        <f t="shared" ca="1" si="35"/>
        <v>0</v>
      </c>
      <c r="AA48" s="311">
        <f ca="1">IFERROR(__xludf.DUMMYFUNCTION("IMPORTRANGE(""https://docs.google.com/spreadsheets/d/1Hx73zIEgVdDZZaYSTc46Dqv64atFhpr3GelxLbaIN8A/edit?usp=sharing"",""หนองบัวลำภู!J296"")"),0)</f>
        <v>0</v>
      </c>
      <c r="AB48" s="312">
        <f t="shared" ca="1" si="36"/>
        <v>0</v>
      </c>
    </row>
    <row r="49" spans="1:28" ht="21" customHeight="1" x14ac:dyDescent="0.3">
      <c r="A49" s="84">
        <v>18</v>
      </c>
      <c r="B49" s="85" t="s">
        <v>71</v>
      </c>
      <c r="C49" s="174">
        <f t="shared" ca="1" si="22"/>
        <v>0</v>
      </c>
      <c r="D49" s="175">
        <f t="shared" ca="1" si="42"/>
        <v>0</v>
      </c>
      <c r="E49" s="176">
        <f ca="1">IFERROR(__xludf.DUMMYFUNCTION("IMPORTRANGE(""https://docs.google.com/spreadsheets/d/1-uDff_7J0KD5mKrp0Vvzr7lt3OU09vwQwhkpOPPYv2Y/edit?usp=sharing"",""งบพรบ!DP49"")"),0)</f>
        <v>0</v>
      </c>
      <c r="F49" s="176">
        <f ca="1">IFERROR(__xludf.DUMMYFUNCTION("IMPORTRANGE(""https://docs.google.com/spreadsheets/d/1-uDff_7J0KD5mKrp0Vvzr7lt3OU09vwQwhkpOPPYv2Y/edit?usp=sharing"",""งบพรบ!DQ49"")"),0)</f>
        <v>0</v>
      </c>
      <c r="G49" s="176">
        <f ca="1">IFERROR(__xludf.DUMMYFUNCTION("IMPORTRANGE(""https://docs.google.com/spreadsheets/d/1-uDff_7J0KD5mKrp0Vvzr7lt3OU09vwQwhkpOPPYv2Y/edit?usp=sharing"",""งบพรบ!DR49"")"),0)</f>
        <v>0</v>
      </c>
      <c r="H49" s="176">
        <f ca="1">IFERROR(__xludf.DUMMYFUNCTION("IMPORTRANGE(""https://docs.google.com/spreadsheets/d/1-uDff_7J0KD5mKrp0Vvzr7lt3OU09vwQwhkpOPPYv2Y/edit?usp=sharing"",""งบพรบ!DT49"")"),0)</f>
        <v>0</v>
      </c>
      <c r="I49" s="176">
        <f ca="1">IFERROR(__xludf.DUMMYFUNCTION("IMPORTRANGE(""https://docs.google.com/spreadsheets/d/1-uDff_7J0KD5mKrp0Vvzr7lt3OU09vwQwhkpOPPYv2Y/edit?usp=sharing"",""งบพรบ!DU49"")"),0)</f>
        <v>0</v>
      </c>
      <c r="J49" s="176">
        <f t="shared" ca="1" si="24"/>
        <v>0</v>
      </c>
      <c r="K49" s="181">
        <f t="shared" ca="1" si="25"/>
        <v>0</v>
      </c>
      <c r="L49" s="176">
        <f ca="1">IFERROR(__xludf.DUMMYFUNCTION("IMPORTRANGE(""https://docs.google.com/spreadsheets/d/1-uDff_7J0KD5mKrp0Vvzr7lt3OU09vwQwhkpOPPYv2Y/edit?usp=sharing"",""งบพรบ!DV49"")"),0)</f>
        <v>0</v>
      </c>
      <c r="M49" s="179">
        <f t="shared" ca="1" si="26"/>
        <v>0</v>
      </c>
      <c r="N49" s="179">
        <f t="shared" ca="1" si="27"/>
        <v>0</v>
      </c>
      <c r="O49" s="180">
        <f ca="1">IFERROR(__xludf.DUMMYFUNCTION("IMPORTRANGE(""https://docs.google.com/spreadsheets/d/1-uDff_7J0KD5mKrp0Vvzr7lt3OU09vwQwhkpOPPYv2Y/edit?usp=sharing"",""งบพรบ!DW49"")"),0)</f>
        <v>0</v>
      </c>
      <c r="P49" s="180">
        <f t="shared" ca="1" si="28"/>
        <v>0</v>
      </c>
      <c r="Q49" s="179">
        <f t="shared" ca="1" si="29"/>
        <v>0</v>
      </c>
      <c r="R49" s="92">
        <f ca="1">IFERROR(__xludf.DUMMYFUNCTION("IMPORTRANGE(""https://docs.google.com/spreadsheets/d/1lFxr3ctmjFN90yc-xV6jrQ9Ty8BKYVBWnAZ15wcNIJc/edit?usp=sharing"",""อำนาจเจริญ!I292"")"),0)</f>
        <v>0</v>
      </c>
      <c r="S49" s="92">
        <f ca="1">IFERROR(__xludf.DUMMYFUNCTION("IMPORTRANGE(""https://docs.google.com/spreadsheets/d/1lFxr3ctmjFN90yc-xV6jrQ9Ty8BKYVBWnAZ15wcNIJc/edit?usp=sharing"",""อำนาจเจริญ!J292"")"),0)</f>
        <v>0</v>
      </c>
      <c r="T49" s="93">
        <f t="shared" ca="1" si="31"/>
        <v>0</v>
      </c>
      <c r="U49" s="92">
        <f ca="1">IFERROR(__xludf.DUMMYFUNCTION("IMPORTRANGE(""https://docs.google.com/spreadsheets/d/1lFxr3ctmjFN90yc-xV6jrQ9Ty8BKYVBWnAZ15wcNIJc/edit?usp=sharing"",""อำนาจเจริญ!I293"")"),0)</f>
        <v>0</v>
      </c>
      <c r="V49" s="92">
        <f ca="1">IFERROR(__xludf.DUMMYFUNCTION("IMPORTRANGE(""https://docs.google.com/spreadsheets/d/1lFxr3ctmjFN90yc-xV6jrQ9Ty8BKYVBWnAZ15wcNIJc/edit?usp=sharing"",""อำนาจเจริญ!J293"")"),0)</f>
        <v>0</v>
      </c>
      <c r="W49" s="93">
        <f t="shared" ca="1" si="33"/>
        <v>0</v>
      </c>
      <c r="X49" s="92">
        <f ca="1">IFERROR(__xludf.DUMMYFUNCTION("IMPORTRANGE(""https://docs.google.com/spreadsheets/d/1lFxr3ctmjFN90yc-xV6jrQ9Ty8BKYVBWnAZ15wcNIJc/edit?usp=sharing"",""อำนาจเจริญ!I295"")"),0)</f>
        <v>0</v>
      </c>
      <c r="Y49" s="92">
        <f ca="1">IFERROR(__xludf.DUMMYFUNCTION("IMPORTRANGE(""https://docs.google.com/spreadsheets/d/1lFxr3ctmjFN90yc-xV6jrQ9Ty8BKYVBWnAZ15wcNIJc/edit?usp=sharing"",""อำนาจเจริญ!J295"")"),0)</f>
        <v>0</v>
      </c>
      <c r="Z49" s="93">
        <f t="shared" ca="1" si="35"/>
        <v>0</v>
      </c>
      <c r="AA49" s="311">
        <f ca="1">IFERROR(__xludf.DUMMYFUNCTION("IMPORTRANGE(""https://docs.google.com/spreadsheets/d/1lFxr3ctmjFN90yc-xV6jrQ9Ty8BKYVBWnAZ15wcNIJc/edit?usp=sharing"",""อำนาจเจริญ!J296"")"),0)</f>
        <v>0</v>
      </c>
      <c r="AB49" s="312">
        <f t="shared" ca="1" si="36"/>
        <v>0</v>
      </c>
    </row>
    <row r="50" spans="1:28" ht="21" customHeight="1" x14ac:dyDescent="0.3">
      <c r="A50" s="84">
        <v>19</v>
      </c>
      <c r="B50" s="85" t="s">
        <v>72</v>
      </c>
      <c r="C50" s="174">
        <f t="shared" ca="1" si="22"/>
        <v>0</v>
      </c>
      <c r="D50" s="175">
        <f t="shared" ca="1" si="42"/>
        <v>0</v>
      </c>
      <c r="E50" s="176">
        <f ca="1">IFERROR(__xludf.DUMMYFUNCTION("IMPORTRANGE(""https://docs.google.com/spreadsheets/d/1-uDff_7J0KD5mKrp0Vvzr7lt3OU09vwQwhkpOPPYv2Y/edit?usp=sharing"",""งบพรบ!DP50"")"),0)</f>
        <v>0</v>
      </c>
      <c r="F50" s="176">
        <f ca="1">IFERROR(__xludf.DUMMYFUNCTION("IMPORTRANGE(""https://docs.google.com/spreadsheets/d/1-uDff_7J0KD5mKrp0Vvzr7lt3OU09vwQwhkpOPPYv2Y/edit?usp=sharing"",""งบพรบ!DQ50"")"),0)</f>
        <v>0</v>
      </c>
      <c r="G50" s="176">
        <f ca="1">IFERROR(__xludf.DUMMYFUNCTION("IMPORTRANGE(""https://docs.google.com/spreadsheets/d/1-uDff_7J0KD5mKrp0Vvzr7lt3OU09vwQwhkpOPPYv2Y/edit?usp=sharing"",""งบพรบ!DR50"")"),0)</f>
        <v>0</v>
      </c>
      <c r="H50" s="176">
        <f ca="1">IFERROR(__xludf.DUMMYFUNCTION("IMPORTRANGE(""https://docs.google.com/spreadsheets/d/1-uDff_7J0KD5mKrp0Vvzr7lt3OU09vwQwhkpOPPYv2Y/edit?usp=sharing"",""งบพรบ!DT50"")"),0)</f>
        <v>0</v>
      </c>
      <c r="I50" s="176">
        <f ca="1">IFERROR(__xludf.DUMMYFUNCTION("IMPORTRANGE(""https://docs.google.com/spreadsheets/d/1-uDff_7J0KD5mKrp0Vvzr7lt3OU09vwQwhkpOPPYv2Y/edit?usp=sharing"",""งบพรบ!DU50"")"),0)</f>
        <v>0</v>
      </c>
      <c r="J50" s="176">
        <f t="shared" ca="1" si="24"/>
        <v>0</v>
      </c>
      <c r="K50" s="181">
        <f t="shared" ca="1" si="25"/>
        <v>0</v>
      </c>
      <c r="L50" s="176">
        <f ca="1">IFERROR(__xludf.DUMMYFUNCTION("IMPORTRANGE(""https://docs.google.com/spreadsheets/d/1-uDff_7J0KD5mKrp0Vvzr7lt3OU09vwQwhkpOPPYv2Y/edit?usp=sharing"",""งบพรบ!DV50"")"),0)</f>
        <v>0</v>
      </c>
      <c r="M50" s="179">
        <f t="shared" ca="1" si="26"/>
        <v>0</v>
      </c>
      <c r="N50" s="179">
        <f t="shared" ca="1" si="27"/>
        <v>0</v>
      </c>
      <c r="O50" s="180">
        <f ca="1">IFERROR(__xludf.DUMMYFUNCTION("IMPORTRANGE(""https://docs.google.com/spreadsheets/d/1-uDff_7J0KD5mKrp0Vvzr7lt3OU09vwQwhkpOPPYv2Y/edit?usp=sharing"",""งบพรบ!DW50"")"),0)</f>
        <v>0</v>
      </c>
      <c r="P50" s="180">
        <f t="shared" ca="1" si="28"/>
        <v>0</v>
      </c>
      <c r="Q50" s="179">
        <f t="shared" ca="1" si="29"/>
        <v>0</v>
      </c>
      <c r="R50" s="92">
        <f ca="1">IFERROR(__xludf.DUMMYFUNCTION("IMPORTRANGE(""https://docs.google.com/spreadsheets/d/1gF7RJpRnL-1oyjyeWxs5SFWEH7y8ahOZsQlyp2A2e-A/edit?usp=sharing"",""อุดรธานี!I292"")"),0)</f>
        <v>0</v>
      </c>
      <c r="S50" s="92">
        <f ca="1">IFERROR(__xludf.DUMMYFUNCTION("IMPORTRANGE(""https://docs.google.com/spreadsheets/d/1gF7RJpRnL-1oyjyeWxs5SFWEH7y8ahOZsQlyp2A2e-A/edit?usp=sharing"",""อุดรธานี!J292"")"),0)</f>
        <v>0</v>
      </c>
      <c r="T50" s="93">
        <f t="shared" ca="1" si="31"/>
        <v>0</v>
      </c>
      <c r="U50" s="92">
        <f ca="1">IFERROR(__xludf.DUMMYFUNCTION("IMPORTRANGE(""https://docs.google.com/spreadsheets/d/1gF7RJpRnL-1oyjyeWxs5SFWEH7y8ahOZsQlyp2A2e-A/edit?usp=sharing"",""อุดรธานี!I293"")"),0)</f>
        <v>0</v>
      </c>
      <c r="V50" s="92">
        <f ca="1">IFERROR(__xludf.DUMMYFUNCTION("IMPORTRANGE(""https://docs.google.com/spreadsheets/d/1gF7RJpRnL-1oyjyeWxs5SFWEH7y8ahOZsQlyp2A2e-A/edit?usp=sharing"",""อุดรธานี!J293"")"),0)</f>
        <v>0</v>
      </c>
      <c r="W50" s="93">
        <f t="shared" ca="1" si="33"/>
        <v>0</v>
      </c>
      <c r="X50" s="92">
        <f ca="1">IFERROR(__xludf.DUMMYFUNCTION("IMPORTRANGE(""https://docs.google.com/spreadsheets/d/1gF7RJpRnL-1oyjyeWxs5SFWEH7y8ahOZsQlyp2A2e-A/edit?usp=sharing"",""อุดรธานี!I295"")"),0)</f>
        <v>0</v>
      </c>
      <c r="Y50" s="92">
        <f ca="1">IFERROR(__xludf.DUMMYFUNCTION("IMPORTRANGE(""https://docs.google.com/spreadsheets/d/1gF7RJpRnL-1oyjyeWxs5SFWEH7y8ahOZsQlyp2A2e-A/edit?usp=sharing"",""อุดรธานี!J295"")"),0)</f>
        <v>0</v>
      </c>
      <c r="Z50" s="93">
        <f t="shared" ca="1" si="35"/>
        <v>0</v>
      </c>
      <c r="AA50" s="311">
        <f ca="1">IFERROR(__xludf.DUMMYFUNCTION("IMPORTRANGE(""https://docs.google.com/spreadsheets/d/1gF7RJpRnL-1oyjyeWxs5SFWEH7y8ahOZsQlyp2A2e-A/edit?usp=sharing"",""อุดรธานี!J296"")"),0)</f>
        <v>0</v>
      </c>
      <c r="AB50" s="312">
        <f t="shared" ca="1" si="36"/>
        <v>0</v>
      </c>
    </row>
    <row r="51" spans="1:28" ht="21" customHeight="1" x14ac:dyDescent="0.3">
      <c r="A51" s="95">
        <v>20</v>
      </c>
      <c r="B51" s="96" t="s">
        <v>73</v>
      </c>
      <c r="C51" s="223">
        <f t="shared" ca="1" si="22"/>
        <v>0</v>
      </c>
      <c r="D51" s="224">
        <f t="shared" ca="1" si="42"/>
        <v>0</v>
      </c>
      <c r="E51" s="225">
        <f ca="1">IFERROR(__xludf.DUMMYFUNCTION("IMPORTRANGE(""https://docs.google.com/spreadsheets/d/1-uDff_7J0KD5mKrp0Vvzr7lt3OU09vwQwhkpOPPYv2Y/edit?usp=sharing"",""งบพรบ!DP51"")"),0)</f>
        <v>0</v>
      </c>
      <c r="F51" s="225">
        <f ca="1">IFERROR(__xludf.DUMMYFUNCTION("IMPORTRANGE(""https://docs.google.com/spreadsheets/d/1-uDff_7J0KD5mKrp0Vvzr7lt3OU09vwQwhkpOPPYv2Y/edit?usp=sharing"",""งบพรบ!DQ51"")"),0)</f>
        <v>0</v>
      </c>
      <c r="G51" s="225">
        <f ca="1">IFERROR(__xludf.DUMMYFUNCTION("IMPORTRANGE(""https://docs.google.com/spreadsheets/d/1-uDff_7J0KD5mKrp0Vvzr7lt3OU09vwQwhkpOPPYv2Y/edit?usp=sharing"",""งบพรบ!DR51"")"),0)</f>
        <v>0</v>
      </c>
      <c r="H51" s="225">
        <f ca="1">IFERROR(__xludf.DUMMYFUNCTION("IMPORTRANGE(""https://docs.google.com/spreadsheets/d/1-uDff_7J0KD5mKrp0Vvzr7lt3OU09vwQwhkpOPPYv2Y/edit?usp=sharing"",""งบพรบ!DT51"")"),0)</f>
        <v>0</v>
      </c>
      <c r="I51" s="225">
        <f ca="1">IFERROR(__xludf.DUMMYFUNCTION("IMPORTRANGE(""https://docs.google.com/spreadsheets/d/1-uDff_7J0KD5mKrp0Vvzr7lt3OU09vwQwhkpOPPYv2Y/edit?usp=sharing"",""งบพรบ!DU51"")"),0)</f>
        <v>0</v>
      </c>
      <c r="J51" s="225">
        <f t="shared" ca="1" si="24"/>
        <v>0</v>
      </c>
      <c r="K51" s="226">
        <f t="shared" ca="1" si="25"/>
        <v>0</v>
      </c>
      <c r="L51" s="225">
        <f ca="1">IFERROR(__xludf.DUMMYFUNCTION("IMPORTRANGE(""https://docs.google.com/spreadsheets/d/1-uDff_7J0KD5mKrp0Vvzr7lt3OU09vwQwhkpOPPYv2Y/edit?usp=sharing"",""งบพรบ!DV51"")"),0)</f>
        <v>0</v>
      </c>
      <c r="M51" s="227">
        <f t="shared" ca="1" si="26"/>
        <v>0</v>
      </c>
      <c r="N51" s="227">
        <f t="shared" ca="1" si="27"/>
        <v>0</v>
      </c>
      <c r="O51" s="228">
        <f ca="1">IFERROR(__xludf.DUMMYFUNCTION("IMPORTRANGE(""https://docs.google.com/spreadsheets/d/1-uDff_7J0KD5mKrp0Vvzr7lt3OU09vwQwhkpOPPYv2Y/edit?usp=sharing"",""งบพรบ!DW51"")"),0)</f>
        <v>0</v>
      </c>
      <c r="P51" s="228">
        <f t="shared" ca="1" si="28"/>
        <v>0</v>
      </c>
      <c r="Q51" s="227">
        <f t="shared" ca="1" si="29"/>
        <v>0</v>
      </c>
      <c r="R51" s="103">
        <f ca="1">IFERROR(__xludf.DUMMYFUNCTION("IMPORTRANGE(""https://docs.google.com/spreadsheets/d/1kfLP0j3INXRa8bTDpcEmoWewMBV61jlFlfzczfjWIgc/edit?usp=sharing"",""อุบลราชธานี!I292"")"),0)</f>
        <v>0</v>
      </c>
      <c r="S51" s="103">
        <f ca="1">IFERROR(__xludf.DUMMYFUNCTION("IMPORTRANGE(""https://docs.google.com/spreadsheets/d/1kfLP0j3INXRa8bTDpcEmoWewMBV61jlFlfzczfjWIgc/edit?usp=sharing"",""อุบลราชธานี!J292"")"),0)</f>
        <v>0</v>
      </c>
      <c r="T51" s="104">
        <f t="shared" ca="1" si="31"/>
        <v>0</v>
      </c>
      <c r="U51" s="103">
        <f ca="1">IFERROR(__xludf.DUMMYFUNCTION("IMPORTRANGE(""https://docs.google.com/spreadsheets/d/1kfLP0j3INXRa8bTDpcEmoWewMBV61jlFlfzczfjWIgc/edit?usp=sharing"",""อุบลราชธานี!I293"")"),0)</f>
        <v>0</v>
      </c>
      <c r="V51" s="103">
        <f ca="1">IFERROR(__xludf.DUMMYFUNCTION("IMPORTRANGE(""https://docs.google.com/spreadsheets/d/1kfLP0j3INXRa8bTDpcEmoWewMBV61jlFlfzczfjWIgc/edit?usp=sharing"",""อุบลราชธานี!J293"")"),0)</f>
        <v>0</v>
      </c>
      <c r="W51" s="104">
        <f t="shared" ca="1" si="33"/>
        <v>0</v>
      </c>
      <c r="X51" s="103">
        <f ca="1">IFERROR(__xludf.DUMMYFUNCTION("IMPORTRANGE(""https://docs.google.com/spreadsheets/d/1kfLP0j3INXRa8bTDpcEmoWewMBV61jlFlfzczfjWIgc/edit?usp=sharing"",""อุบลราชธานี!I295"")"),0)</f>
        <v>0</v>
      </c>
      <c r="Y51" s="103">
        <f ca="1">IFERROR(__xludf.DUMMYFUNCTION("IMPORTRANGE(""https://docs.google.com/spreadsheets/d/1kfLP0j3INXRa8bTDpcEmoWewMBV61jlFlfzczfjWIgc/edit?usp=sharing"",""อุบลราชธานี!J295"")"),0)</f>
        <v>0</v>
      </c>
      <c r="Z51" s="104">
        <f t="shared" ca="1" si="35"/>
        <v>0</v>
      </c>
      <c r="AA51" s="313">
        <f ca="1">IFERROR(__xludf.DUMMYFUNCTION("IMPORTRANGE(""https://docs.google.com/spreadsheets/d/1kfLP0j3INXRa8bTDpcEmoWewMBV61jlFlfzczfjWIgc/edit?usp=sharing"",""อุบลราชธานี!J296"")"),0)</f>
        <v>0</v>
      </c>
      <c r="AB51" s="314">
        <f t="shared" ca="1" si="36"/>
        <v>0</v>
      </c>
    </row>
    <row r="52" spans="1:28" ht="21" customHeight="1" x14ac:dyDescent="0.3">
      <c r="A52" s="443" t="s">
        <v>74</v>
      </c>
      <c r="B52" s="376"/>
      <c r="C52" s="229">
        <f t="shared" ca="1" si="22"/>
        <v>137720</v>
      </c>
      <c r="D52" s="229">
        <f t="shared" ref="D52:I52" ca="1" si="43">SUM(D53:D73)</f>
        <v>137720</v>
      </c>
      <c r="E52" s="229">
        <f t="shared" ca="1" si="43"/>
        <v>81600</v>
      </c>
      <c r="F52" s="229">
        <f t="shared" ca="1" si="43"/>
        <v>56120</v>
      </c>
      <c r="G52" s="229">
        <f t="shared" ca="1" si="43"/>
        <v>0</v>
      </c>
      <c r="H52" s="229">
        <f t="shared" ca="1" si="43"/>
        <v>102980</v>
      </c>
      <c r="I52" s="229">
        <f t="shared" ca="1" si="43"/>
        <v>0</v>
      </c>
      <c r="J52" s="229">
        <f t="shared" ca="1" si="24"/>
        <v>33500</v>
      </c>
      <c r="K52" s="230">
        <f t="shared" ca="1" si="25"/>
        <v>24.324716816729595</v>
      </c>
      <c r="L52" s="229">
        <f ca="1">SUM(L53:L73)</f>
        <v>33500</v>
      </c>
      <c r="M52" s="231">
        <f t="shared" ca="1" si="26"/>
        <v>24.324716816729595</v>
      </c>
      <c r="N52" s="231">
        <f t="shared" ca="1" si="27"/>
        <v>32.530588463779374</v>
      </c>
      <c r="O52" s="232">
        <f ca="1">SUM(O53:O73)</f>
        <v>0</v>
      </c>
      <c r="P52" s="232">
        <f t="shared" ca="1" si="28"/>
        <v>0</v>
      </c>
      <c r="Q52" s="231">
        <f t="shared" ca="1" si="29"/>
        <v>0</v>
      </c>
      <c r="R52" s="68">
        <f t="shared" ref="R52:S52" ca="1" si="44">SUM(R53:R73)</f>
        <v>100</v>
      </c>
      <c r="S52" s="68">
        <f t="shared" ca="1" si="44"/>
        <v>0</v>
      </c>
      <c r="T52" s="107">
        <f t="shared" ca="1" si="31"/>
        <v>0</v>
      </c>
      <c r="U52" s="68">
        <f t="shared" ref="U52:V52" ca="1" si="45">SUM(U53:U73)</f>
        <v>10</v>
      </c>
      <c r="V52" s="68">
        <f t="shared" ca="1" si="45"/>
        <v>0</v>
      </c>
      <c r="W52" s="107">
        <f t="shared" ca="1" si="33"/>
        <v>0</v>
      </c>
      <c r="X52" s="68">
        <f t="shared" ref="X52:Y52" ca="1" si="46">SUM(X53:X73)</f>
        <v>10</v>
      </c>
      <c r="Y52" s="68">
        <f t="shared" ca="1" si="46"/>
        <v>0</v>
      </c>
      <c r="Z52" s="107">
        <f t="shared" ca="1" si="35"/>
        <v>0</v>
      </c>
      <c r="AA52" s="315">
        <f ca="1">SUM(AA53:AA73)</f>
        <v>0</v>
      </c>
      <c r="AB52" s="316">
        <f t="shared" ca="1" si="36"/>
        <v>0</v>
      </c>
    </row>
    <row r="53" spans="1:28" ht="21" customHeight="1" x14ac:dyDescent="0.3">
      <c r="A53" s="74">
        <v>1</v>
      </c>
      <c r="B53" s="75" t="s">
        <v>75</v>
      </c>
      <c r="C53" s="174">
        <f t="shared" ca="1" si="22"/>
        <v>0</v>
      </c>
      <c r="D53" s="175">
        <f t="shared" ref="D53:D73" ca="1" si="47">+E53+F53</f>
        <v>0</v>
      </c>
      <c r="E53" s="176">
        <f ca="1">IFERROR(__xludf.DUMMYFUNCTION("IMPORTRANGE(""https://docs.google.com/spreadsheets/d/1-uDff_7J0KD5mKrp0Vvzr7lt3OU09vwQwhkpOPPYv2Y/edit?usp=sharing"",""งบพรบ!DP53"")"),0)</f>
        <v>0</v>
      </c>
      <c r="F53" s="176">
        <f ca="1">IFERROR(__xludf.DUMMYFUNCTION("IMPORTRANGE(""https://docs.google.com/spreadsheets/d/1-uDff_7J0KD5mKrp0Vvzr7lt3OU09vwQwhkpOPPYv2Y/edit?usp=sharing"",""งบพรบ!DQ53"")"),0)</f>
        <v>0</v>
      </c>
      <c r="G53" s="177">
        <f ca="1">IFERROR(__xludf.DUMMYFUNCTION("IMPORTRANGE(""https://docs.google.com/spreadsheets/d/1-uDff_7J0KD5mKrp0Vvzr7lt3OU09vwQwhkpOPPYv2Y/edit?usp=sharing"",""งบพรบ!DR53"")"),0)</f>
        <v>0</v>
      </c>
      <c r="H53" s="177">
        <f ca="1">IFERROR(__xludf.DUMMYFUNCTION("IMPORTRANGE(""https://docs.google.com/spreadsheets/d/1-uDff_7J0KD5mKrp0Vvzr7lt3OU09vwQwhkpOPPYv2Y/edit?usp=sharing"",""งบพรบ!DT53"")"),0)</f>
        <v>0</v>
      </c>
      <c r="I53" s="177">
        <f ca="1">IFERROR(__xludf.DUMMYFUNCTION("IMPORTRANGE(""https://docs.google.com/spreadsheets/d/1-uDff_7J0KD5mKrp0Vvzr7lt3OU09vwQwhkpOPPYv2Y/edit?usp=sharing"",""งบพรบ!DU53"")"),0)</f>
        <v>0</v>
      </c>
      <c r="J53" s="177">
        <f t="shared" ca="1" si="24"/>
        <v>0</v>
      </c>
      <c r="K53" s="178">
        <f t="shared" ca="1" si="25"/>
        <v>0</v>
      </c>
      <c r="L53" s="177">
        <f ca="1">IFERROR(__xludf.DUMMYFUNCTION("IMPORTRANGE(""https://docs.google.com/spreadsheets/d/1-uDff_7J0KD5mKrp0Vvzr7lt3OU09vwQwhkpOPPYv2Y/edit?usp=sharing"",""งบพรบ!DV53"")"),0)</f>
        <v>0</v>
      </c>
      <c r="M53" s="179">
        <f t="shared" ca="1" si="26"/>
        <v>0</v>
      </c>
      <c r="N53" s="179">
        <f t="shared" ca="1" si="27"/>
        <v>0</v>
      </c>
      <c r="O53" s="180">
        <f ca="1">IFERROR(__xludf.DUMMYFUNCTION("IMPORTRANGE(""https://docs.google.com/spreadsheets/d/1-uDff_7J0KD5mKrp0Vvzr7lt3OU09vwQwhkpOPPYv2Y/edit?usp=sharing"",""งบพรบ!DW53"")"),0)</f>
        <v>0</v>
      </c>
      <c r="P53" s="180">
        <f t="shared" ca="1" si="28"/>
        <v>0</v>
      </c>
      <c r="Q53" s="179">
        <f t="shared" ca="1" si="29"/>
        <v>0</v>
      </c>
      <c r="R53" s="79">
        <f ca="1">IFERROR(__xludf.DUMMYFUNCTION("IMPORTRANGE(""https://docs.google.com/spreadsheets/d/13wPX838HrBrQMCywv1BsuMkt4PEKTChp52zj44s2izQ/edit?usp=sharing"",""กาญจนบุรี!I292"")"),0)</f>
        <v>0</v>
      </c>
      <c r="S53" s="79">
        <f ca="1">IFERROR(__xludf.DUMMYFUNCTION("IMPORTRANGE(""https://docs.google.com/spreadsheets/d/13wPX838HrBrQMCywv1BsuMkt4PEKTChp52zj44s2izQ/edit?usp=sharing"",""กาญจนบุรี!J292"")"),0)</f>
        <v>0</v>
      </c>
      <c r="T53" s="83">
        <f t="shared" ca="1" si="31"/>
        <v>0</v>
      </c>
      <c r="U53" s="79">
        <f ca="1">IFERROR(__xludf.DUMMYFUNCTION("IMPORTRANGE(""https://docs.google.com/spreadsheets/d/13wPX838HrBrQMCywv1BsuMkt4PEKTChp52zj44s2izQ/edit?usp=sharing"",""กาญจนบุรี!I293"")"),0)</f>
        <v>0</v>
      </c>
      <c r="V53" s="79">
        <f ca="1">IFERROR(__xludf.DUMMYFUNCTION("IMPORTRANGE(""https://docs.google.com/spreadsheets/d/13wPX838HrBrQMCywv1BsuMkt4PEKTChp52zj44s2izQ/edit?usp=sharing"",""กาญจนบุรี!J293"")"),0)</f>
        <v>0</v>
      </c>
      <c r="W53" s="83">
        <f t="shared" ca="1" si="33"/>
        <v>0</v>
      </c>
      <c r="X53" s="79">
        <f ca="1">IFERROR(__xludf.DUMMYFUNCTION("IMPORTRANGE(""https://docs.google.com/spreadsheets/d/13wPX838HrBrQMCywv1BsuMkt4PEKTChp52zj44s2izQ/edit?usp=sharing"",""กาญจนบุรี!I295"")"),0)</f>
        <v>0</v>
      </c>
      <c r="Y53" s="79">
        <f ca="1">IFERROR(__xludf.DUMMYFUNCTION("IMPORTRANGE(""https://docs.google.com/spreadsheets/d/13wPX838HrBrQMCywv1BsuMkt4PEKTChp52zj44s2izQ/edit?usp=sharing"",""กาญจนบุรี!J295"")"),0)</f>
        <v>0</v>
      </c>
      <c r="Z53" s="83">
        <f t="shared" ca="1" si="35"/>
        <v>0</v>
      </c>
      <c r="AA53" s="309">
        <f ca="1">IFERROR(__xludf.DUMMYFUNCTION("IMPORTRANGE(""https://docs.google.com/spreadsheets/d/13wPX838HrBrQMCywv1BsuMkt4PEKTChp52zj44s2izQ/edit?usp=sharing"",""กาญจนบุรี!J296"")"),0)</f>
        <v>0</v>
      </c>
      <c r="AB53" s="310">
        <f t="shared" ca="1" si="36"/>
        <v>0</v>
      </c>
    </row>
    <row r="54" spans="1:28" ht="21" customHeight="1" x14ac:dyDescent="0.3">
      <c r="A54" s="84">
        <v>2</v>
      </c>
      <c r="B54" s="85" t="s">
        <v>76</v>
      </c>
      <c r="C54" s="174">
        <f t="shared" ca="1" si="22"/>
        <v>0</v>
      </c>
      <c r="D54" s="175">
        <f t="shared" ca="1" si="47"/>
        <v>0</v>
      </c>
      <c r="E54" s="176">
        <f ca="1">IFERROR(__xludf.DUMMYFUNCTION("IMPORTRANGE(""https://docs.google.com/spreadsheets/d/1-uDff_7J0KD5mKrp0Vvzr7lt3OU09vwQwhkpOPPYv2Y/edit?usp=sharing"",""งบพรบ!DP54"")"),0)</f>
        <v>0</v>
      </c>
      <c r="F54" s="176">
        <f ca="1">IFERROR(__xludf.DUMMYFUNCTION("IMPORTRANGE(""https://docs.google.com/spreadsheets/d/1-uDff_7J0KD5mKrp0Vvzr7lt3OU09vwQwhkpOPPYv2Y/edit?usp=sharing"",""งบพรบ!DQ54"")"),0)</f>
        <v>0</v>
      </c>
      <c r="G54" s="176">
        <f ca="1">IFERROR(__xludf.DUMMYFUNCTION("IMPORTRANGE(""https://docs.google.com/spreadsheets/d/1-uDff_7J0KD5mKrp0Vvzr7lt3OU09vwQwhkpOPPYv2Y/edit?usp=sharing"",""งบพรบ!DR54"")"),0)</f>
        <v>0</v>
      </c>
      <c r="H54" s="176">
        <f ca="1">IFERROR(__xludf.DUMMYFUNCTION("IMPORTRANGE(""https://docs.google.com/spreadsheets/d/1-uDff_7J0KD5mKrp0Vvzr7lt3OU09vwQwhkpOPPYv2Y/edit?usp=sharing"",""งบพรบ!DT54"")"),0)</f>
        <v>0</v>
      </c>
      <c r="I54" s="176">
        <f ca="1">IFERROR(__xludf.DUMMYFUNCTION("IMPORTRANGE(""https://docs.google.com/spreadsheets/d/1-uDff_7J0KD5mKrp0Vvzr7lt3OU09vwQwhkpOPPYv2Y/edit?usp=sharing"",""งบพรบ!DU54"")"),0)</f>
        <v>0</v>
      </c>
      <c r="J54" s="176">
        <f t="shared" ca="1" si="24"/>
        <v>0</v>
      </c>
      <c r="K54" s="181">
        <f t="shared" ca="1" si="25"/>
        <v>0</v>
      </c>
      <c r="L54" s="176">
        <f ca="1">IFERROR(__xludf.DUMMYFUNCTION("IMPORTRANGE(""https://docs.google.com/spreadsheets/d/1-uDff_7J0KD5mKrp0Vvzr7lt3OU09vwQwhkpOPPYv2Y/edit?usp=sharing"",""งบพรบ!DV54"")"),0)</f>
        <v>0</v>
      </c>
      <c r="M54" s="179">
        <f t="shared" ca="1" si="26"/>
        <v>0</v>
      </c>
      <c r="N54" s="179">
        <f t="shared" ca="1" si="27"/>
        <v>0</v>
      </c>
      <c r="O54" s="180">
        <f ca="1">IFERROR(__xludf.DUMMYFUNCTION("IMPORTRANGE(""https://docs.google.com/spreadsheets/d/1-uDff_7J0KD5mKrp0Vvzr7lt3OU09vwQwhkpOPPYv2Y/edit?usp=sharing"",""งบพรบ!DW54"")"),0)</f>
        <v>0</v>
      </c>
      <c r="P54" s="180">
        <f t="shared" ca="1" si="28"/>
        <v>0</v>
      </c>
      <c r="Q54" s="179">
        <f t="shared" ca="1" si="29"/>
        <v>0</v>
      </c>
      <c r="R54" s="92">
        <f ca="1">IFERROR(__xludf.DUMMYFUNCTION("IMPORTRANGE(""https://docs.google.com/spreadsheets/d/1ddFKvqj1W1NEiWytbGlB1zMx_ykJDVtmfEQ-6-lIUBA/edit?usp=sharing"",""จันทบุรี!I292"")"),0)</f>
        <v>0</v>
      </c>
      <c r="S54" s="92">
        <f ca="1">IFERROR(__xludf.DUMMYFUNCTION("IMPORTRANGE(""https://docs.google.com/spreadsheets/d/1ddFKvqj1W1NEiWytbGlB1zMx_ykJDVtmfEQ-6-lIUBA/edit?usp=sharing"",""จันทบุรี!J292"")"),0)</f>
        <v>0</v>
      </c>
      <c r="T54" s="93">
        <f t="shared" ca="1" si="31"/>
        <v>0</v>
      </c>
      <c r="U54" s="92">
        <f ca="1">IFERROR(__xludf.DUMMYFUNCTION("IMPORTRANGE(""https://docs.google.com/spreadsheets/d/1ddFKvqj1W1NEiWytbGlB1zMx_ykJDVtmfEQ-6-lIUBA/edit?usp=sharing"",""จันทบุรี!I293"")"),0)</f>
        <v>0</v>
      </c>
      <c r="V54" s="92">
        <f ca="1">IFERROR(__xludf.DUMMYFUNCTION("IMPORTRANGE(""https://docs.google.com/spreadsheets/d/1ddFKvqj1W1NEiWytbGlB1zMx_ykJDVtmfEQ-6-lIUBA/edit?usp=sharing"",""จันทบุรี!J293"")"),0)</f>
        <v>0</v>
      </c>
      <c r="W54" s="93">
        <f t="shared" ca="1" si="33"/>
        <v>0</v>
      </c>
      <c r="X54" s="92">
        <f ca="1">IFERROR(__xludf.DUMMYFUNCTION("IMPORTRANGE(""https://docs.google.com/spreadsheets/d/1ddFKvqj1W1NEiWytbGlB1zMx_ykJDVtmfEQ-6-lIUBA/edit?usp=sharing"",""จันทบุรี!I295"")"),0)</f>
        <v>0</v>
      </c>
      <c r="Y54" s="92">
        <f ca="1">IFERROR(__xludf.DUMMYFUNCTION("IMPORTRANGE(""https://docs.google.com/spreadsheets/d/1ddFKvqj1W1NEiWytbGlB1zMx_ykJDVtmfEQ-6-lIUBA/edit?usp=sharing"",""จันทบุรี!J295"")"),0)</f>
        <v>0</v>
      </c>
      <c r="Z54" s="93">
        <f t="shared" ca="1" si="35"/>
        <v>0</v>
      </c>
      <c r="AA54" s="311">
        <f ca="1">IFERROR(__xludf.DUMMYFUNCTION("IMPORTRANGE(""https://docs.google.com/spreadsheets/d/1ddFKvqj1W1NEiWytbGlB1zMx_ykJDVtmfEQ-6-lIUBA/edit?usp=sharing"",""จันทบุรี!J296"")"),0)</f>
        <v>0</v>
      </c>
      <c r="AB54" s="312">
        <f t="shared" ca="1" si="36"/>
        <v>0</v>
      </c>
    </row>
    <row r="55" spans="1:28" ht="21" customHeight="1" x14ac:dyDescent="0.3">
      <c r="A55" s="84">
        <v>3</v>
      </c>
      <c r="B55" s="85" t="s">
        <v>77</v>
      </c>
      <c r="C55" s="174">
        <f t="shared" ca="1" si="22"/>
        <v>0</v>
      </c>
      <c r="D55" s="175">
        <f t="shared" ca="1" si="47"/>
        <v>0</v>
      </c>
      <c r="E55" s="176">
        <f ca="1">IFERROR(__xludf.DUMMYFUNCTION("IMPORTRANGE(""https://docs.google.com/spreadsheets/d/1-uDff_7J0KD5mKrp0Vvzr7lt3OU09vwQwhkpOPPYv2Y/edit?usp=sharing"",""งบพรบ!DP55"")"),0)</f>
        <v>0</v>
      </c>
      <c r="F55" s="176">
        <f ca="1">IFERROR(__xludf.DUMMYFUNCTION("IMPORTRANGE(""https://docs.google.com/spreadsheets/d/1-uDff_7J0KD5mKrp0Vvzr7lt3OU09vwQwhkpOPPYv2Y/edit?usp=sharing"",""งบพรบ!DQ55"")"),0)</f>
        <v>0</v>
      </c>
      <c r="G55" s="176">
        <f ca="1">IFERROR(__xludf.DUMMYFUNCTION("IMPORTRANGE(""https://docs.google.com/spreadsheets/d/1-uDff_7J0KD5mKrp0Vvzr7lt3OU09vwQwhkpOPPYv2Y/edit?usp=sharing"",""งบพรบ!DR55"")"),0)</f>
        <v>0</v>
      </c>
      <c r="H55" s="176">
        <f ca="1">IFERROR(__xludf.DUMMYFUNCTION("IMPORTRANGE(""https://docs.google.com/spreadsheets/d/1-uDff_7J0KD5mKrp0Vvzr7lt3OU09vwQwhkpOPPYv2Y/edit?usp=sharing"",""งบพรบ!DT55"")"),0)</f>
        <v>0</v>
      </c>
      <c r="I55" s="176">
        <f ca="1">IFERROR(__xludf.DUMMYFUNCTION("IMPORTRANGE(""https://docs.google.com/spreadsheets/d/1-uDff_7J0KD5mKrp0Vvzr7lt3OU09vwQwhkpOPPYv2Y/edit?usp=sharing"",""งบพรบ!DU55"")"),0)</f>
        <v>0</v>
      </c>
      <c r="J55" s="176">
        <f t="shared" ca="1" si="24"/>
        <v>0</v>
      </c>
      <c r="K55" s="181">
        <f t="shared" ca="1" si="25"/>
        <v>0</v>
      </c>
      <c r="L55" s="176">
        <f ca="1">IFERROR(__xludf.DUMMYFUNCTION("IMPORTRANGE(""https://docs.google.com/spreadsheets/d/1-uDff_7J0KD5mKrp0Vvzr7lt3OU09vwQwhkpOPPYv2Y/edit?usp=sharing"",""งบพรบ!DV55"")"),0)</f>
        <v>0</v>
      </c>
      <c r="M55" s="179">
        <f t="shared" ca="1" si="26"/>
        <v>0</v>
      </c>
      <c r="N55" s="179">
        <f t="shared" ca="1" si="27"/>
        <v>0</v>
      </c>
      <c r="O55" s="180">
        <f ca="1">IFERROR(__xludf.DUMMYFUNCTION("IMPORTRANGE(""https://docs.google.com/spreadsheets/d/1-uDff_7J0KD5mKrp0Vvzr7lt3OU09vwQwhkpOPPYv2Y/edit?usp=sharing"",""งบพรบ!DW55"")"),0)</f>
        <v>0</v>
      </c>
      <c r="P55" s="180">
        <f t="shared" ca="1" si="28"/>
        <v>0</v>
      </c>
      <c r="Q55" s="179">
        <f t="shared" ca="1" si="29"/>
        <v>0</v>
      </c>
      <c r="R55" s="92">
        <f ca="1">IFERROR(__xludf.DUMMYFUNCTION("IMPORTRANGE(""https://docs.google.com/spreadsheets/d/1T1PQvRODqOBZk8BRht_U031fIS1beLA0Ub2CEytj2q0/edit?usp=sharing"",""ฉะเชิงเทรา!I292"")"),0)</f>
        <v>0</v>
      </c>
      <c r="S55" s="92">
        <f ca="1">IFERROR(__xludf.DUMMYFUNCTION("IMPORTRANGE(""https://docs.google.com/spreadsheets/d/1T1PQvRODqOBZk8BRht_U031fIS1beLA0Ub2CEytj2q0/edit?usp=sharing"",""ฉะเชิงเทรา!J292"")"),0)</f>
        <v>0</v>
      </c>
      <c r="T55" s="93">
        <f t="shared" ca="1" si="31"/>
        <v>0</v>
      </c>
      <c r="U55" s="92">
        <f ca="1">IFERROR(__xludf.DUMMYFUNCTION("IMPORTRANGE(""https://docs.google.com/spreadsheets/d/1T1PQvRODqOBZk8BRht_U031fIS1beLA0Ub2CEytj2q0/edit?usp=sharing"",""ฉะเชิงเทรา!I293"")"),0)</f>
        <v>0</v>
      </c>
      <c r="V55" s="92">
        <f ca="1">IFERROR(__xludf.DUMMYFUNCTION("IMPORTRANGE(""https://docs.google.com/spreadsheets/d/1T1PQvRODqOBZk8BRht_U031fIS1beLA0Ub2CEytj2q0/edit?usp=sharing"",""ฉะเชิงเทรา!J293"")"),0)</f>
        <v>0</v>
      </c>
      <c r="W55" s="93">
        <f t="shared" ca="1" si="33"/>
        <v>0</v>
      </c>
      <c r="X55" s="92">
        <f ca="1">IFERROR(__xludf.DUMMYFUNCTION("IMPORTRANGE(""https://docs.google.com/spreadsheets/d/1T1PQvRODqOBZk8BRht_U031fIS1beLA0Ub2CEytj2q0/edit?usp=sharing"",""ฉะเชิงเทรา!I295"")"),0)</f>
        <v>0</v>
      </c>
      <c r="Y55" s="92">
        <f ca="1">IFERROR(__xludf.DUMMYFUNCTION("IMPORTRANGE(""https://docs.google.com/spreadsheets/d/1T1PQvRODqOBZk8BRht_U031fIS1beLA0Ub2CEytj2q0/edit?usp=sharing"",""ฉะเชิงเทรา!J295"")"),0)</f>
        <v>0</v>
      </c>
      <c r="Z55" s="93">
        <f t="shared" ca="1" si="35"/>
        <v>0</v>
      </c>
      <c r="AA55" s="311">
        <f ca="1">IFERROR(__xludf.DUMMYFUNCTION("IMPORTRANGE(""https://docs.google.com/spreadsheets/d/1T1PQvRODqOBZk8BRht_U031fIS1beLA0Ub2CEytj2q0/edit?usp=sharing"",""ฉะเชิงเทรา!J296"")"),0)</f>
        <v>0</v>
      </c>
      <c r="AB55" s="312">
        <f t="shared" ca="1" si="36"/>
        <v>0</v>
      </c>
    </row>
    <row r="56" spans="1:28" ht="21" customHeight="1" x14ac:dyDescent="0.3">
      <c r="A56" s="84">
        <v>4</v>
      </c>
      <c r="B56" s="85" t="s">
        <v>78</v>
      </c>
      <c r="C56" s="174">
        <f t="shared" ca="1" si="22"/>
        <v>0</v>
      </c>
      <c r="D56" s="175">
        <f t="shared" ca="1" si="47"/>
        <v>0</v>
      </c>
      <c r="E56" s="176">
        <f ca="1">IFERROR(__xludf.DUMMYFUNCTION("IMPORTRANGE(""https://docs.google.com/spreadsheets/d/1-uDff_7J0KD5mKrp0Vvzr7lt3OU09vwQwhkpOPPYv2Y/edit?usp=sharing"",""งบพรบ!DP56"")"),0)</f>
        <v>0</v>
      </c>
      <c r="F56" s="176">
        <f ca="1">IFERROR(__xludf.DUMMYFUNCTION("IMPORTRANGE(""https://docs.google.com/spreadsheets/d/1-uDff_7J0KD5mKrp0Vvzr7lt3OU09vwQwhkpOPPYv2Y/edit?usp=sharing"",""งบพรบ!DQ56"")"),0)</f>
        <v>0</v>
      </c>
      <c r="G56" s="176">
        <f ca="1">IFERROR(__xludf.DUMMYFUNCTION("IMPORTRANGE(""https://docs.google.com/spreadsheets/d/1-uDff_7J0KD5mKrp0Vvzr7lt3OU09vwQwhkpOPPYv2Y/edit?usp=sharing"",""งบพรบ!DR56"")"),0)</f>
        <v>0</v>
      </c>
      <c r="H56" s="176">
        <f ca="1">IFERROR(__xludf.DUMMYFUNCTION("IMPORTRANGE(""https://docs.google.com/spreadsheets/d/1-uDff_7J0KD5mKrp0Vvzr7lt3OU09vwQwhkpOPPYv2Y/edit?usp=sharing"",""งบพรบ!DT56"")"),0)</f>
        <v>0</v>
      </c>
      <c r="I56" s="176">
        <f ca="1">IFERROR(__xludf.DUMMYFUNCTION("IMPORTRANGE(""https://docs.google.com/spreadsheets/d/1-uDff_7J0KD5mKrp0Vvzr7lt3OU09vwQwhkpOPPYv2Y/edit?usp=sharing"",""งบพรบ!DU56"")"),0)</f>
        <v>0</v>
      </c>
      <c r="J56" s="176">
        <f t="shared" ca="1" si="24"/>
        <v>0</v>
      </c>
      <c r="K56" s="181">
        <f t="shared" ca="1" si="25"/>
        <v>0</v>
      </c>
      <c r="L56" s="176">
        <f ca="1">IFERROR(__xludf.DUMMYFUNCTION("IMPORTRANGE(""https://docs.google.com/spreadsheets/d/1-uDff_7J0KD5mKrp0Vvzr7lt3OU09vwQwhkpOPPYv2Y/edit?usp=sharing"",""งบพรบ!DV56"")"),0)</f>
        <v>0</v>
      </c>
      <c r="M56" s="179">
        <f t="shared" ca="1" si="26"/>
        <v>0</v>
      </c>
      <c r="N56" s="179">
        <f t="shared" ca="1" si="27"/>
        <v>0</v>
      </c>
      <c r="O56" s="180">
        <f ca="1">IFERROR(__xludf.DUMMYFUNCTION("IMPORTRANGE(""https://docs.google.com/spreadsheets/d/1-uDff_7J0KD5mKrp0Vvzr7lt3OU09vwQwhkpOPPYv2Y/edit?usp=sharing"",""งบพรบ!DW56"")"),0)</f>
        <v>0</v>
      </c>
      <c r="P56" s="180">
        <f t="shared" ca="1" si="28"/>
        <v>0</v>
      </c>
      <c r="Q56" s="179">
        <f t="shared" ca="1" si="29"/>
        <v>0</v>
      </c>
      <c r="R56" s="92">
        <f ca="1">IFERROR(__xludf.DUMMYFUNCTION("IMPORTRANGE(""https://docs.google.com/spreadsheets/d/11tr1B-Bhyr79v2bkwVh5h_fR-PStkgjlZtkrZpYurG0/edit?usp=sharing"",""ชลบุรี!I292"")"),0)</f>
        <v>0</v>
      </c>
      <c r="S56" s="92">
        <f ca="1">IFERROR(__xludf.DUMMYFUNCTION("IMPORTRANGE(""https://docs.google.com/spreadsheets/d/11tr1B-Bhyr79v2bkwVh5h_fR-PStkgjlZtkrZpYurG0/edit?usp=sharing"",""ชลบุรี!J292"")"),0)</f>
        <v>0</v>
      </c>
      <c r="T56" s="93">
        <f t="shared" ca="1" si="31"/>
        <v>0</v>
      </c>
      <c r="U56" s="92">
        <f ca="1">IFERROR(__xludf.DUMMYFUNCTION("IMPORTRANGE(""https://docs.google.com/spreadsheets/d/11tr1B-Bhyr79v2bkwVh5h_fR-PStkgjlZtkrZpYurG0/edit?usp=sharing"",""ชลบุรี!I293"")"),0)</f>
        <v>0</v>
      </c>
      <c r="V56" s="92">
        <f ca="1">IFERROR(__xludf.DUMMYFUNCTION("IMPORTRANGE(""https://docs.google.com/spreadsheets/d/11tr1B-Bhyr79v2bkwVh5h_fR-PStkgjlZtkrZpYurG0/edit?usp=sharing"",""ชลบุรี!J293"")"),0)</f>
        <v>0</v>
      </c>
      <c r="W56" s="93">
        <f t="shared" ca="1" si="33"/>
        <v>0</v>
      </c>
      <c r="X56" s="92">
        <f ca="1">IFERROR(__xludf.DUMMYFUNCTION("IMPORTRANGE(""https://docs.google.com/spreadsheets/d/11tr1B-Bhyr79v2bkwVh5h_fR-PStkgjlZtkrZpYurG0/edit?usp=sharing"",""ชลบุรี!I295"")"),0)</f>
        <v>0</v>
      </c>
      <c r="Y56" s="92">
        <f ca="1">IFERROR(__xludf.DUMMYFUNCTION("IMPORTRANGE(""https://docs.google.com/spreadsheets/d/11tr1B-Bhyr79v2bkwVh5h_fR-PStkgjlZtkrZpYurG0/edit?usp=sharing"",""ชลบุรี!J295"")"),0)</f>
        <v>0</v>
      </c>
      <c r="Z56" s="93">
        <f t="shared" ca="1" si="35"/>
        <v>0</v>
      </c>
      <c r="AA56" s="311">
        <f ca="1">IFERROR(__xludf.DUMMYFUNCTION("IMPORTRANGE(""https://docs.google.com/spreadsheets/d/11tr1B-Bhyr79v2bkwVh5h_fR-PStkgjlZtkrZpYurG0/edit?usp=sharing"",""ชลบุรี!J296"")"),0)</f>
        <v>0</v>
      </c>
      <c r="AB56" s="312">
        <f t="shared" ca="1" si="36"/>
        <v>0</v>
      </c>
    </row>
    <row r="57" spans="1:28" ht="21" customHeight="1" x14ac:dyDescent="0.3">
      <c r="A57" s="84">
        <v>5</v>
      </c>
      <c r="B57" s="85" t="s">
        <v>79</v>
      </c>
      <c r="C57" s="174">
        <f t="shared" ca="1" si="22"/>
        <v>0</v>
      </c>
      <c r="D57" s="175">
        <f t="shared" ca="1" si="47"/>
        <v>0</v>
      </c>
      <c r="E57" s="176">
        <f ca="1">IFERROR(__xludf.DUMMYFUNCTION("IMPORTRANGE(""https://docs.google.com/spreadsheets/d/1-uDff_7J0KD5mKrp0Vvzr7lt3OU09vwQwhkpOPPYv2Y/edit?usp=sharing"",""งบพรบ!DP57"")"),0)</f>
        <v>0</v>
      </c>
      <c r="F57" s="176">
        <f ca="1">IFERROR(__xludf.DUMMYFUNCTION("IMPORTRANGE(""https://docs.google.com/spreadsheets/d/1-uDff_7J0KD5mKrp0Vvzr7lt3OU09vwQwhkpOPPYv2Y/edit?usp=sharing"",""งบพรบ!DQ57"")"),0)</f>
        <v>0</v>
      </c>
      <c r="G57" s="176">
        <f ca="1">IFERROR(__xludf.DUMMYFUNCTION("IMPORTRANGE(""https://docs.google.com/spreadsheets/d/1-uDff_7J0KD5mKrp0Vvzr7lt3OU09vwQwhkpOPPYv2Y/edit?usp=sharing"",""งบพรบ!DR57"")"),0)</f>
        <v>0</v>
      </c>
      <c r="H57" s="176">
        <f ca="1">IFERROR(__xludf.DUMMYFUNCTION("IMPORTRANGE(""https://docs.google.com/spreadsheets/d/1-uDff_7J0KD5mKrp0Vvzr7lt3OU09vwQwhkpOPPYv2Y/edit?usp=sharing"",""งบพรบ!DT57"")"),0)</f>
        <v>0</v>
      </c>
      <c r="I57" s="176">
        <f ca="1">IFERROR(__xludf.DUMMYFUNCTION("IMPORTRANGE(""https://docs.google.com/spreadsheets/d/1-uDff_7J0KD5mKrp0Vvzr7lt3OU09vwQwhkpOPPYv2Y/edit?usp=sharing"",""งบพรบ!DU57"")"),0)</f>
        <v>0</v>
      </c>
      <c r="J57" s="176">
        <f t="shared" ca="1" si="24"/>
        <v>0</v>
      </c>
      <c r="K57" s="181">
        <f t="shared" ca="1" si="25"/>
        <v>0</v>
      </c>
      <c r="L57" s="176">
        <f ca="1">IFERROR(__xludf.DUMMYFUNCTION("IMPORTRANGE(""https://docs.google.com/spreadsheets/d/1-uDff_7J0KD5mKrp0Vvzr7lt3OU09vwQwhkpOPPYv2Y/edit?usp=sharing"",""งบพรบ!DV57"")"),0)</f>
        <v>0</v>
      </c>
      <c r="M57" s="179">
        <f t="shared" ca="1" si="26"/>
        <v>0</v>
      </c>
      <c r="N57" s="179">
        <f t="shared" ca="1" si="27"/>
        <v>0</v>
      </c>
      <c r="O57" s="180">
        <f ca="1">IFERROR(__xludf.DUMMYFUNCTION("IMPORTRANGE(""https://docs.google.com/spreadsheets/d/1-uDff_7J0KD5mKrp0Vvzr7lt3OU09vwQwhkpOPPYv2Y/edit?usp=sharing"",""งบพรบ!DW57"")"),0)</f>
        <v>0</v>
      </c>
      <c r="P57" s="180">
        <f t="shared" ca="1" si="28"/>
        <v>0</v>
      </c>
      <c r="Q57" s="179">
        <f t="shared" ca="1" si="29"/>
        <v>0</v>
      </c>
      <c r="R57" s="92">
        <f ca="1">IFERROR(__xludf.DUMMYFUNCTION("IMPORTRANGE(""https://docs.google.com/spreadsheets/d/1hh-FVnSX0vozXhGluamEcS54Dw9_zqW0N7qJUWgJ0Sw/edit?usp=sharing"",""ชัยนาท!I292"")"),0)</f>
        <v>0</v>
      </c>
      <c r="S57" s="92">
        <f ca="1">IFERROR(__xludf.DUMMYFUNCTION("IMPORTRANGE(""https://docs.google.com/spreadsheets/d/1hh-FVnSX0vozXhGluamEcS54Dw9_zqW0N7qJUWgJ0Sw/edit?usp=sharing"",""ชัยนาท!J292"")"),0)</f>
        <v>0</v>
      </c>
      <c r="T57" s="93">
        <f t="shared" ca="1" si="31"/>
        <v>0</v>
      </c>
      <c r="U57" s="92">
        <f ca="1">IFERROR(__xludf.DUMMYFUNCTION("IMPORTRANGE(""https://docs.google.com/spreadsheets/d/1hh-FVnSX0vozXhGluamEcS54Dw9_zqW0N7qJUWgJ0Sw/edit?usp=sharing"",""ชัยนาท!I293"")"),0)</f>
        <v>0</v>
      </c>
      <c r="V57" s="92">
        <f ca="1">IFERROR(__xludf.DUMMYFUNCTION("IMPORTRANGE(""https://docs.google.com/spreadsheets/d/1hh-FVnSX0vozXhGluamEcS54Dw9_zqW0N7qJUWgJ0Sw/edit?usp=sharing"",""ชัยนาท!J293"")"),0)</f>
        <v>0</v>
      </c>
      <c r="W57" s="93">
        <f t="shared" ca="1" si="33"/>
        <v>0</v>
      </c>
      <c r="X57" s="92">
        <f ca="1">IFERROR(__xludf.DUMMYFUNCTION("IMPORTRANGE(""https://docs.google.com/spreadsheets/d/1hh-FVnSX0vozXhGluamEcS54Dw9_zqW0N7qJUWgJ0Sw/edit?usp=sharing"",""ชัยนาท!I295"")"),0)</f>
        <v>0</v>
      </c>
      <c r="Y57" s="92">
        <f ca="1">IFERROR(__xludf.DUMMYFUNCTION("IMPORTRANGE(""https://docs.google.com/spreadsheets/d/1hh-FVnSX0vozXhGluamEcS54Dw9_zqW0N7qJUWgJ0Sw/edit?usp=sharing"",""ชัยนาท!J295"")"),0)</f>
        <v>0</v>
      </c>
      <c r="Z57" s="93">
        <f t="shared" ca="1" si="35"/>
        <v>0</v>
      </c>
      <c r="AA57" s="311">
        <f ca="1">IFERROR(__xludf.DUMMYFUNCTION("IMPORTRANGE(""https://docs.google.com/spreadsheets/d/1hh-FVnSX0vozXhGluamEcS54Dw9_zqW0N7qJUWgJ0Sw/edit?usp=sharing"",""ชัยนาท!J296"")"),0)</f>
        <v>0</v>
      </c>
      <c r="AB57" s="312">
        <f t="shared" ca="1" si="36"/>
        <v>0</v>
      </c>
    </row>
    <row r="58" spans="1:28" ht="21" customHeight="1" x14ac:dyDescent="0.3">
      <c r="A58" s="84">
        <v>6</v>
      </c>
      <c r="B58" s="85" t="s">
        <v>80</v>
      </c>
      <c r="C58" s="174">
        <f t="shared" ca="1" si="22"/>
        <v>0</v>
      </c>
      <c r="D58" s="175">
        <f t="shared" ca="1" si="47"/>
        <v>0</v>
      </c>
      <c r="E58" s="176">
        <f ca="1">IFERROR(__xludf.DUMMYFUNCTION("IMPORTRANGE(""https://docs.google.com/spreadsheets/d/1-uDff_7J0KD5mKrp0Vvzr7lt3OU09vwQwhkpOPPYv2Y/edit?usp=sharing"",""งบพรบ!DP58"")"),0)</f>
        <v>0</v>
      </c>
      <c r="F58" s="176">
        <f ca="1">IFERROR(__xludf.DUMMYFUNCTION("IMPORTRANGE(""https://docs.google.com/spreadsheets/d/1-uDff_7J0KD5mKrp0Vvzr7lt3OU09vwQwhkpOPPYv2Y/edit?usp=sharing"",""งบพรบ!DQ58"")"),0)</f>
        <v>0</v>
      </c>
      <c r="G58" s="176">
        <f ca="1">IFERROR(__xludf.DUMMYFUNCTION("IMPORTRANGE(""https://docs.google.com/spreadsheets/d/1-uDff_7J0KD5mKrp0Vvzr7lt3OU09vwQwhkpOPPYv2Y/edit?usp=sharing"",""งบพรบ!DR58"")"),0)</f>
        <v>0</v>
      </c>
      <c r="H58" s="176">
        <f ca="1">IFERROR(__xludf.DUMMYFUNCTION("IMPORTRANGE(""https://docs.google.com/spreadsheets/d/1-uDff_7J0KD5mKrp0Vvzr7lt3OU09vwQwhkpOPPYv2Y/edit?usp=sharing"",""งบพรบ!DT58"")"),0)</f>
        <v>0</v>
      </c>
      <c r="I58" s="176">
        <f ca="1">IFERROR(__xludf.DUMMYFUNCTION("IMPORTRANGE(""https://docs.google.com/spreadsheets/d/1-uDff_7J0KD5mKrp0Vvzr7lt3OU09vwQwhkpOPPYv2Y/edit?usp=sharing"",""งบพรบ!DU58"")"),0)</f>
        <v>0</v>
      </c>
      <c r="J58" s="176">
        <f t="shared" ca="1" si="24"/>
        <v>0</v>
      </c>
      <c r="K58" s="181">
        <f t="shared" ca="1" si="25"/>
        <v>0</v>
      </c>
      <c r="L58" s="176">
        <f ca="1">IFERROR(__xludf.DUMMYFUNCTION("IMPORTRANGE(""https://docs.google.com/spreadsheets/d/1-uDff_7J0KD5mKrp0Vvzr7lt3OU09vwQwhkpOPPYv2Y/edit?usp=sharing"",""งบพรบ!DV58"")"),0)</f>
        <v>0</v>
      </c>
      <c r="M58" s="179">
        <f t="shared" ca="1" si="26"/>
        <v>0</v>
      </c>
      <c r="N58" s="179">
        <f t="shared" ca="1" si="27"/>
        <v>0</v>
      </c>
      <c r="O58" s="180">
        <f ca="1">IFERROR(__xludf.DUMMYFUNCTION("IMPORTRANGE(""https://docs.google.com/spreadsheets/d/1-uDff_7J0KD5mKrp0Vvzr7lt3OU09vwQwhkpOPPYv2Y/edit?usp=sharing"",""งบพรบ!DW58"")"),0)</f>
        <v>0</v>
      </c>
      <c r="P58" s="180">
        <f t="shared" ca="1" si="28"/>
        <v>0</v>
      </c>
      <c r="Q58" s="179">
        <f t="shared" ca="1" si="29"/>
        <v>0</v>
      </c>
      <c r="R58" s="92">
        <f ca="1">IFERROR(__xludf.DUMMYFUNCTION("IMPORTRANGE(""https://docs.google.com/spreadsheets/d/1jkqa6GXxSacMcY1eN8AHjMNJ_7dDXMJVRLDlaFSOdPM/edit?usp=sharing"",""ตราด!I292"")"),0)</f>
        <v>0</v>
      </c>
      <c r="S58" s="92">
        <f ca="1">IFERROR(__xludf.DUMMYFUNCTION("IMPORTRANGE(""https://docs.google.com/spreadsheets/d/1jkqa6GXxSacMcY1eN8AHjMNJ_7dDXMJVRLDlaFSOdPM/edit?usp=sharing"",""ตราด!J292"")"),0)</f>
        <v>0</v>
      </c>
      <c r="T58" s="93">
        <f t="shared" ca="1" si="31"/>
        <v>0</v>
      </c>
      <c r="U58" s="92">
        <f ca="1">IFERROR(__xludf.DUMMYFUNCTION("IMPORTRANGE(""https://docs.google.com/spreadsheets/d/1jkqa6GXxSacMcY1eN8AHjMNJ_7dDXMJVRLDlaFSOdPM/edit?usp=sharing"",""ตราด!I293"")"),0)</f>
        <v>0</v>
      </c>
      <c r="V58" s="92">
        <f ca="1">IFERROR(__xludf.DUMMYFUNCTION("IMPORTRANGE(""https://docs.google.com/spreadsheets/d/1jkqa6GXxSacMcY1eN8AHjMNJ_7dDXMJVRLDlaFSOdPM/edit?usp=sharing"",""ตราด!J293"")"),0)</f>
        <v>0</v>
      </c>
      <c r="W58" s="93">
        <f t="shared" ca="1" si="33"/>
        <v>0</v>
      </c>
      <c r="X58" s="92">
        <f ca="1">IFERROR(__xludf.DUMMYFUNCTION("IMPORTRANGE(""https://docs.google.com/spreadsheets/d/1jkqa6GXxSacMcY1eN8AHjMNJ_7dDXMJVRLDlaFSOdPM/edit?usp=sharing"",""ตราด!I295"")"),0)</f>
        <v>0</v>
      </c>
      <c r="Y58" s="92">
        <f ca="1">IFERROR(__xludf.DUMMYFUNCTION("IMPORTRANGE(""https://docs.google.com/spreadsheets/d/1jkqa6GXxSacMcY1eN8AHjMNJ_7dDXMJVRLDlaFSOdPM/edit?usp=sharing"",""ตราด!J295"")"),0)</f>
        <v>0</v>
      </c>
      <c r="Z58" s="93">
        <f t="shared" ca="1" si="35"/>
        <v>0</v>
      </c>
      <c r="AA58" s="311">
        <f ca="1">IFERROR(__xludf.DUMMYFUNCTION("IMPORTRANGE(""https://docs.google.com/spreadsheets/d/1jkqa6GXxSacMcY1eN8AHjMNJ_7dDXMJVRLDlaFSOdPM/edit?usp=sharing"",""ตราด!J296"")"),0)</f>
        <v>0</v>
      </c>
      <c r="AB58" s="312">
        <f t="shared" ca="1" si="36"/>
        <v>0</v>
      </c>
    </row>
    <row r="59" spans="1:28" ht="21" customHeight="1" x14ac:dyDescent="0.3">
      <c r="A59" s="84">
        <v>7</v>
      </c>
      <c r="B59" s="85" t="s">
        <v>81</v>
      </c>
      <c r="C59" s="174">
        <f t="shared" ca="1" si="22"/>
        <v>0</v>
      </c>
      <c r="D59" s="175">
        <f t="shared" ca="1" si="47"/>
        <v>0</v>
      </c>
      <c r="E59" s="176">
        <f ca="1">IFERROR(__xludf.DUMMYFUNCTION("IMPORTRANGE(""https://docs.google.com/spreadsheets/d/1-uDff_7J0KD5mKrp0Vvzr7lt3OU09vwQwhkpOPPYv2Y/edit?usp=sharing"",""งบพรบ!DP59"")"),0)</f>
        <v>0</v>
      </c>
      <c r="F59" s="176">
        <f ca="1">IFERROR(__xludf.DUMMYFUNCTION("IMPORTRANGE(""https://docs.google.com/spreadsheets/d/1-uDff_7J0KD5mKrp0Vvzr7lt3OU09vwQwhkpOPPYv2Y/edit?usp=sharing"",""งบพรบ!DQ59"")"),0)</f>
        <v>0</v>
      </c>
      <c r="G59" s="176">
        <f ca="1">IFERROR(__xludf.DUMMYFUNCTION("IMPORTRANGE(""https://docs.google.com/spreadsheets/d/1-uDff_7J0KD5mKrp0Vvzr7lt3OU09vwQwhkpOPPYv2Y/edit?usp=sharing"",""งบพรบ!DR59"")"),0)</f>
        <v>0</v>
      </c>
      <c r="H59" s="176">
        <f ca="1">IFERROR(__xludf.DUMMYFUNCTION("IMPORTRANGE(""https://docs.google.com/spreadsheets/d/1-uDff_7J0KD5mKrp0Vvzr7lt3OU09vwQwhkpOPPYv2Y/edit?usp=sharing"",""งบพรบ!DT59"")"),0)</f>
        <v>0</v>
      </c>
      <c r="I59" s="176">
        <f ca="1">IFERROR(__xludf.DUMMYFUNCTION("IMPORTRANGE(""https://docs.google.com/spreadsheets/d/1-uDff_7J0KD5mKrp0Vvzr7lt3OU09vwQwhkpOPPYv2Y/edit?usp=sharing"",""งบพรบ!DU59"")"),0)</f>
        <v>0</v>
      </c>
      <c r="J59" s="176">
        <f t="shared" ca="1" si="24"/>
        <v>0</v>
      </c>
      <c r="K59" s="181">
        <f t="shared" ca="1" si="25"/>
        <v>0</v>
      </c>
      <c r="L59" s="176">
        <f ca="1">IFERROR(__xludf.DUMMYFUNCTION("IMPORTRANGE(""https://docs.google.com/spreadsheets/d/1-uDff_7J0KD5mKrp0Vvzr7lt3OU09vwQwhkpOPPYv2Y/edit?usp=sharing"",""งบพรบ!DV59"")"),0)</f>
        <v>0</v>
      </c>
      <c r="M59" s="179">
        <f t="shared" ca="1" si="26"/>
        <v>0</v>
      </c>
      <c r="N59" s="179">
        <f t="shared" ca="1" si="27"/>
        <v>0</v>
      </c>
      <c r="O59" s="180">
        <f ca="1">IFERROR(__xludf.DUMMYFUNCTION("IMPORTRANGE(""https://docs.google.com/spreadsheets/d/1-uDff_7J0KD5mKrp0Vvzr7lt3OU09vwQwhkpOPPYv2Y/edit?usp=sharing"",""งบพรบ!DW59"")"),0)</f>
        <v>0</v>
      </c>
      <c r="P59" s="180">
        <f t="shared" ca="1" si="28"/>
        <v>0</v>
      </c>
      <c r="Q59" s="179">
        <f t="shared" ca="1" si="29"/>
        <v>0</v>
      </c>
      <c r="R59" s="92">
        <f ca="1">IFERROR(__xludf.DUMMYFUNCTION("IMPORTRANGE(""https://docs.google.com/spreadsheets/d/18hSgUJ3VwClqi_qtULmmW3cLr0oe3OKaSYoKzdpTsYQ/edit?usp=sharing"",""นครนายก!I292"")"),0)</f>
        <v>0</v>
      </c>
      <c r="S59" s="92">
        <f ca="1">IFERROR(__xludf.DUMMYFUNCTION("IMPORTRANGE(""https://docs.google.com/spreadsheets/d/18hSgUJ3VwClqi_qtULmmW3cLr0oe3OKaSYoKzdpTsYQ/edit?usp=sharing"",""นครนายก!J292"")"),0)</f>
        <v>0</v>
      </c>
      <c r="T59" s="93">
        <f t="shared" ca="1" si="31"/>
        <v>0</v>
      </c>
      <c r="U59" s="92">
        <f ca="1">IFERROR(__xludf.DUMMYFUNCTION("IMPORTRANGE(""https://docs.google.com/spreadsheets/d/18hSgUJ3VwClqi_qtULmmW3cLr0oe3OKaSYoKzdpTsYQ/edit?usp=sharing"",""นครนายก!I293"")"),0)</f>
        <v>0</v>
      </c>
      <c r="V59" s="92">
        <f ca="1">IFERROR(__xludf.DUMMYFUNCTION("IMPORTRANGE(""https://docs.google.com/spreadsheets/d/18hSgUJ3VwClqi_qtULmmW3cLr0oe3OKaSYoKzdpTsYQ/edit?usp=sharing"",""นครนายก!J293"")"),0)</f>
        <v>0</v>
      </c>
      <c r="W59" s="93">
        <f t="shared" ca="1" si="33"/>
        <v>0</v>
      </c>
      <c r="X59" s="92">
        <f ca="1">IFERROR(__xludf.DUMMYFUNCTION("IMPORTRANGE(""https://docs.google.com/spreadsheets/d/18hSgUJ3VwClqi_qtULmmW3cLr0oe3OKaSYoKzdpTsYQ/edit?usp=sharing"",""นครนายก!I295"")"),0)</f>
        <v>0</v>
      </c>
      <c r="Y59" s="92">
        <f ca="1">IFERROR(__xludf.DUMMYFUNCTION("IMPORTRANGE(""https://docs.google.com/spreadsheets/d/18hSgUJ3VwClqi_qtULmmW3cLr0oe3OKaSYoKzdpTsYQ/edit?usp=sharing"",""นครนายก!J295"")"),0)</f>
        <v>0</v>
      </c>
      <c r="Z59" s="93">
        <f t="shared" ca="1" si="35"/>
        <v>0</v>
      </c>
      <c r="AA59" s="311">
        <f ca="1">IFERROR(__xludf.DUMMYFUNCTION("IMPORTRANGE(""https://docs.google.com/spreadsheets/d/18hSgUJ3VwClqi_qtULmmW3cLr0oe3OKaSYoKzdpTsYQ/edit?usp=sharing"",""นครนายก!J296"")"),0)</f>
        <v>0</v>
      </c>
      <c r="AB59" s="312">
        <f t="shared" ca="1" si="36"/>
        <v>0</v>
      </c>
    </row>
    <row r="60" spans="1:28" ht="21" customHeight="1" x14ac:dyDescent="0.3">
      <c r="A60" s="84">
        <v>8</v>
      </c>
      <c r="B60" s="85" t="s">
        <v>82</v>
      </c>
      <c r="C60" s="174">
        <f t="shared" ca="1" si="22"/>
        <v>0</v>
      </c>
      <c r="D60" s="175">
        <f t="shared" ca="1" si="47"/>
        <v>0</v>
      </c>
      <c r="E60" s="176">
        <f ca="1">IFERROR(__xludf.DUMMYFUNCTION("IMPORTRANGE(""https://docs.google.com/spreadsheets/d/1-uDff_7J0KD5mKrp0Vvzr7lt3OU09vwQwhkpOPPYv2Y/edit?usp=sharing"",""งบพรบ!DP60"")"),0)</f>
        <v>0</v>
      </c>
      <c r="F60" s="176">
        <f ca="1">IFERROR(__xludf.DUMMYFUNCTION("IMPORTRANGE(""https://docs.google.com/spreadsheets/d/1-uDff_7J0KD5mKrp0Vvzr7lt3OU09vwQwhkpOPPYv2Y/edit?usp=sharing"",""งบพรบ!DQ60"")"),0)</f>
        <v>0</v>
      </c>
      <c r="G60" s="176">
        <f ca="1">IFERROR(__xludf.DUMMYFUNCTION("IMPORTRANGE(""https://docs.google.com/spreadsheets/d/1-uDff_7J0KD5mKrp0Vvzr7lt3OU09vwQwhkpOPPYv2Y/edit?usp=sharing"",""งบพรบ!DR60"")"),0)</f>
        <v>0</v>
      </c>
      <c r="H60" s="176">
        <f ca="1">IFERROR(__xludf.DUMMYFUNCTION("IMPORTRANGE(""https://docs.google.com/spreadsheets/d/1-uDff_7J0KD5mKrp0Vvzr7lt3OU09vwQwhkpOPPYv2Y/edit?usp=sharing"",""งบพรบ!DT60"")"),0)</f>
        <v>0</v>
      </c>
      <c r="I60" s="176">
        <f ca="1">IFERROR(__xludf.DUMMYFUNCTION("IMPORTRANGE(""https://docs.google.com/spreadsheets/d/1-uDff_7J0KD5mKrp0Vvzr7lt3OU09vwQwhkpOPPYv2Y/edit?usp=sharing"",""งบพรบ!DU60"")"),0)</f>
        <v>0</v>
      </c>
      <c r="J60" s="176">
        <f t="shared" ca="1" si="24"/>
        <v>0</v>
      </c>
      <c r="K60" s="181">
        <f t="shared" ca="1" si="25"/>
        <v>0</v>
      </c>
      <c r="L60" s="176">
        <f ca="1">IFERROR(__xludf.DUMMYFUNCTION("IMPORTRANGE(""https://docs.google.com/spreadsheets/d/1-uDff_7J0KD5mKrp0Vvzr7lt3OU09vwQwhkpOPPYv2Y/edit?usp=sharing"",""งบพรบ!DV60"")"),0)</f>
        <v>0</v>
      </c>
      <c r="M60" s="179">
        <f t="shared" ca="1" si="26"/>
        <v>0</v>
      </c>
      <c r="N60" s="179">
        <f t="shared" ca="1" si="27"/>
        <v>0</v>
      </c>
      <c r="O60" s="180">
        <f ca="1">IFERROR(__xludf.DUMMYFUNCTION("IMPORTRANGE(""https://docs.google.com/spreadsheets/d/1-uDff_7J0KD5mKrp0Vvzr7lt3OU09vwQwhkpOPPYv2Y/edit?usp=sharing"",""งบพรบ!DW60"")"),0)</f>
        <v>0</v>
      </c>
      <c r="P60" s="180">
        <f t="shared" ca="1" si="28"/>
        <v>0</v>
      </c>
      <c r="Q60" s="179">
        <f t="shared" ca="1" si="29"/>
        <v>0</v>
      </c>
      <c r="R60" s="92">
        <f ca="1">IFERROR(__xludf.DUMMYFUNCTION("IMPORTRANGE(""https://docs.google.com/spreadsheets/d/1YTZo6WM2dQ6Ix6FSdnL5P7uVnVKu40sxZu975tgG10E/edit?usp=sharing"",""นครปฐม!I292"")"),0)</f>
        <v>0</v>
      </c>
      <c r="S60" s="92">
        <f ca="1">IFERROR(__xludf.DUMMYFUNCTION("IMPORTRANGE(""https://docs.google.com/spreadsheets/d/1YTZo6WM2dQ6Ix6FSdnL5P7uVnVKu40sxZu975tgG10E/edit?usp=sharing"",""นครปฐม!J292"")"),0)</f>
        <v>0</v>
      </c>
      <c r="T60" s="93">
        <f t="shared" ca="1" si="31"/>
        <v>0</v>
      </c>
      <c r="U60" s="92">
        <f ca="1">IFERROR(__xludf.DUMMYFUNCTION("IMPORTRANGE(""https://docs.google.com/spreadsheets/d/1YTZo6WM2dQ6Ix6FSdnL5P7uVnVKu40sxZu975tgG10E/edit?usp=sharing"",""นครปฐม!I293"")"),0)</f>
        <v>0</v>
      </c>
      <c r="V60" s="92">
        <f ca="1">IFERROR(__xludf.DUMMYFUNCTION("IMPORTRANGE(""https://docs.google.com/spreadsheets/d/1YTZo6WM2dQ6Ix6FSdnL5P7uVnVKu40sxZu975tgG10E/edit?usp=sharing"",""นครปฐม!J293"")"),0)</f>
        <v>0</v>
      </c>
      <c r="W60" s="93">
        <f t="shared" ca="1" si="33"/>
        <v>0</v>
      </c>
      <c r="X60" s="92">
        <f ca="1">IFERROR(__xludf.DUMMYFUNCTION("IMPORTRANGE(""https://docs.google.com/spreadsheets/d/1YTZo6WM2dQ6Ix6FSdnL5P7uVnVKu40sxZu975tgG10E/edit?usp=sharing"",""นครปฐม!I295"")"),0)</f>
        <v>0</v>
      </c>
      <c r="Y60" s="92">
        <f ca="1">IFERROR(__xludf.DUMMYFUNCTION("IMPORTRANGE(""https://docs.google.com/spreadsheets/d/1YTZo6WM2dQ6Ix6FSdnL5P7uVnVKu40sxZu975tgG10E/edit?usp=sharing"",""นครปฐม!J295"")"),0)</f>
        <v>0</v>
      </c>
      <c r="Z60" s="93">
        <f t="shared" ca="1" si="35"/>
        <v>0</v>
      </c>
      <c r="AA60" s="311">
        <f ca="1">IFERROR(__xludf.DUMMYFUNCTION("IMPORTRANGE(""https://docs.google.com/spreadsheets/d/1YTZo6WM2dQ6Ix6FSdnL5P7uVnVKu40sxZu975tgG10E/edit?usp=sharing"",""นครปฐม!J296"")"),0)</f>
        <v>0</v>
      </c>
      <c r="AB60" s="312">
        <f t="shared" ca="1" si="36"/>
        <v>0</v>
      </c>
    </row>
    <row r="61" spans="1:28" ht="21" customHeight="1" x14ac:dyDescent="0.3">
      <c r="A61" s="84">
        <v>9</v>
      </c>
      <c r="B61" s="85" t="s">
        <v>83</v>
      </c>
      <c r="C61" s="174">
        <f t="shared" ca="1" si="22"/>
        <v>0</v>
      </c>
      <c r="D61" s="175">
        <f t="shared" ca="1" si="47"/>
        <v>0</v>
      </c>
      <c r="E61" s="176">
        <f ca="1">IFERROR(__xludf.DUMMYFUNCTION("IMPORTRANGE(""https://docs.google.com/spreadsheets/d/1-uDff_7J0KD5mKrp0Vvzr7lt3OU09vwQwhkpOPPYv2Y/edit?usp=sharing"",""งบพรบ!DP61"")"),0)</f>
        <v>0</v>
      </c>
      <c r="F61" s="176">
        <f ca="1">IFERROR(__xludf.DUMMYFUNCTION("IMPORTRANGE(""https://docs.google.com/spreadsheets/d/1-uDff_7J0KD5mKrp0Vvzr7lt3OU09vwQwhkpOPPYv2Y/edit?usp=sharing"",""งบพรบ!DQ61"")"),0)</f>
        <v>0</v>
      </c>
      <c r="G61" s="176">
        <f ca="1">IFERROR(__xludf.DUMMYFUNCTION("IMPORTRANGE(""https://docs.google.com/spreadsheets/d/1-uDff_7J0KD5mKrp0Vvzr7lt3OU09vwQwhkpOPPYv2Y/edit?usp=sharing"",""งบพรบ!DR61"")"),0)</f>
        <v>0</v>
      </c>
      <c r="H61" s="176">
        <f ca="1">IFERROR(__xludf.DUMMYFUNCTION("IMPORTRANGE(""https://docs.google.com/spreadsheets/d/1-uDff_7J0KD5mKrp0Vvzr7lt3OU09vwQwhkpOPPYv2Y/edit?usp=sharing"",""งบพรบ!DT61"")"),0)</f>
        <v>0</v>
      </c>
      <c r="I61" s="176">
        <f ca="1">IFERROR(__xludf.DUMMYFUNCTION("IMPORTRANGE(""https://docs.google.com/spreadsheets/d/1-uDff_7J0KD5mKrp0Vvzr7lt3OU09vwQwhkpOPPYv2Y/edit?usp=sharing"",""งบพรบ!DU61"")"),0)</f>
        <v>0</v>
      </c>
      <c r="J61" s="176">
        <f t="shared" ca="1" si="24"/>
        <v>0</v>
      </c>
      <c r="K61" s="181">
        <f t="shared" ca="1" si="25"/>
        <v>0</v>
      </c>
      <c r="L61" s="176">
        <f ca="1">IFERROR(__xludf.DUMMYFUNCTION("IMPORTRANGE(""https://docs.google.com/spreadsheets/d/1-uDff_7J0KD5mKrp0Vvzr7lt3OU09vwQwhkpOPPYv2Y/edit?usp=sharing"",""งบพรบ!DV61"")"),0)</f>
        <v>0</v>
      </c>
      <c r="M61" s="179">
        <f t="shared" ca="1" si="26"/>
        <v>0</v>
      </c>
      <c r="N61" s="179">
        <f t="shared" ca="1" si="27"/>
        <v>0</v>
      </c>
      <c r="O61" s="180">
        <f ca="1">IFERROR(__xludf.DUMMYFUNCTION("IMPORTRANGE(""https://docs.google.com/spreadsheets/d/1-uDff_7J0KD5mKrp0Vvzr7lt3OU09vwQwhkpOPPYv2Y/edit?usp=sharing"",""งบพรบ!DW61"")"),0)</f>
        <v>0</v>
      </c>
      <c r="P61" s="180">
        <f t="shared" ca="1" si="28"/>
        <v>0</v>
      </c>
      <c r="Q61" s="179">
        <f t="shared" ca="1" si="29"/>
        <v>0</v>
      </c>
      <c r="R61" s="92">
        <f ca="1">IFERROR(__xludf.DUMMYFUNCTION("IMPORTRANGE(""https://docs.google.com/spreadsheets/d/1OYoGg4WDg5RIzwGeB10padOxJF9E_Vljuvvct_M7RDo/edit?usp=sharing"",""ปทุมธานี!I292"")"),0)</f>
        <v>0</v>
      </c>
      <c r="S61" s="92">
        <f ca="1">IFERROR(__xludf.DUMMYFUNCTION("IMPORTRANGE(""https://docs.google.com/spreadsheets/d/1OYoGg4WDg5RIzwGeB10padOxJF9E_Vljuvvct_M7RDo/edit?usp=sharing"",""ปทุมธานี!J292"")"),0)</f>
        <v>0</v>
      </c>
      <c r="T61" s="93">
        <f t="shared" ca="1" si="31"/>
        <v>0</v>
      </c>
      <c r="U61" s="92">
        <f ca="1">IFERROR(__xludf.DUMMYFUNCTION("IMPORTRANGE(""https://docs.google.com/spreadsheets/d/1OYoGg4WDg5RIzwGeB10padOxJF9E_Vljuvvct_M7RDo/edit?usp=sharing"",""ปทุมธานี!I293"")"),0)</f>
        <v>0</v>
      </c>
      <c r="V61" s="92">
        <f ca="1">IFERROR(__xludf.DUMMYFUNCTION("IMPORTRANGE(""https://docs.google.com/spreadsheets/d/1OYoGg4WDg5RIzwGeB10padOxJF9E_Vljuvvct_M7RDo/edit?usp=sharing"",""ปทุมธานี!J293"")"),0)</f>
        <v>0</v>
      </c>
      <c r="W61" s="93">
        <f t="shared" ca="1" si="33"/>
        <v>0</v>
      </c>
      <c r="X61" s="92">
        <f ca="1">IFERROR(__xludf.DUMMYFUNCTION("IMPORTRANGE(""https://docs.google.com/spreadsheets/d/1OYoGg4WDg5RIzwGeB10padOxJF9E_Vljuvvct_M7RDo/edit?usp=sharing"",""ปทุมธานี!I295"")"),0)</f>
        <v>0</v>
      </c>
      <c r="Y61" s="92">
        <f ca="1">IFERROR(__xludf.DUMMYFUNCTION("IMPORTRANGE(""https://docs.google.com/spreadsheets/d/1OYoGg4WDg5RIzwGeB10padOxJF9E_Vljuvvct_M7RDo/edit?usp=sharing"",""ปทุมธานี!J295"")"),0)</f>
        <v>0</v>
      </c>
      <c r="Z61" s="93">
        <f t="shared" ca="1" si="35"/>
        <v>0</v>
      </c>
      <c r="AA61" s="311">
        <f ca="1">IFERROR(__xludf.DUMMYFUNCTION("IMPORTRANGE(""https://docs.google.com/spreadsheets/d/1OYoGg4WDg5RIzwGeB10padOxJF9E_Vljuvvct_M7RDo/edit?usp=sharing"",""ปทุมธานี!J296"")"),0)</f>
        <v>0</v>
      </c>
      <c r="AB61" s="312">
        <f t="shared" ca="1" si="36"/>
        <v>0</v>
      </c>
    </row>
    <row r="62" spans="1:28" ht="21" customHeight="1" x14ac:dyDescent="0.3">
      <c r="A62" s="84">
        <v>10</v>
      </c>
      <c r="B62" s="85" t="s">
        <v>84</v>
      </c>
      <c r="C62" s="174">
        <f t="shared" ca="1" si="22"/>
        <v>0</v>
      </c>
      <c r="D62" s="175">
        <f t="shared" ca="1" si="47"/>
        <v>0</v>
      </c>
      <c r="E62" s="176">
        <f ca="1">IFERROR(__xludf.DUMMYFUNCTION("IMPORTRANGE(""https://docs.google.com/spreadsheets/d/1-uDff_7J0KD5mKrp0Vvzr7lt3OU09vwQwhkpOPPYv2Y/edit?usp=sharing"",""งบพรบ!DP62"")"),0)</f>
        <v>0</v>
      </c>
      <c r="F62" s="176">
        <f ca="1">IFERROR(__xludf.DUMMYFUNCTION("IMPORTRANGE(""https://docs.google.com/spreadsheets/d/1-uDff_7J0KD5mKrp0Vvzr7lt3OU09vwQwhkpOPPYv2Y/edit?usp=sharing"",""งบพรบ!DQ62"")"),0)</f>
        <v>0</v>
      </c>
      <c r="G62" s="176">
        <f ca="1">IFERROR(__xludf.DUMMYFUNCTION("IMPORTRANGE(""https://docs.google.com/spreadsheets/d/1-uDff_7J0KD5mKrp0Vvzr7lt3OU09vwQwhkpOPPYv2Y/edit?usp=sharing"",""งบพรบ!DR62"")"),0)</f>
        <v>0</v>
      </c>
      <c r="H62" s="176">
        <f ca="1">IFERROR(__xludf.DUMMYFUNCTION("IMPORTRANGE(""https://docs.google.com/spreadsheets/d/1-uDff_7J0KD5mKrp0Vvzr7lt3OU09vwQwhkpOPPYv2Y/edit?usp=sharing"",""งบพรบ!DT62"")"),0)</f>
        <v>0</v>
      </c>
      <c r="I62" s="176">
        <f ca="1">IFERROR(__xludf.DUMMYFUNCTION("IMPORTRANGE(""https://docs.google.com/spreadsheets/d/1-uDff_7J0KD5mKrp0Vvzr7lt3OU09vwQwhkpOPPYv2Y/edit?usp=sharing"",""งบพรบ!DU62"")"),0)</f>
        <v>0</v>
      </c>
      <c r="J62" s="176">
        <f t="shared" ca="1" si="24"/>
        <v>0</v>
      </c>
      <c r="K62" s="181">
        <f t="shared" ca="1" si="25"/>
        <v>0</v>
      </c>
      <c r="L62" s="176">
        <f ca="1">IFERROR(__xludf.DUMMYFUNCTION("IMPORTRANGE(""https://docs.google.com/spreadsheets/d/1-uDff_7J0KD5mKrp0Vvzr7lt3OU09vwQwhkpOPPYv2Y/edit?usp=sharing"",""งบพรบ!DV62"")"),0)</f>
        <v>0</v>
      </c>
      <c r="M62" s="179">
        <f t="shared" ca="1" si="26"/>
        <v>0</v>
      </c>
      <c r="N62" s="179">
        <f t="shared" ca="1" si="27"/>
        <v>0</v>
      </c>
      <c r="O62" s="180">
        <f ca="1">IFERROR(__xludf.DUMMYFUNCTION("IMPORTRANGE(""https://docs.google.com/spreadsheets/d/1-uDff_7J0KD5mKrp0Vvzr7lt3OU09vwQwhkpOPPYv2Y/edit?usp=sharing"",""งบพรบ!DW62"")"),0)</f>
        <v>0</v>
      </c>
      <c r="P62" s="180">
        <f t="shared" ca="1" si="28"/>
        <v>0</v>
      </c>
      <c r="Q62" s="179">
        <f t="shared" ca="1" si="29"/>
        <v>0</v>
      </c>
      <c r="R62" s="92">
        <f ca="1">IFERROR(__xludf.DUMMYFUNCTION("IMPORTRANGE(""https://docs.google.com/spreadsheets/d/1GbCIE4D4wk9FUozzqk7SxfDMxDVBwVmI5zcaVUSzKAc/edit?usp=sharing"",""ประจวบคีรีขันธ์!I292"")"),0)</f>
        <v>0</v>
      </c>
      <c r="S62" s="92">
        <f ca="1">IFERROR(__xludf.DUMMYFUNCTION("IMPORTRANGE(""https://docs.google.com/spreadsheets/d/1GbCIE4D4wk9FUozzqk7SxfDMxDVBwVmI5zcaVUSzKAc/edit?usp=sharing"",""ประจวบคีรีขันธ์!J292"")"),0)</f>
        <v>0</v>
      </c>
      <c r="T62" s="93">
        <f t="shared" ca="1" si="31"/>
        <v>0</v>
      </c>
      <c r="U62" s="92">
        <f ca="1">IFERROR(__xludf.DUMMYFUNCTION("IMPORTRANGE(""https://docs.google.com/spreadsheets/d/1GbCIE4D4wk9FUozzqk7SxfDMxDVBwVmI5zcaVUSzKAc/edit?usp=sharing"",""ประจวบคีรีขันธ์!I293"")"),0)</f>
        <v>0</v>
      </c>
      <c r="V62" s="92">
        <f ca="1">IFERROR(__xludf.DUMMYFUNCTION("IMPORTRANGE(""https://docs.google.com/spreadsheets/d/1GbCIE4D4wk9FUozzqk7SxfDMxDVBwVmI5zcaVUSzKAc/edit?usp=sharing"",""ประจวบคีรีขันธ์!J293"")"),0)</f>
        <v>0</v>
      </c>
      <c r="W62" s="93">
        <f t="shared" ca="1" si="33"/>
        <v>0</v>
      </c>
      <c r="X62" s="92">
        <f ca="1">IFERROR(__xludf.DUMMYFUNCTION("IMPORTRANGE(""https://docs.google.com/spreadsheets/d/1GbCIE4D4wk9FUozzqk7SxfDMxDVBwVmI5zcaVUSzKAc/edit?usp=sharing"",""ประจวบคีรีขันธ์!I295"")"),0)</f>
        <v>0</v>
      </c>
      <c r="Y62" s="92">
        <f ca="1">IFERROR(__xludf.DUMMYFUNCTION("IMPORTRANGE(""https://docs.google.com/spreadsheets/d/1GbCIE4D4wk9FUozzqk7SxfDMxDVBwVmI5zcaVUSzKAc/edit?usp=sharing"",""ประจวบคีรีขันธ์!J295"")"),0)</f>
        <v>0</v>
      </c>
      <c r="Z62" s="93">
        <f t="shared" ca="1" si="35"/>
        <v>0</v>
      </c>
      <c r="AA62" s="311">
        <f ca="1">IFERROR(__xludf.DUMMYFUNCTION("IMPORTRANGE(""https://docs.google.com/spreadsheets/d/1GbCIE4D4wk9FUozzqk7SxfDMxDVBwVmI5zcaVUSzKAc/edit?usp=sharing"",""ประจวบคีรีขันธ์!J296"")"),0)</f>
        <v>0</v>
      </c>
      <c r="AB62" s="312">
        <f t="shared" ca="1" si="36"/>
        <v>0</v>
      </c>
    </row>
    <row r="63" spans="1:28" ht="21" customHeight="1" x14ac:dyDescent="0.3">
      <c r="A63" s="84">
        <v>11</v>
      </c>
      <c r="B63" s="85" t="s">
        <v>85</v>
      </c>
      <c r="C63" s="174">
        <f t="shared" ca="1" si="22"/>
        <v>0</v>
      </c>
      <c r="D63" s="175">
        <f t="shared" ca="1" si="47"/>
        <v>0</v>
      </c>
      <c r="E63" s="176">
        <f ca="1">IFERROR(__xludf.DUMMYFUNCTION("IMPORTRANGE(""https://docs.google.com/spreadsheets/d/1-uDff_7J0KD5mKrp0Vvzr7lt3OU09vwQwhkpOPPYv2Y/edit?usp=sharing"",""งบพรบ!DP63"")"),0)</f>
        <v>0</v>
      </c>
      <c r="F63" s="176">
        <f ca="1">IFERROR(__xludf.DUMMYFUNCTION("IMPORTRANGE(""https://docs.google.com/spreadsheets/d/1-uDff_7J0KD5mKrp0Vvzr7lt3OU09vwQwhkpOPPYv2Y/edit?usp=sharing"",""งบพรบ!DQ63"")"),0)</f>
        <v>0</v>
      </c>
      <c r="G63" s="176">
        <f ca="1">IFERROR(__xludf.DUMMYFUNCTION("IMPORTRANGE(""https://docs.google.com/spreadsheets/d/1-uDff_7J0KD5mKrp0Vvzr7lt3OU09vwQwhkpOPPYv2Y/edit?usp=sharing"",""งบพรบ!DR63"")"),0)</f>
        <v>0</v>
      </c>
      <c r="H63" s="176">
        <f ca="1">IFERROR(__xludf.DUMMYFUNCTION("IMPORTRANGE(""https://docs.google.com/spreadsheets/d/1-uDff_7J0KD5mKrp0Vvzr7lt3OU09vwQwhkpOPPYv2Y/edit?usp=sharing"",""งบพรบ!DT63"")"),0)</f>
        <v>0</v>
      </c>
      <c r="I63" s="176">
        <f ca="1">IFERROR(__xludf.DUMMYFUNCTION("IMPORTRANGE(""https://docs.google.com/spreadsheets/d/1-uDff_7J0KD5mKrp0Vvzr7lt3OU09vwQwhkpOPPYv2Y/edit?usp=sharing"",""งบพรบ!DU63"")"),0)</f>
        <v>0</v>
      </c>
      <c r="J63" s="176">
        <f t="shared" ca="1" si="24"/>
        <v>0</v>
      </c>
      <c r="K63" s="181">
        <f t="shared" ca="1" si="25"/>
        <v>0</v>
      </c>
      <c r="L63" s="176">
        <f ca="1">IFERROR(__xludf.DUMMYFUNCTION("IMPORTRANGE(""https://docs.google.com/spreadsheets/d/1-uDff_7J0KD5mKrp0Vvzr7lt3OU09vwQwhkpOPPYv2Y/edit?usp=sharing"",""งบพรบ!DV63"")"),0)</f>
        <v>0</v>
      </c>
      <c r="M63" s="179">
        <f t="shared" ca="1" si="26"/>
        <v>0</v>
      </c>
      <c r="N63" s="179">
        <f t="shared" ca="1" si="27"/>
        <v>0</v>
      </c>
      <c r="O63" s="180">
        <f ca="1">IFERROR(__xludf.DUMMYFUNCTION("IMPORTRANGE(""https://docs.google.com/spreadsheets/d/1-uDff_7J0KD5mKrp0Vvzr7lt3OU09vwQwhkpOPPYv2Y/edit?usp=sharing"",""งบพรบ!DW63"")"),0)</f>
        <v>0</v>
      </c>
      <c r="P63" s="180">
        <f t="shared" ca="1" si="28"/>
        <v>0</v>
      </c>
      <c r="Q63" s="179">
        <f t="shared" ca="1" si="29"/>
        <v>0</v>
      </c>
      <c r="R63" s="92">
        <f ca="1">IFERROR(__xludf.DUMMYFUNCTION("IMPORTRANGE(""https://docs.google.com/spreadsheets/d/1vVf6wykvW_lAyu7Yo9L4hUTqHqIeP_qcVuxCtosJEbg/edit?usp=sharing"",""ปราจีนบุรี!I292"")"),0)</f>
        <v>0</v>
      </c>
      <c r="S63" s="92">
        <f ca="1">IFERROR(__xludf.DUMMYFUNCTION("IMPORTRANGE(""https://docs.google.com/spreadsheets/d/1vVf6wykvW_lAyu7Yo9L4hUTqHqIeP_qcVuxCtosJEbg/edit?usp=sharing"",""ปราจีนบุรี!J292"")"),0)</f>
        <v>0</v>
      </c>
      <c r="T63" s="93">
        <f t="shared" ca="1" si="31"/>
        <v>0</v>
      </c>
      <c r="U63" s="92">
        <f ca="1">IFERROR(__xludf.DUMMYFUNCTION("IMPORTRANGE(""https://docs.google.com/spreadsheets/d/1vVf6wykvW_lAyu7Yo9L4hUTqHqIeP_qcVuxCtosJEbg/edit?usp=sharing"",""ปราจีนบุรี!I293"")"),0)</f>
        <v>0</v>
      </c>
      <c r="V63" s="92">
        <f ca="1">IFERROR(__xludf.DUMMYFUNCTION("IMPORTRANGE(""https://docs.google.com/spreadsheets/d/1vVf6wykvW_lAyu7Yo9L4hUTqHqIeP_qcVuxCtosJEbg/edit?usp=sharing"",""ปราจีนบุรี!J293"")"),0)</f>
        <v>0</v>
      </c>
      <c r="W63" s="93">
        <f t="shared" ca="1" si="33"/>
        <v>0</v>
      </c>
      <c r="X63" s="92">
        <f ca="1">IFERROR(__xludf.DUMMYFUNCTION("IMPORTRANGE(""https://docs.google.com/spreadsheets/d/1vVf6wykvW_lAyu7Yo9L4hUTqHqIeP_qcVuxCtosJEbg/edit?usp=sharing"",""ปราจีนบุรี!I295"")"),0)</f>
        <v>0</v>
      </c>
      <c r="Y63" s="92">
        <f ca="1">IFERROR(__xludf.DUMMYFUNCTION("IMPORTRANGE(""https://docs.google.com/spreadsheets/d/1vVf6wykvW_lAyu7Yo9L4hUTqHqIeP_qcVuxCtosJEbg/edit?usp=sharing"",""ปราจีนบุรี!J295"")"),0)</f>
        <v>0</v>
      </c>
      <c r="Z63" s="93">
        <f t="shared" ca="1" si="35"/>
        <v>0</v>
      </c>
      <c r="AA63" s="311">
        <f ca="1">IFERROR(__xludf.DUMMYFUNCTION("IMPORTRANGE(""https://docs.google.com/spreadsheets/d/1vVf6wykvW_lAyu7Yo9L4hUTqHqIeP_qcVuxCtosJEbg/edit?usp=sharing"",""ปราจีนบุรี!J296"")"),0)</f>
        <v>0</v>
      </c>
      <c r="AB63" s="312">
        <f t="shared" ca="1" si="36"/>
        <v>0</v>
      </c>
    </row>
    <row r="64" spans="1:28" ht="21" customHeight="1" x14ac:dyDescent="0.3">
      <c r="A64" s="84">
        <v>12</v>
      </c>
      <c r="B64" s="85" t="s">
        <v>86</v>
      </c>
      <c r="C64" s="174">
        <f t="shared" ca="1" si="22"/>
        <v>0</v>
      </c>
      <c r="D64" s="175">
        <f t="shared" ca="1" si="47"/>
        <v>0</v>
      </c>
      <c r="E64" s="176">
        <f ca="1">IFERROR(__xludf.DUMMYFUNCTION("IMPORTRANGE(""https://docs.google.com/spreadsheets/d/1-uDff_7J0KD5mKrp0Vvzr7lt3OU09vwQwhkpOPPYv2Y/edit?usp=sharing"",""งบพรบ!DP64"")"),0)</f>
        <v>0</v>
      </c>
      <c r="F64" s="176">
        <f ca="1">IFERROR(__xludf.DUMMYFUNCTION("IMPORTRANGE(""https://docs.google.com/spreadsheets/d/1-uDff_7J0KD5mKrp0Vvzr7lt3OU09vwQwhkpOPPYv2Y/edit?usp=sharing"",""งบพรบ!DQ64"")"),0)</f>
        <v>0</v>
      </c>
      <c r="G64" s="176">
        <f ca="1">IFERROR(__xludf.DUMMYFUNCTION("IMPORTRANGE(""https://docs.google.com/spreadsheets/d/1-uDff_7J0KD5mKrp0Vvzr7lt3OU09vwQwhkpOPPYv2Y/edit?usp=sharing"",""งบพรบ!DR64"")"),0)</f>
        <v>0</v>
      </c>
      <c r="H64" s="176">
        <f ca="1">IFERROR(__xludf.DUMMYFUNCTION("IMPORTRANGE(""https://docs.google.com/spreadsheets/d/1-uDff_7J0KD5mKrp0Vvzr7lt3OU09vwQwhkpOPPYv2Y/edit?usp=sharing"",""งบพรบ!DT64"")"),0)</f>
        <v>0</v>
      </c>
      <c r="I64" s="176">
        <f ca="1">IFERROR(__xludf.DUMMYFUNCTION("IMPORTRANGE(""https://docs.google.com/spreadsheets/d/1-uDff_7J0KD5mKrp0Vvzr7lt3OU09vwQwhkpOPPYv2Y/edit?usp=sharing"",""งบพรบ!DU64"")"),0)</f>
        <v>0</v>
      </c>
      <c r="J64" s="176">
        <f t="shared" ca="1" si="24"/>
        <v>0</v>
      </c>
      <c r="K64" s="181">
        <f t="shared" ca="1" si="25"/>
        <v>0</v>
      </c>
      <c r="L64" s="176">
        <f ca="1">IFERROR(__xludf.DUMMYFUNCTION("IMPORTRANGE(""https://docs.google.com/spreadsheets/d/1-uDff_7J0KD5mKrp0Vvzr7lt3OU09vwQwhkpOPPYv2Y/edit?usp=sharing"",""งบพรบ!DV64"")"),0)</f>
        <v>0</v>
      </c>
      <c r="M64" s="179">
        <f t="shared" ca="1" si="26"/>
        <v>0</v>
      </c>
      <c r="N64" s="179">
        <f t="shared" ca="1" si="27"/>
        <v>0</v>
      </c>
      <c r="O64" s="180">
        <f ca="1">IFERROR(__xludf.DUMMYFUNCTION("IMPORTRANGE(""https://docs.google.com/spreadsheets/d/1-uDff_7J0KD5mKrp0Vvzr7lt3OU09vwQwhkpOPPYv2Y/edit?usp=sharing"",""งบพรบ!DW64"")"),0)</f>
        <v>0</v>
      </c>
      <c r="P64" s="180">
        <f t="shared" ca="1" si="28"/>
        <v>0</v>
      </c>
      <c r="Q64" s="179">
        <f t="shared" ca="1" si="29"/>
        <v>0</v>
      </c>
      <c r="R64" s="92">
        <f ca="1">IFERROR(__xludf.DUMMYFUNCTION("IMPORTRANGE(""https://docs.google.com/spreadsheets/d/1BIDqLLg5jk3v59G8NlR8rk5xfQDKne0sAvZHSj7TI6I/edit?usp=sharing"",""พระนครศรีอยุธยา!I292"")"),0)</f>
        <v>0</v>
      </c>
      <c r="S64" s="92">
        <f ca="1">IFERROR(__xludf.DUMMYFUNCTION("IMPORTRANGE(""https://docs.google.com/spreadsheets/d/1BIDqLLg5jk3v59G8NlR8rk5xfQDKne0sAvZHSj7TI6I/edit?usp=sharing"",""พระนครศรีอยุธยา!J292"")"),0)</f>
        <v>0</v>
      </c>
      <c r="T64" s="93">
        <f t="shared" ca="1" si="31"/>
        <v>0</v>
      </c>
      <c r="U64" s="92">
        <f ca="1">IFERROR(__xludf.DUMMYFUNCTION("IMPORTRANGE(""https://docs.google.com/spreadsheets/d/1BIDqLLg5jk3v59G8NlR8rk5xfQDKne0sAvZHSj7TI6I/edit?usp=sharing"",""พระนครศรีอยุธยา!I293"")"),0)</f>
        <v>0</v>
      </c>
      <c r="V64" s="92">
        <f ca="1">IFERROR(__xludf.DUMMYFUNCTION("IMPORTRANGE(""https://docs.google.com/spreadsheets/d/1BIDqLLg5jk3v59G8NlR8rk5xfQDKne0sAvZHSj7TI6I/edit?usp=sharing"",""พระนครศรีอยุธยา!J293"")"),0)</f>
        <v>0</v>
      </c>
      <c r="W64" s="93">
        <f t="shared" ca="1" si="33"/>
        <v>0</v>
      </c>
      <c r="X64" s="92">
        <f ca="1">IFERROR(__xludf.DUMMYFUNCTION("IMPORTRANGE(""https://docs.google.com/spreadsheets/d/1BIDqLLg5jk3v59G8NlR8rk5xfQDKne0sAvZHSj7TI6I/edit?usp=sharing"",""พระนครศรีอยุธยา!I295"")"),0)</f>
        <v>0</v>
      </c>
      <c r="Y64" s="92">
        <f ca="1">IFERROR(__xludf.DUMMYFUNCTION("IMPORTRANGE(""https://docs.google.com/spreadsheets/d/1BIDqLLg5jk3v59G8NlR8rk5xfQDKne0sAvZHSj7TI6I/edit?usp=sharing"",""พระนครศรีอยุธยา!J295"")"),0)</f>
        <v>0</v>
      </c>
      <c r="Z64" s="93">
        <f t="shared" ca="1" si="35"/>
        <v>0</v>
      </c>
      <c r="AA64" s="311">
        <f ca="1">IFERROR(__xludf.DUMMYFUNCTION("IMPORTRANGE(""https://docs.google.com/spreadsheets/d/1BIDqLLg5jk3v59G8NlR8rk5xfQDKne0sAvZHSj7TI6I/edit?usp=sharing"",""พระนครศรีอยุธยา!J296"")"),0)</f>
        <v>0</v>
      </c>
      <c r="AB64" s="312">
        <f t="shared" ca="1" si="36"/>
        <v>0</v>
      </c>
    </row>
    <row r="65" spans="1:28" ht="21" customHeight="1" x14ac:dyDescent="0.3">
      <c r="A65" s="84">
        <v>13</v>
      </c>
      <c r="B65" s="85" t="s">
        <v>87</v>
      </c>
      <c r="C65" s="174">
        <f t="shared" ca="1" si="22"/>
        <v>0</v>
      </c>
      <c r="D65" s="175">
        <f t="shared" ca="1" si="47"/>
        <v>0</v>
      </c>
      <c r="E65" s="176">
        <f ca="1">IFERROR(__xludf.DUMMYFUNCTION("IMPORTRANGE(""https://docs.google.com/spreadsheets/d/1-uDff_7J0KD5mKrp0Vvzr7lt3OU09vwQwhkpOPPYv2Y/edit?usp=sharing"",""งบพรบ!DP65"")"),0)</f>
        <v>0</v>
      </c>
      <c r="F65" s="176">
        <f ca="1">IFERROR(__xludf.DUMMYFUNCTION("IMPORTRANGE(""https://docs.google.com/spreadsheets/d/1-uDff_7J0KD5mKrp0Vvzr7lt3OU09vwQwhkpOPPYv2Y/edit?usp=sharing"",""งบพรบ!DQ65"")"),0)</f>
        <v>0</v>
      </c>
      <c r="G65" s="176">
        <f ca="1">IFERROR(__xludf.DUMMYFUNCTION("IMPORTRANGE(""https://docs.google.com/spreadsheets/d/1-uDff_7J0KD5mKrp0Vvzr7lt3OU09vwQwhkpOPPYv2Y/edit?usp=sharing"",""งบพรบ!DR65"")"),0)</f>
        <v>0</v>
      </c>
      <c r="H65" s="176">
        <f ca="1">IFERROR(__xludf.DUMMYFUNCTION("IMPORTRANGE(""https://docs.google.com/spreadsheets/d/1-uDff_7J0KD5mKrp0Vvzr7lt3OU09vwQwhkpOPPYv2Y/edit?usp=sharing"",""งบพรบ!DT65"")"),0)</f>
        <v>0</v>
      </c>
      <c r="I65" s="176">
        <f ca="1">IFERROR(__xludf.DUMMYFUNCTION("IMPORTRANGE(""https://docs.google.com/spreadsheets/d/1-uDff_7J0KD5mKrp0Vvzr7lt3OU09vwQwhkpOPPYv2Y/edit?usp=sharing"",""งบพรบ!DU65"")"),0)</f>
        <v>0</v>
      </c>
      <c r="J65" s="176">
        <f t="shared" ca="1" si="24"/>
        <v>0</v>
      </c>
      <c r="K65" s="181">
        <f t="shared" ca="1" si="25"/>
        <v>0</v>
      </c>
      <c r="L65" s="176">
        <f ca="1">IFERROR(__xludf.DUMMYFUNCTION("IMPORTRANGE(""https://docs.google.com/spreadsheets/d/1-uDff_7J0KD5mKrp0Vvzr7lt3OU09vwQwhkpOPPYv2Y/edit?usp=sharing"",""งบพรบ!DV65"")"),0)</f>
        <v>0</v>
      </c>
      <c r="M65" s="179">
        <f t="shared" ca="1" si="26"/>
        <v>0</v>
      </c>
      <c r="N65" s="179">
        <f t="shared" ca="1" si="27"/>
        <v>0</v>
      </c>
      <c r="O65" s="180">
        <f ca="1">IFERROR(__xludf.DUMMYFUNCTION("IMPORTRANGE(""https://docs.google.com/spreadsheets/d/1-uDff_7J0KD5mKrp0Vvzr7lt3OU09vwQwhkpOPPYv2Y/edit?usp=sharing"",""งบพรบ!DW65"")"),0)</f>
        <v>0</v>
      </c>
      <c r="P65" s="180">
        <f t="shared" ca="1" si="28"/>
        <v>0</v>
      </c>
      <c r="Q65" s="179">
        <f t="shared" ca="1" si="29"/>
        <v>0</v>
      </c>
      <c r="R65" s="92">
        <f ca="1">IFERROR(__xludf.DUMMYFUNCTION("IMPORTRANGE(""https://docs.google.com/spreadsheets/d/1YXvxf8Yu6_rV4hTBrwMqAcAnv6DfhUxh5emyM3CJp_w/edit?usp=sharing"",""เพชรบุรี!I292"")"),0)</f>
        <v>0</v>
      </c>
      <c r="S65" s="92">
        <f ca="1">IFERROR(__xludf.DUMMYFUNCTION("IMPORTRANGE(""https://docs.google.com/spreadsheets/d/1YXvxf8Yu6_rV4hTBrwMqAcAnv6DfhUxh5emyM3CJp_w/edit?usp=sharing"",""เพชรบุรี!J292"")"),0)</f>
        <v>0</v>
      </c>
      <c r="T65" s="93">
        <f t="shared" ca="1" si="31"/>
        <v>0</v>
      </c>
      <c r="U65" s="92">
        <f ca="1">IFERROR(__xludf.DUMMYFUNCTION("IMPORTRANGE(""https://docs.google.com/spreadsheets/d/1YXvxf8Yu6_rV4hTBrwMqAcAnv6DfhUxh5emyM3CJp_w/edit?usp=sharing"",""เพชรบุรี!I293"")"),0)</f>
        <v>0</v>
      </c>
      <c r="V65" s="92">
        <f ca="1">IFERROR(__xludf.DUMMYFUNCTION("IMPORTRANGE(""https://docs.google.com/spreadsheets/d/1YXvxf8Yu6_rV4hTBrwMqAcAnv6DfhUxh5emyM3CJp_w/edit?usp=sharing"",""เพชรบุรี!J293"")"),0)</f>
        <v>0</v>
      </c>
      <c r="W65" s="93">
        <f t="shared" ca="1" si="33"/>
        <v>0</v>
      </c>
      <c r="X65" s="92">
        <f ca="1">IFERROR(__xludf.DUMMYFUNCTION("IMPORTRANGE(""https://docs.google.com/spreadsheets/d/1YXvxf8Yu6_rV4hTBrwMqAcAnv6DfhUxh5emyM3CJp_w/edit?usp=sharing"",""เพชรบุรี!I295"")"),0)</f>
        <v>0</v>
      </c>
      <c r="Y65" s="92">
        <f ca="1">IFERROR(__xludf.DUMMYFUNCTION("IMPORTRANGE(""https://docs.google.com/spreadsheets/d/1YXvxf8Yu6_rV4hTBrwMqAcAnv6DfhUxh5emyM3CJp_w/edit?usp=sharing"",""เพชรบุรี!J295"")"),0)</f>
        <v>0</v>
      </c>
      <c r="Z65" s="93">
        <f t="shared" ca="1" si="35"/>
        <v>0</v>
      </c>
      <c r="AA65" s="311">
        <f ca="1">IFERROR(__xludf.DUMMYFUNCTION("IMPORTRANGE(""https://docs.google.com/spreadsheets/d/1YXvxf8Yu6_rV4hTBrwMqAcAnv6DfhUxh5emyM3CJp_w/edit?usp=sharing"",""เพชรบุรี!J296"")"),0)</f>
        <v>0</v>
      </c>
      <c r="AB65" s="312">
        <f t="shared" ca="1" si="36"/>
        <v>0</v>
      </c>
    </row>
    <row r="66" spans="1:28" ht="21" customHeight="1" x14ac:dyDescent="0.3">
      <c r="A66" s="84">
        <v>14</v>
      </c>
      <c r="B66" s="85" t="s">
        <v>88</v>
      </c>
      <c r="C66" s="174">
        <f t="shared" ca="1" si="22"/>
        <v>0</v>
      </c>
      <c r="D66" s="175">
        <f t="shared" ca="1" si="47"/>
        <v>0</v>
      </c>
      <c r="E66" s="176">
        <f ca="1">IFERROR(__xludf.DUMMYFUNCTION("IMPORTRANGE(""https://docs.google.com/spreadsheets/d/1-uDff_7J0KD5mKrp0Vvzr7lt3OU09vwQwhkpOPPYv2Y/edit?usp=sharing"",""งบพรบ!DP66"")"),0)</f>
        <v>0</v>
      </c>
      <c r="F66" s="176">
        <f ca="1">IFERROR(__xludf.DUMMYFUNCTION("IMPORTRANGE(""https://docs.google.com/spreadsheets/d/1-uDff_7J0KD5mKrp0Vvzr7lt3OU09vwQwhkpOPPYv2Y/edit?usp=sharing"",""งบพรบ!DQ66"")"),0)</f>
        <v>0</v>
      </c>
      <c r="G66" s="176">
        <f ca="1">IFERROR(__xludf.DUMMYFUNCTION("IMPORTRANGE(""https://docs.google.com/spreadsheets/d/1-uDff_7J0KD5mKrp0Vvzr7lt3OU09vwQwhkpOPPYv2Y/edit?usp=sharing"",""งบพรบ!DR66"")"),0)</f>
        <v>0</v>
      </c>
      <c r="H66" s="176">
        <f ca="1">IFERROR(__xludf.DUMMYFUNCTION("IMPORTRANGE(""https://docs.google.com/spreadsheets/d/1-uDff_7J0KD5mKrp0Vvzr7lt3OU09vwQwhkpOPPYv2Y/edit?usp=sharing"",""งบพรบ!DT66"")"),0)</f>
        <v>0</v>
      </c>
      <c r="I66" s="176">
        <f ca="1">IFERROR(__xludf.DUMMYFUNCTION("IMPORTRANGE(""https://docs.google.com/spreadsheets/d/1-uDff_7J0KD5mKrp0Vvzr7lt3OU09vwQwhkpOPPYv2Y/edit?usp=sharing"",""งบพรบ!DU66"")"),0)</f>
        <v>0</v>
      </c>
      <c r="J66" s="176">
        <f t="shared" ca="1" si="24"/>
        <v>0</v>
      </c>
      <c r="K66" s="181">
        <f t="shared" ca="1" si="25"/>
        <v>0</v>
      </c>
      <c r="L66" s="176">
        <f ca="1">IFERROR(__xludf.DUMMYFUNCTION("IMPORTRANGE(""https://docs.google.com/spreadsheets/d/1-uDff_7J0KD5mKrp0Vvzr7lt3OU09vwQwhkpOPPYv2Y/edit?usp=sharing"",""งบพรบ!DV66"")"),0)</f>
        <v>0</v>
      </c>
      <c r="M66" s="179">
        <f t="shared" ca="1" si="26"/>
        <v>0</v>
      </c>
      <c r="N66" s="179">
        <f t="shared" ca="1" si="27"/>
        <v>0</v>
      </c>
      <c r="O66" s="180">
        <f ca="1">IFERROR(__xludf.DUMMYFUNCTION("IMPORTRANGE(""https://docs.google.com/spreadsheets/d/1-uDff_7J0KD5mKrp0Vvzr7lt3OU09vwQwhkpOPPYv2Y/edit?usp=sharing"",""งบพรบ!DW66"")"),0)</f>
        <v>0</v>
      </c>
      <c r="P66" s="180">
        <f t="shared" ca="1" si="28"/>
        <v>0</v>
      </c>
      <c r="Q66" s="179">
        <f t="shared" ca="1" si="29"/>
        <v>0</v>
      </c>
      <c r="R66" s="92">
        <f ca="1">IFERROR(__xludf.DUMMYFUNCTION("IMPORTRANGE(""https://docs.google.com/spreadsheets/d/19KBlQQs7uwvsao6t2n-KvW3Ax8J8uRRfZPq1zPbXgKc/edit?usp=sharing"",""ระยอง!I292"")"),0)</f>
        <v>0</v>
      </c>
      <c r="S66" s="92">
        <f ca="1">IFERROR(__xludf.DUMMYFUNCTION("IMPORTRANGE(""https://docs.google.com/spreadsheets/d/19KBlQQs7uwvsao6t2n-KvW3Ax8J8uRRfZPq1zPbXgKc/edit?usp=sharing"",""ระยอง!J292"")"),0)</f>
        <v>0</v>
      </c>
      <c r="T66" s="93">
        <f t="shared" ca="1" si="31"/>
        <v>0</v>
      </c>
      <c r="U66" s="92">
        <f ca="1">IFERROR(__xludf.DUMMYFUNCTION("IMPORTRANGE(""https://docs.google.com/spreadsheets/d/19KBlQQs7uwvsao6t2n-KvW3Ax8J8uRRfZPq1zPbXgKc/edit?usp=sharing"",""ระยอง!I293"")"),0)</f>
        <v>0</v>
      </c>
      <c r="V66" s="92">
        <f ca="1">IFERROR(__xludf.DUMMYFUNCTION("IMPORTRANGE(""https://docs.google.com/spreadsheets/d/19KBlQQs7uwvsao6t2n-KvW3Ax8J8uRRfZPq1zPbXgKc/edit?usp=sharing"",""ระยอง!J293"")"),0)</f>
        <v>0</v>
      </c>
      <c r="W66" s="93">
        <f t="shared" ca="1" si="33"/>
        <v>0</v>
      </c>
      <c r="X66" s="92">
        <f ca="1">IFERROR(__xludf.DUMMYFUNCTION("IMPORTRANGE(""https://docs.google.com/spreadsheets/d/19KBlQQs7uwvsao6t2n-KvW3Ax8J8uRRfZPq1zPbXgKc/edit?usp=sharing"",""ระยอง!I295"")"),0)</f>
        <v>0</v>
      </c>
      <c r="Y66" s="92">
        <f ca="1">IFERROR(__xludf.DUMMYFUNCTION("IMPORTRANGE(""https://docs.google.com/spreadsheets/d/19KBlQQs7uwvsao6t2n-KvW3Ax8J8uRRfZPq1zPbXgKc/edit?usp=sharing"",""ระยอง!J295"")"),0)</f>
        <v>0</v>
      </c>
      <c r="Z66" s="93">
        <f t="shared" ca="1" si="35"/>
        <v>0</v>
      </c>
      <c r="AA66" s="311">
        <f ca="1">IFERROR(__xludf.DUMMYFUNCTION("IMPORTRANGE(""https://docs.google.com/spreadsheets/d/19KBlQQs7uwvsao6t2n-KvW3Ax8J8uRRfZPq1zPbXgKc/edit?usp=sharing"",""ระยอง!J296"")"),0)</f>
        <v>0</v>
      </c>
      <c r="AB66" s="312">
        <f t="shared" ca="1" si="36"/>
        <v>0</v>
      </c>
    </row>
    <row r="67" spans="1:28" ht="21" customHeight="1" x14ac:dyDescent="0.3">
      <c r="A67" s="84">
        <v>15</v>
      </c>
      <c r="B67" s="85" t="s">
        <v>89</v>
      </c>
      <c r="C67" s="174">
        <f t="shared" ca="1" si="22"/>
        <v>0</v>
      </c>
      <c r="D67" s="175">
        <f t="shared" ca="1" si="47"/>
        <v>0</v>
      </c>
      <c r="E67" s="176">
        <f ca="1">IFERROR(__xludf.DUMMYFUNCTION("IMPORTRANGE(""https://docs.google.com/spreadsheets/d/1-uDff_7J0KD5mKrp0Vvzr7lt3OU09vwQwhkpOPPYv2Y/edit?usp=sharing"",""งบพรบ!DP67"")"),0)</f>
        <v>0</v>
      </c>
      <c r="F67" s="176">
        <f ca="1">IFERROR(__xludf.DUMMYFUNCTION("IMPORTRANGE(""https://docs.google.com/spreadsheets/d/1-uDff_7J0KD5mKrp0Vvzr7lt3OU09vwQwhkpOPPYv2Y/edit?usp=sharing"",""งบพรบ!DQ67"")"),0)</f>
        <v>0</v>
      </c>
      <c r="G67" s="176">
        <f ca="1">IFERROR(__xludf.DUMMYFUNCTION("IMPORTRANGE(""https://docs.google.com/spreadsheets/d/1-uDff_7J0KD5mKrp0Vvzr7lt3OU09vwQwhkpOPPYv2Y/edit?usp=sharing"",""งบพรบ!DR67"")"),0)</f>
        <v>0</v>
      </c>
      <c r="H67" s="176">
        <f ca="1">IFERROR(__xludf.DUMMYFUNCTION("IMPORTRANGE(""https://docs.google.com/spreadsheets/d/1-uDff_7J0KD5mKrp0Vvzr7lt3OU09vwQwhkpOPPYv2Y/edit?usp=sharing"",""งบพรบ!DT67"")"),0)</f>
        <v>0</v>
      </c>
      <c r="I67" s="176">
        <f ca="1">IFERROR(__xludf.DUMMYFUNCTION("IMPORTRANGE(""https://docs.google.com/spreadsheets/d/1-uDff_7J0KD5mKrp0Vvzr7lt3OU09vwQwhkpOPPYv2Y/edit?usp=sharing"",""งบพรบ!DU67"")"),0)</f>
        <v>0</v>
      </c>
      <c r="J67" s="176">
        <f t="shared" ca="1" si="24"/>
        <v>0</v>
      </c>
      <c r="K67" s="181">
        <f t="shared" ca="1" si="25"/>
        <v>0</v>
      </c>
      <c r="L67" s="176">
        <f ca="1">IFERROR(__xludf.DUMMYFUNCTION("IMPORTRANGE(""https://docs.google.com/spreadsheets/d/1-uDff_7J0KD5mKrp0Vvzr7lt3OU09vwQwhkpOPPYv2Y/edit?usp=sharing"",""งบพรบ!DV67"")"),0)</f>
        <v>0</v>
      </c>
      <c r="M67" s="179">
        <f t="shared" ca="1" si="26"/>
        <v>0</v>
      </c>
      <c r="N67" s="179">
        <f t="shared" ca="1" si="27"/>
        <v>0</v>
      </c>
      <c r="O67" s="180">
        <f ca="1">IFERROR(__xludf.DUMMYFUNCTION("IMPORTRANGE(""https://docs.google.com/spreadsheets/d/1-uDff_7J0KD5mKrp0Vvzr7lt3OU09vwQwhkpOPPYv2Y/edit?usp=sharing"",""งบพรบ!DW67"")"),0)</f>
        <v>0</v>
      </c>
      <c r="P67" s="180">
        <f t="shared" ca="1" si="28"/>
        <v>0</v>
      </c>
      <c r="Q67" s="179">
        <f t="shared" ca="1" si="29"/>
        <v>0</v>
      </c>
      <c r="R67" s="92">
        <f ca="1">IFERROR(__xludf.DUMMYFUNCTION("IMPORTRANGE(""https://docs.google.com/spreadsheets/d/1jQ6P4QcrGM89YfqcC_PxOHGCMq5ezhucwJd8ci-NHng/edit?usp=sharing"",""ราชบุรี!I292"")"),0)</f>
        <v>0</v>
      </c>
      <c r="S67" s="92">
        <f ca="1">IFERROR(__xludf.DUMMYFUNCTION("IMPORTRANGE(""https://docs.google.com/spreadsheets/d/1jQ6P4QcrGM89YfqcC_PxOHGCMq5ezhucwJd8ci-NHng/edit?usp=sharing"",""ราชบุรี!J292"")"),0)</f>
        <v>0</v>
      </c>
      <c r="T67" s="93">
        <f t="shared" ca="1" si="31"/>
        <v>0</v>
      </c>
      <c r="U67" s="92">
        <f ca="1">IFERROR(__xludf.DUMMYFUNCTION("IMPORTRANGE(""https://docs.google.com/spreadsheets/d/1jQ6P4QcrGM89YfqcC_PxOHGCMq5ezhucwJd8ci-NHng/edit?usp=sharing"",""ราชบุรี!I293"")"),0)</f>
        <v>0</v>
      </c>
      <c r="V67" s="92">
        <f ca="1">IFERROR(__xludf.DUMMYFUNCTION("IMPORTRANGE(""https://docs.google.com/spreadsheets/d/1jQ6P4QcrGM89YfqcC_PxOHGCMq5ezhucwJd8ci-NHng/edit?usp=sharing"",""ราชบุรี!J293"")"),0)</f>
        <v>0</v>
      </c>
      <c r="W67" s="93">
        <f t="shared" ca="1" si="33"/>
        <v>0</v>
      </c>
      <c r="X67" s="92">
        <f ca="1">IFERROR(__xludf.DUMMYFUNCTION("IMPORTRANGE(""https://docs.google.com/spreadsheets/d/1jQ6P4QcrGM89YfqcC_PxOHGCMq5ezhucwJd8ci-NHng/edit?usp=sharing"",""ราชบุรี!I295"")"),0)</f>
        <v>0</v>
      </c>
      <c r="Y67" s="92">
        <f ca="1">IFERROR(__xludf.DUMMYFUNCTION("IMPORTRANGE(""https://docs.google.com/spreadsheets/d/1jQ6P4QcrGM89YfqcC_PxOHGCMq5ezhucwJd8ci-NHng/edit?usp=sharing"",""ราชบุรี!J295"")"),0)</f>
        <v>0</v>
      </c>
      <c r="Z67" s="93">
        <f t="shared" ca="1" si="35"/>
        <v>0</v>
      </c>
      <c r="AA67" s="311">
        <f ca="1">IFERROR(__xludf.DUMMYFUNCTION("IMPORTRANGE(""https://docs.google.com/spreadsheets/d/1jQ6P4QcrGM89YfqcC_PxOHGCMq5ezhucwJd8ci-NHng/edit?usp=sharing"",""ราชบุรี!J296"")"),0)</f>
        <v>0</v>
      </c>
      <c r="AB67" s="312">
        <f t="shared" ca="1" si="36"/>
        <v>0</v>
      </c>
    </row>
    <row r="68" spans="1:28" ht="24" customHeight="1" x14ac:dyDescent="0.3">
      <c r="A68" s="84">
        <v>16</v>
      </c>
      <c r="B68" s="85" t="s">
        <v>90</v>
      </c>
      <c r="C68" s="174">
        <f t="shared" ca="1" si="22"/>
        <v>0</v>
      </c>
      <c r="D68" s="175">
        <f t="shared" ca="1" si="47"/>
        <v>0</v>
      </c>
      <c r="E68" s="176">
        <f ca="1">IFERROR(__xludf.DUMMYFUNCTION("IMPORTRANGE(""https://docs.google.com/spreadsheets/d/1-uDff_7J0KD5mKrp0Vvzr7lt3OU09vwQwhkpOPPYv2Y/edit?usp=sharing"",""งบพรบ!DP68"")"),0)</f>
        <v>0</v>
      </c>
      <c r="F68" s="176">
        <f ca="1">IFERROR(__xludf.DUMMYFUNCTION("IMPORTRANGE(""https://docs.google.com/spreadsheets/d/1-uDff_7J0KD5mKrp0Vvzr7lt3OU09vwQwhkpOPPYv2Y/edit?usp=sharing"",""งบพรบ!DQ68"")"),0)</f>
        <v>0</v>
      </c>
      <c r="G68" s="176">
        <f ca="1">IFERROR(__xludf.DUMMYFUNCTION("IMPORTRANGE(""https://docs.google.com/spreadsheets/d/1-uDff_7J0KD5mKrp0Vvzr7lt3OU09vwQwhkpOPPYv2Y/edit?usp=sharing"",""งบพรบ!DR68"")"),0)</f>
        <v>0</v>
      </c>
      <c r="H68" s="176">
        <f ca="1">IFERROR(__xludf.DUMMYFUNCTION("IMPORTRANGE(""https://docs.google.com/spreadsheets/d/1-uDff_7J0KD5mKrp0Vvzr7lt3OU09vwQwhkpOPPYv2Y/edit?usp=sharing"",""งบพรบ!DT68"")"),0)</f>
        <v>0</v>
      </c>
      <c r="I68" s="176">
        <f ca="1">IFERROR(__xludf.DUMMYFUNCTION("IMPORTRANGE(""https://docs.google.com/spreadsheets/d/1-uDff_7J0KD5mKrp0Vvzr7lt3OU09vwQwhkpOPPYv2Y/edit?usp=sharing"",""งบพรบ!DU68"")"),0)</f>
        <v>0</v>
      </c>
      <c r="J68" s="176">
        <f t="shared" ca="1" si="24"/>
        <v>0</v>
      </c>
      <c r="K68" s="181">
        <f t="shared" ca="1" si="25"/>
        <v>0</v>
      </c>
      <c r="L68" s="176">
        <f ca="1">IFERROR(__xludf.DUMMYFUNCTION("IMPORTRANGE(""https://docs.google.com/spreadsheets/d/1-uDff_7J0KD5mKrp0Vvzr7lt3OU09vwQwhkpOPPYv2Y/edit?usp=sharing"",""งบพรบ!DV68"")"),0)</f>
        <v>0</v>
      </c>
      <c r="M68" s="179">
        <f t="shared" ca="1" si="26"/>
        <v>0</v>
      </c>
      <c r="N68" s="179">
        <f t="shared" ca="1" si="27"/>
        <v>0</v>
      </c>
      <c r="O68" s="180">
        <f ca="1">IFERROR(__xludf.DUMMYFUNCTION("IMPORTRANGE(""https://docs.google.com/spreadsheets/d/1-uDff_7J0KD5mKrp0Vvzr7lt3OU09vwQwhkpOPPYv2Y/edit?usp=sharing"",""งบพรบ!DW68"")"),0)</f>
        <v>0</v>
      </c>
      <c r="P68" s="180">
        <f t="shared" ca="1" si="28"/>
        <v>0</v>
      </c>
      <c r="Q68" s="179">
        <f t="shared" ca="1" si="29"/>
        <v>0</v>
      </c>
      <c r="R68" s="92">
        <f ca="1">IFERROR(__xludf.DUMMYFUNCTION("IMPORTRANGE(""https://docs.google.com/spreadsheets/d/1lufeA2cfFqM-elVq2hznhDzC6Pr7wkJ9ZG_sYNGCMCU/edit?usp=sharing"",""ลพบุรี!I292"")"),0)</f>
        <v>0</v>
      </c>
      <c r="S68" s="92">
        <f ca="1">IFERROR(__xludf.DUMMYFUNCTION("IMPORTRANGE(""https://docs.google.com/spreadsheets/d/1lufeA2cfFqM-elVq2hznhDzC6Pr7wkJ9ZG_sYNGCMCU/edit?usp=sharing"",""ลพบุรี!J292"")"),0)</f>
        <v>0</v>
      </c>
      <c r="T68" s="93">
        <f t="shared" ca="1" si="31"/>
        <v>0</v>
      </c>
      <c r="U68" s="92">
        <f ca="1">IFERROR(__xludf.DUMMYFUNCTION("IMPORTRANGE(""https://docs.google.com/spreadsheets/d/1lufeA2cfFqM-elVq2hznhDzC6Pr7wkJ9ZG_sYNGCMCU/edit?usp=sharing"",""ลพบุรี!I293"")"),0)</f>
        <v>0</v>
      </c>
      <c r="V68" s="92">
        <f ca="1">IFERROR(__xludf.DUMMYFUNCTION("IMPORTRANGE(""https://docs.google.com/spreadsheets/d/1lufeA2cfFqM-elVq2hznhDzC6Pr7wkJ9ZG_sYNGCMCU/edit?usp=sharing"",""ลพบุรี!J293"")"),0)</f>
        <v>0</v>
      </c>
      <c r="W68" s="93">
        <f t="shared" ca="1" si="33"/>
        <v>0</v>
      </c>
      <c r="X68" s="92">
        <f ca="1">IFERROR(__xludf.DUMMYFUNCTION("IMPORTRANGE(""https://docs.google.com/spreadsheets/d/1lufeA2cfFqM-elVq2hznhDzC6Pr7wkJ9ZG_sYNGCMCU/edit?usp=sharing"",""ลพบุรี!I295"")"),0)</f>
        <v>0</v>
      </c>
      <c r="Y68" s="92">
        <f ca="1">IFERROR(__xludf.DUMMYFUNCTION("IMPORTRANGE(""https://docs.google.com/spreadsheets/d/1lufeA2cfFqM-elVq2hznhDzC6Pr7wkJ9ZG_sYNGCMCU/edit?usp=sharing"",""ลพบุรี!J295"")"),0)</f>
        <v>0</v>
      </c>
      <c r="Z68" s="93">
        <f t="shared" ca="1" si="35"/>
        <v>0</v>
      </c>
      <c r="AA68" s="311">
        <f ca="1">IFERROR(__xludf.DUMMYFUNCTION("IMPORTRANGE(""https://docs.google.com/spreadsheets/d/1lufeA2cfFqM-elVq2hznhDzC6Pr7wkJ9ZG_sYNGCMCU/edit?usp=sharing"",""ลพบุรี!J296"")"),0)</f>
        <v>0</v>
      </c>
      <c r="AB68" s="312">
        <f t="shared" ca="1" si="36"/>
        <v>0</v>
      </c>
    </row>
    <row r="69" spans="1:28" ht="21" customHeight="1" x14ac:dyDescent="0.3">
      <c r="A69" s="84">
        <v>17</v>
      </c>
      <c r="B69" s="85" t="s">
        <v>91</v>
      </c>
      <c r="C69" s="174">
        <f t="shared" ca="1" si="22"/>
        <v>0</v>
      </c>
      <c r="D69" s="175">
        <f t="shared" ca="1" si="47"/>
        <v>0</v>
      </c>
      <c r="E69" s="176">
        <f ca="1">IFERROR(__xludf.DUMMYFUNCTION("IMPORTRANGE(""https://docs.google.com/spreadsheets/d/1-uDff_7J0KD5mKrp0Vvzr7lt3OU09vwQwhkpOPPYv2Y/edit?usp=sharing"",""งบพรบ!DP69"")"),0)</f>
        <v>0</v>
      </c>
      <c r="F69" s="176">
        <f ca="1">IFERROR(__xludf.DUMMYFUNCTION("IMPORTRANGE(""https://docs.google.com/spreadsheets/d/1-uDff_7J0KD5mKrp0Vvzr7lt3OU09vwQwhkpOPPYv2Y/edit?usp=sharing"",""งบพรบ!DQ69"")"),0)</f>
        <v>0</v>
      </c>
      <c r="G69" s="176">
        <f ca="1">IFERROR(__xludf.DUMMYFUNCTION("IMPORTRANGE(""https://docs.google.com/spreadsheets/d/1-uDff_7J0KD5mKrp0Vvzr7lt3OU09vwQwhkpOPPYv2Y/edit?usp=sharing"",""งบพรบ!DR69"")"),0)</f>
        <v>0</v>
      </c>
      <c r="H69" s="176">
        <f ca="1">IFERROR(__xludf.DUMMYFUNCTION("IMPORTRANGE(""https://docs.google.com/spreadsheets/d/1-uDff_7J0KD5mKrp0Vvzr7lt3OU09vwQwhkpOPPYv2Y/edit?usp=sharing"",""งบพรบ!DT69"")"),0)</f>
        <v>0</v>
      </c>
      <c r="I69" s="176">
        <f ca="1">IFERROR(__xludf.DUMMYFUNCTION("IMPORTRANGE(""https://docs.google.com/spreadsheets/d/1-uDff_7J0KD5mKrp0Vvzr7lt3OU09vwQwhkpOPPYv2Y/edit?usp=sharing"",""งบพรบ!DU69"")"),0)</f>
        <v>0</v>
      </c>
      <c r="J69" s="176">
        <f t="shared" ca="1" si="24"/>
        <v>0</v>
      </c>
      <c r="K69" s="181">
        <f t="shared" ca="1" si="25"/>
        <v>0</v>
      </c>
      <c r="L69" s="176">
        <f ca="1">IFERROR(__xludf.DUMMYFUNCTION("IMPORTRANGE(""https://docs.google.com/spreadsheets/d/1-uDff_7J0KD5mKrp0Vvzr7lt3OU09vwQwhkpOPPYv2Y/edit?usp=sharing"",""งบพรบ!DV69"")"),0)</f>
        <v>0</v>
      </c>
      <c r="M69" s="179">
        <f t="shared" ca="1" si="26"/>
        <v>0</v>
      </c>
      <c r="N69" s="179">
        <f t="shared" ca="1" si="27"/>
        <v>0</v>
      </c>
      <c r="O69" s="180">
        <f ca="1">IFERROR(__xludf.DUMMYFUNCTION("IMPORTRANGE(""https://docs.google.com/spreadsheets/d/1-uDff_7J0KD5mKrp0Vvzr7lt3OU09vwQwhkpOPPYv2Y/edit?usp=sharing"",""งบพรบ!DW69"")"),0)</f>
        <v>0</v>
      </c>
      <c r="P69" s="180">
        <f t="shared" ca="1" si="28"/>
        <v>0</v>
      </c>
      <c r="Q69" s="179">
        <f t="shared" ca="1" si="29"/>
        <v>0</v>
      </c>
      <c r="R69" s="92">
        <f ca="1">IFERROR(__xludf.DUMMYFUNCTION("IMPORTRANGE(""https://docs.google.com/spreadsheets/d/10oOiF7loTyfsTkbd4MpaIm0HQ9SwB7IYHdIUvt-U1Uc/edit?usp=sharing"",""สระแก้ว!I292"")"),0)</f>
        <v>0</v>
      </c>
      <c r="S69" s="92">
        <f ca="1">IFERROR(__xludf.DUMMYFUNCTION("IMPORTRANGE(""https://docs.google.com/spreadsheets/d/10oOiF7loTyfsTkbd4MpaIm0HQ9SwB7IYHdIUvt-U1Uc/edit?usp=sharing"",""สระแก้ว!J292"")"),0)</f>
        <v>0</v>
      </c>
      <c r="T69" s="93">
        <f t="shared" ca="1" si="31"/>
        <v>0</v>
      </c>
      <c r="U69" s="92">
        <f ca="1">IFERROR(__xludf.DUMMYFUNCTION("IMPORTRANGE(""https://docs.google.com/spreadsheets/d/10oOiF7loTyfsTkbd4MpaIm0HQ9SwB7IYHdIUvt-U1Uc/edit?usp=sharing"",""สระแก้ว!I293"")"),0)</f>
        <v>0</v>
      </c>
      <c r="V69" s="92">
        <f ca="1">IFERROR(__xludf.DUMMYFUNCTION("IMPORTRANGE(""https://docs.google.com/spreadsheets/d/10oOiF7loTyfsTkbd4MpaIm0HQ9SwB7IYHdIUvt-U1Uc/edit?usp=sharing"",""สระแก้ว!J293"")"),0)</f>
        <v>0</v>
      </c>
      <c r="W69" s="93">
        <f t="shared" ca="1" si="33"/>
        <v>0</v>
      </c>
      <c r="X69" s="92">
        <f ca="1">IFERROR(__xludf.DUMMYFUNCTION("IMPORTRANGE(""https://docs.google.com/spreadsheets/d/10oOiF7loTyfsTkbd4MpaIm0HQ9SwB7IYHdIUvt-U1Uc/edit?usp=sharing"",""สระแก้ว!I295"")"),0)</f>
        <v>0</v>
      </c>
      <c r="Y69" s="92">
        <f ca="1">IFERROR(__xludf.DUMMYFUNCTION("IMPORTRANGE(""https://docs.google.com/spreadsheets/d/10oOiF7loTyfsTkbd4MpaIm0HQ9SwB7IYHdIUvt-U1Uc/edit?usp=sharing"",""สระแก้ว!J295"")"),0)</f>
        <v>0</v>
      </c>
      <c r="Z69" s="93">
        <f t="shared" ca="1" si="35"/>
        <v>0</v>
      </c>
      <c r="AA69" s="311">
        <f ca="1">IFERROR(__xludf.DUMMYFUNCTION("IMPORTRANGE(""https://docs.google.com/spreadsheets/d/10oOiF7loTyfsTkbd4MpaIm0HQ9SwB7IYHdIUvt-U1Uc/edit?usp=sharing"",""สระแก้ว!J296"")"),0)</f>
        <v>0</v>
      </c>
      <c r="AB69" s="312">
        <f t="shared" ca="1" si="36"/>
        <v>0</v>
      </c>
    </row>
    <row r="70" spans="1:28" ht="21" customHeight="1" x14ac:dyDescent="0.3">
      <c r="A70" s="84">
        <v>18</v>
      </c>
      <c r="B70" s="85" t="s">
        <v>92</v>
      </c>
      <c r="C70" s="174">
        <f t="shared" ca="1" si="22"/>
        <v>0</v>
      </c>
      <c r="D70" s="175">
        <f t="shared" ca="1" si="47"/>
        <v>0</v>
      </c>
      <c r="E70" s="176">
        <f ca="1">IFERROR(__xludf.DUMMYFUNCTION("IMPORTRANGE(""https://docs.google.com/spreadsheets/d/1-uDff_7J0KD5mKrp0Vvzr7lt3OU09vwQwhkpOPPYv2Y/edit?usp=sharing"",""งบพรบ!DP70"")"),0)</f>
        <v>0</v>
      </c>
      <c r="F70" s="176">
        <f ca="1">IFERROR(__xludf.DUMMYFUNCTION("IMPORTRANGE(""https://docs.google.com/spreadsheets/d/1-uDff_7J0KD5mKrp0Vvzr7lt3OU09vwQwhkpOPPYv2Y/edit?usp=sharing"",""งบพรบ!DQ70"")"),0)</f>
        <v>0</v>
      </c>
      <c r="G70" s="176">
        <f ca="1">IFERROR(__xludf.DUMMYFUNCTION("IMPORTRANGE(""https://docs.google.com/spreadsheets/d/1-uDff_7J0KD5mKrp0Vvzr7lt3OU09vwQwhkpOPPYv2Y/edit?usp=sharing"",""งบพรบ!DR70"")"),0)</f>
        <v>0</v>
      </c>
      <c r="H70" s="176">
        <f ca="1">IFERROR(__xludf.DUMMYFUNCTION("IMPORTRANGE(""https://docs.google.com/spreadsheets/d/1-uDff_7J0KD5mKrp0Vvzr7lt3OU09vwQwhkpOPPYv2Y/edit?usp=sharing"",""งบพรบ!DT70"")"),0)</f>
        <v>0</v>
      </c>
      <c r="I70" s="176">
        <f ca="1">IFERROR(__xludf.DUMMYFUNCTION("IMPORTRANGE(""https://docs.google.com/spreadsheets/d/1-uDff_7J0KD5mKrp0Vvzr7lt3OU09vwQwhkpOPPYv2Y/edit?usp=sharing"",""งบพรบ!DU70"")"),0)</f>
        <v>0</v>
      </c>
      <c r="J70" s="176">
        <f t="shared" ca="1" si="24"/>
        <v>0</v>
      </c>
      <c r="K70" s="181">
        <f t="shared" ca="1" si="25"/>
        <v>0</v>
      </c>
      <c r="L70" s="176">
        <f ca="1">IFERROR(__xludf.DUMMYFUNCTION("IMPORTRANGE(""https://docs.google.com/spreadsheets/d/1-uDff_7J0KD5mKrp0Vvzr7lt3OU09vwQwhkpOPPYv2Y/edit?usp=sharing"",""งบพรบ!DV70"")"),0)</f>
        <v>0</v>
      </c>
      <c r="M70" s="179">
        <f t="shared" ca="1" si="26"/>
        <v>0</v>
      </c>
      <c r="N70" s="179">
        <f t="shared" ca="1" si="27"/>
        <v>0</v>
      </c>
      <c r="O70" s="180">
        <f ca="1">IFERROR(__xludf.DUMMYFUNCTION("IMPORTRANGE(""https://docs.google.com/spreadsheets/d/1-uDff_7J0KD5mKrp0Vvzr7lt3OU09vwQwhkpOPPYv2Y/edit?usp=sharing"",""งบพรบ!DW70"")"),0)</f>
        <v>0</v>
      </c>
      <c r="P70" s="180">
        <f t="shared" ca="1" si="28"/>
        <v>0</v>
      </c>
      <c r="Q70" s="179">
        <f t="shared" ca="1" si="29"/>
        <v>0</v>
      </c>
      <c r="R70" s="92">
        <f ca="1">IFERROR(__xludf.DUMMYFUNCTION("IMPORTRANGE(""https://docs.google.com/spreadsheets/d/1xmPlrr1QbdSIKvl1dWUl9K4PjAfSL9oeMr_37QVzcxc/edit?usp=sharing"",""สระบุรี!I292"")"),0)</f>
        <v>0</v>
      </c>
      <c r="S70" s="92">
        <f ca="1">IFERROR(__xludf.DUMMYFUNCTION("IMPORTRANGE(""https://docs.google.com/spreadsheets/d/1xmPlrr1QbdSIKvl1dWUl9K4PjAfSL9oeMr_37QVzcxc/edit?usp=sharing"",""สระบุรี!J292"")"),0)</f>
        <v>0</v>
      </c>
      <c r="T70" s="93">
        <f t="shared" ca="1" si="31"/>
        <v>0</v>
      </c>
      <c r="U70" s="92">
        <f ca="1">IFERROR(__xludf.DUMMYFUNCTION("IMPORTRANGE(""https://docs.google.com/spreadsheets/d/1xmPlrr1QbdSIKvl1dWUl9K4PjAfSL9oeMr_37QVzcxc/edit?usp=sharing"",""สระบุรี!I293"")"),0)</f>
        <v>0</v>
      </c>
      <c r="V70" s="92">
        <f ca="1">IFERROR(__xludf.DUMMYFUNCTION("IMPORTRANGE(""https://docs.google.com/spreadsheets/d/1xmPlrr1QbdSIKvl1dWUl9K4PjAfSL9oeMr_37QVzcxc/edit?usp=sharing"",""สระบุรี!J293"")"),0)</f>
        <v>0</v>
      </c>
      <c r="W70" s="93">
        <f t="shared" ca="1" si="33"/>
        <v>0</v>
      </c>
      <c r="X70" s="92">
        <f ca="1">IFERROR(__xludf.DUMMYFUNCTION("IMPORTRANGE(""https://docs.google.com/spreadsheets/d/1xmPlrr1QbdSIKvl1dWUl9K4PjAfSL9oeMr_37QVzcxc/edit?usp=sharing"",""สระบุรี!I295"")"),0)</f>
        <v>0</v>
      </c>
      <c r="Y70" s="92">
        <f ca="1">IFERROR(__xludf.DUMMYFUNCTION("IMPORTRANGE(""https://docs.google.com/spreadsheets/d/1xmPlrr1QbdSIKvl1dWUl9K4PjAfSL9oeMr_37QVzcxc/edit?usp=sharing"",""สระบุรี!J295"")"),0)</f>
        <v>0</v>
      </c>
      <c r="Z70" s="93">
        <f t="shared" ca="1" si="35"/>
        <v>0</v>
      </c>
      <c r="AA70" s="311">
        <f ca="1">IFERROR(__xludf.DUMMYFUNCTION("IMPORTRANGE(""https://docs.google.com/spreadsheets/d/1xmPlrr1QbdSIKvl1dWUl9K4PjAfSL9oeMr_37QVzcxc/edit?usp=sharing"",""สระบุรี!J296"")"),0)</f>
        <v>0</v>
      </c>
      <c r="AB70" s="312">
        <f t="shared" ca="1" si="36"/>
        <v>0</v>
      </c>
    </row>
    <row r="71" spans="1:28" ht="21" customHeight="1" x14ac:dyDescent="0.3">
      <c r="A71" s="84">
        <v>19</v>
      </c>
      <c r="B71" s="85" t="s">
        <v>93</v>
      </c>
      <c r="C71" s="174">
        <f t="shared" ca="1" si="22"/>
        <v>0</v>
      </c>
      <c r="D71" s="175">
        <f t="shared" ca="1" si="47"/>
        <v>0</v>
      </c>
      <c r="E71" s="176">
        <f ca="1">IFERROR(__xludf.DUMMYFUNCTION("IMPORTRANGE(""https://docs.google.com/spreadsheets/d/1-uDff_7J0KD5mKrp0Vvzr7lt3OU09vwQwhkpOPPYv2Y/edit?usp=sharing"",""งบพรบ!DP71"")"),0)</f>
        <v>0</v>
      </c>
      <c r="F71" s="176">
        <f ca="1">IFERROR(__xludf.DUMMYFUNCTION("IMPORTRANGE(""https://docs.google.com/spreadsheets/d/1-uDff_7J0KD5mKrp0Vvzr7lt3OU09vwQwhkpOPPYv2Y/edit?usp=sharing"",""งบพรบ!DQ71"")"),0)</f>
        <v>0</v>
      </c>
      <c r="G71" s="176">
        <f ca="1">IFERROR(__xludf.DUMMYFUNCTION("IMPORTRANGE(""https://docs.google.com/spreadsheets/d/1-uDff_7J0KD5mKrp0Vvzr7lt3OU09vwQwhkpOPPYv2Y/edit?usp=sharing"",""งบพรบ!DR71"")"),0)</f>
        <v>0</v>
      </c>
      <c r="H71" s="176">
        <f ca="1">IFERROR(__xludf.DUMMYFUNCTION("IMPORTRANGE(""https://docs.google.com/spreadsheets/d/1-uDff_7J0KD5mKrp0Vvzr7lt3OU09vwQwhkpOPPYv2Y/edit?usp=sharing"",""งบพรบ!DT71"")"),0)</f>
        <v>0</v>
      </c>
      <c r="I71" s="176">
        <f ca="1">IFERROR(__xludf.DUMMYFUNCTION("IMPORTRANGE(""https://docs.google.com/spreadsheets/d/1-uDff_7J0KD5mKrp0Vvzr7lt3OU09vwQwhkpOPPYv2Y/edit?usp=sharing"",""งบพรบ!DU71"")"),0)</f>
        <v>0</v>
      </c>
      <c r="J71" s="176">
        <f t="shared" ca="1" si="24"/>
        <v>0</v>
      </c>
      <c r="K71" s="181">
        <f t="shared" ca="1" si="25"/>
        <v>0</v>
      </c>
      <c r="L71" s="176">
        <f ca="1">IFERROR(__xludf.DUMMYFUNCTION("IMPORTRANGE(""https://docs.google.com/spreadsheets/d/1-uDff_7J0KD5mKrp0Vvzr7lt3OU09vwQwhkpOPPYv2Y/edit?usp=sharing"",""งบพรบ!DV71"")"),0)</f>
        <v>0</v>
      </c>
      <c r="M71" s="179">
        <f t="shared" ca="1" si="26"/>
        <v>0</v>
      </c>
      <c r="N71" s="179">
        <f t="shared" ca="1" si="27"/>
        <v>0</v>
      </c>
      <c r="O71" s="180">
        <f ca="1">IFERROR(__xludf.DUMMYFUNCTION("IMPORTRANGE(""https://docs.google.com/spreadsheets/d/1-uDff_7J0KD5mKrp0Vvzr7lt3OU09vwQwhkpOPPYv2Y/edit?usp=sharing"",""งบพรบ!DW71"")"),0)</f>
        <v>0</v>
      </c>
      <c r="P71" s="180">
        <f t="shared" ca="1" si="28"/>
        <v>0</v>
      </c>
      <c r="Q71" s="179">
        <f t="shared" ca="1" si="29"/>
        <v>0</v>
      </c>
      <c r="R71" s="92">
        <f ca="1">IFERROR(__xludf.DUMMYFUNCTION("IMPORTRANGE(""https://docs.google.com/spreadsheets/d/1j51vR6CYVGhABJpv6tkstgok82RLpXieLzW1yOY5rHw/edit?usp=sharing"",""สิงห์บุรี!I292"")"),0)</f>
        <v>0</v>
      </c>
      <c r="S71" s="92">
        <f ca="1">IFERROR(__xludf.DUMMYFUNCTION("IMPORTRANGE(""https://docs.google.com/spreadsheets/d/1j51vR6CYVGhABJpv6tkstgok82RLpXieLzW1yOY5rHw/edit?usp=sharing"",""สิงห์บุรี!J292"")"),0)</f>
        <v>0</v>
      </c>
      <c r="T71" s="93">
        <f t="shared" ca="1" si="31"/>
        <v>0</v>
      </c>
      <c r="U71" s="92">
        <f ca="1">IFERROR(__xludf.DUMMYFUNCTION("IMPORTRANGE(""https://docs.google.com/spreadsheets/d/1j51vR6CYVGhABJpv6tkstgok82RLpXieLzW1yOY5rHw/edit?usp=sharing"",""สิงห์บุรี!I293"")"),0)</f>
        <v>0</v>
      </c>
      <c r="V71" s="92">
        <f ca="1">IFERROR(__xludf.DUMMYFUNCTION("IMPORTRANGE(""https://docs.google.com/spreadsheets/d/1j51vR6CYVGhABJpv6tkstgok82RLpXieLzW1yOY5rHw/edit?usp=sharing"",""สิงห์บุรี!J293"")"),0)</f>
        <v>0</v>
      </c>
      <c r="W71" s="93">
        <f t="shared" ca="1" si="33"/>
        <v>0</v>
      </c>
      <c r="X71" s="92">
        <f ca="1">IFERROR(__xludf.DUMMYFUNCTION("IMPORTRANGE(""https://docs.google.com/spreadsheets/d/1j51vR6CYVGhABJpv6tkstgok82RLpXieLzW1yOY5rHw/edit?usp=sharing"",""สิงห์บุรี!I295"")"),0)</f>
        <v>0</v>
      </c>
      <c r="Y71" s="92">
        <f ca="1">IFERROR(__xludf.DUMMYFUNCTION("IMPORTRANGE(""https://docs.google.com/spreadsheets/d/1j51vR6CYVGhABJpv6tkstgok82RLpXieLzW1yOY5rHw/edit?usp=sharing"",""สิงห์บุรี!J295"")"),0)</f>
        <v>0</v>
      </c>
      <c r="Z71" s="93">
        <f t="shared" ca="1" si="35"/>
        <v>0</v>
      </c>
      <c r="AA71" s="311">
        <f ca="1">IFERROR(__xludf.DUMMYFUNCTION("IMPORTRANGE(""https://docs.google.com/spreadsheets/d/1j51vR6CYVGhABJpv6tkstgok82RLpXieLzW1yOY5rHw/edit?usp=sharing"",""สิงห์บุรี!J296"")"),0)</f>
        <v>0</v>
      </c>
      <c r="AB71" s="312">
        <f t="shared" ca="1" si="36"/>
        <v>0</v>
      </c>
    </row>
    <row r="72" spans="1:28" ht="21" customHeight="1" x14ac:dyDescent="0.3">
      <c r="A72" s="84">
        <v>20</v>
      </c>
      <c r="B72" s="85" t="s">
        <v>94</v>
      </c>
      <c r="C72" s="174">
        <f t="shared" ca="1" si="22"/>
        <v>137720</v>
      </c>
      <c r="D72" s="175">
        <f t="shared" ca="1" si="47"/>
        <v>137720</v>
      </c>
      <c r="E72" s="176">
        <f ca="1">IFERROR(__xludf.DUMMYFUNCTION("IMPORTRANGE(""https://docs.google.com/spreadsheets/d/1-uDff_7J0KD5mKrp0Vvzr7lt3OU09vwQwhkpOPPYv2Y/edit?usp=sharing"",""งบพรบ!DP72"")"),81600)</f>
        <v>81600</v>
      </c>
      <c r="F72" s="176">
        <f ca="1">IFERROR(__xludf.DUMMYFUNCTION("IMPORTRANGE(""https://docs.google.com/spreadsheets/d/1-uDff_7J0KD5mKrp0Vvzr7lt3OU09vwQwhkpOPPYv2Y/edit?usp=sharing"",""งบพรบ!DQ72"")"),56120)</f>
        <v>56120</v>
      </c>
      <c r="G72" s="176">
        <f ca="1">IFERROR(__xludf.DUMMYFUNCTION("IMPORTRANGE(""https://docs.google.com/spreadsheets/d/1-uDff_7J0KD5mKrp0Vvzr7lt3OU09vwQwhkpOPPYv2Y/edit?usp=sharing"",""งบพรบ!DR72"")"),0)</f>
        <v>0</v>
      </c>
      <c r="H72" s="176">
        <f ca="1">IFERROR(__xludf.DUMMYFUNCTION("IMPORTRANGE(""https://docs.google.com/spreadsheets/d/1-uDff_7J0KD5mKrp0Vvzr7lt3OU09vwQwhkpOPPYv2Y/edit?usp=sharing"",""งบพรบ!DT72"")"),102980)</f>
        <v>102980</v>
      </c>
      <c r="I72" s="176">
        <f ca="1">IFERROR(__xludf.DUMMYFUNCTION("IMPORTRANGE(""https://docs.google.com/spreadsheets/d/1-uDff_7J0KD5mKrp0Vvzr7lt3OU09vwQwhkpOPPYv2Y/edit?usp=sharing"",""งบพรบ!DU72"")"),0)</f>
        <v>0</v>
      </c>
      <c r="J72" s="176">
        <f t="shared" ca="1" si="24"/>
        <v>33500</v>
      </c>
      <c r="K72" s="181">
        <f t="shared" ca="1" si="25"/>
        <v>24.324716816729595</v>
      </c>
      <c r="L72" s="176">
        <f ca="1">IFERROR(__xludf.DUMMYFUNCTION("IMPORTRANGE(""https://docs.google.com/spreadsheets/d/1-uDff_7J0KD5mKrp0Vvzr7lt3OU09vwQwhkpOPPYv2Y/edit?usp=sharing"",""งบพรบ!DV72"")"),33500)</f>
        <v>33500</v>
      </c>
      <c r="M72" s="179">
        <f t="shared" ca="1" si="26"/>
        <v>24.324716816729595</v>
      </c>
      <c r="N72" s="179">
        <f t="shared" ca="1" si="27"/>
        <v>32.530588463779374</v>
      </c>
      <c r="O72" s="180">
        <f ca="1">IFERROR(__xludf.DUMMYFUNCTION("IMPORTRANGE(""https://docs.google.com/spreadsheets/d/1-uDff_7J0KD5mKrp0Vvzr7lt3OU09vwQwhkpOPPYv2Y/edit?usp=sharing"",""งบพรบ!DW72"")"),0)</f>
        <v>0</v>
      </c>
      <c r="P72" s="180">
        <f t="shared" ca="1" si="28"/>
        <v>0</v>
      </c>
      <c r="Q72" s="179">
        <f t="shared" ca="1" si="29"/>
        <v>0</v>
      </c>
      <c r="R72" s="92">
        <f ca="1">IFERROR(__xludf.DUMMYFUNCTION("IMPORTRANGE(""https://docs.google.com/spreadsheets/d/1H1EalTWKUSzO4Z1-1CwzoDUaVffgrThEBe2sl74kKG0/edit?usp=sharing"",""สุพรรณบุรี!I292"")"),100)</f>
        <v>100</v>
      </c>
      <c r="S72" s="92">
        <f ca="1">IFERROR(__xludf.DUMMYFUNCTION("IMPORTRANGE(""https://docs.google.com/spreadsheets/d/1H1EalTWKUSzO4Z1-1CwzoDUaVffgrThEBe2sl74kKG0/edit?usp=sharing"",""สุพรรณบุรี!J292"")"),0)</f>
        <v>0</v>
      </c>
      <c r="T72" s="93">
        <f t="shared" ca="1" si="31"/>
        <v>0</v>
      </c>
      <c r="U72" s="92">
        <f ca="1">IFERROR(__xludf.DUMMYFUNCTION("IMPORTRANGE(""https://docs.google.com/spreadsheets/d/1H1EalTWKUSzO4Z1-1CwzoDUaVffgrThEBe2sl74kKG0/edit?usp=sharing"",""สุพรรณบุรี!I293"")"),10)</f>
        <v>10</v>
      </c>
      <c r="V72" s="92">
        <f ca="1">IFERROR(__xludf.DUMMYFUNCTION("IMPORTRANGE(""https://docs.google.com/spreadsheets/d/1H1EalTWKUSzO4Z1-1CwzoDUaVffgrThEBe2sl74kKG0/edit?usp=sharing"",""สุพรรณบุรี!J293"")"),0)</f>
        <v>0</v>
      </c>
      <c r="W72" s="93">
        <f t="shared" ca="1" si="33"/>
        <v>0</v>
      </c>
      <c r="X72" s="92">
        <f ca="1">IFERROR(__xludf.DUMMYFUNCTION("IMPORTRANGE(""https://docs.google.com/spreadsheets/d/1H1EalTWKUSzO4Z1-1CwzoDUaVffgrThEBe2sl74kKG0/edit?usp=sharing"",""สุพรรณบุรี!I295"")"),10)</f>
        <v>10</v>
      </c>
      <c r="Y72" s="92">
        <f ca="1">IFERROR(__xludf.DUMMYFUNCTION("IMPORTRANGE(""https://docs.google.com/spreadsheets/d/1H1EalTWKUSzO4Z1-1CwzoDUaVffgrThEBe2sl74kKG0/edit?usp=sharing"",""สุพรรณบุรี!J295"")"),0)</f>
        <v>0</v>
      </c>
      <c r="Z72" s="93">
        <f t="shared" ca="1" si="35"/>
        <v>0</v>
      </c>
      <c r="AA72" s="311">
        <f ca="1">IFERROR(__xludf.DUMMYFUNCTION("IMPORTRANGE(""https://docs.google.com/spreadsheets/d/1H1EalTWKUSzO4Z1-1CwzoDUaVffgrThEBe2sl74kKG0/edit?usp=sharing"",""สุพรรณบุรี!J296"")"),0)</f>
        <v>0</v>
      </c>
      <c r="AB72" s="312">
        <f t="shared" ca="1" si="36"/>
        <v>0</v>
      </c>
    </row>
    <row r="73" spans="1:28" ht="21" customHeight="1" x14ac:dyDescent="0.3">
      <c r="A73" s="95">
        <v>21</v>
      </c>
      <c r="B73" s="96" t="s">
        <v>95</v>
      </c>
      <c r="C73" s="184">
        <f t="shared" ca="1" si="22"/>
        <v>0</v>
      </c>
      <c r="D73" s="185">
        <f t="shared" ca="1" si="47"/>
        <v>0</v>
      </c>
      <c r="E73" s="186">
        <f ca="1">IFERROR(__xludf.DUMMYFUNCTION("IMPORTRANGE(""https://docs.google.com/spreadsheets/d/1-uDff_7J0KD5mKrp0Vvzr7lt3OU09vwQwhkpOPPYv2Y/edit?usp=sharing"",""งบพรบ!DP73"")"),0)</f>
        <v>0</v>
      </c>
      <c r="F73" s="186">
        <f ca="1">IFERROR(__xludf.DUMMYFUNCTION("IMPORTRANGE(""https://docs.google.com/spreadsheets/d/1-uDff_7J0KD5mKrp0Vvzr7lt3OU09vwQwhkpOPPYv2Y/edit?usp=sharing"",""งบพรบ!DQ73"")"),0)</f>
        <v>0</v>
      </c>
      <c r="G73" s="186">
        <f ca="1">IFERROR(__xludf.DUMMYFUNCTION("IMPORTRANGE(""https://docs.google.com/spreadsheets/d/1-uDff_7J0KD5mKrp0Vvzr7lt3OU09vwQwhkpOPPYv2Y/edit?usp=sharing"",""งบพรบ!DR73"")"),0)</f>
        <v>0</v>
      </c>
      <c r="H73" s="186">
        <f ca="1">IFERROR(__xludf.DUMMYFUNCTION("IMPORTRANGE(""https://docs.google.com/spreadsheets/d/1-uDff_7J0KD5mKrp0Vvzr7lt3OU09vwQwhkpOPPYv2Y/edit?usp=sharing"",""งบพรบ!DT73"")"),0)</f>
        <v>0</v>
      </c>
      <c r="I73" s="186">
        <f ca="1">IFERROR(__xludf.DUMMYFUNCTION("IMPORTRANGE(""https://docs.google.com/spreadsheets/d/1-uDff_7J0KD5mKrp0Vvzr7lt3OU09vwQwhkpOPPYv2Y/edit?usp=sharing"",""งบพรบ!DU73"")"),0)</f>
        <v>0</v>
      </c>
      <c r="J73" s="186">
        <f t="shared" ca="1" si="24"/>
        <v>0</v>
      </c>
      <c r="K73" s="187">
        <f t="shared" ca="1" si="25"/>
        <v>0</v>
      </c>
      <c r="L73" s="186">
        <f ca="1">IFERROR(__xludf.DUMMYFUNCTION("IMPORTRANGE(""https://docs.google.com/spreadsheets/d/1-uDff_7J0KD5mKrp0Vvzr7lt3OU09vwQwhkpOPPYv2Y/edit?usp=sharing"",""งบพรบ!DV73"")"),0)</f>
        <v>0</v>
      </c>
      <c r="M73" s="188">
        <f t="shared" ca="1" si="26"/>
        <v>0</v>
      </c>
      <c r="N73" s="188">
        <f t="shared" ca="1" si="27"/>
        <v>0</v>
      </c>
      <c r="O73" s="189">
        <f ca="1">IFERROR(__xludf.DUMMYFUNCTION("IMPORTRANGE(""https://docs.google.com/spreadsheets/d/1-uDff_7J0KD5mKrp0Vvzr7lt3OU09vwQwhkpOPPYv2Y/edit?usp=sharing"",""งบพรบ!DW73"")"),0)</f>
        <v>0</v>
      </c>
      <c r="P73" s="189">
        <f t="shared" ca="1" si="28"/>
        <v>0</v>
      </c>
      <c r="Q73" s="188">
        <f t="shared" ca="1" si="29"/>
        <v>0</v>
      </c>
      <c r="R73" s="103">
        <f ca="1">IFERROR(__xludf.DUMMYFUNCTION("IMPORTRANGE(""https://docs.google.com/spreadsheets/d/1BmIruG_sIrJLYao_Pdr7zVArWsfoBt2692TMi6x_854/edit?usp=sharing"",""อ่างทอง!I292"")"),0)</f>
        <v>0</v>
      </c>
      <c r="S73" s="103">
        <f ca="1">IFERROR(__xludf.DUMMYFUNCTION("IMPORTRANGE(""https://docs.google.com/spreadsheets/d/1BmIruG_sIrJLYao_Pdr7zVArWsfoBt2692TMi6x_854/edit?usp=sharing"",""อ่างทอง!J292"")"),0)</f>
        <v>0</v>
      </c>
      <c r="T73" s="104">
        <f t="shared" ca="1" si="31"/>
        <v>0</v>
      </c>
      <c r="U73" s="103">
        <f ca="1">IFERROR(__xludf.DUMMYFUNCTION("IMPORTRANGE(""https://docs.google.com/spreadsheets/d/1BmIruG_sIrJLYao_Pdr7zVArWsfoBt2692TMi6x_854/edit?usp=sharing"",""อ่างทอง!I293"")"),0)</f>
        <v>0</v>
      </c>
      <c r="V73" s="103">
        <f ca="1">IFERROR(__xludf.DUMMYFUNCTION("IMPORTRANGE(""https://docs.google.com/spreadsheets/d/1BmIruG_sIrJLYao_Pdr7zVArWsfoBt2692TMi6x_854/edit?usp=sharing"",""อ่างทอง!J293"")"),0)</f>
        <v>0</v>
      </c>
      <c r="W73" s="104">
        <f t="shared" ca="1" si="33"/>
        <v>0</v>
      </c>
      <c r="X73" s="103">
        <f ca="1">IFERROR(__xludf.DUMMYFUNCTION("IMPORTRANGE(""https://docs.google.com/spreadsheets/d/1BmIruG_sIrJLYao_Pdr7zVArWsfoBt2692TMi6x_854/edit?usp=sharing"",""อ่างทอง!I295"")"),0)</f>
        <v>0</v>
      </c>
      <c r="Y73" s="103">
        <f ca="1">IFERROR(__xludf.DUMMYFUNCTION("IMPORTRANGE(""https://docs.google.com/spreadsheets/d/1BmIruG_sIrJLYao_Pdr7zVArWsfoBt2692TMi6x_854/edit?usp=sharing"",""อ่างทอง!J295"")"),0)</f>
        <v>0</v>
      </c>
      <c r="Z73" s="104">
        <f t="shared" ca="1" si="35"/>
        <v>0</v>
      </c>
      <c r="AA73" s="313">
        <f ca="1">IFERROR(__xludf.DUMMYFUNCTION("IMPORTRANGE(""https://docs.google.com/spreadsheets/d/1BmIruG_sIrJLYao_Pdr7zVArWsfoBt2692TMi6x_854/edit?usp=sharing"",""อ่างทอง!J296"")"),0)</f>
        <v>0</v>
      </c>
      <c r="AB73" s="314">
        <f t="shared" ca="1" si="36"/>
        <v>0</v>
      </c>
    </row>
    <row r="74" spans="1:28" ht="21" customHeight="1" x14ac:dyDescent="0.3">
      <c r="A74" s="394" t="s">
        <v>96</v>
      </c>
      <c r="B74" s="374"/>
      <c r="C74" s="154">
        <f t="shared" ca="1" si="22"/>
        <v>292520</v>
      </c>
      <c r="D74" s="154">
        <f t="shared" ref="D74:I74" ca="1" si="48">SUM(D75:D88)</f>
        <v>292520</v>
      </c>
      <c r="E74" s="154">
        <f t="shared" ca="1" si="48"/>
        <v>236400</v>
      </c>
      <c r="F74" s="154">
        <f t="shared" ca="1" si="48"/>
        <v>56120</v>
      </c>
      <c r="G74" s="154">
        <f t="shared" ca="1" si="48"/>
        <v>0</v>
      </c>
      <c r="H74" s="154">
        <f t="shared" ca="1" si="48"/>
        <v>213480</v>
      </c>
      <c r="I74" s="154">
        <f t="shared" ca="1" si="48"/>
        <v>0</v>
      </c>
      <c r="J74" s="154">
        <f t="shared" ca="1" si="24"/>
        <v>78718.850000000006</v>
      </c>
      <c r="K74" s="155">
        <f t="shared" ca="1" si="25"/>
        <v>26.910587310269385</v>
      </c>
      <c r="L74" s="154">
        <f ca="1">SUM(L75:L88)</f>
        <v>78718.850000000006</v>
      </c>
      <c r="M74" s="156">
        <f t="shared" ca="1" si="26"/>
        <v>26.910587310269385</v>
      </c>
      <c r="N74" s="156">
        <f t="shared" ca="1" si="27"/>
        <v>36.874109986884022</v>
      </c>
      <c r="O74" s="157">
        <f ca="1">SUM(O75:O88)</f>
        <v>0</v>
      </c>
      <c r="P74" s="157">
        <f t="shared" ca="1" si="28"/>
        <v>0</v>
      </c>
      <c r="Q74" s="156">
        <f t="shared" ca="1" si="29"/>
        <v>0</v>
      </c>
      <c r="R74" s="68">
        <f t="shared" ref="R74:S74" ca="1" si="49">SUM(R75:R88)</f>
        <v>100</v>
      </c>
      <c r="S74" s="68">
        <f t="shared" ca="1" si="49"/>
        <v>0</v>
      </c>
      <c r="T74" s="107">
        <f t="shared" ca="1" si="31"/>
        <v>0</v>
      </c>
      <c r="U74" s="68">
        <f t="shared" ref="U74:V74" ca="1" si="50">SUM(U75:U88)</f>
        <v>10</v>
      </c>
      <c r="V74" s="68">
        <f t="shared" ca="1" si="50"/>
        <v>0</v>
      </c>
      <c r="W74" s="107">
        <f t="shared" ca="1" si="33"/>
        <v>0</v>
      </c>
      <c r="X74" s="68">
        <f t="shared" ref="X74:Y74" ca="1" si="51">SUM(X75:X88)</f>
        <v>10</v>
      </c>
      <c r="Y74" s="68">
        <f t="shared" ca="1" si="51"/>
        <v>0</v>
      </c>
      <c r="Z74" s="107">
        <f t="shared" ca="1" si="35"/>
        <v>0</v>
      </c>
      <c r="AA74" s="315">
        <f ca="1">SUM(AA75:AA88)</f>
        <v>0</v>
      </c>
      <c r="AB74" s="316">
        <f t="shared" ca="1" si="36"/>
        <v>0</v>
      </c>
    </row>
    <row r="75" spans="1:28" ht="21" customHeight="1" x14ac:dyDescent="0.3">
      <c r="A75" s="74">
        <v>1</v>
      </c>
      <c r="B75" s="75" t="s">
        <v>97</v>
      </c>
      <c r="C75" s="174">
        <f t="shared" ca="1" si="22"/>
        <v>0</v>
      </c>
      <c r="D75" s="175">
        <f t="shared" ref="D75:D88" ca="1" si="52">+E75+F75</f>
        <v>0</v>
      </c>
      <c r="E75" s="176">
        <f ca="1">IFERROR(__xludf.DUMMYFUNCTION("IMPORTRANGE(""https://docs.google.com/spreadsheets/d/1-uDff_7J0KD5mKrp0Vvzr7lt3OU09vwQwhkpOPPYv2Y/edit?usp=sharing"",""งบพรบ!DP75"")"),0)</f>
        <v>0</v>
      </c>
      <c r="F75" s="176">
        <f ca="1">IFERROR(__xludf.DUMMYFUNCTION("IMPORTRANGE(""https://docs.google.com/spreadsheets/d/1-uDff_7J0KD5mKrp0Vvzr7lt3OU09vwQwhkpOPPYv2Y/edit?usp=sharing"",""งบพรบ!DQ75"")"),0)</f>
        <v>0</v>
      </c>
      <c r="G75" s="176">
        <f ca="1">IFERROR(__xludf.DUMMYFUNCTION("IMPORTRANGE(""https://docs.google.com/spreadsheets/d/1-uDff_7J0KD5mKrp0Vvzr7lt3OU09vwQwhkpOPPYv2Y/edit?usp=sharing"",""งบพรบ!DR75"")"),0)</f>
        <v>0</v>
      </c>
      <c r="H75" s="176">
        <f ca="1">IFERROR(__xludf.DUMMYFUNCTION("IMPORTRANGE(""https://docs.google.com/spreadsheets/d/1-uDff_7J0KD5mKrp0Vvzr7lt3OU09vwQwhkpOPPYv2Y/edit?usp=sharing"",""งบพรบ!DT75"")"),0)</f>
        <v>0</v>
      </c>
      <c r="I75" s="176">
        <f ca="1">IFERROR(__xludf.DUMMYFUNCTION("IMPORTRANGE(""https://docs.google.com/spreadsheets/d/1-uDff_7J0KD5mKrp0Vvzr7lt3OU09vwQwhkpOPPYv2Y/edit?usp=sharing"",""งบพรบ!DU75"")"),0)</f>
        <v>0</v>
      </c>
      <c r="J75" s="176">
        <f t="shared" ca="1" si="24"/>
        <v>0</v>
      </c>
      <c r="K75" s="181">
        <f t="shared" ca="1" si="25"/>
        <v>0</v>
      </c>
      <c r="L75" s="176">
        <f ca="1">IFERROR(__xludf.DUMMYFUNCTION("IMPORTRANGE(""https://docs.google.com/spreadsheets/d/1-uDff_7J0KD5mKrp0Vvzr7lt3OU09vwQwhkpOPPYv2Y/edit?usp=sharing"",""งบพรบ!DV75"")"),0)</f>
        <v>0</v>
      </c>
      <c r="M75" s="179">
        <f t="shared" ca="1" si="26"/>
        <v>0</v>
      </c>
      <c r="N75" s="179">
        <f t="shared" ca="1" si="27"/>
        <v>0</v>
      </c>
      <c r="O75" s="180">
        <f ca="1">IFERROR(__xludf.DUMMYFUNCTION("IMPORTRANGE(""https://docs.google.com/spreadsheets/d/1-uDff_7J0KD5mKrp0Vvzr7lt3OU09vwQwhkpOPPYv2Y/edit?usp=sharing"",""งบพรบ!DW75"")"),0)</f>
        <v>0</v>
      </c>
      <c r="P75" s="180">
        <f t="shared" ca="1" si="28"/>
        <v>0</v>
      </c>
      <c r="Q75" s="179">
        <f t="shared" ca="1" si="29"/>
        <v>0</v>
      </c>
      <c r="R75" s="79">
        <f ca="1">IFERROR(__xludf.DUMMYFUNCTION("IMPORTRANGE(""https://docs.google.com/spreadsheets/d/1kKUcYdkIfrgTSj8iHHHB2MD2FAtwyyocFgqGQn6ADyI/edit?usp=sharing"",""กระบี่!I292"")"),0)</f>
        <v>0</v>
      </c>
      <c r="S75" s="79">
        <f ca="1">IFERROR(__xludf.DUMMYFUNCTION("IMPORTRANGE(""https://docs.google.com/spreadsheets/d/1kKUcYdkIfrgTSj8iHHHB2MD2FAtwyyocFgqGQn6ADyI/edit?usp=sharing"",""กระบี่!J292"")"),0)</f>
        <v>0</v>
      </c>
      <c r="T75" s="83">
        <f t="shared" ca="1" si="31"/>
        <v>0</v>
      </c>
      <c r="U75" s="79">
        <f ca="1">IFERROR(__xludf.DUMMYFUNCTION("IMPORTRANGE(""https://docs.google.com/spreadsheets/d/1kKUcYdkIfrgTSj8iHHHB2MD2FAtwyyocFgqGQn6ADyI/edit?usp=sharing"",""กระบี่!I293"")"),0)</f>
        <v>0</v>
      </c>
      <c r="V75" s="79">
        <f ca="1">IFERROR(__xludf.DUMMYFUNCTION("IMPORTRANGE(""https://docs.google.com/spreadsheets/d/1kKUcYdkIfrgTSj8iHHHB2MD2FAtwyyocFgqGQn6ADyI/edit?usp=sharing"",""กระบี่!J293"")"),0)</f>
        <v>0</v>
      </c>
      <c r="W75" s="83">
        <f t="shared" ca="1" si="33"/>
        <v>0</v>
      </c>
      <c r="X75" s="79">
        <f ca="1">IFERROR(__xludf.DUMMYFUNCTION("IMPORTRANGE(""https://docs.google.com/spreadsheets/d/1kKUcYdkIfrgTSj8iHHHB2MD2FAtwyyocFgqGQn6ADyI/edit?usp=sharing"",""กระบี่!I295"")"),0)</f>
        <v>0</v>
      </c>
      <c r="Y75" s="79">
        <f ca="1">IFERROR(__xludf.DUMMYFUNCTION("IMPORTRANGE(""https://docs.google.com/spreadsheets/d/1kKUcYdkIfrgTSj8iHHHB2MD2FAtwyyocFgqGQn6ADyI/edit?usp=sharing"",""กระบี่!J295"")"),0)</f>
        <v>0</v>
      </c>
      <c r="Z75" s="83">
        <f t="shared" ca="1" si="35"/>
        <v>0</v>
      </c>
      <c r="AA75" s="309">
        <f ca="1">IFERROR(__xludf.DUMMYFUNCTION("IMPORTRANGE(""https://docs.google.com/spreadsheets/d/1kKUcYdkIfrgTSj8iHHHB2MD2FAtwyyocFgqGQn6ADyI/edit?usp=sharing"",""กระบี่!J296"")"),0)</f>
        <v>0</v>
      </c>
      <c r="AB75" s="310">
        <f t="shared" ca="1" si="36"/>
        <v>0</v>
      </c>
    </row>
    <row r="76" spans="1:28" ht="21" customHeight="1" x14ac:dyDescent="0.3">
      <c r="A76" s="84">
        <v>2</v>
      </c>
      <c r="B76" s="85" t="s">
        <v>98</v>
      </c>
      <c r="C76" s="174">
        <f t="shared" ca="1" si="22"/>
        <v>0</v>
      </c>
      <c r="D76" s="175">
        <f t="shared" ca="1" si="52"/>
        <v>0</v>
      </c>
      <c r="E76" s="176">
        <f ca="1">IFERROR(__xludf.DUMMYFUNCTION("IMPORTRANGE(""https://docs.google.com/spreadsheets/d/1-uDff_7J0KD5mKrp0Vvzr7lt3OU09vwQwhkpOPPYv2Y/edit?usp=sharing"",""งบพรบ!DP76"")"),0)</f>
        <v>0</v>
      </c>
      <c r="F76" s="176">
        <f ca="1">IFERROR(__xludf.DUMMYFUNCTION("IMPORTRANGE(""https://docs.google.com/spreadsheets/d/1-uDff_7J0KD5mKrp0Vvzr7lt3OU09vwQwhkpOPPYv2Y/edit?usp=sharing"",""งบพรบ!DQ76"")"),0)</f>
        <v>0</v>
      </c>
      <c r="G76" s="176">
        <f ca="1">IFERROR(__xludf.DUMMYFUNCTION("IMPORTRANGE(""https://docs.google.com/spreadsheets/d/1-uDff_7J0KD5mKrp0Vvzr7lt3OU09vwQwhkpOPPYv2Y/edit?usp=sharing"",""งบพรบ!DR76"")"),0)</f>
        <v>0</v>
      </c>
      <c r="H76" s="176">
        <f ca="1">IFERROR(__xludf.DUMMYFUNCTION("IMPORTRANGE(""https://docs.google.com/spreadsheets/d/1-uDff_7J0KD5mKrp0Vvzr7lt3OU09vwQwhkpOPPYv2Y/edit?usp=sharing"",""งบพรบ!DT76"")"),0)</f>
        <v>0</v>
      </c>
      <c r="I76" s="176">
        <f ca="1">IFERROR(__xludf.DUMMYFUNCTION("IMPORTRANGE(""https://docs.google.com/spreadsheets/d/1-uDff_7J0KD5mKrp0Vvzr7lt3OU09vwQwhkpOPPYv2Y/edit?usp=sharing"",""งบพรบ!DU76"")"),0)</f>
        <v>0</v>
      </c>
      <c r="J76" s="176">
        <f t="shared" ca="1" si="24"/>
        <v>0</v>
      </c>
      <c r="K76" s="181">
        <f t="shared" ca="1" si="25"/>
        <v>0</v>
      </c>
      <c r="L76" s="176">
        <f ca="1">IFERROR(__xludf.DUMMYFUNCTION("IMPORTRANGE(""https://docs.google.com/spreadsheets/d/1-uDff_7J0KD5mKrp0Vvzr7lt3OU09vwQwhkpOPPYv2Y/edit?usp=sharing"",""งบพรบ!DV76"")"),0)</f>
        <v>0</v>
      </c>
      <c r="M76" s="179">
        <f t="shared" ca="1" si="26"/>
        <v>0</v>
      </c>
      <c r="N76" s="179">
        <f t="shared" ca="1" si="27"/>
        <v>0</v>
      </c>
      <c r="O76" s="180">
        <f ca="1">IFERROR(__xludf.DUMMYFUNCTION("IMPORTRANGE(""https://docs.google.com/spreadsheets/d/1-uDff_7J0KD5mKrp0Vvzr7lt3OU09vwQwhkpOPPYv2Y/edit?usp=sharing"",""งบพรบ!DW76"")"),0)</f>
        <v>0</v>
      </c>
      <c r="P76" s="180">
        <f t="shared" ca="1" si="28"/>
        <v>0</v>
      </c>
      <c r="Q76" s="179">
        <f t="shared" ca="1" si="29"/>
        <v>0</v>
      </c>
      <c r="R76" s="92">
        <f ca="1">IFERROR(__xludf.DUMMYFUNCTION("IMPORTRANGE(""https://docs.google.com/spreadsheets/d/1GwtLaSlNZkLk7iDqcyZz22giiy40b_usZZBXYciEN1U/edit?usp=sharing"",""ชุมพร!I292"")"),0)</f>
        <v>0</v>
      </c>
      <c r="S76" s="92">
        <f ca="1">IFERROR(__xludf.DUMMYFUNCTION("IMPORTRANGE(""https://docs.google.com/spreadsheets/d/1GwtLaSlNZkLk7iDqcyZz22giiy40b_usZZBXYciEN1U/edit?usp=sharing"",""ชุมพร!J292"")"),0)</f>
        <v>0</v>
      </c>
      <c r="T76" s="93">
        <f t="shared" ca="1" si="31"/>
        <v>0</v>
      </c>
      <c r="U76" s="92">
        <f ca="1">IFERROR(__xludf.DUMMYFUNCTION("IMPORTRANGE(""https://docs.google.com/spreadsheets/d/1GwtLaSlNZkLk7iDqcyZz22giiy40b_usZZBXYciEN1U/edit?usp=sharing"",""ชุมพร!I293"")"),0)</f>
        <v>0</v>
      </c>
      <c r="V76" s="92">
        <f ca="1">IFERROR(__xludf.DUMMYFUNCTION("IMPORTRANGE(""https://docs.google.com/spreadsheets/d/1GwtLaSlNZkLk7iDqcyZz22giiy40b_usZZBXYciEN1U/edit?usp=sharing"",""ชุมพร!J293"")"),0)</f>
        <v>0</v>
      </c>
      <c r="W76" s="93">
        <f t="shared" ca="1" si="33"/>
        <v>0</v>
      </c>
      <c r="X76" s="92">
        <f ca="1">IFERROR(__xludf.DUMMYFUNCTION("IMPORTRANGE(""https://docs.google.com/spreadsheets/d/1GwtLaSlNZkLk7iDqcyZz22giiy40b_usZZBXYciEN1U/edit?usp=sharing"",""ชุมพร!I295"")"),0)</f>
        <v>0</v>
      </c>
      <c r="Y76" s="92">
        <f ca="1">IFERROR(__xludf.DUMMYFUNCTION("IMPORTRANGE(""https://docs.google.com/spreadsheets/d/1GwtLaSlNZkLk7iDqcyZz22giiy40b_usZZBXYciEN1U/edit?usp=sharing"",""ชุมพร!J295"")"),0)</f>
        <v>0</v>
      </c>
      <c r="Z76" s="93">
        <f t="shared" ca="1" si="35"/>
        <v>0</v>
      </c>
      <c r="AA76" s="311">
        <f ca="1">IFERROR(__xludf.DUMMYFUNCTION("IMPORTRANGE(""https://docs.google.com/spreadsheets/d/1GwtLaSlNZkLk7iDqcyZz22giiy40b_usZZBXYciEN1U/edit?usp=sharing"",""ชุมพร!J296"")"),0)</f>
        <v>0</v>
      </c>
      <c r="AB76" s="312">
        <f t="shared" ca="1" si="36"/>
        <v>0</v>
      </c>
    </row>
    <row r="77" spans="1:28" ht="21" customHeight="1" x14ac:dyDescent="0.3">
      <c r="A77" s="84">
        <v>3</v>
      </c>
      <c r="B77" s="85" t="s">
        <v>99</v>
      </c>
      <c r="C77" s="174">
        <f t="shared" ca="1" si="22"/>
        <v>0</v>
      </c>
      <c r="D77" s="175">
        <f t="shared" ca="1" si="52"/>
        <v>0</v>
      </c>
      <c r="E77" s="176">
        <f ca="1">IFERROR(__xludf.DUMMYFUNCTION("IMPORTRANGE(""https://docs.google.com/spreadsheets/d/1-uDff_7J0KD5mKrp0Vvzr7lt3OU09vwQwhkpOPPYv2Y/edit?usp=sharing"",""งบพรบ!DP77"")"),0)</f>
        <v>0</v>
      </c>
      <c r="F77" s="176">
        <f ca="1">IFERROR(__xludf.DUMMYFUNCTION("IMPORTRANGE(""https://docs.google.com/spreadsheets/d/1-uDff_7J0KD5mKrp0Vvzr7lt3OU09vwQwhkpOPPYv2Y/edit?usp=sharing"",""งบพรบ!DQ77"")"),0)</f>
        <v>0</v>
      </c>
      <c r="G77" s="176">
        <f ca="1">IFERROR(__xludf.DUMMYFUNCTION("IMPORTRANGE(""https://docs.google.com/spreadsheets/d/1-uDff_7J0KD5mKrp0Vvzr7lt3OU09vwQwhkpOPPYv2Y/edit?usp=sharing"",""งบพรบ!DR77"")"),0)</f>
        <v>0</v>
      </c>
      <c r="H77" s="176">
        <f ca="1">IFERROR(__xludf.DUMMYFUNCTION("IMPORTRANGE(""https://docs.google.com/spreadsheets/d/1-uDff_7J0KD5mKrp0Vvzr7lt3OU09vwQwhkpOPPYv2Y/edit?usp=sharing"",""งบพรบ!DT77"")"),0)</f>
        <v>0</v>
      </c>
      <c r="I77" s="176">
        <f ca="1">IFERROR(__xludf.DUMMYFUNCTION("IMPORTRANGE(""https://docs.google.com/spreadsheets/d/1-uDff_7J0KD5mKrp0Vvzr7lt3OU09vwQwhkpOPPYv2Y/edit?usp=sharing"",""งบพรบ!DU77"")"),0)</f>
        <v>0</v>
      </c>
      <c r="J77" s="176">
        <f t="shared" ca="1" si="24"/>
        <v>0</v>
      </c>
      <c r="K77" s="181">
        <f t="shared" ca="1" si="25"/>
        <v>0</v>
      </c>
      <c r="L77" s="176">
        <f ca="1">IFERROR(__xludf.DUMMYFUNCTION("IMPORTRANGE(""https://docs.google.com/spreadsheets/d/1-uDff_7J0KD5mKrp0Vvzr7lt3OU09vwQwhkpOPPYv2Y/edit?usp=sharing"",""งบพรบ!DV77"")"),0)</f>
        <v>0</v>
      </c>
      <c r="M77" s="179">
        <f t="shared" ca="1" si="26"/>
        <v>0</v>
      </c>
      <c r="N77" s="179">
        <f t="shared" ca="1" si="27"/>
        <v>0</v>
      </c>
      <c r="O77" s="180">
        <f ca="1">IFERROR(__xludf.DUMMYFUNCTION("IMPORTRANGE(""https://docs.google.com/spreadsheets/d/1-uDff_7J0KD5mKrp0Vvzr7lt3OU09vwQwhkpOPPYv2Y/edit?usp=sharing"",""งบพรบ!DW77"")"),0)</f>
        <v>0</v>
      </c>
      <c r="P77" s="180">
        <f t="shared" ca="1" si="28"/>
        <v>0</v>
      </c>
      <c r="Q77" s="179">
        <f t="shared" ca="1" si="29"/>
        <v>0</v>
      </c>
      <c r="R77" s="92">
        <f ca="1">IFERROR(__xludf.DUMMYFUNCTION("IMPORTRANGE(""https://docs.google.com/spreadsheets/d/16pAz3pOhQEZBhvFNMa5KGgZS6iKWpsKX0pg6tQmwFpo/edit?usp=sharing"",""ตรัง!I292"")"),0)</f>
        <v>0</v>
      </c>
      <c r="S77" s="92">
        <f ca="1">IFERROR(__xludf.DUMMYFUNCTION("IMPORTRANGE(""https://docs.google.com/spreadsheets/d/16pAz3pOhQEZBhvFNMa5KGgZS6iKWpsKX0pg6tQmwFpo/edit?usp=sharing"",""ตรัง!J292"")"),0)</f>
        <v>0</v>
      </c>
      <c r="T77" s="93">
        <f t="shared" ca="1" si="31"/>
        <v>0</v>
      </c>
      <c r="U77" s="92">
        <f ca="1">IFERROR(__xludf.DUMMYFUNCTION("IMPORTRANGE(""https://docs.google.com/spreadsheets/d/16pAz3pOhQEZBhvFNMa5KGgZS6iKWpsKX0pg6tQmwFpo/edit?usp=sharing"",""ตรัง!I293"")"),0)</f>
        <v>0</v>
      </c>
      <c r="V77" s="92">
        <f ca="1">IFERROR(__xludf.DUMMYFUNCTION("IMPORTRANGE(""https://docs.google.com/spreadsheets/d/16pAz3pOhQEZBhvFNMa5KGgZS6iKWpsKX0pg6tQmwFpo/edit?usp=sharing"",""ตรัง!J293"")"),0)</f>
        <v>0</v>
      </c>
      <c r="W77" s="93">
        <f t="shared" ca="1" si="33"/>
        <v>0</v>
      </c>
      <c r="X77" s="92">
        <f ca="1">IFERROR(__xludf.DUMMYFUNCTION("IMPORTRANGE(""https://docs.google.com/spreadsheets/d/16pAz3pOhQEZBhvFNMa5KGgZS6iKWpsKX0pg6tQmwFpo/edit?usp=sharing"",""ตรัง!I295"")"),0)</f>
        <v>0</v>
      </c>
      <c r="Y77" s="92">
        <f ca="1">IFERROR(__xludf.DUMMYFUNCTION("IMPORTRANGE(""https://docs.google.com/spreadsheets/d/16pAz3pOhQEZBhvFNMa5KGgZS6iKWpsKX0pg6tQmwFpo/edit?usp=sharing"",""ตรัง!J295"")"),0)</f>
        <v>0</v>
      </c>
      <c r="Z77" s="93">
        <f t="shared" ca="1" si="35"/>
        <v>0</v>
      </c>
      <c r="AA77" s="311">
        <f ca="1">IFERROR(__xludf.DUMMYFUNCTION("IMPORTRANGE(""https://docs.google.com/spreadsheets/d/16pAz3pOhQEZBhvFNMa5KGgZS6iKWpsKX0pg6tQmwFpo/edit?usp=sharing"",""ตรัง!J296"")"),0)</f>
        <v>0</v>
      </c>
      <c r="AB77" s="312">
        <f t="shared" ca="1" si="36"/>
        <v>0</v>
      </c>
    </row>
    <row r="78" spans="1:28" ht="21" customHeight="1" x14ac:dyDescent="0.3">
      <c r="A78" s="84">
        <v>4</v>
      </c>
      <c r="B78" s="85" t="s">
        <v>100</v>
      </c>
      <c r="C78" s="174">
        <f t="shared" ca="1" si="22"/>
        <v>0</v>
      </c>
      <c r="D78" s="175">
        <f t="shared" ca="1" si="52"/>
        <v>0</v>
      </c>
      <c r="E78" s="176">
        <f ca="1">IFERROR(__xludf.DUMMYFUNCTION("IMPORTRANGE(""https://docs.google.com/spreadsheets/d/1-uDff_7J0KD5mKrp0Vvzr7lt3OU09vwQwhkpOPPYv2Y/edit?usp=sharing"",""งบพรบ!DP78"")"),0)</f>
        <v>0</v>
      </c>
      <c r="F78" s="176">
        <f ca="1">IFERROR(__xludf.DUMMYFUNCTION("IMPORTRANGE(""https://docs.google.com/spreadsheets/d/1-uDff_7J0KD5mKrp0Vvzr7lt3OU09vwQwhkpOPPYv2Y/edit?usp=sharing"",""งบพรบ!DQ78"")"),0)</f>
        <v>0</v>
      </c>
      <c r="G78" s="176">
        <f ca="1">IFERROR(__xludf.DUMMYFUNCTION("IMPORTRANGE(""https://docs.google.com/spreadsheets/d/1-uDff_7J0KD5mKrp0Vvzr7lt3OU09vwQwhkpOPPYv2Y/edit?usp=sharing"",""งบพรบ!DR78"")"),0)</f>
        <v>0</v>
      </c>
      <c r="H78" s="176">
        <f ca="1">IFERROR(__xludf.DUMMYFUNCTION("IMPORTRANGE(""https://docs.google.com/spreadsheets/d/1-uDff_7J0KD5mKrp0Vvzr7lt3OU09vwQwhkpOPPYv2Y/edit?usp=sharing"",""งบพรบ!DT78"")"),0)</f>
        <v>0</v>
      </c>
      <c r="I78" s="176">
        <f ca="1">IFERROR(__xludf.DUMMYFUNCTION("IMPORTRANGE(""https://docs.google.com/spreadsheets/d/1-uDff_7J0KD5mKrp0Vvzr7lt3OU09vwQwhkpOPPYv2Y/edit?usp=sharing"",""งบพรบ!DU78"")"),0)</f>
        <v>0</v>
      </c>
      <c r="J78" s="176">
        <f t="shared" ca="1" si="24"/>
        <v>0</v>
      </c>
      <c r="K78" s="181">
        <f t="shared" ca="1" si="25"/>
        <v>0</v>
      </c>
      <c r="L78" s="176">
        <f ca="1">IFERROR(__xludf.DUMMYFUNCTION("IMPORTRANGE(""https://docs.google.com/spreadsheets/d/1-uDff_7J0KD5mKrp0Vvzr7lt3OU09vwQwhkpOPPYv2Y/edit?usp=sharing"",""งบพรบ!DV78"")"),0)</f>
        <v>0</v>
      </c>
      <c r="M78" s="179">
        <f t="shared" ca="1" si="26"/>
        <v>0</v>
      </c>
      <c r="N78" s="179">
        <f t="shared" ca="1" si="27"/>
        <v>0</v>
      </c>
      <c r="O78" s="180">
        <f ca="1">IFERROR(__xludf.DUMMYFUNCTION("IMPORTRANGE(""https://docs.google.com/spreadsheets/d/1-uDff_7J0KD5mKrp0Vvzr7lt3OU09vwQwhkpOPPYv2Y/edit?usp=sharing"",""งบพรบ!DW78"")"),0)</f>
        <v>0</v>
      </c>
      <c r="P78" s="180">
        <f t="shared" ca="1" si="28"/>
        <v>0</v>
      </c>
      <c r="Q78" s="179">
        <f t="shared" ca="1" si="29"/>
        <v>0</v>
      </c>
      <c r="R78" s="92">
        <f ca="1">IFERROR(__xludf.DUMMYFUNCTION("IMPORTRANGE(""https://docs.google.com/spreadsheets/d/1Dj4jcHCTV9JXKCaMoheSXS52JE63kDKyG7bPXnFogHk/edit?usp=sharing"",""นครศรีธรรมราช!I292"")"),0)</f>
        <v>0</v>
      </c>
      <c r="S78" s="92">
        <f ca="1">IFERROR(__xludf.DUMMYFUNCTION("IMPORTRANGE(""https://docs.google.com/spreadsheets/d/1Dj4jcHCTV9JXKCaMoheSXS52JE63kDKyG7bPXnFogHk/edit?usp=sharing"",""นครศรีธรรมราช!J292"")"),0)</f>
        <v>0</v>
      </c>
      <c r="T78" s="93">
        <f t="shared" ca="1" si="31"/>
        <v>0</v>
      </c>
      <c r="U78" s="92">
        <f ca="1">IFERROR(__xludf.DUMMYFUNCTION("IMPORTRANGE(""https://docs.google.com/spreadsheets/d/1Dj4jcHCTV9JXKCaMoheSXS52JE63kDKyG7bPXnFogHk/edit?usp=sharing"",""นครศรีธรรมราช!I293"")"),0)</f>
        <v>0</v>
      </c>
      <c r="V78" s="92">
        <f ca="1">IFERROR(__xludf.DUMMYFUNCTION("IMPORTRANGE(""https://docs.google.com/spreadsheets/d/1Dj4jcHCTV9JXKCaMoheSXS52JE63kDKyG7bPXnFogHk/edit?usp=sharing"",""นครศรีธรรมราช!J293"")"),0)</f>
        <v>0</v>
      </c>
      <c r="W78" s="93">
        <f t="shared" ca="1" si="33"/>
        <v>0</v>
      </c>
      <c r="X78" s="92">
        <f ca="1">IFERROR(__xludf.DUMMYFUNCTION("IMPORTRANGE(""https://docs.google.com/spreadsheets/d/1Dj4jcHCTV9JXKCaMoheSXS52JE63kDKyG7bPXnFogHk/edit?usp=sharing"",""นครศรีธรรมราช!I295"")"),0)</f>
        <v>0</v>
      </c>
      <c r="Y78" s="92">
        <f ca="1">IFERROR(__xludf.DUMMYFUNCTION("IMPORTRANGE(""https://docs.google.com/spreadsheets/d/1Dj4jcHCTV9JXKCaMoheSXS52JE63kDKyG7bPXnFogHk/edit?usp=sharing"",""นครศรีธรรมราช!J295"")"),0)</f>
        <v>0</v>
      </c>
      <c r="Z78" s="93">
        <f t="shared" ca="1" si="35"/>
        <v>0</v>
      </c>
      <c r="AA78" s="311">
        <f ca="1">IFERROR(__xludf.DUMMYFUNCTION("IMPORTRANGE(""https://docs.google.com/spreadsheets/d/1Dj4jcHCTV9JXKCaMoheSXS52JE63kDKyG7bPXnFogHk/edit?usp=sharing"",""นครศรีธรรมราช!J296"")"),0)</f>
        <v>0</v>
      </c>
      <c r="AB78" s="312">
        <f t="shared" ca="1" si="36"/>
        <v>0</v>
      </c>
    </row>
    <row r="79" spans="1:28" ht="21" customHeight="1" x14ac:dyDescent="0.3">
      <c r="A79" s="84">
        <v>5</v>
      </c>
      <c r="B79" s="85" t="s">
        <v>101</v>
      </c>
      <c r="C79" s="174">
        <f t="shared" ca="1" si="22"/>
        <v>0</v>
      </c>
      <c r="D79" s="175">
        <f t="shared" ca="1" si="52"/>
        <v>0</v>
      </c>
      <c r="E79" s="176">
        <f ca="1">IFERROR(__xludf.DUMMYFUNCTION("IMPORTRANGE(""https://docs.google.com/spreadsheets/d/1-uDff_7J0KD5mKrp0Vvzr7lt3OU09vwQwhkpOPPYv2Y/edit?usp=sharing"",""งบพรบ!DP79"")"),0)</f>
        <v>0</v>
      </c>
      <c r="F79" s="176">
        <f ca="1">IFERROR(__xludf.DUMMYFUNCTION("IMPORTRANGE(""https://docs.google.com/spreadsheets/d/1-uDff_7J0KD5mKrp0Vvzr7lt3OU09vwQwhkpOPPYv2Y/edit?usp=sharing"",""งบพรบ!DQ79"")"),0)</f>
        <v>0</v>
      </c>
      <c r="G79" s="176">
        <f ca="1">IFERROR(__xludf.DUMMYFUNCTION("IMPORTRANGE(""https://docs.google.com/spreadsheets/d/1-uDff_7J0KD5mKrp0Vvzr7lt3OU09vwQwhkpOPPYv2Y/edit?usp=sharing"",""งบพรบ!DR79"")"),0)</f>
        <v>0</v>
      </c>
      <c r="H79" s="176">
        <f ca="1">IFERROR(__xludf.DUMMYFUNCTION("IMPORTRANGE(""https://docs.google.com/spreadsheets/d/1-uDff_7J0KD5mKrp0Vvzr7lt3OU09vwQwhkpOPPYv2Y/edit?usp=sharing"",""งบพรบ!DT79"")"),0)</f>
        <v>0</v>
      </c>
      <c r="I79" s="176">
        <f ca="1">IFERROR(__xludf.DUMMYFUNCTION("IMPORTRANGE(""https://docs.google.com/spreadsheets/d/1-uDff_7J0KD5mKrp0Vvzr7lt3OU09vwQwhkpOPPYv2Y/edit?usp=sharing"",""งบพรบ!DU79"")"),0)</f>
        <v>0</v>
      </c>
      <c r="J79" s="176">
        <f t="shared" ca="1" si="24"/>
        <v>0</v>
      </c>
      <c r="K79" s="181">
        <f t="shared" ca="1" si="25"/>
        <v>0</v>
      </c>
      <c r="L79" s="176">
        <f ca="1">IFERROR(__xludf.DUMMYFUNCTION("IMPORTRANGE(""https://docs.google.com/spreadsheets/d/1-uDff_7J0KD5mKrp0Vvzr7lt3OU09vwQwhkpOPPYv2Y/edit?usp=sharing"",""งบพรบ!DV79"")"),0)</f>
        <v>0</v>
      </c>
      <c r="M79" s="179">
        <f t="shared" ca="1" si="26"/>
        <v>0</v>
      </c>
      <c r="N79" s="179">
        <f t="shared" ca="1" si="27"/>
        <v>0</v>
      </c>
      <c r="O79" s="180">
        <f ca="1">IFERROR(__xludf.DUMMYFUNCTION("IMPORTRANGE(""https://docs.google.com/spreadsheets/d/1-uDff_7J0KD5mKrp0Vvzr7lt3OU09vwQwhkpOPPYv2Y/edit?usp=sharing"",""งบพรบ!DW79"")"),0)</f>
        <v>0</v>
      </c>
      <c r="P79" s="180">
        <f t="shared" ca="1" si="28"/>
        <v>0</v>
      </c>
      <c r="Q79" s="179">
        <f t="shared" ca="1" si="29"/>
        <v>0</v>
      </c>
      <c r="R79" s="92">
        <f ca="1">IFERROR(__xludf.DUMMYFUNCTION("IMPORTRANGE(""https://docs.google.com/spreadsheets/d/1iodCdmuK2GR3jzUwk8tpccY2JHQQA-87DLOtJP-ooyU/edit?usp=sharing"",""นราธิวาส!I292"")"),0)</f>
        <v>0</v>
      </c>
      <c r="S79" s="92">
        <f ca="1">IFERROR(__xludf.DUMMYFUNCTION("IMPORTRANGE(""https://docs.google.com/spreadsheets/d/1iodCdmuK2GR3jzUwk8tpccY2JHQQA-87DLOtJP-ooyU/edit?usp=sharing"",""นราธิวาส!J292"")"),0)</f>
        <v>0</v>
      </c>
      <c r="T79" s="93">
        <f t="shared" ca="1" si="31"/>
        <v>0</v>
      </c>
      <c r="U79" s="92">
        <f ca="1">IFERROR(__xludf.DUMMYFUNCTION("IMPORTRANGE(""https://docs.google.com/spreadsheets/d/1iodCdmuK2GR3jzUwk8tpccY2JHQQA-87DLOtJP-ooyU/edit?usp=sharing"",""นราธิวาส!I293"")"),0)</f>
        <v>0</v>
      </c>
      <c r="V79" s="92">
        <f ca="1">IFERROR(__xludf.DUMMYFUNCTION("IMPORTRANGE(""https://docs.google.com/spreadsheets/d/1iodCdmuK2GR3jzUwk8tpccY2JHQQA-87DLOtJP-ooyU/edit?usp=sharing"",""นราธิวาส!J293"")"),0)</f>
        <v>0</v>
      </c>
      <c r="W79" s="93">
        <f t="shared" ca="1" si="33"/>
        <v>0</v>
      </c>
      <c r="X79" s="92">
        <f ca="1">IFERROR(__xludf.DUMMYFUNCTION("IMPORTRANGE(""https://docs.google.com/spreadsheets/d/1iodCdmuK2GR3jzUwk8tpccY2JHQQA-87DLOtJP-ooyU/edit?usp=sharing"",""นราธิวาส!I295"")"),0)</f>
        <v>0</v>
      </c>
      <c r="Y79" s="92">
        <f ca="1">IFERROR(__xludf.DUMMYFUNCTION("IMPORTRANGE(""https://docs.google.com/spreadsheets/d/1iodCdmuK2GR3jzUwk8tpccY2JHQQA-87DLOtJP-ooyU/edit?usp=sharing"",""นราธิวาส!J295"")"),0)</f>
        <v>0</v>
      </c>
      <c r="Z79" s="93">
        <f t="shared" ca="1" si="35"/>
        <v>0</v>
      </c>
      <c r="AA79" s="311">
        <f ca="1">IFERROR(__xludf.DUMMYFUNCTION("IMPORTRANGE(""https://docs.google.com/spreadsheets/d/1iodCdmuK2GR3jzUwk8tpccY2JHQQA-87DLOtJP-ooyU/edit?usp=sharing"",""นราธิวาส!J296"")"),0)</f>
        <v>0</v>
      </c>
      <c r="AB79" s="312">
        <f t="shared" ca="1" si="36"/>
        <v>0</v>
      </c>
    </row>
    <row r="80" spans="1:28" ht="21" customHeight="1" x14ac:dyDescent="0.3">
      <c r="A80" s="84">
        <v>6</v>
      </c>
      <c r="B80" s="85" t="s">
        <v>102</v>
      </c>
      <c r="C80" s="174">
        <f t="shared" ca="1" si="22"/>
        <v>0</v>
      </c>
      <c r="D80" s="175">
        <f t="shared" ca="1" si="52"/>
        <v>0</v>
      </c>
      <c r="E80" s="176">
        <f ca="1">IFERROR(__xludf.DUMMYFUNCTION("IMPORTRANGE(""https://docs.google.com/spreadsheets/d/1-uDff_7J0KD5mKrp0Vvzr7lt3OU09vwQwhkpOPPYv2Y/edit?usp=sharing"",""งบพรบ!DP80"")"),0)</f>
        <v>0</v>
      </c>
      <c r="F80" s="176">
        <f ca="1">IFERROR(__xludf.DUMMYFUNCTION("IMPORTRANGE(""https://docs.google.com/spreadsheets/d/1-uDff_7J0KD5mKrp0Vvzr7lt3OU09vwQwhkpOPPYv2Y/edit?usp=sharing"",""งบพรบ!DQ80"")"),0)</f>
        <v>0</v>
      </c>
      <c r="G80" s="176">
        <f ca="1">IFERROR(__xludf.DUMMYFUNCTION("IMPORTRANGE(""https://docs.google.com/spreadsheets/d/1-uDff_7J0KD5mKrp0Vvzr7lt3OU09vwQwhkpOPPYv2Y/edit?usp=sharing"",""งบพรบ!DR80"")"),0)</f>
        <v>0</v>
      </c>
      <c r="H80" s="176">
        <f ca="1">IFERROR(__xludf.DUMMYFUNCTION("IMPORTRANGE(""https://docs.google.com/spreadsheets/d/1-uDff_7J0KD5mKrp0Vvzr7lt3OU09vwQwhkpOPPYv2Y/edit?usp=sharing"",""งบพรบ!DT80"")"),0)</f>
        <v>0</v>
      </c>
      <c r="I80" s="176">
        <f ca="1">IFERROR(__xludf.DUMMYFUNCTION("IMPORTRANGE(""https://docs.google.com/spreadsheets/d/1-uDff_7J0KD5mKrp0Vvzr7lt3OU09vwQwhkpOPPYv2Y/edit?usp=sharing"",""งบพรบ!DU80"")"),0)</f>
        <v>0</v>
      </c>
      <c r="J80" s="176">
        <f t="shared" ca="1" si="24"/>
        <v>0</v>
      </c>
      <c r="K80" s="181">
        <f t="shared" ca="1" si="25"/>
        <v>0</v>
      </c>
      <c r="L80" s="176">
        <f ca="1">IFERROR(__xludf.DUMMYFUNCTION("IMPORTRANGE(""https://docs.google.com/spreadsheets/d/1-uDff_7J0KD5mKrp0Vvzr7lt3OU09vwQwhkpOPPYv2Y/edit?usp=sharing"",""งบพรบ!DV80"")"),0)</f>
        <v>0</v>
      </c>
      <c r="M80" s="179">
        <f t="shared" ca="1" si="26"/>
        <v>0</v>
      </c>
      <c r="N80" s="179">
        <f t="shared" ca="1" si="27"/>
        <v>0</v>
      </c>
      <c r="O80" s="180">
        <f ca="1">IFERROR(__xludf.DUMMYFUNCTION("IMPORTRANGE(""https://docs.google.com/spreadsheets/d/1-uDff_7J0KD5mKrp0Vvzr7lt3OU09vwQwhkpOPPYv2Y/edit?usp=sharing"",""งบพรบ!DW80"")"),0)</f>
        <v>0</v>
      </c>
      <c r="P80" s="180">
        <f t="shared" ca="1" si="28"/>
        <v>0</v>
      </c>
      <c r="Q80" s="179">
        <f t="shared" ca="1" si="29"/>
        <v>0</v>
      </c>
      <c r="R80" s="92">
        <f ca="1">IFERROR(__xludf.DUMMYFUNCTION("IMPORTRANGE(""https://docs.google.com/spreadsheets/d/1SDNX3JhDdYRuIOsj0Wh2M-Qa_eaXl0NbWmhAOTbfQAs/edit?usp=sharing"",""ปัตตานี!I292"")"),0)</f>
        <v>0</v>
      </c>
      <c r="S80" s="92">
        <f ca="1">IFERROR(__xludf.DUMMYFUNCTION("IMPORTRANGE(""https://docs.google.com/spreadsheets/d/1SDNX3JhDdYRuIOsj0Wh2M-Qa_eaXl0NbWmhAOTbfQAs/edit?usp=sharing"",""ปัตตานี!J292"")"),0)</f>
        <v>0</v>
      </c>
      <c r="T80" s="93">
        <f t="shared" ca="1" si="31"/>
        <v>0</v>
      </c>
      <c r="U80" s="92">
        <f ca="1">IFERROR(__xludf.DUMMYFUNCTION("IMPORTRANGE(""https://docs.google.com/spreadsheets/d/1SDNX3JhDdYRuIOsj0Wh2M-Qa_eaXl0NbWmhAOTbfQAs/edit?usp=sharing"",""ปัตตานี!I293"")"),0)</f>
        <v>0</v>
      </c>
      <c r="V80" s="92">
        <f ca="1">IFERROR(__xludf.DUMMYFUNCTION("IMPORTRANGE(""https://docs.google.com/spreadsheets/d/1SDNX3JhDdYRuIOsj0Wh2M-Qa_eaXl0NbWmhAOTbfQAs/edit?usp=sharing"",""ปัตตานี!J293"")"),0)</f>
        <v>0</v>
      </c>
      <c r="W80" s="93">
        <f t="shared" ca="1" si="33"/>
        <v>0</v>
      </c>
      <c r="X80" s="92">
        <f ca="1">IFERROR(__xludf.DUMMYFUNCTION("IMPORTRANGE(""https://docs.google.com/spreadsheets/d/1SDNX3JhDdYRuIOsj0Wh2M-Qa_eaXl0NbWmhAOTbfQAs/edit?usp=sharing"",""ปัตตานี!I295"")"),0)</f>
        <v>0</v>
      </c>
      <c r="Y80" s="92">
        <f ca="1">IFERROR(__xludf.DUMMYFUNCTION("IMPORTRANGE(""https://docs.google.com/spreadsheets/d/1SDNX3JhDdYRuIOsj0Wh2M-Qa_eaXl0NbWmhAOTbfQAs/edit?usp=sharing"",""ปัตตานี!J295"")"),0)</f>
        <v>0</v>
      </c>
      <c r="Z80" s="93">
        <f t="shared" ca="1" si="35"/>
        <v>0</v>
      </c>
      <c r="AA80" s="311">
        <f ca="1">IFERROR(__xludf.DUMMYFUNCTION("IMPORTRANGE(""https://docs.google.com/spreadsheets/d/1SDNX3JhDdYRuIOsj0Wh2M-Qa_eaXl0NbWmhAOTbfQAs/edit?usp=sharing"",""ปัตตานี!J296"")"),0)</f>
        <v>0</v>
      </c>
      <c r="AB80" s="312">
        <f t="shared" ca="1" si="36"/>
        <v>0</v>
      </c>
    </row>
    <row r="81" spans="1:28" ht="21" customHeight="1" x14ac:dyDescent="0.3">
      <c r="A81" s="84">
        <v>7</v>
      </c>
      <c r="B81" s="85" t="s">
        <v>103</v>
      </c>
      <c r="C81" s="174">
        <f t="shared" ca="1" si="22"/>
        <v>0</v>
      </c>
      <c r="D81" s="175">
        <f t="shared" ca="1" si="52"/>
        <v>0</v>
      </c>
      <c r="E81" s="176">
        <f ca="1">IFERROR(__xludf.DUMMYFUNCTION("IMPORTRANGE(""https://docs.google.com/spreadsheets/d/1-uDff_7J0KD5mKrp0Vvzr7lt3OU09vwQwhkpOPPYv2Y/edit?usp=sharing"",""งบพรบ!DP81"")"),0)</f>
        <v>0</v>
      </c>
      <c r="F81" s="176">
        <f ca="1">IFERROR(__xludf.DUMMYFUNCTION("IMPORTRANGE(""https://docs.google.com/spreadsheets/d/1-uDff_7J0KD5mKrp0Vvzr7lt3OU09vwQwhkpOPPYv2Y/edit?usp=sharing"",""งบพรบ!DQ81"")"),0)</f>
        <v>0</v>
      </c>
      <c r="G81" s="176">
        <f ca="1">IFERROR(__xludf.DUMMYFUNCTION("IMPORTRANGE(""https://docs.google.com/spreadsheets/d/1-uDff_7J0KD5mKrp0Vvzr7lt3OU09vwQwhkpOPPYv2Y/edit?usp=sharing"",""งบพรบ!DR81"")"),0)</f>
        <v>0</v>
      </c>
      <c r="H81" s="176">
        <f ca="1">IFERROR(__xludf.DUMMYFUNCTION("IMPORTRANGE(""https://docs.google.com/spreadsheets/d/1-uDff_7J0KD5mKrp0Vvzr7lt3OU09vwQwhkpOPPYv2Y/edit?usp=sharing"",""งบพรบ!DT81"")"),0)</f>
        <v>0</v>
      </c>
      <c r="I81" s="176">
        <f ca="1">IFERROR(__xludf.DUMMYFUNCTION("IMPORTRANGE(""https://docs.google.com/spreadsheets/d/1-uDff_7J0KD5mKrp0Vvzr7lt3OU09vwQwhkpOPPYv2Y/edit?usp=sharing"",""งบพรบ!DU81"")"),0)</f>
        <v>0</v>
      </c>
      <c r="J81" s="176">
        <f t="shared" ca="1" si="24"/>
        <v>0</v>
      </c>
      <c r="K81" s="181">
        <f t="shared" ca="1" si="25"/>
        <v>0</v>
      </c>
      <c r="L81" s="176">
        <f ca="1">IFERROR(__xludf.DUMMYFUNCTION("IMPORTRANGE(""https://docs.google.com/spreadsheets/d/1-uDff_7J0KD5mKrp0Vvzr7lt3OU09vwQwhkpOPPYv2Y/edit?usp=sharing"",""งบพรบ!DV81"")"),0)</f>
        <v>0</v>
      </c>
      <c r="M81" s="179">
        <f t="shared" ca="1" si="26"/>
        <v>0</v>
      </c>
      <c r="N81" s="179">
        <f t="shared" ca="1" si="27"/>
        <v>0</v>
      </c>
      <c r="O81" s="180">
        <f ca="1">IFERROR(__xludf.DUMMYFUNCTION("IMPORTRANGE(""https://docs.google.com/spreadsheets/d/1-uDff_7J0KD5mKrp0Vvzr7lt3OU09vwQwhkpOPPYv2Y/edit?usp=sharing"",""งบพรบ!DW81"")"),0)</f>
        <v>0</v>
      </c>
      <c r="P81" s="180">
        <f t="shared" ca="1" si="28"/>
        <v>0</v>
      </c>
      <c r="Q81" s="179">
        <f t="shared" ca="1" si="29"/>
        <v>0</v>
      </c>
      <c r="R81" s="92">
        <f ca="1">IFERROR(__xludf.DUMMYFUNCTION("IMPORTRANGE(""https://docs.google.com/spreadsheets/d/16JDLGguT8s5DsGCND1KcwHP_AWR_zDMTqLHPLJUKhaU/edit?usp=sharing"",""พังงา!I292"")"),0)</f>
        <v>0</v>
      </c>
      <c r="S81" s="92">
        <f ca="1">IFERROR(__xludf.DUMMYFUNCTION("IMPORTRANGE(""https://docs.google.com/spreadsheets/d/16JDLGguT8s5DsGCND1KcwHP_AWR_zDMTqLHPLJUKhaU/edit?usp=sharing"",""พังงา!J292"")"),0)</f>
        <v>0</v>
      </c>
      <c r="T81" s="93">
        <f t="shared" ca="1" si="31"/>
        <v>0</v>
      </c>
      <c r="U81" s="92">
        <f ca="1">IFERROR(__xludf.DUMMYFUNCTION("IMPORTRANGE(""https://docs.google.com/spreadsheets/d/16JDLGguT8s5DsGCND1KcwHP_AWR_zDMTqLHPLJUKhaU/edit?usp=sharing"",""พังงา!I293"")"),0)</f>
        <v>0</v>
      </c>
      <c r="V81" s="92">
        <f ca="1">IFERROR(__xludf.DUMMYFUNCTION("IMPORTRANGE(""https://docs.google.com/spreadsheets/d/16JDLGguT8s5DsGCND1KcwHP_AWR_zDMTqLHPLJUKhaU/edit?usp=sharing"",""พังงา!J293"")"),0)</f>
        <v>0</v>
      </c>
      <c r="W81" s="93">
        <f t="shared" ca="1" si="33"/>
        <v>0</v>
      </c>
      <c r="X81" s="92">
        <f ca="1">IFERROR(__xludf.DUMMYFUNCTION("IMPORTRANGE(""https://docs.google.com/spreadsheets/d/16JDLGguT8s5DsGCND1KcwHP_AWR_zDMTqLHPLJUKhaU/edit?usp=sharing"",""พังงา!I295"")"),0)</f>
        <v>0</v>
      </c>
      <c r="Y81" s="92">
        <f ca="1">IFERROR(__xludf.DUMMYFUNCTION("IMPORTRANGE(""https://docs.google.com/spreadsheets/d/16JDLGguT8s5DsGCND1KcwHP_AWR_zDMTqLHPLJUKhaU/edit?usp=sharing"",""พังงา!J295"")"),0)</f>
        <v>0</v>
      </c>
      <c r="Z81" s="93">
        <f t="shared" ca="1" si="35"/>
        <v>0</v>
      </c>
      <c r="AA81" s="311">
        <f ca="1">IFERROR(__xludf.DUMMYFUNCTION("IMPORTRANGE(""https://docs.google.com/spreadsheets/d/16JDLGguT8s5DsGCND1KcwHP_AWR_zDMTqLHPLJUKhaU/edit?usp=sharing"",""พังงา!J296"")"),0)</f>
        <v>0</v>
      </c>
      <c r="AB81" s="312">
        <f t="shared" ca="1" si="36"/>
        <v>0</v>
      </c>
    </row>
    <row r="82" spans="1:28" ht="21" customHeight="1" x14ac:dyDescent="0.3">
      <c r="A82" s="84">
        <v>8</v>
      </c>
      <c r="B82" s="85" t="s">
        <v>104</v>
      </c>
      <c r="C82" s="174">
        <f t="shared" ca="1" si="22"/>
        <v>0</v>
      </c>
      <c r="D82" s="175">
        <f t="shared" ca="1" si="52"/>
        <v>0</v>
      </c>
      <c r="E82" s="176">
        <f ca="1">IFERROR(__xludf.DUMMYFUNCTION("IMPORTRANGE(""https://docs.google.com/spreadsheets/d/1-uDff_7J0KD5mKrp0Vvzr7lt3OU09vwQwhkpOPPYv2Y/edit?usp=sharing"",""งบพรบ!DP82"")"),0)</f>
        <v>0</v>
      </c>
      <c r="F82" s="176">
        <f ca="1">IFERROR(__xludf.DUMMYFUNCTION("IMPORTRANGE(""https://docs.google.com/spreadsheets/d/1-uDff_7J0KD5mKrp0Vvzr7lt3OU09vwQwhkpOPPYv2Y/edit?usp=sharing"",""งบพรบ!DQ82"")"),0)</f>
        <v>0</v>
      </c>
      <c r="G82" s="176">
        <f ca="1">IFERROR(__xludf.DUMMYFUNCTION("IMPORTRANGE(""https://docs.google.com/spreadsheets/d/1-uDff_7J0KD5mKrp0Vvzr7lt3OU09vwQwhkpOPPYv2Y/edit?usp=sharing"",""งบพรบ!DR82"")"),0)</f>
        <v>0</v>
      </c>
      <c r="H82" s="176">
        <f ca="1">IFERROR(__xludf.DUMMYFUNCTION("IMPORTRANGE(""https://docs.google.com/spreadsheets/d/1-uDff_7J0KD5mKrp0Vvzr7lt3OU09vwQwhkpOPPYv2Y/edit?usp=sharing"",""งบพรบ!DT82"")"),0)</f>
        <v>0</v>
      </c>
      <c r="I82" s="176">
        <f ca="1">IFERROR(__xludf.DUMMYFUNCTION("IMPORTRANGE(""https://docs.google.com/spreadsheets/d/1-uDff_7J0KD5mKrp0Vvzr7lt3OU09vwQwhkpOPPYv2Y/edit?usp=sharing"",""งบพรบ!DU82"")"),0)</f>
        <v>0</v>
      </c>
      <c r="J82" s="176">
        <f t="shared" ca="1" si="24"/>
        <v>0</v>
      </c>
      <c r="K82" s="181">
        <f t="shared" ca="1" si="25"/>
        <v>0</v>
      </c>
      <c r="L82" s="176">
        <f ca="1">IFERROR(__xludf.DUMMYFUNCTION("IMPORTRANGE(""https://docs.google.com/spreadsheets/d/1-uDff_7J0KD5mKrp0Vvzr7lt3OU09vwQwhkpOPPYv2Y/edit?usp=sharing"",""งบพรบ!DV82"")"),0)</f>
        <v>0</v>
      </c>
      <c r="M82" s="179">
        <f t="shared" ca="1" si="26"/>
        <v>0</v>
      </c>
      <c r="N82" s="179">
        <f t="shared" ca="1" si="27"/>
        <v>0</v>
      </c>
      <c r="O82" s="180">
        <f ca="1">IFERROR(__xludf.DUMMYFUNCTION("IMPORTRANGE(""https://docs.google.com/spreadsheets/d/1-uDff_7J0KD5mKrp0Vvzr7lt3OU09vwQwhkpOPPYv2Y/edit?usp=sharing"",""งบพรบ!DW82"")"),0)</f>
        <v>0</v>
      </c>
      <c r="P82" s="180">
        <f t="shared" ca="1" si="28"/>
        <v>0</v>
      </c>
      <c r="Q82" s="179">
        <f t="shared" ca="1" si="29"/>
        <v>0</v>
      </c>
      <c r="R82" s="92">
        <f ca="1">IFERROR(__xludf.DUMMYFUNCTION("IMPORTRANGE(""https://docs.google.com/spreadsheets/d/17ht0gPKzzT3PObBL1XJkeRmntBXI7wGjpLV7QorqlTk/edit?usp=sharing"",""พัทลุง!I292"")"),0)</f>
        <v>0</v>
      </c>
      <c r="S82" s="92">
        <f ca="1">IFERROR(__xludf.DUMMYFUNCTION("IMPORTRANGE(""https://docs.google.com/spreadsheets/d/17ht0gPKzzT3PObBL1XJkeRmntBXI7wGjpLV7QorqlTk/edit?usp=sharing"",""พัทลุง!J292"")"),0)</f>
        <v>0</v>
      </c>
      <c r="T82" s="93">
        <f t="shared" ca="1" si="31"/>
        <v>0</v>
      </c>
      <c r="U82" s="92">
        <f ca="1">IFERROR(__xludf.DUMMYFUNCTION("IMPORTRANGE(""https://docs.google.com/spreadsheets/d/17ht0gPKzzT3PObBL1XJkeRmntBXI7wGjpLV7QorqlTk/edit?usp=sharing"",""พัทลุง!I293"")"),0)</f>
        <v>0</v>
      </c>
      <c r="V82" s="92">
        <f ca="1">IFERROR(__xludf.DUMMYFUNCTION("IMPORTRANGE(""https://docs.google.com/spreadsheets/d/17ht0gPKzzT3PObBL1XJkeRmntBXI7wGjpLV7QorqlTk/edit?usp=sharing"",""พัทลุง!J293"")"),0)</f>
        <v>0</v>
      </c>
      <c r="W82" s="93">
        <f t="shared" ca="1" si="33"/>
        <v>0</v>
      </c>
      <c r="X82" s="92">
        <f ca="1">IFERROR(__xludf.DUMMYFUNCTION("IMPORTRANGE(""https://docs.google.com/spreadsheets/d/17ht0gPKzzT3PObBL1XJkeRmntBXI7wGjpLV7QorqlTk/edit?usp=sharing"",""พัทลุง!I295"")"),0)</f>
        <v>0</v>
      </c>
      <c r="Y82" s="92">
        <f ca="1">IFERROR(__xludf.DUMMYFUNCTION("IMPORTRANGE(""https://docs.google.com/spreadsheets/d/17ht0gPKzzT3PObBL1XJkeRmntBXI7wGjpLV7QorqlTk/edit?usp=sharing"",""พัทลุง!J295"")"),0)</f>
        <v>0</v>
      </c>
      <c r="Z82" s="93">
        <f t="shared" ca="1" si="35"/>
        <v>0</v>
      </c>
      <c r="AA82" s="311">
        <f ca="1">IFERROR(__xludf.DUMMYFUNCTION("IMPORTRANGE(""https://docs.google.com/spreadsheets/d/17ht0gPKzzT3PObBL1XJkeRmntBXI7wGjpLV7QorqlTk/edit?usp=sharing"",""พัทลุง!J296"")"),0)</f>
        <v>0</v>
      </c>
      <c r="AB82" s="312">
        <f t="shared" ca="1" si="36"/>
        <v>0</v>
      </c>
    </row>
    <row r="83" spans="1:28" ht="21" customHeight="1" x14ac:dyDescent="0.3">
      <c r="A83" s="84">
        <v>9</v>
      </c>
      <c r="B83" s="85" t="s">
        <v>105</v>
      </c>
      <c r="C83" s="174">
        <f t="shared" ca="1" si="22"/>
        <v>0</v>
      </c>
      <c r="D83" s="175">
        <f t="shared" ca="1" si="52"/>
        <v>0</v>
      </c>
      <c r="E83" s="176">
        <f ca="1">IFERROR(__xludf.DUMMYFUNCTION("IMPORTRANGE(""https://docs.google.com/spreadsheets/d/1-uDff_7J0KD5mKrp0Vvzr7lt3OU09vwQwhkpOPPYv2Y/edit?usp=sharing"",""งบพรบ!DP83"")"),0)</f>
        <v>0</v>
      </c>
      <c r="F83" s="176">
        <f ca="1">IFERROR(__xludf.DUMMYFUNCTION("IMPORTRANGE(""https://docs.google.com/spreadsheets/d/1-uDff_7J0KD5mKrp0Vvzr7lt3OU09vwQwhkpOPPYv2Y/edit?usp=sharing"",""งบพรบ!DQ83"")"),0)</f>
        <v>0</v>
      </c>
      <c r="G83" s="176">
        <f ca="1">IFERROR(__xludf.DUMMYFUNCTION("IMPORTRANGE(""https://docs.google.com/spreadsheets/d/1-uDff_7J0KD5mKrp0Vvzr7lt3OU09vwQwhkpOPPYv2Y/edit?usp=sharing"",""งบพรบ!DR83"")"),0)</f>
        <v>0</v>
      </c>
      <c r="H83" s="176">
        <f ca="1">IFERROR(__xludf.DUMMYFUNCTION("IMPORTRANGE(""https://docs.google.com/spreadsheets/d/1-uDff_7J0KD5mKrp0Vvzr7lt3OU09vwQwhkpOPPYv2Y/edit?usp=sharing"",""งบพรบ!DT83"")"),0)</f>
        <v>0</v>
      </c>
      <c r="I83" s="176">
        <f ca="1">IFERROR(__xludf.DUMMYFUNCTION("IMPORTRANGE(""https://docs.google.com/spreadsheets/d/1-uDff_7J0KD5mKrp0Vvzr7lt3OU09vwQwhkpOPPYv2Y/edit?usp=sharing"",""งบพรบ!DU83"")"),0)</f>
        <v>0</v>
      </c>
      <c r="J83" s="176">
        <f t="shared" ca="1" si="24"/>
        <v>0</v>
      </c>
      <c r="K83" s="181">
        <f t="shared" ca="1" si="25"/>
        <v>0</v>
      </c>
      <c r="L83" s="176">
        <f ca="1">IFERROR(__xludf.DUMMYFUNCTION("IMPORTRANGE(""https://docs.google.com/spreadsheets/d/1-uDff_7J0KD5mKrp0Vvzr7lt3OU09vwQwhkpOPPYv2Y/edit?usp=sharing"",""งบพรบ!DV83"")"),0)</f>
        <v>0</v>
      </c>
      <c r="M83" s="179">
        <f t="shared" ca="1" si="26"/>
        <v>0</v>
      </c>
      <c r="N83" s="179">
        <f t="shared" ca="1" si="27"/>
        <v>0</v>
      </c>
      <c r="O83" s="180">
        <f ca="1">IFERROR(__xludf.DUMMYFUNCTION("IMPORTRANGE(""https://docs.google.com/spreadsheets/d/1-uDff_7J0KD5mKrp0Vvzr7lt3OU09vwQwhkpOPPYv2Y/edit?usp=sharing"",""งบพรบ!DW83"")"),0)</f>
        <v>0</v>
      </c>
      <c r="P83" s="180">
        <f t="shared" ca="1" si="28"/>
        <v>0</v>
      </c>
      <c r="Q83" s="179">
        <f t="shared" ca="1" si="29"/>
        <v>0</v>
      </c>
      <c r="R83" s="92">
        <f ca="1">IFERROR(__xludf.DUMMYFUNCTION("IMPORTRANGE(""https://docs.google.com/spreadsheets/d/1rd4qoM1q_hsgaolqNGfrim9gbsoLxQsda4-vOz5x_BM/edit?usp=sharing"",""ภูเก็ต!I292"")"),0)</f>
        <v>0</v>
      </c>
      <c r="S83" s="92">
        <f ca="1">IFERROR(__xludf.DUMMYFUNCTION("IMPORTRANGE(""https://docs.google.com/spreadsheets/d/1rd4qoM1q_hsgaolqNGfrim9gbsoLxQsda4-vOz5x_BM/edit?usp=sharing"",""ภูเก็ต!J292"")"),0)</f>
        <v>0</v>
      </c>
      <c r="T83" s="93">
        <f t="shared" ca="1" si="31"/>
        <v>0</v>
      </c>
      <c r="U83" s="92">
        <f ca="1">IFERROR(__xludf.DUMMYFUNCTION("IMPORTRANGE(""https://docs.google.com/spreadsheets/d/1rd4qoM1q_hsgaolqNGfrim9gbsoLxQsda4-vOz5x_BM/edit?usp=sharing"",""ภูเก็ต!I293"")"),0)</f>
        <v>0</v>
      </c>
      <c r="V83" s="92">
        <f ca="1">IFERROR(__xludf.DUMMYFUNCTION("IMPORTRANGE(""https://docs.google.com/spreadsheets/d/1rd4qoM1q_hsgaolqNGfrim9gbsoLxQsda4-vOz5x_BM/edit?usp=sharing"",""ภูเก็ต!J293"")"),0)</f>
        <v>0</v>
      </c>
      <c r="W83" s="93">
        <f t="shared" ca="1" si="33"/>
        <v>0</v>
      </c>
      <c r="X83" s="92">
        <f ca="1">IFERROR(__xludf.DUMMYFUNCTION("IMPORTRANGE(""https://docs.google.com/spreadsheets/d/1rd4qoM1q_hsgaolqNGfrim9gbsoLxQsda4-vOz5x_BM/edit?usp=sharing"",""ภูเก็ต!I295"")"),0)</f>
        <v>0</v>
      </c>
      <c r="Y83" s="92">
        <f ca="1">IFERROR(__xludf.DUMMYFUNCTION("IMPORTRANGE(""https://docs.google.com/spreadsheets/d/1rd4qoM1q_hsgaolqNGfrim9gbsoLxQsda4-vOz5x_BM/edit?usp=sharing"",""ภูเก็ต!J295"")"),0)</f>
        <v>0</v>
      </c>
      <c r="Z83" s="93">
        <f t="shared" ca="1" si="35"/>
        <v>0</v>
      </c>
      <c r="AA83" s="311">
        <f ca="1">IFERROR(__xludf.DUMMYFUNCTION("IMPORTRANGE(""https://docs.google.com/spreadsheets/d/1rd4qoM1q_hsgaolqNGfrim9gbsoLxQsda4-vOz5x_BM/edit?usp=sharing"",""ภูเก็ต!J296"")"),0)</f>
        <v>0</v>
      </c>
      <c r="AB83" s="312">
        <f t="shared" ca="1" si="36"/>
        <v>0</v>
      </c>
    </row>
    <row r="84" spans="1:28" ht="21" customHeight="1" x14ac:dyDescent="0.3">
      <c r="A84" s="84">
        <v>10</v>
      </c>
      <c r="B84" s="85" t="s">
        <v>106</v>
      </c>
      <c r="C84" s="174">
        <f t="shared" ca="1" si="22"/>
        <v>0</v>
      </c>
      <c r="D84" s="175">
        <f t="shared" ca="1" si="52"/>
        <v>0</v>
      </c>
      <c r="E84" s="176">
        <f ca="1">IFERROR(__xludf.DUMMYFUNCTION("IMPORTRANGE(""https://docs.google.com/spreadsheets/d/1-uDff_7J0KD5mKrp0Vvzr7lt3OU09vwQwhkpOPPYv2Y/edit?usp=sharing"",""งบพรบ!DP84"")"),0)</f>
        <v>0</v>
      </c>
      <c r="F84" s="176">
        <f ca="1">IFERROR(__xludf.DUMMYFUNCTION("IMPORTRANGE(""https://docs.google.com/spreadsheets/d/1-uDff_7J0KD5mKrp0Vvzr7lt3OU09vwQwhkpOPPYv2Y/edit?usp=sharing"",""งบพรบ!DQ84"")"),0)</f>
        <v>0</v>
      </c>
      <c r="G84" s="176">
        <f ca="1">IFERROR(__xludf.DUMMYFUNCTION("IMPORTRANGE(""https://docs.google.com/spreadsheets/d/1-uDff_7J0KD5mKrp0Vvzr7lt3OU09vwQwhkpOPPYv2Y/edit?usp=sharing"",""งบพรบ!DR84"")"),0)</f>
        <v>0</v>
      </c>
      <c r="H84" s="176">
        <f ca="1">IFERROR(__xludf.DUMMYFUNCTION("IMPORTRANGE(""https://docs.google.com/spreadsheets/d/1-uDff_7J0KD5mKrp0Vvzr7lt3OU09vwQwhkpOPPYv2Y/edit?usp=sharing"",""งบพรบ!DT84"")"),0)</f>
        <v>0</v>
      </c>
      <c r="I84" s="176">
        <f ca="1">IFERROR(__xludf.DUMMYFUNCTION("IMPORTRANGE(""https://docs.google.com/spreadsheets/d/1-uDff_7J0KD5mKrp0Vvzr7lt3OU09vwQwhkpOPPYv2Y/edit?usp=sharing"",""งบพรบ!DU84"")"),0)</f>
        <v>0</v>
      </c>
      <c r="J84" s="176">
        <f t="shared" ca="1" si="24"/>
        <v>0</v>
      </c>
      <c r="K84" s="181">
        <f t="shared" ca="1" si="25"/>
        <v>0</v>
      </c>
      <c r="L84" s="176">
        <f ca="1">IFERROR(__xludf.DUMMYFUNCTION("IMPORTRANGE(""https://docs.google.com/spreadsheets/d/1-uDff_7J0KD5mKrp0Vvzr7lt3OU09vwQwhkpOPPYv2Y/edit?usp=sharing"",""งบพรบ!DV84"")"),0)</f>
        <v>0</v>
      </c>
      <c r="M84" s="179">
        <f t="shared" ca="1" si="26"/>
        <v>0</v>
      </c>
      <c r="N84" s="179">
        <f t="shared" ca="1" si="27"/>
        <v>0</v>
      </c>
      <c r="O84" s="180">
        <f ca="1">IFERROR(__xludf.DUMMYFUNCTION("IMPORTRANGE(""https://docs.google.com/spreadsheets/d/1-uDff_7J0KD5mKrp0Vvzr7lt3OU09vwQwhkpOPPYv2Y/edit?usp=sharing"",""งบพรบ!DW84"")"),0)</f>
        <v>0</v>
      </c>
      <c r="P84" s="180">
        <f t="shared" ca="1" si="28"/>
        <v>0</v>
      </c>
      <c r="Q84" s="179">
        <f t="shared" ca="1" si="29"/>
        <v>0</v>
      </c>
      <c r="R84" s="92">
        <f ca="1">IFERROR(__xludf.DUMMYFUNCTION("IMPORTRANGE(""https://docs.google.com/spreadsheets/d/1woKwKjgoLssDvPcPeVyezB5izizAn4X1JDrys69n6xI/edit?usp=sharing"",""ยะลา!I292"")"),0)</f>
        <v>0</v>
      </c>
      <c r="S84" s="92">
        <f ca="1">IFERROR(__xludf.DUMMYFUNCTION("IMPORTRANGE(""https://docs.google.com/spreadsheets/d/1woKwKjgoLssDvPcPeVyezB5izizAn4X1JDrys69n6xI/edit?usp=sharing"",""ยะลา!J292"")"),0)</f>
        <v>0</v>
      </c>
      <c r="T84" s="93">
        <f t="shared" ca="1" si="31"/>
        <v>0</v>
      </c>
      <c r="U84" s="92">
        <f ca="1">IFERROR(__xludf.DUMMYFUNCTION("IMPORTRANGE(""https://docs.google.com/spreadsheets/d/1woKwKjgoLssDvPcPeVyezB5izizAn4X1JDrys69n6xI/edit?usp=sharing"",""ยะลา!I293"")"),0)</f>
        <v>0</v>
      </c>
      <c r="V84" s="92">
        <f ca="1">IFERROR(__xludf.DUMMYFUNCTION("IMPORTRANGE(""https://docs.google.com/spreadsheets/d/1woKwKjgoLssDvPcPeVyezB5izizAn4X1JDrys69n6xI/edit?usp=sharing"",""ยะลา!J293"")"),0)</f>
        <v>0</v>
      </c>
      <c r="W84" s="93">
        <f t="shared" ca="1" si="33"/>
        <v>0</v>
      </c>
      <c r="X84" s="92">
        <f ca="1">IFERROR(__xludf.DUMMYFUNCTION("IMPORTRANGE(""https://docs.google.com/spreadsheets/d/1woKwKjgoLssDvPcPeVyezB5izizAn4X1JDrys69n6xI/edit?usp=sharing"",""ยะลา!I295"")"),0)</f>
        <v>0</v>
      </c>
      <c r="Y84" s="92">
        <f ca="1">IFERROR(__xludf.DUMMYFUNCTION("IMPORTRANGE(""https://docs.google.com/spreadsheets/d/1woKwKjgoLssDvPcPeVyezB5izizAn4X1JDrys69n6xI/edit?usp=sharing"",""ยะลา!J295"")"),0)</f>
        <v>0</v>
      </c>
      <c r="Z84" s="93">
        <f t="shared" ca="1" si="35"/>
        <v>0</v>
      </c>
      <c r="AA84" s="311">
        <f ca="1">IFERROR(__xludf.DUMMYFUNCTION("IMPORTRANGE(""https://docs.google.com/spreadsheets/d/1woKwKjgoLssDvPcPeVyezB5izizAn4X1JDrys69n6xI/edit?usp=sharing"",""ยะลา!J296"")"),0)</f>
        <v>0</v>
      </c>
      <c r="AB84" s="312">
        <f t="shared" ca="1" si="36"/>
        <v>0</v>
      </c>
    </row>
    <row r="85" spans="1:28" ht="21" customHeight="1" x14ac:dyDescent="0.3">
      <c r="A85" s="84">
        <v>11</v>
      </c>
      <c r="B85" s="85" t="s">
        <v>107</v>
      </c>
      <c r="C85" s="174">
        <f t="shared" ca="1" si="22"/>
        <v>0</v>
      </c>
      <c r="D85" s="175">
        <f t="shared" ca="1" si="52"/>
        <v>0</v>
      </c>
      <c r="E85" s="176">
        <f ca="1">IFERROR(__xludf.DUMMYFUNCTION("IMPORTRANGE(""https://docs.google.com/spreadsheets/d/1-uDff_7J0KD5mKrp0Vvzr7lt3OU09vwQwhkpOPPYv2Y/edit?usp=sharing"",""งบพรบ!DP85"")"),0)</f>
        <v>0</v>
      </c>
      <c r="F85" s="176">
        <f ca="1">IFERROR(__xludf.DUMMYFUNCTION("IMPORTRANGE(""https://docs.google.com/spreadsheets/d/1-uDff_7J0KD5mKrp0Vvzr7lt3OU09vwQwhkpOPPYv2Y/edit?usp=sharing"",""งบพรบ!DQ85"")"),0)</f>
        <v>0</v>
      </c>
      <c r="G85" s="176">
        <f ca="1">IFERROR(__xludf.DUMMYFUNCTION("IMPORTRANGE(""https://docs.google.com/spreadsheets/d/1-uDff_7J0KD5mKrp0Vvzr7lt3OU09vwQwhkpOPPYv2Y/edit?usp=sharing"",""งบพรบ!DR85"")"),0)</f>
        <v>0</v>
      </c>
      <c r="H85" s="176">
        <f ca="1">IFERROR(__xludf.DUMMYFUNCTION("IMPORTRANGE(""https://docs.google.com/spreadsheets/d/1-uDff_7J0KD5mKrp0Vvzr7lt3OU09vwQwhkpOPPYv2Y/edit?usp=sharing"",""งบพรบ!DT85"")"),0)</f>
        <v>0</v>
      </c>
      <c r="I85" s="176">
        <f ca="1">IFERROR(__xludf.DUMMYFUNCTION("IMPORTRANGE(""https://docs.google.com/spreadsheets/d/1-uDff_7J0KD5mKrp0Vvzr7lt3OU09vwQwhkpOPPYv2Y/edit?usp=sharing"",""งบพรบ!DU85"")"),0)</f>
        <v>0</v>
      </c>
      <c r="J85" s="176">
        <f t="shared" ca="1" si="24"/>
        <v>0</v>
      </c>
      <c r="K85" s="181">
        <f t="shared" ca="1" si="25"/>
        <v>0</v>
      </c>
      <c r="L85" s="176">
        <f ca="1">IFERROR(__xludf.DUMMYFUNCTION("IMPORTRANGE(""https://docs.google.com/spreadsheets/d/1-uDff_7J0KD5mKrp0Vvzr7lt3OU09vwQwhkpOPPYv2Y/edit?usp=sharing"",""งบพรบ!DV85"")"),0)</f>
        <v>0</v>
      </c>
      <c r="M85" s="179">
        <f t="shared" ca="1" si="26"/>
        <v>0</v>
      </c>
      <c r="N85" s="179">
        <f t="shared" ca="1" si="27"/>
        <v>0</v>
      </c>
      <c r="O85" s="180">
        <f ca="1">IFERROR(__xludf.DUMMYFUNCTION("IMPORTRANGE(""https://docs.google.com/spreadsheets/d/1-uDff_7J0KD5mKrp0Vvzr7lt3OU09vwQwhkpOPPYv2Y/edit?usp=sharing"",""งบพรบ!DW85"")"),0)</f>
        <v>0</v>
      </c>
      <c r="P85" s="180">
        <f t="shared" ca="1" si="28"/>
        <v>0</v>
      </c>
      <c r="Q85" s="179">
        <f t="shared" ca="1" si="29"/>
        <v>0</v>
      </c>
      <c r="R85" s="92">
        <f ca="1">IFERROR(__xludf.DUMMYFUNCTION("IMPORTRANGE(""https://docs.google.com/spreadsheets/d/1qfrKjzMhm2HJfxQ-qVlJlJQ25Hne1d0khsySbZyGtPA/edit?usp=sharing"",""ระนอง!I292"")"),0)</f>
        <v>0</v>
      </c>
      <c r="S85" s="92">
        <f ca="1">IFERROR(__xludf.DUMMYFUNCTION("IMPORTRANGE(""https://docs.google.com/spreadsheets/d/1qfrKjzMhm2HJfxQ-qVlJlJQ25Hne1d0khsySbZyGtPA/edit?usp=sharing"",""ระนอง!J292"")"),0)</f>
        <v>0</v>
      </c>
      <c r="T85" s="93">
        <f t="shared" ca="1" si="31"/>
        <v>0</v>
      </c>
      <c r="U85" s="92">
        <f ca="1">IFERROR(__xludf.DUMMYFUNCTION("IMPORTRANGE(""https://docs.google.com/spreadsheets/d/1qfrKjzMhm2HJfxQ-qVlJlJQ25Hne1d0khsySbZyGtPA/edit?usp=sharing"",""ระนอง!I293"")"),0)</f>
        <v>0</v>
      </c>
      <c r="V85" s="92">
        <f ca="1">IFERROR(__xludf.DUMMYFUNCTION("IMPORTRANGE(""https://docs.google.com/spreadsheets/d/1qfrKjzMhm2HJfxQ-qVlJlJQ25Hne1d0khsySbZyGtPA/edit?usp=sharing"",""ระนอง!J293"")"),0)</f>
        <v>0</v>
      </c>
      <c r="W85" s="93">
        <f t="shared" ca="1" si="33"/>
        <v>0</v>
      </c>
      <c r="X85" s="92">
        <f ca="1">IFERROR(__xludf.DUMMYFUNCTION("IMPORTRANGE(""https://docs.google.com/spreadsheets/d/1qfrKjzMhm2HJfxQ-qVlJlJQ25Hne1d0khsySbZyGtPA/edit?usp=sharing"",""ระนอง!I295"")"),0)</f>
        <v>0</v>
      </c>
      <c r="Y85" s="92">
        <f ca="1">IFERROR(__xludf.DUMMYFUNCTION("IMPORTRANGE(""https://docs.google.com/spreadsheets/d/1qfrKjzMhm2HJfxQ-qVlJlJQ25Hne1d0khsySbZyGtPA/edit?usp=sharing"",""ระนอง!J295"")"),0)</f>
        <v>0</v>
      </c>
      <c r="Z85" s="93">
        <f t="shared" ca="1" si="35"/>
        <v>0</v>
      </c>
      <c r="AA85" s="311">
        <f ca="1">IFERROR(__xludf.DUMMYFUNCTION("IMPORTRANGE(""https://docs.google.com/spreadsheets/d/1qfrKjzMhm2HJfxQ-qVlJlJQ25Hne1d0khsySbZyGtPA/edit?usp=sharing"",""ระนอง!J296"")"),0)</f>
        <v>0</v>
      </c>
      <c r="AB85" s="312">
        <f t="shared" ca="1" si="36"/>
        <v>0</v>
      </c>
    </row>
    <row r="86" spans="1:28" ht="24" customHeight="1" x14ac:dyDescent="0.3">
      <c r="A86" s="84">
        <v>12</v>
      </c>
      <c r="B86" s="85" t="s">
        <v>108</v>
      </c>
      <c r="C86" s="174">
        <f t="shared" ca="1" si="22"/>
        <v>0</v>
      </c>
      <c r="D86" s="175">
        <f t="shared" ca="1" si="52"/>
        <v>0</v>
      </c>
      <c r="E86" s="176">
        <f ca="1">IFERROR(__xludf.DUMMYFUNCTION("IMPORTRANGE(""https://docs.google.com/spreadsheets/d/1-uDff_7J0KD5mKrp0Vvzr7lt3OU09vwQwhkpOPPYv2Y/edit?usp=sharing"",""งบพรบ!DP86"")"),0)</f>
        <v>0</v>
      </c>
      <c r="F86" s="176">
        <f ca="1">IFERROR(__xludf.DUMMYFUNCTION("IMPORTRANGE(""https://docs.google.com/spreadsheets/d/1-uDff_7J0KD5mKrp0Vvzr7lt3OU09vwQwhkpOPPYv2Y/edit?usp=sharing"",""งบพรบ!DQ86"")"),0)</f>
        <v>0</v>
      </c>
      <c r="G86" s="176">
        <f ca="1">IFERROR(__xludf.DUMMYFUNCTION("IMPORTRANGE(""https://docs.google.com/spreadsheets/d/1-uDff_7J0KD5mKrp0Vvzr7lt3OU09vwQwhkpOPPYv2Y/edit?usp=sharing"",""งบพรบ!DR86"")"),0)</f>
        <v>0</v>
      </c>
      <c r="H86" s="176">
        <f ca="1">IFERROR(__xludf.DUMMYFUNCTION("IMPORTRANGE(""https://docs.google.com/spreadsheets/d/1-uDff_7J0KD5mKrp0Vvzr7lt3OU09vwQwhkpOPPYv2Y/edit?usp=sharing"",""งบพรบ!DT86"")"),0)</f>
        <v>0</v>
      </c>
      <c r="I86" s="176">
        <f ca="1">IFERROR(__xludf.DUMMYFUNCTION("IMPORTRANGE(""https://docs.google.com/spreadsheets/d/1-uDff_7J0KD5mKrp0Vvzr7lt3OU09vwQwhkpOPPYv2Y/edit?usp=sharing"",""งบพรบ!DU86"")"),0)</f>
        <v>0</v>
      </c>
      <c r="J86" s="176">
        <f t="shared" ca="1" si="24"/>
        <v>0</v>
      </c>
      <c r="K86" s="181">
        <f t="shared" ca="1" si="25"/>
        <v>0</v>
      </c>
      <c r="L86" s="176">
        <f ca="1">IFERROR(__xludf.DUMMYFUNCTION("IMPORTRANGE(""https://docs.google.com/spreadsheets/d/1-uDff_7J0KD5mKrp0Vvzr7lt3OU09vwQwhkpOPPYv2Y/edit?usp=sharing"",""งบพรบ!DV86"")"),0)</f>
        <v>0</v>
      </c>
      <c r="M86" s="179">
        <f t="shared" ca="1" si="26"/>
        <v>0</v>
      </c>
      <c r="N86" s="179">
        <f t="shared" ca="1" si="27"/>
        <v>0</v>
      </c>
      <c r="O86" s="180">
        <f ca="1">IFERROR(__xludf.DUMMYFUNCTION("IMPORTRANGE(""https://docs.google.com/spreadsheets/d/1-uDff_7J0KD5mKrp0Vvzr7lt3OU09vwQwhkpOPPYv2Y/edit?usp=sharing"",""งบพรบ!DW86"")"),0)</f>
        <v>0</v>
      </c>
      <c r="P86" s="180">
        <f t="shared" ca="1" si="28"/>
        <v>0</v>
      </c>
      <c r="Q86" s="179">
        <f t="shared" ca="1" si="29"/>
        <v>0</v>
      </c>
      <c r="R86" s="92">
        <f ca="1">IFERROR(__xludf.DUMMYFUNCTION("IMPORTRANGE(""https://docs.google.com/spreadsheets/d/1IbSCnFOKpZsnFogBHJnL_isstZVaOMnFiIN0fGTPZZw/edit?usp=sharing"",""สงขลา!I292"")"),0)</f>
        <v>0</v>
      </c>
      <c r="S86" s="92">
        <f ca="1">IFERROR(__xludf.DUMMYFUNCTION("IMPORTRANGE(""https://docs.google.com/spreadsheets/d/1IbSCnFOKpZsnFogBHJnL_isstZVaOMnFiIN0fGTPZZw/edit?usp=sharing"",""สงขลา!J292"")"),0)</f>
        <v>0</v>
      </c>
      <c r="T86" s="93">
        <f t="shared" ca="1" si="31"/>
        <v>0</v>
      </c>
      <c r="U86" s="92">
        <f ca="1">IFERROR(__xludf.DUMMYFUNCTION("IMPORTRANGE(""https://docs.google.com/spreadsheets/d/1IbSCnFOKpZsnFogBHJnL_isstZVaOMnFiIN0fGTPZZw/edit?usp=sharing"",""สงขลา!I293"")"),0)</f>
        <v>0</v>
      </c>
      <c r="V86" s="92">
        <f ca="1">IFERROR(__xludf.DUMMYFUNCTION("IMPORTRANGE(""https://docs.google.com/spreadsheets/d/1IbSCnFOKpZsnFogBHJnL_isstZVaOMnFiIN0fGTPZZw/edit?usp=sharing"",""สงขลา!J293"")"),0)</f>
        <v>0</v>
      </c>
      <c r="W86" s="93">
        <f t="shared" ca="1" si="33"/>
        <v>0</v>
      </c>
      <c r="X86" s="92">
        <f ca="1">IFERROR(__xludf.DUMMYFUNCTION("IMPORTRANGE(""https://docs.google.com/spreadsheets/d/1IbSCnFOKpZsnFogBHJnL_isstZVaOMnFiIN0fGTPZZw/edit?usp=sharing"",""สงขลา!I295"")"),0)</f>
        <v>0</v>
      </c>
      <c r="Y86" s="92">
        <f ca="1">IFERROR(__xludf.DUMMYFUNCTION("IMPORTRANGE(""https://docs.google.com/spreadsheets/d/1IbSCnFOKpZsnFogBHJnL_isstZVaOMnFiIN0fGTPZZw/edit?usp=sharing"",""สงขลา!J295"")"),0)</f>
        <v>0</v>
      </c>
      <c r="Z86" s="93">
        <f t="shared" ca="1" si="35"/>
        <v>0</v>
      </c>
      <c r="AA86" s="311">
        <f ca="1">IFERROR(__xludf.DUMMYFUNCTION("IMPORTRANGE(""https://docs.google.com/spreadsheets/d/1IbSCnFOKpZsnFogBHJnL_isstZVaOMnFiIN0fGTPZZw/edit?usp=sharing"",""สงขลา!J296"")"),0)</f>
        <v>0</v>
      </c>
      <c r="AB86" s="312">
        <f t="shared" ca="1" si="36"/>
        <v>0</v>
      </c>
    </row>
    <row r="87" spans="1:28" ht="24" customHeight="1" x14ac:dyDescent="0.3">
      <c r="A87" s="84">
        <v>13</v>
      </c>
      <c r="B87" s="85" t="s">
        <v>109</v>
      </c>
      <c r="C87" s="174">
        <f t="shared" ca="1" si="22"/>
        <v>0</v>
      </c>
      <c r="D87" s="175">
        <f t="shared" ca="1" si="52"/>
        <v>0</v>
      </c>
      <c r="E87" s="176">
        <f ca="1">IFERROR(__xludf.DUMMYFUNCTION("IMPORTRANGE(""https://docs.google.com/spreadsheets/d/1-uDff_7J0KD5mKrp0Vvzr7lt3OU09vwQwhkpOPPYv2Y/edit?usp=sharing"",""งบพรบ!DP87"")"),0)</f>
        <v>0</v>
      </c>
      <c r="F87" s="176">
        <f ca="1">IFERROR(__xludf.DUMMYFUNCTION("IMPORTRANGE(""https://docs.google.com/spreadsheets/d/1-uDff_7J0KD5mKrp0Vvzr7lt3OU09vwQwhkpOPPYv2Y/edit?usp=sharing"",""งบพรบ!DQ87"")"),0)</f>
        <v>0</v>
      </c>
      <c r="G87" s="176">
        <f ca="1">IFERROR(__xludf.DUMMYFUNCTION("IMPORTRANGE(""https://docs.google.com/spreadsheets/d/1-uDff_7J0KD5mKrp0Vvzr7lt3OU09vwQwhkpOPPYv2Y/edit?usp=sharing"",""งบพรบ!DR87"")"),0)</f>
        <v>0</v>
      </c>
      <c r="H87" s="176">
        <f ca="1">IFERROR(__xludf.DUMMYFUNCTION("IMPORTRANGE(""https://docs.google.com/spreadsheets/d/1-uDff_7J0KD5mKrp0Vvzr7lt3OU09vwQwhkpOPPYv2Y/edit?usp=sharing"",""งบพรบ!DT87"")"),0)</f>
        <v>0</v>
      </c>
      <c r="I87" s="176">
        <f ca="1">IFERROR(__xludf.DUMMYFUNCTION("IMPORTRANGE(""https://docs.google.com/spreadsheets/d/1-uDff_7J0KD5mKrp0Vvzr7lt3OU09vwQwhkpOPPYv2Y/edit?usp=sharing"",""งบพรบ!DU87"")"),0)</f>
        <v>0</v>
      </c>
      <c r="J87" s="176">
        <f t="shared" ca="1" si="24"/>
        <v>0</v>
      </c>
      <c r="K87" s="181">
        <f t="shared" ca="1" si="25"/>
        <v>0</v>
      </c>
      <c r="L87" s="176">
        <f ca="1">IFERROR(__xludf.DUMMYFUNCTION("IMPORTRANGE(""https://docs.google.com/spreadsheets/d/1-uDff_7J0KD5mKrp0Vvzr7lt3OU09vwQwhkpOPPYv2Y/edit?usp=sharing"",""งบพรบ!DV87"")"),0)</f>
        <v>0</v>
      </c>
      <c r="M87" s="179">
        <f t="shared" ca="1" si="26"/>
        <v>0</v>
      </c>
      <c r="N87" s="179">
        <f t="shared" ca="1" si="27"/>
        <v>0</v>
      </c>
      <c r="O87" s="180">
        <f ca="1">IFERROR(__xludf.DUMMYFUNCTION("IMPORTRANGE(""https://docs.google.com/spreadsheets/d/1-uDff_7J0KD5mKrp0Vvzr7lt3OU09vwQwhkpOPPYv2Y/edit?usp=sharing"",""งบพรบ!DW87"")"),0)</f>
        <v>0</v>
      </c>
      <c r="P87" s="180">
        <f t="shared" ca="1" si="28"/>
        <v>0</v>
      </c>
      <c r="Q87" s="179">
        <f t="shared" ca="1" si="29"/>
        <v>0</v>
      </c>
      <c r="R87" s="92">
        <f ca="1">IFERROR(__xludf.DUMMYFUNCTION("IMPORTRANGE(""https://docs.google.com/spreadsheets/d/1q9nWasZJ-K8bFGvbE9n0qSRuKGA4Toe3Y89cKCiVtCU/edit?usp=sharing"",""สตูล!I292"")"),0)</f>
        <v>0</v>
      </c>
      <c r="S87" s="92">
        <f ca="1">IFERROR(__xludf.DUMMYFUNCTION("IMPORTRANGE(""https://docs.google.com/spreadsheets/d/1q9nWasZJ-K8bFGvbE9n0qSRuKGA4Toe3Y89cKCiVtCU/edit?usp=sharing"",""สตูล!J292"")"),0)</f>
        <v>0</v>
      </c>
      <c r="T87" s="93">
        <f t="shared" ca="1" si="31"/>
        <v>0</v>
      </c>
      <c r="U87" s="92">
        <f ca="1">IFERROR(__xludf.DUMMYFUNCTION("IMPORTRANGE(""https://docs.google.com/spreadsheets/d/1q9nWasZJ-K8bFGvbE9n0qSRuKGA4Toe3Y89cKCiVtCU/edit?usp=sharing"",""สตูล!I293"")"),0)</f>
        <v>0</v>
      </c>
      <c r="V87" s="92">
        <f ca="1">IFERROR(__xludf.DUMMYFUNCTION("IMPORTRANGE(""https://docs.google.com/spreadsheets/d/1q9nWasZJ-K8bFGvbE9n0qSRuKGA4Toe3Y89cKCiVtCU/edit?usp=sharing"",""สตูล!J293"")"),0)</f>
        <v>0</v>
      </c>
      <c r="W87" s="93">
        <f t="shared" ca="1" si="33"/>
        <v>0</v>
      </c>
      <c r="X87" s="92">
        <f ca="1">IFERROR(__xludf.DUMMYFUNCTION("IMPORTRANGE(""https://docs.google.com/spreadsheets/d/1q9nWasZJ-K8bFGvbE9n0qSRuKGA4Toe3Y89cKCiVtCU/edit?usp=sharing"",""สตูล!I295"")"),0)</f>
        <v>0</v>
      </c>
      <c r="Y87" s="92">
        <f ca="1">IFERROR(__xludf.DUMMYFUNCTION("IMPORTRANGE(""https://docs.google.com/spreadsheets/d/1q9nWasZJ-K8bFGvbE9n0qSRuKGA4Toe3Y89cKCiVtCU/edit?usp=sharing"",""สตูล!J295"")"),0)</f>
        <v>0</v>
      </c>
      <c r="Z87" s="93">
        <f t="shared" ca="1" si="35"/>
        <v>0</v>
      </c>
      <c r="AA87" s="311">
        <f ca="1">IFERROR(__xludf.DUMMYFUNCTION("IMPORTRANGE(""https://docs.google.com/spreadsheets/d/1q9nWasZJ-K8bFGvbE9n0qSRuKGA4Toe3Y89cKCiVtCU/edit?usp=sharing"",""สตูล!J296"")"),0)</f>
        <v>0</v>
      </c>
      <c r="AB87" s="312">
        <f t="shared" ca="1" si="36"/>
        <v>0</v>
      </c>
    </row>
    <row r="88" spans="1:28" ht="24" customHeight="1" x14ac:dyDescent="0.3">
      <c r="A88" s="95">
        <v>14</v>
      </c>
      <c r="B88" s="96" t="s">
        <v>110</v>
      </c>
      <c r="C88" s="184">
        <f t="shared" ca="1" si="22"/>
        <v>292520</v>
      </c>
      <c r="D88" s="185">
        <f t="shared" ca="1" si="52"/>
        <v>292520</v>
      </c>
      <c r="E88" s="186">
        <f ca="1">IFERROR(__xludf.DUMMYFUNCTION("IMPORTRANGE(""https://docs.google.com/spreadsheets/d/1-uDff_7J0KD5mKrp0Vvzr7lt3OU09vwQwhkpOPPYv2Y/edit?usp=sharing"",""งบพรบ!DP88"")"),236400)</f>
        <v>236400</v>
      </c>
      <c r="F88" s="186">
        <f ca="1">IFERROR(__xludf.DUMMYFUNCTION("IMPORTRANGE(""https://docs.google.com/spreadsheets/d/1-uDff_7J0KD5mKrp0Vvzr7lt3OU09vwQwhkpOPPYv2Y/edit?usp=sharing"",""งบพรบ!DQ88"")"),56120)</f>
        <v>56120</v>
      </c>
      <c r="G88" s="186">
        <f ca="1">IFERROR(__xludf.DUMMYFUNCTION("IMPORTRANGE(""https://docs.google.com/spreadsheets/d/1-uDff_7J0KD5mKrp0Vvzr7lt3OU09vwQwhkpOPPYv2Y/edit?usp=sharing"",""งบพรบ!DR88"")"),0)</f>
        <v>0</v>
      </c>
      <c r="H88" s="186">
        <f ca="1">IFERROR(__xludf.DUMMYFUNCTION("IMPORTRANGE(""https://docs.google.com/spreadsheets/d/1-uDff_7J0KD5mKrp0Vvzr7lt3OU09vwQwhkpOPPYv2Y/edit?usp=sharing"",""งบพรบ!DT88"")"),213480)</f>
        <v>213480</v>
      </c>
      <c r="I88" s="186">
        <f ca="1">IFERROR(__xludf.DUMMYFUNCTION("IMPORTRANGE(""https://docs.google.com/spreadsheets/d/1-uDff_7J0KD5mKrp0Vvzr7lt3OU09vwQwhkpOPPYv2Y/edit?usp=sharing"",""งบพรบ!DU88"")"),0)</f>
        <v>0</v>
      </c>
      <c r="J88" s="186">
        <f t="shared" ca="1" si="24"/>
        <v>78718.850000000006</v>
      </c>
      <c r="K88" s="187">
        <f t="shared" ca="1" si="25"/>
        <v>26.910587310269385</v>
      </c>
      <c r="L88" s="186">
        <f ca="1">IFERROR(__xludf.DUMMYFUNCTION("IMPORTRANGE(""https://docs.google.com/spreadsheets/d/1-uDff_7J0KD5mKrp0Vvzr7lt3OU09vwQwhkpOPPYv2Y/edit?usp=sharing"",""งบพรบ!DV88"")"),78718.85)</f>
        <v>78718.850000000006</v>
      </c>
      <c r="M88" s="188">
        <f t="shared" ca="1" si="26"/>
        <v>26.910587310269385</v>
      </c>
      <c r="N88" s="188">
        <f t="shared" ca="1" si="27"/>
        <v>36.874109986884022</v>
      </c>
      <c r="O88" s="189">
        <f ca="1">IFERROR(__xludf.DUMMYFUNCTION("IMPORTRANGE(""https://docs.google.com/spreadsheets/d/1-uDff_7J0KD5mKrp0Vvzr7lt3OU09vwQwhkpOPPYv2Y/edit?usp=sharing"",""งบพรบ!DW88"")"),0)</f>
        <v>0</v>
      </c>
      <c r="P88" s="189">
        <f t="shared" ca="1" si="28"/>
        <v>0</v>
      </c>
      <c r="Q88" s="188">
        <f t="shared" ca="1" si="29"/>
        <v>0</v>
      </c>
      <c r="R88" s="103">
        <f ca="1">IFERROR(__xludf.DUMMYFUNCTION("IMPORTRANGE(""https://docs.google.com/spreadsheets/d/18T20gbkS_WBjdscyTOV05cvq_JqvqQ17C81mpxf7Ncs/edit?usp=sharing"",""สุราษฎร์ธานี!I292"")"),100)</f>
        <v>100</v>
      </c>
      <c r="S88" s="103">
        <f ca="1">IFERROR(__xludf.DUMMYFUNCTION("IMPORTRANGE(""https://docs.google.com/spreadsheets/d/18T20gbkS_WBjdscyTOV05cvq_JqvqQ17C81mpxf7Ncs/edit?usp=sharing"",""สุราษฎร์ธานี!J292"")"),0)</f>
        <v>0</v>
      </c>
      <c r="T88" s="104">
        <f t="shared" ca="1" si="31"/>
        <v>0</v>
      </c>
      <c r="U88" s="103">
        <f ca="1">IFERROR(__xludf.DUMMYFUNCTION("IMPORTRANGE(""https://docs.google.com/spreadsheets/d/18T20gbkS_WBjdscyTOV05cvq_JqvqQ17C81mpxf7Ncs/edit?usp=sharing"",""สุราษฎร์ธานี!I293"")"),10)</f>
        <v>10</v>
      </c>
      <c r="V88" s="103">
        <f ca="1">IFERROR(__xludf.DUMMYFUNCTION("IMPORTRANGE(""https://docs.google.com/spreadsheets/d/18T20gbkS_WBjdscyTOV05cvq_JqvqQ17C81mpxf7Ncs/edit?usp=sharing"",""สุราษฎร์ธานี!J293"")"),0)</f>
        <v>0</v>
      </c>
      <c r="W88" s="104">
        <f t="shared" ca="1" si="33"/>
        <v>0</v>
      </c>
      <c r="X88" s="103">
        <f ca="1">IFERROR(__xludf.DUMMYFUNCTION("IMPORTRANGE(""https://docs.google.com/spreadsheets/d/18T20gbkS_WBjdscyTOV05cvq_JqvqQ17C81mpxf7Ncs/edit?usp=sharing"",""สุราษฎร์ธานี!I295"")"),10)</f>
        <v>10</v>
      </c>
      <c r="Y88" s="103">
        <f ca="1">IFERROR(__xludf.DUMMYFUNCTION("IMPORTRANGE(""https://docs.google.com/spreadsheets/d/18T20gbkS_WBjdscyTOV05cvq_JqvqQ17C81mpxf7Ncs/edit?usp=sharing"",""สุราษฎร์ธานี!J295"")"),0)</f>
        <v>0</v>
      </c>
      <c r="Z88" s="104">
        <f t="shared" ca="1" si="35"/>
        <v>0</v>
      </c>
      <c r="AA88" s="313">
        <f ca="1">IFERROR(__xludf.DUMMYFUNCTION("IMPORTRANGE(""https://docs.google.com/spreadsheets/d/18T20gbkS_WBjdscyTOV05cvq_JqvqQ17C81mpxf7Ncs/edit?usp=sharing"",""สุราษฎร์ธานี!J296"")"),0)</f>
        <v>0</v>
      </c>
      <c r="AB88" s="314">
        <f t="shared" ca="1" si="36"/>
        <v>0</v>
      </c>
    </row>
    <row r="89" spans="1:28" ht="21" customHeight="1" x14ac:dyDescent="0.3">
      <c r="A89" s="424" t="s">
        <v>111</v>
      </c>
      <c r="B89" s="422"/>
      <c r="C89" s="47">
        <f t="shared" ref="C89:Q89" ca="1" si="53">SUM(C90:C106)</f>
        <v>1224200</v>
      </c>
      <c r="D89" s="46">
        <f t="shared" ca="1" si="53"/>
        <v>1224200</v>
      </c>
      <c r="E89" s="46">
        <f t="shared" ca="1" si="53"/>
        <v>640000</v>
      </c>
      <c r="F89" s="46">
        <f t="shared" ca="1" si="53"/>
        <v>584200</v>
      </c>
      <c r="G89" s="46">
        <f t="shared" ca="1" si="53"/>
        <v>0</v>
      </c>
      <c r="H89" s="46">
        <f t="shared" ca="1" si="53"/>
        <v>1004100</v>
      </c>
      <c r="I89" s="46">
        <f t="shared" ca="1" si="53"/>
        <v>0</v>
      </c>
      <c r="J89" s="46">
        <f t="shared" ca="1" si="53"/>
        <v>111918.11</v>
      </c>
      <c r="K89" s="48">
        <f t="shared" ca="1" si="53"/>
        <v>14.805563503649635</v>
      </c>
      <c r="L89" s="46">
        <f t="shared" ca="1" si="53"/>
        <v>111918.11</v>
      </c>
      <c r="M89" s="48">
        <f t="shared" ca="1" si="53"/>
        <v>14.805563503649635</v>
      </c>
      <c r="N89" s="48">
        <f t="shared" ca="1" si="53"/>
        <v>121.41429687500001</v>
      </c>
      <c r="O89" s="46">
        <f t="shared" ca="1" si="53"/>
        <v>0</v>
      </c>
      <c r="P89" s="46">
        <f t="shared" ca="1" si="53"/>
        <v>0</v>
      </c>
      <c r="Q89" s="46">
        <f t="shared" ca="1" si="53"/>
        <v>0</v>
      </c>
      <c r="R89" s="302"/>
      <c r="S89" s="302"/>
      <c r="T89" s="303"/>
      <c r="U89" s="302"/>
      <c r="V89" s="302"/>
      <c r="W89" s="303"/>
      <c r="X89" s="302"/>
      <c r="Y89" s="302"/>
      <c r="Z89" s="303"/>
      <c r="AA89" s="302"/>
      <c r="AB89" s="303"/>
    </row>
    <row r="90" spans="1:28" ht="24" customHeight="1" x14ac:dyDescent="0.3">
      <c r="A90" s="192"/>
      <c r="B90" s="114" t="s">
        <v>112</v>
      </c>
      <c r="C90" s="193">
        <f t="shared" ref="C90:C106" ca="1" si="54">D90+G90</f>
        <v>0</v>
      </c>
      <c r="D90" s="194">
        <f t="shared" ref="D90:D106" ca="1" si="55">+E90+F90</f>
        <v>0</v>
      </c>
      <c r="E90" s="78">
        <f ca="1">IFERROR(__xludf.DUMMYFUNCTION("IMPORTRANGE(""https://docs.google.com/spreadsheets/d/1-uDff_7J0KD5mKrp0Vvzr7lt3OU09vwQwhkpOPPYv2Y/edit?usp=sharing"",""งบพรบ!DP90"")"),0)</f>
        <v>0</v>
      </c>
      <c r="F90" s="78">
        <f ca="1">IFERROR(__xludf.DUMMYFUNCTION("IMPORTRANGE(""https://docs.google.com/spreadsheets/d/1-uDff_7J0KD5mKrp0Vvzr7lt3OU09vwQwhkpOPPYv2Y/edit?usp=sharing"",""งบพรบ!DQ90"")"),0)</f>
        <v>0</v>
      </c>
      <c r="G90" s="78">
        <f ca="1">IFERROR(__xludf.DUMMYFUNCTION("IMPORTRANGE(""https://docs.google.com/spreadsheets/d/1-uDff_7J0KD5mKrp0Vvzr7lt3OU09vwQwhkpOPPYv2Y/edit?usp=sharing"",""งบพรบ!DR90"")"),0)</f>
        <v>0</v>
      </c>
      <c r="H90" s="78">
        <f ca="1">IFERROR(__xludf.DUMMYFUNCTION("IMPORTRANGE(""https://docs.google.com/spreadsheets/d/1-uDff_7J0KD5mKrp0Vvzr7lt3OU09vwQwhkpOPPYv2Y/edit?usp=sharing"",""งบพรบ!DT90"")"),0)</f>
        <v>0</v>
      </c>
      <c r="I90" s="78">
        <f ca="1">IFERROR(__xludf.DUMMYFUNCTION("IMPORTRANGE(""https://docs.google.com/spreadsheets/d/1-uDff_7J0KD5mKrp0Vvzr7lt3OU09vwQwhkpOPPYv2Y/edit?usp=sharing"",""งบพรบ!DU90"")"),0)</f>
        <v>0</v>
      </c>
      <c r="J90" s="78">
        <f t="shared" ref="J90:J106" ca="1" si="56">L90+O90</f>
        <v>0</v>
      </c>
      <c r="K90" s="115">
        <f t="shared" ref="K90:K106" ca="1" si="57">IF(C90&gt;0,J90*100/C90,0)</f>
        <v>0</v>
      </c>
      <c r="L90" s="78">
        <f ca="1">IFERROR(__xludf.DUMMYFUNCTION("IMPORTRANGE(""https://docs.google.com/spreadsheets/d/1-uDff_7J0KD5mKrp0Vvzr7lt3OU09vwQwhkpOPPYv2Y/edit?usp=sharing"",""งบพรบ!DV90"")"),0)</f>
        <v>0</v>
      </c>
      <c r="M90" s="81">
        <f t="shared" ref="M90:M106" ca="1" si="58">IF(D90&gt;0,L90*100/D90,0)</f>
        <v>0</v>
      </c>
      <c r="N90" s="81">
        <f t="shared" ref="N90:N106" ca="1" si="59">IF(H90&gt;0,L90*100/H90,0)</f>
        <v>0</v>
      </c>
      <c r="O90" s="82">
        <f ca="1">IFERROR(__xludf.DUMMYFUNCTION("IMPORTRANGE(""https://docs.google.com/spreadsheets/d/1-uDff_7J0KD5mKrp0Vvzr7lt3OU09vwQwhkpOPPYv2Y/edit?usp=sharing"",""งบพรบ!DW90"")"),0)</f>
        <v>0</v>
      </c>
      <c r="P90" s="82">
        <f t="shared" ref="P90:P106" ca="1" si="60">IF(G90&gt;0,O90*100/G90,0)</f>
        <v>0</v>
      </c>
      <c r="Q90" s="81">
        <f t="shared" ref="Q90:Q106" ca="1" si="61">IF(I90&gt;0,O90*100/I90,0)</f>
        <v>0</v>
      </c>
      <c r="R90" s="317"/>
      <c r="S90" s="317"/>
      <c r="T90" s="318"/>
      <c r="U90" s="317"/>
      <c r="V90" s="317"/>
      <c r="W90" s="318"/>
      <c r="X90" s="317"/>
      <c r="Y90" s="317"/>
      <c r="Z90" s="318"/>
      <c r="AA90" s="317"/>
      <c r="AB90" s="318"/>
    </row>
    <row r="91" spans="1:28" ht="24" customHeight="1" x14ac:dyDescent="0.3">
      <c r="A91" s="196"/>
      <c r="B91" s="117" t="s">
        <v>113</v>
      </c>
      <c r="C91" s="197">
        <f t="shared" ca="1" si="54"/>
        <v>0</v>
      </c>
      <c r="D91" s="198">
        <f t="shared" ca="1" si="55"/>
        <v>0</v>
      </c>
      <c r="E91" s="88">
        <f ca="1">IFERROR(__xludf.DUMMYFUNCTION("IMPORTRANGE(""https://docs.google.com/spreadsheets/d/1-uDff_7J0KD5mKrp0Vvzr7lt3OU09vwQwhkpOPPYv2Y/edit?usp=sharing"",""งบพรบ!DP91"")"),0)</f>
        <v>0</v>
      </c>
      <c r="F91" s="88">
        <f ca="1">IFERROR(__xludf.DUMMYFUNCTION("IMPORTRANGE(""https://docs.google.com/spreadsheets/d/1-uDff_7J0KD5mKrp0Vvzr7lt3OU09vwQwhkpOPPYv2Y/edit?usp=sharing"",""งบพรบ!DQ91"")"),0)</f>
        <v>0</v>
      </c>
      <c r="G91" s="88">
        <f ca="1">IFERROR(__xludf.DUMMYFUNCTION("IMPORTRANGE(""https://docs.google.com/spreadsheets/d/1-uDff_7J0KD5mKrp0Vvzr7lt3OU09vwQwhkpOPPYv2Y/edit?usp=sharing"",""งบพรบ!DR91"")"),0)</f>
        <v>0</v>
      </c>
      <c r="H91" s="88">
        <f ca="1">IFERROR(__xludf.DUMMYFUNCTION("IMPORTRANGE(""https://docs.google.com/spreadsheets/d/1-uDff_7J0KD5mKrp0Vvzr7lt3OU09vwQwhkpOPPYv2Y/edit?usp=sharing"",""งบพรบ!DT91"")"),0)</f>
        <v>0</v>
      </c>
      <c r="I91" s="88">
        <f ca="1">IFERROR(__xludf.DUMMYFUNCTION("IMPORTRANGE(""https://docs.google.com/spreadsheets/d/1-uDff_7J0KD5mKrp0Vvzr7lt3OU09vwQwhkpOPPYv2Y/edit?usp=sharing"",""งบพรบ!DU91"")"),0)</f>
        <v>0</v>
      </c>
      <c r="J91" s="88">
        <f t="shared" ca="1" si="56"/>
        <v>0</v>
      </c>
      <c r="K91" s="89">
        <f t="shared" ca="1" si="57"/>
        <v>0</v>
      </c>
      <c r="L91" s="88">
        <f ca="1">IFERROR(__xludf.DUMMYFUNCTION("IMPORTRANGE(""https://docs.google.com/spreadsheets/d/1-uDff_7J0KD5mKrp0Vvzr7lt3OU09vwQwhkpOPPYv2Y/edit?usp=sharing"",""งบพรบ!DV91"")"),0)</f>
        <v>0</v>
      </c>
      <c r="M91" s="90">
        <f t="shared" ca="1" si="58"/>
        <v>0</v>
      </c>
      <c r="N91" s="90">
        <f t="shared" ca="1" si="59"/>
        <v>0</v>
      </c>
      <c r="O91" s="91">
        <f ca="1">IFERROR(__xludf.DUMMYFUNCTION("IMPORTRANGE(""https://docs.google.com/spreadsheets/d/1-uDff_7J0KD5mKrp0Vvzr7lt3OU09vwQwhkpOPPYv2Y/edit?usp=sharing"",""งบพรบ!DW91"")"),0)</f>
        <v>0</v>
      </c>
      <c r="P91" s="91">
        <f t="shared" ca="1" si="60"/>
        <v>0</v>
      </c>
      <c r="Q91" s="90">
        <f t="shared" ca="1" si="61"/>
        <v>0</v>
      </c>
      <c r="R91" s="319"/>
      <c r="S91" s="319"/>
      <c r="T91" s="320"/>
      <c r="U91" s="319"/>
      <c r="V91" s="319"/>
      <c r="W91" s="320"/>
      <c r="X91" s="319"/>
      <c r="Y91" s="319"/>
      <c r="Z91" s="320"/>
      <c r="AA91" s="319"/>
      <c r="AB91" s="320"/>
    </row>
    <row r="92" spans="1:28" ht="24" customHeight="1" x14ac:dyDescent="0.3">
      <c r="A92" s="196"/>
      <c r="B92" s="117" t="s">
        <v>114</v>
      </c>
      <c r="C92" s="197">
        <f t="shared" ca="1" si="54"/>
        <v>0</v>
      </c>
      <c r="D92" s="198">
        <f t="shared" ca="1" si="55"/>
        <v>0</v>
      </c>
      <c r="E92" s="88">
        <f ca="1">IFERROR(__xludf.DUMMYFUNCTION("IMPORTRANGE(""https://docs.google.com/spreadsheets/d/1-uDff_7J0KD5mKrp0Vvzr7lt3OU09vwQwhkpOPPYv2Y/edit?usp=sharing"",""งบพรบ!DP92"")"),0)</f>
        <v>0</v>
      </c>
      <c r="F92" s="88">
        <f ca="1">IFERROR(__xludf.DUMMYFUNCTION("IMPORTRANGE(""https://docs.google.com/spreadsheets/d/1-uDff_7J0KD5mKrp0Vvzr7lt3OU09vwQwhkpOPPYv2Y/edit?usp=sharing"",""งบพรบ!DQ92"")"),0)</f>
        <v>0</v>
      </c>
      <c r="G92" s="88">
        <f ca="1">IFERROR(__xludf.DUMMYFUNCTION("IMPORTRANGE(""https://docs.google.com/spreadsheets/d/1-uDff_7J0KD5mKrp0Vvzr7lt3OU09vwQwhkpOPPYv2Y/edit?usp=sharing"",""งบพรบ!DR92"")"),0)</f>
        <v>0</v>
      </c>
      <c r="H92" s="88">
        <f ca="1">IFERROR(__xludf.DUMMYFUNCTION("IMPORTRANGE(""https://docs.google.com/spreadsheets/d/1-uDff_7J0KD5mKrp0Vvzr7lt3OU09vwQwhkpOPPYv2Y/edit?usp=sharing"",""งบพรบ!DT92"")"),0)</f>
        <v>0</v>
      </c>
      <c r="I92" s="88">
        <f ca="1">IFERROR(__xludf.DUMMYFUNCTION("IMPORTRANGE(""https://docs.google.com/spreadsheets/d/1-uDff_7J0KD5mKrp0Vvzr7lt3OU09vwQwhkpOPPYv2Y/edit?usp=sharing"",""งบพรบ!DU92"")"),0)</f>
        <v>0</v>
      </c>
      <c r="J92" s="88">
        <f t="shared" ca="1" si="56"/>
        <v>0</v>
      </c>
      <c r="K92" s="89">
        <f t="shared" ca="1" si="57"/>
        <v>0</v>
      </c>
      <c r="L92" s="88">
        <f ca="1">IFERROR(__xludf.DUMMYFUNCTION("IMPORTRANGE(""https://docs.google.com/spreadsheets/d/1-uDff_7J0KD5mKrp0Vvzr7lt3OU09vwQwhkpOPPYv2Y/edit?usp=sharing"",""งบพรบ!DV92"")"),0)</f>
        <v>0</v>
      </c>
      <c r="M92" s="90">
        <f t="shared" ca="1" si="58"/>
        <v>0</v>
      </c>
      <c r="N92" s="90">
        <f t="shared" ca="1" si="59"/>
        <v>0</v>
      </c>
      <c r="O92" s="91">
        <f ca="1">IFERROR(__xludf.DUMMYFUNCTION("IMPORTRANGE(""https://docs.google.com/spreadsheets/d/1-uDff_7J0KD5mKrp0Vvzr7lt3OU09vwQwhkpOPPYv2Y/edit?usp=sharing"",""งบพรบ!DW92"")"),0)</f>
        <v>0</v>
      </c>
      <c r="P92" s="91">
        <f t="shared" ca="1" si="60"/>
        <v>0</v>
      </c>
      <c r="Q92" s="90">
        <f t="shared" ca="1" si="61"/>
        <v>0</v>
      </c>
      <c r="R92" s="319"/>
      <c r="S92" s="319"/>
      <c r="T92" s="320"/>
      <c r="U92" s="319"/>
      <c r="V92" s="319"/>
      <c r="W92" s="320"/>
      <c r="X92" s="319"/>
      <c r="Y92" s="319"/>
      <c r="Z92" s="320"/>
      <c r="AA92" s="319"/>
      <c r="AB92" s="320"/>
    </row>
    <row r="93" spans="1:28" ht="24" customHeight="1" x14ac:dyDescent="0.3">
      <c r="A93" s="196"/>
      <c r="B93" s="117" t="s">
        <v>115</v>
      </c>
      <c r="C93" s="197">
        <f t="shared" ca="1" si="54"/>
        <v>0</v>
      </c>
      <c r="D93" s="198">
        <f t="shared" ca="1" si="55"/>
        <v>0</v>
      </c>
      <c r="E93" s="88">
        <f ca="1">IFERROR(__xludf.DUMMYFUNCTION("IMPORTRANGE(""https://docs.google.com/spreadsheets/d/1-uDff_7J0KD5mKrp0Vvzr7lt3OU09vwQwhkpOPPYv2Y/edit?usp=sharing"",""งบพรบ!DP93"")"),0)</f>
        <v>0</v>
      </c>
      <c r="F93" s="88">
        <f ca="1">IFERROR(__xludf.DUMMYFUNCTION("IMPORTRANGE(""https://docs.google.com/spreadsheets/d/1-uDff_7J0KD5mKrp0Vvzr7lt3OU09vwQwhkpOPPYv2Y/edit?usp=sharing"",""งบพรบ!DQ93"")"),0)</f>
        <v>0</v>
      </c>
      <c r="G93" s="88">
        <f ca="1">IFERROR(__xludf.DUMMYFUNCTION("IMPORTRANGE(""https://docs.google.com/spreadsheets/d/1-uDff_7J0KD5mKrp0Vvzr7lt3OU09vwQwhkpOPPYv2Y/edit?usp=sharing"",""งบพรบ!DR93"")"),0)</f>
        <v>0</v>
      </c>
      <c r="H93" s="88">
        <f ca="1">IFERROR(__xludf.DUMMYFUNCTION("IMPORTRANGE(""https://docs.google.com/spreadsheets/d/1-uDff_7J0KD5mKrp0Vvzr7lt3OU09vwQwhkpOPPYv2Y/edit?usp=sharing"",""งบพรบ!DT93"")"),50000)</f>
        <v>50000</v>
      </c>
      <c r="I93" s="88">
        <f ca="1">IFERROR(__xludf.DUMMYFUNCTION("IMPORTRANGE(""https://docs.google.com/spreadsheets/d/1-uDff_7J0KD5mKrp0Vvzr7lt3OU09vwQwhkpOPPYv2Y/edit?usp=sharing"",""งบพรบ!DU93"")"),0)</f>
        <v>0</v>
      </c>
      <c r="J93" s="88">
        <f t="shared" ca="1" si="56"/>
        <v>0</v>
      </c>
      <c r="K93" s="89">
        <f t="shared" ca="1" si="57"/>
        <v>0</v>
      </c>
      <c r="L93" s="88">
        <f ca="1">IFERROR(__xludf.DUMMYFUNCTION("IMPORTRANGE(""https://docs.google.com/spreadsheets/d/1-uDff_7J0KD5mKrp0Vvzr7lt3OU09vwQwhkpOPPYv2Y/edit?usp=sharing"",""งบพรบ!DV93"")"),0)</f>
        <v>0</v>
      </c>
      <c r="M93" s="90">
        <f t="shared" ca="1" si="58"/>
        <v>0</v>
      </c>
      <c r="N93" s="90">
        <f t="shared" ca="1" si="59"/>
        <v>0</v>
      </c>
      <c r="O93" s="91">
        <f ca="1">IFERROR(__xludf.DUMMYFUNCTION("IMPORTRANGE(""https://docs.google.com/spreadsheets/d/1-uDff_7J0KD5mKrp0Vvzr7lt3OU09vwQwhkpOPPYv2Y/edit?usp=sharing"",""งบพรบ!DW93"")"),0)</f>
        <v>0</v>
      </c>
      <c r="P93" s="91">
        <f t="shared" ca="1" si="60"/>
        <v>0</v>
      </c>
      <c r="Q93" s="90">
        <f t="shared" ca="1" si="61"/>
        <v>0</v>
      </c>
      <c r="R93" s="319"/>
      <c r="S93" s="319"/>
      <c r="T93" s="320"/>
      <c r="U93" s="319"/>
      <c r="V93" s="319"/>
      <c r="W93" s="320"/>
      <c r="X93" s="319"/>
      <c r="Y93" s="319"/>
      <c r="Z93" s="320"/>
      <c r="AA93" s="319"/>
      <c r="AB93" s="320"/>
    </row>
    <row r="94" spans="1:28" ht="24" customHeight="1" x14ac:dyDescent="0.3">
      <c r="A94" s="196"/>
      <c r="B94" s="117" t="s">
        <v>116</v>
      </c>
      <c r="C94" s="197">
        <f t="shared" ca="1" si="54"/>
        <v>0</v>
      </c>
      <c r="D94" s="198">
        <f t="shared" ca="1" si="55"/>
        <v>0</v>
      </c>
      <c r="E94" s="88">
        <f ca="1">IFERROR(__xludf.DUMMYFUNCTION("IMPORTRANGE(""https://docs.google.com/spreadsheets/d/1-uDff_7J0KD5mKrp0Vvzr7lt3OU09vwQwhkpOPPYv2Y/edit?usp=sharing"",""งบพรบ!DP94"")"),0)</f>
        <v>0</v>
      </c>
      <c r="F94" s="88">
        <f ca="1">IFERROR(__xludf.DUMMYFUNCTION("IMPORTRANGE(""https://docs.google.com/spreadsheets/d/1-uDff_7J0KD5mKrp0Vvzr7lt3OU09vwQwhkpOPPYv2Y/edit?usp=sharing"",""งบพรบ!DQ94"")"),0)</f>
        <v>0</v>
      </c>
      <c r="G94" s="88">
        <f ca="1">IFERROR(__xludf.DUMMYFUNCTION("IMPORTRANGE(""https://docs.google.com/spreadsheets/d/1-uDff_7J0KD5mKrp0Vvzr7lt3OU09vwQwhkpOPPYv2Y/edit?usp=sharing"",""งบพรบ!DR94"")"),0)</f>
        <v>0</v>
      </c>
      <c r="H94" s="88">
        <f ca="1">IFERROR(__xludf.DUMMYFUNCTION("IMPORTRANGE(""https://docs.google.com/spreadsheets/d/1-uDff_7J0KD5mKrp0Vvzr7lt3OU09vwQwhkpOPPYv2Y/edit?usp=sharing"",""งบพรบ!DT94"")"),0)</f>
        <v>0</v>
      </c>
      <c r="I94" s="88">
        <f ca="1">IFERROR(__xludf.DUMMYFUNCTION("IMPORTRANGE(""https://docs.google.com/spreadsheets/d/1-uDff_7J0KD5mKrp0Vvzr7lt3OU09vwQwhkpOPPYv2Y/edit?usp=sharing"",""งบพรบ!DU94"")"),0)</f>
        <v>0</v>
      </c>
      <c r="J94" s="88">
        <f t="shared" ca="1" si="56"/>
        <v>0</v>
      </c>
      <c r="K94" s="89">
        <f t="shared" ca="1" si="57"/>
        <v>0</v>
      </c>
      <c r="L94" s="88">
        <f ca="1">IFERROR(__xludf.DUMMYFUNCTION("IMPORTRANGE(""https://docs.google.com/spreadsheets/d/1-uDff_7J0KD5mKrp0Vvzr7lt3OU09vwQwhkpOPPYv2Y/edit?usp=sharing"",""งบพรบ!DV94"")"),0)</f>
        <v>0</v>
      </c>
      <c r="M94" s="90">
        <f t="shared" ca="1" si="58"/>
        <v>0</v>
      </c>
      <c r="N94" s="90">
        <f t="shared" ca="1" si="59"/>
        <v>0</v>
      </c>
      <c r="O94" s="91">
        <f ca="1">IFERROR(__xludf.DUMMYFUNCTION("IMPORTRANGE(""https://docs.google.com/spreadsheets/d/1-uDff_7J0KD5mKrp0Vvzr7lt3OU09vwQwhkpOPPYv2Y/edit?usp=sharing"",""งบพรบ!DW94"")"),0)</f>
        <v>0</v>
      </c>
      <c r="P94" s="91">
        <f t="shared" ca="1" si="60"/>
        <v>0</v>
      </c>
      <c r="Q94" s="90">
        <f t="shared" ca="1" si="61"/>
        <v>0</v>
      </c>
      <c r="R94" s="319"/>
      <c r="S94" s="319"/>
      <c r="T94" s="320"/>
      <c r="U94" s="319"/>
      <c r="V94" s="319"/>
      <c r="W94" s="320"/>
      <c r="X94" s="319"/>
      <c r="Y94" s="319"/>
      <c r="Z94" s="320"/>
      <c r="AA94" s="319"/>
      <c r="AB94" s="320"/>
    </row>
    <row r="95" spans="1:28" ht="24" customHeight="1" x14ac:dyDescent="0.3">
      <c r="A95" s="196"/>
      <c r="B95" s="117" t="s">
        <v>117</v>
      </c>
      <c r="C95" s="197">
        <f t="shared" ca="1" si="54"/>
        <v>0</v>
      </c>
      <c r="D95" s="198">
        <f t="shared" ca="1" si="55"/>
        <v>0</v>
      </c>
      <c r="E95" s="88">
        <f ca="1">IFERROR(__xludf.DUMMYFUNCTION("IMPORTRANGE(""https://docs.google.com/spreadsheets/d/1-uDff_7J0KD5mKrp0Vvzr7lt3OU09vwQwhkpOPPYv2Y/edit?usp=sharing"",""งบพรบ!DP95"")"),0)</f>
        <v>0</v>
      </c>
      <c r="F95" s="88">
        <f ca="1">IFERROR(__xludf.DUMMYFUNCTION("IMPORTRANGE(""https://docs.google.com/spreadsheets/d/1-uDff_7J0KD5mKrp0Vvzr7lt3OU09vwQwhkpOPPYv2Y/edit?usp=sharing"",""งบพรบ!DQ95"")"),0)</f>
        <v>0</v>
      </c>
      <c r="G95" s="88">
        <f ca="1">IFERROR(__xludf.DUMMYFUNCTION("IMPORTRANGE(""https://docs.google.com/spreadsheets/d/1-uDff_7J0KD5mKrp0Vvzr7lt3OU09vwQwhkpOPPYv2Y/edit?usp=sharing"",""งบพรบ!DR95"")"),0)</f>
        <v>0</v>
      </c>
      <c r="H95" s="88">
        <f ca="1">IFERROR(__xludf.DUMMYFUNCTION("IMPORTRANGE(""https://docs.google.com/spreadsheets/d/1-uDff_7J0KD5mKrp0Vvzr7lt3OU09vwQwhkpOPPYv2Y/edit?usp=sharing"",""งบพรบ!DT95"")"),10500)</f>
        <v>10500</v>
      </c>
      <c r="I95" s="88">
        <f ca="1">IFERROR(__xludf.DUMMYFUNCTION("IMPORTRANGE(""https://docs.google.com/spreadsheets/d/1-uDff_7J0KD5mKrp0Vvzr7lt3OU09vwQwhkpOPPYv2Y/edit?usp=sharing"",""งบพรบ!DU95"")"),0)</f>
        <v>0</v>
      </c>
      <c r="J95" s="88">
        <f t="shared" ca="1" si="56"/>
        <v>10500</v>
      </c>
      <c r="K95" s="89">
        <f t="shared" ca="1" si="57"/>
        <v>0</v>
      </c>
      <c r="L95" s="88">
        <f ca="1">IFERROR(__xludf.DUMMYFUNCTION("IMPORTRANGE(""https://docs.google.com/spreadsheets/d/1-uDff_7J0KD5mKrp0Vvzr7lt3OU09vwQwhkpOPPYv2Y/edit?usp=sharing"",""งบพรบ!DV95"")"),10500)</f>
        <v>10500</v>
      </c>
      <c r="M95" s="90">
        <f t="shared" ca="1" si="58"/>
        <v>0</v>
      </c>
      <c r="N95" s="90">
        <f t="shared" ca="1" si="59"/>
        <v>100</v>
      </c>
      <c r="O95" s="91">
        <f ca="1">IFERROR(__xludf.DUMMYFUNCTION("IMPORTRANGE(""https://docs.google.com/spreadsheets/d/1-uDff_7J0KD5mKrp0Vvzr7lt3OU09vwQwhkpOPPYv2Y/edit?usp=sharing"",""งบพรบ!DW95"")"),0)</f>
        <v>0</v>
      </c>
      <c r="P95" s="91">
        <f t="shared" ca="1" si="60"/>
        <v>0</v>
      </c>
      <c r="Q95" s="90">
        <f t="shared" ca="1" si="61"/>
        <v>0</v>
      </c>
      <c r="R95" s="319"/>
      <c r="S95" s="319"/>
      <c r="T95" s="320"/>
      <c r="U95" s="319"/>
      <c r="V95" s="319"/>
      <c r="W95" s="320"/>
      <c r="X95" s="319"/>
      <c r="Y95" s="319"/>
      <c r="Z95" s="320"/>
      <c r="AA95" s="319"/>
      <c r="AB95" s="320"/>
    </row>
    <row r="96" spans="1:28" ht="24" customHeight="1" x14ac:dyDescent="0.3">
      <c r="A96" s="196"/>
      <c r="B96" s="117" t="s">
        <v>118</v>
      </c>
      <c r="C96" s="197">
        <f t="shared" ca="1" si="54"/>
        <v>0</v>
      </c>
      <c r="D96" s="198">
        <f t="shared" ca="1" si="55"/>
        <v>0</v>
      </c>
      <c r="E96" s="88">
        <f ca="1">IFERROR(__xludf.DUMMYFUNCTION("IMPORTRANGE(""https://docs.google.com/spreadsheets/d/1-uDff_7J0KD5mKrp0Vvzr7lt3OU09vwQwhkpOPPYv2Y/edit?usp=sharing"",""งบพรบ!DP96"")"),0)</f>
        <v>0</v>
      </c>
      <c r="F96" s="88">
        <f ca="1">IFERROR(__xludf.DUMMYFUNCTION("IMPORTRANGE(""https://docs.google.com/spreadsheets/d/1-uDff_7J0KD5mKrp0Vvzr7lt3OU09vwQwhkpOPPYv2Y/edit?usp=sharing"",""งบพรบ!DQ96"")"),0)</f>
        <v>0</v>
      </c>
      <c r="G96" s="88">
        <f ca="1">IFERROR(__xludf.DUMMYFUNCTION("IMPORTRANGE(""https://docs.google.com/spreadsheets/d/1-uDff_7J0KD5mKrp0Vvzr7lt3OU09vwQwhkpOPPYv2Y/edit?usp=sharing"",""งบพรบ!DR96"")"),0)</f>
        <v>0</v>
      </c>
      <c r="H96" s="88">
        <f ca="1">IFERROR(__xludf.DUMMYFUNCTION("IMPORTRANGE(""https://docs.google.com/spreadsheets/d/1-uDff_7J0KD5mKrp0Vvzr7lt3OU09vwQwhkpOPPYv2Y/edit?usp=sharing"",""งบพรบ!DT96"")"),0)</f>
        <v>0</v>
      </c>
      <c r="I96" s="88">
        <f ca="1">IFERROR(__xludf.DUMMYFUNCTION("IMPORTRANGE(""https://docs.google.com/spreadsheets/d/1-uDff_7J0KD5mKrp0Vvzr7lt3OU09vwQwhkpOPPYv2Y/edit?usp=sharing"",""งบพรบ!DU96"")"),0)</f>
        <v>0</v>
      </c>
      <c r="J96" s="88">
        <f t="shared" ca="1" si="56"/>
        <v>0</v>
      </c>
      <c r="K96" s="89">
        <f t="shared" ca="1" si="57"/>
        <v>0</v>
      </c>
      <c r="L96" s="88">
        <f ca="1">IFERROR(__xludf.DUMMYFUNCTION("IMPORTRANGE(""https://docs.google.com/spreadsheets/d/1-uDff_7J0KD5mKrp0Vvzr7lt3OU09vwQwhkpOPPYv2Y/edit?usp=sharing"",""งบพรบ!DV96"")"),0)</f>
        <v>0</v>
      </c>
      <c r="M96" s="90">
        <f t="shared" ca="1" si="58"/>
        <v>0</v>
      </c>
      <c r="N96" s="90">
        <f t="shared" ca="1" si="59"/>
        <v>0</v>
      </c>
      <c r="O96" s="91">
        <f ca="1">IFERROR(__xludf.DUMMYFUNCTION("IMPORTRANGE(""https://docs.google.com/spreadsheets/d/1-uDff_7J0KD5mKrp0Vvzr7lt3OU09vwQwhkpOPPYv2Y/edit?usp=sharing"",""งบพรบ!DW96"")"),0)</f>
        <v>0</v>
      </c>
      <c r="P96" s="91">
        <f t="shared" ca="1" si="60"/>
        <v>0</v>
      </c>
      <c r="Q96" s="90">
        <f t="shared" ca="1" si="61"/>
        <v>0</v>
      </c>
      <c r="R96" s="319"/>
      <c r="S96" s="319"/>
      <c r="T96" s="320"/>
      <c r="U96" s="319"/>
      <c r="V96" s="319"/>
      <c r="W96" s="320"/>
      <c r="X96" s="319"/>
      <c r="Y96" s="319"/>
      <c r="Z96" s="320"/>
      <c r="AA96" s="319"/>
      <c r="AB96" s="320"/>
    </row>
    <row r="97" spans="1:28" ht="24" customHeight="1" x14ac:dyDescent="0.3">
      <c r="A97" s="196"/>
      <c r="B97" s="117" t="s">
        <v>119</v>
      </c>
      <c r="C97" s="197">
        <f t="shared" ca="1" si="54"/>
        <v>0</v>
      </c>
      <c r="D97" s="198">
        <f t="shared" ca="1" si="55"/>
        <v>0</v>
      </c>
      <c r="E97" s="88">
        <f ca="1">IFERROR(__xludf.DUMMYFUNCTION("IMPORTRANGE(""https://docs.google.com/spreadsheets/d/1-uDff_7J0KD5mKrp0Vvzr7lt3OU09vwQwhkpOPPYv2Y/edit?usp=sharing"",""งบพรบ!DP97"")"),0)</f>
        <v>0</v>
      </c>
      <c r="F97" s="88">
        <f ca="1">IFERROR(__xludf.DUMMYFUNCTION("IMPORTRANGE(""https://docs.google.com/spreadsheets/d/1-uDff_7J0KD5mKrp0Vvzr7lt3OU09vwQwhkpOPPYv2Y/edit?usp=sharing"",""งบพรบ!DQ97"")"),0)</f>
        <v>0</v>
      </c>
      <c r="G97" s="88">
        <f ca="1">IFERROR(__xludf.DUMMYFUNCTION("IMPORTRANGE(""https://docs.google.com/spreadsheets/d/1-uDff_7J0KD5mKrp0Vvzr7lt3OU09vwQwhkpOPPYv2Y/edit?usp=sharing"",""งบพรบ!DR97"")"),0)</f>
        <v>0</v>
      </c>
      <c r="H97" s="88">
        <f ca="1">IFERROR(__xludf.DUMMYFUNCTION("IMPORTRANGE(""https://docs.google.com/spreadsheets/d/1-uDff_7J0KD5mKrp0Vvzr7lt3OU09vwQwhkpOPPYv2Y/edit?usp=sharing"",""งบพรบ!DT97"")"),0)</f>
        <v>0</v>
      </c>
      <c r="I97" s="88">
        <f ca="1">IFERROR(__xludf.DUMMYFUNCTION("IMPORTRANGE(""https://docs.google.com/spreadsheets/d/1-uDff_7J0KD5mKrp0Vvzr7lt3OU09vwQwhkpOPPYv2Y/edit?usp=sharing"",""งบพรบ!DU97"")"),0)</f>
        <v>0</v>
      </c>
      <c r="J97" s="88">
        <f t="shared" ca="1" si="56"/>
        <v>0</v>
      </c>
      <c r="K97" s="89">
        <f t="shared" ca="1" si="57"/>
        <v>0</v>
      </c>
      <c r="L97" s="88">
        <f ca="1">IFERROR(__xludf.DUMMYFUNCTION("IMPORTRANGE(""https://docs.google.com/spreadsheets/d/1-uDff_7J0KD5mKrp0Vvzr7lt3OU09vwQwhkpOPPYv2Y/edit?usp=sharing"",""งบพรบ!DV97"")"),0)</f>
        <v>0</v>
      </c>
      <c r="M97" s="90">
        <f t="shared" ca="1" si="58"/>
        <v>0</v>
      </c>
      <c r="N97" s="90">
        <f t="shared" ca="1" si="59"/>
        <v>0</v>
      </c>
      <c r="O97" s="91">
        <f ca="1">IFERROR(__xludf.DUMMYFUNCTION("IMPORTRANGE(""https://docs.google.com/spreadsheets/d/1-uDff_7J0KD5mKrp0Vvzr7lt3OU09vwQwhkpOPPYv2Y/edit?usp=sharing"",""งบพรบ!DW97"")"),0)</f>
        <v>0</v>
      </c>
      <c r="P97" s="91">
        <f t="shared" ca="1" si="60"/>
        <v>0</v>
      </c>
      <c r="Q97" s="90">
        <f t="shared" ca="1" si="61"/>
        <v>0</v>
      </c>
      <c r="R97" s="319"/>
      <c r="S97" s="319"/>
      <c r="T97" s="320"/>
      <c r="U97" s="319"/>
      <c r="V97" s="319"/>
      <c r="W97" s="320"/>
      <c r="X97" s="319"/>
      <c r="Y97" s="319"/>
      <c r="Z97" s="320"/>
      <c r="AA97" s="319"/>
      <c r="AB97" s="320"/>
    </row>
    <row r="98" spans="1:28" ht="24" customHeight="1" x14ac:dyDescent="0.3">
      <c r="A98" s="196"/>
      <c r="B98" s="117" t="s">
        <v>120</v>
      </c>
      <c r="C98" s="197">
        <f t="shared" ca="1" si="54"/>
        <v>0</v>
      </c>
      <c r="D98" s="198">
        <f t="shared" ca="1" si="55"/>
        <v>0</v>
      </c>
      <c r="E98" s="88">
        <f ca="1">IFERROR(__xludf.DUMMYFUNCTION("IMPORTRANGE(""https://docs.google.com/spreadsheets/d/1-uDff_7J0KD5mKrp0Vvzr7lt3OU09vwQwhkpOPPYv2Y/edit?usp=sharing"",""งบพรบ!DP98"")"),0)</f>
        <v>0</v>
      </c>
      <c r="F98" s="88">
        <f ca="1">IFERROR(__xludf.DUMMYFUNCTION("IMPORTRANGE(""https://docs.google.com/spreadsheets/d/1-uDff_7J0KD5mKrp0Vvzr7lt3OU09vwQwhkpOPPYv2Y/edit?usp=sharing"",""งบพรบ!DQ98"")"),0)</f>
        <v>0</v>
      </c>
      <c r="G98" s="88">
        <f ca="1">IFERROR(__xludf.DUMMYFUNCTION("IMPORTRANGE(""https://docs.google.com/spreadsheets/d/1-uDff_7J0KD5mKrp0Vvzr7lt3OU09vwQwhkpOPPYv2Y/edit?usp=sharing"",""งบพรบ!DR98"")"),0)</f>
        <v>0</v>
      </c>
      <c r="H98" s="88">
        <f ca="1">IFERROR(__xludf.DUMMYFUNCTION("IMPORTRANGE(""https://docs.google.com/spreadsheets/d/1-uDff_7J0KD5mKrp0Vvzr7lt3OU09vwQwhkpOPPYv2Y/edit?usp=sharing"",""งบพรบ!DT98"")"),0)</f>
        <v>0</v>
      </c>
      <c r="I98" s="88">
        <f ca="1">IFERROR(__xludf.DUMMYFUNCTION("IMPORTRANGE(""https://docs.google.com/spreadsheets/d/1-uDff_7J0KD5mKrp0Vvzr7lt3OU09vwQwhkpOPPYv2Y/edit?usp=sharing"",""งบพรบ!DU98"")"),0)</f>
        <v>0</v>
      </c>
      <c r="J98" s="88">
        <f t="shared" ca="1" si="56"/>
        <v>0</v>
      </c>
      <c r="K98" s="89">
        <f t="shared" ca="1" si="57"/>
        <v>0</v>
      </c>
      <c r="L98" s="88">
        <f ca="1">IFERROR(__xludf.DUMMYFUNCTION("IMPORTRANGE(""https://docs.google.com/spreadsheets/d/1-uDff_7J0KD5mKrp0Vvzr7lt3OU09vwQwhkpOPPYv2Y/edit?usp=sharing"",""งบพรบ!DV98"")"),0)</f>
        <v>0</v>
      </c>
      <c r="M98" s="90">
        <f t="shared" ca="1" si="58"/>
        <v>0</v>
      </c>
      <c r="N98" s="90">
        <f t="shared" ca="1" si="59"/>
        <v>0</v>
      </c>
      <c r="O98" s="91">
        <f ca="1">IFERROR(__xludf.DUMMYFUNCTION("IMPORTRANGE(""https://docs.google.com/spreadsheets/d/1-uDff_7J0KD5mKrp0Vvzr7lt3OU09vwQwhkpOPPYv2Y/edit?usp=sharing"",""งบพรบ!DW98"")"),0)</f>
        <v>0</v>
      </c>
      <c r="P98" s="91">
        <f t="shared" ca="1" si="60"/>
        <v>0</v>
      </c>
      <c r="Q98" s="90">
        <f t="shared" ca="1" si="61"/>
        <v>0</v>
      </c>
      <c r="R98" s="319"/>
      <c r="S98" s="319"/>
      <c r="T98" s="320"/>
      <c r="U98" s="319"/>
      <c r="V98" s="319"/>
      <c r="W98" s="320"/>
      <c r="X98" s="319"/>
      <c r="Y98" s="319"/>
      <c r="Z98" s="320"/>
      <c r="AA98" s="319"/>
      <c r="AB98" s="320"/>
    </row>
    <row r="99" spans="1:28" ht="24" customHeight="1" x14ac:dyDescent="0.3">
      <c r="A99" s="196"/>
      <c r="B99" s="117" t="s">
        <v>121</v>
      </c>
      <c r="C99" s="197">
        <f t="shared" ca="1" si="54"/>
        <v>0</v>
      </c>
      <c r="D99" s="198">
        <f t="shared" ca="1" si="55"/>
        <v>0</v>
      </c>
      <c r="E99" s="88">
        <f ca="1">IFERROR(__xludf.DUMMYFUNCTION("IMPORTRANGE(""https://docs.google.com/spreadsheets/d/1-uDff_7J0KD5mKrp0Vvzr7lt3OU09vwQwhkpOPPYv2Y/edit?usp=sharing"",""งบพรบ!DP99"")"),0)</f>
        <v>0</v>
      </c>
      <c r="F99" s="88">
        <f ca="1">IFERROR(__xludf.DUMMYFUNCTION("IMPORTRANGE(""https://docs.google.com/spreadsheets/d/1-uDff_7J0KD5mKrp0Vvzr7lt3OU09vwQwhkpOPPYv2Y/edit?usp=sharing"",""งบพรบ!DQ99"")"),0)</f>
        <v>0</v>
      </c>
      <c r="G99" s="88">
        <f ca="1">IFERROR(__xludf.DUMMYFUNCTION("IMPORTRANGE(""https://docs.google.com/spreadsheets/d/1-uDff_7J0KD5mKrp0Vvzr7lt3OU09vwQwhkpOPPYv2Y/edit?usp=sharing"",""งบพรบ!DR99"")"),0)</f>
        <v>0</v>
      </c>
      <c r="H99" s="88">
        <f ca="1">IFERROR(__xludf.DUMMYFUNCTION("IMPORTRANGE(""https://docs.google.com/spreadsheets/d/1-uDff_7J0KD5mKrp0Vvzr7lt3OU09vwQwhkpOPPYv2Y/edit?usp=sharing"",""งบพรบ!DT99"")"),0)</f>
        <v>0</v>
      </c>
      <c r="I99" s="88">
        <f ca="1">IFERROR(__xludf.DUMMYFUNCTION("IMPORTRANGE(""https://docs.google.com/spreadsheets/d/1-uDff_7J0KD5mKrp0Vvzr7lt3OU09vwQwhkpOPPYv2Y/edit?usp=sharing"",""งบพรบ!DU99"")"),0)</f>
        <v>0</v>
      </c>
      <c r="J99" s="88">
        <f t="shared" ca="1" si="56"/>
        <v>0</v>
      </c>
      <c r="K99" s="89">
        <f t="shared" ca="1" si="57"/>
        <v>0</v>
      </c>
      <c r="L99" s="88">
        <f ca="1">IFERROR(__xludf.DUMMYFUNCTION("IMPORTRANGE(""https://docs.google.com/spreadsheets/d/1-uDff_7J0KD5mKrp0Vvzr7lt3OU09vwQwhkpOPPYv2Y/edit?usp=sharing"",""งบพรบ!DV99"")"),0)</f>
        <v>0</v>
      </c>
      <c r="M99" s="90">
        <f t="shared" ca="1" si="58"/>
        <v>0</v>
      </c>
      <c r="N99" s="90">
        <f t="shared" ca="1" si="59"/>
        <v>0</v>
      </c>
      <c r="O99" s="91">
        <f ca="1">IFERROR(__xludf.DUMMYFUNCTION("IMPORTRANGE(""https://docs.google.com/spreadsheets/d/1-uDff_7J0KD5mKrp0Vvzr7lt3OU09vwQwhkpOPPYv2Y/edit?usp=sharing"",""งบพรบ!DW99"")"),0)</f>
        <v>0</v>
      </c>
      <c r="P99" s="91">
        <f t="shared" ca="1" si="60"/>
        <v>0</v>
      </c>
      <c r="Q99" s="90">
        <f t="shared" ca="1" si="61"/>
        <v>0</v>
      </c>
      <c r="R99" s="319"/>
      <c r="S99" s="319"/>
      <c r="T99" s="320"/>
      <c r="U99" s="319"/>
      <c r="V99" s="319"/>
      <c r="W99" s="320"/>
      <c r="X99" s="319"/>
      <c r="Y99" s="319"/>
      <c r="Z99" s="320"/>
      <c r="AA99" s="319"/>
      <c r="AB99" s="320"/>
    </row>
    <row r="100" spans="1:28" ht="24" customHeight="1" x14ac:dyDescent="0.3">
      <c r="A100" s="196"/>
      <c r="B100" s="117" t="s">
        <v>122</v>
      </c>
      <c r="C100" s="197">
        <f t="shared" ca="1" si="54"/>
        <v>0</v>
      </c>
      <c r="D100" s="198">
        <f t="shared" ca="1" si="55"/>
        <v>0</v>
      </c>
      <c r="E100" s="88">
        <f ca="1">IFERROR(__xludf.DUMMYFUNCTION("IMPORTRANGE(""https://docs.google.com/spreadsheets/d/1-uDff_7J0KD5mKrp0Vvzr7lt3OU09vwQwhkpOPPYv2Y/edit?usp=sharing"",""งบพรบ!DP100"")"),0)</f>
        <v>0</v>
      </c>
      <c r="F100" s="88">
        <f ca="1">IFERROR(__xludf.DUMMYFUNCTION("IMPORTRANGE(""https://docs.google.com/spreadsheets/d/1-uDff_7J0KD5mKrp0Vvzr7lt3OU09vwQwhkpOPPYv2Y/edit?usp=sharing"",""งบพรบ!DQ100"")"),0)</f>
        <v>0</v>
      </c>
      <c r="G100" s="88">
        <f ca="1">IFERROR(__xludf.DUMMYFUNCTION("IMPORTRANGE(""https://docs.google.com/spreadsheets/d/1-uDff_7J0KD5mKrp0Vvzr7lt3OU09vwQwhkpOPPYv2Y/edit?usp=sharing"",""งบพรบ!DR100"")"),0)</f>
        <v>0</v>
      </c>
      <c r="H100" s="88">
        <f ca="1">IFERROR(__xludf.DUMMYFUNCTION("IMPORTRANGE(""https://docs.google.com/spreadsheets/d/1-uDff_7J0KD5mKrp0Vvzr7lt3OU09vwQwhkpOPPYv2Y/edit?usp=sharing"",""งบพรบ!DT100"")"),0)</f>
        <v>0</v>
      </c>
      <c r="I100" s="88">
        <f ca="1">IFERROR(__xludf.DUMMYFUNCTION("IMPORTRANGE(""https://docs.google.com/spreadsheets/d/1-uDff_7J0KD5mKrp0Vvzr7lt3OU09vwQwhkpOPPYv2Y/edit?usp=sharing"",""งบพรบ!DU100"")"),0)</f>
        <v>0</v>
      </c>
      <c r="J100" s="88">
        <f t="shared" ca="1" si="56"/>
        <v>0</v>
      </c>
      <c r="K100" s="89">
        <f t="shared" ca="1" si="57"/>
        <v>0</v>
      </c>
      <c r="L100" s="88">
        <f ca="1">IFERROR(__xludf.DUMMYFUNCTION("IMPORTRANGE(""https://docs.google.com/spreadsheets/d/1-uDff_7J0KD5mKrp0Vvzr7lt3OU09vwQwhkpOPPYv2Y/edit?usp=sharing"",""งบพรบ!DV100"")"),0)</f>
        <v>0</v>
      </c>
      <c r="M100" s="90">
        <f t="shared" ca="1" si="58"/>
        <v>0</v>
      </c>
      <c r="N100" s="90">
        <f t="shared" ca="1" si="59"/>
        <v>0</v>
      </c>
      <c r="O100" s="91">
        <f ca="1">IFERROR(__xludf.DUMMYFUNCTION("IMPORTRANGE(""https://docs.google.com/spreadsheets/d/1-uDff_7J0KD5mKrp0Vvzr7lt3OU09vwQwhkpOPPYv2Y/edit?usp=sharing"",""งบพรบ!DW100"")"),0)</f>
        <v>0</v>
      </c>
      <c r="P100" s="91">
        <f t="shared" ca="1" si="60"/>
        <v>0</v>
      </c>
      <c r="Q100" s="90">
        <f t="shared" ca="1" si="61"/>
        <v>0</v>
      </c>
      <c r="R100" s="319"/>
      <c r="S100" s="319"/>
      <c r="T100" s="320"/>
      <c r="U100" s="319"/>
      <c r="V100" s="319"/>
      <c r="W100" s="320"/>
      <c r="X100" s="319"/>
      <c r="Y100" s="319"/>
      <c r="Z100" s="320"/>
      <c r="AA100" s="319"/>
      <c r="AB100" s="320"/>
    </row>
    <row r="101" spans="1:28" ht="24" customHeight="1" x14ac:dyDescent="0.3">
      <c r="A101" s="196"/>
      <c r="B101" s="117" t="s">
        <v>123</v>
      </c>
      <c r="C101" s="197">
        <f t="shared" ca="1" si="54"/>
        <v>685000</v>
      </c>
      <c r="D101" s="198">
        <f t="shared" ca="1" si="55"/>
        <v>685000</v>
      </c>
      <c r="E101" s="88">
        <f ca="1">IFERROR(__xludf.DUMMYFUNCTION("IMPORTRANGE(""https://docs.google.com/spreadsheets/d/1-uDff_7J0KD5mKrp0Vvzr7lt3OU09vwQwhkpOPPYv2Y/edit?usp=sharing"",""งบพรบ!DP101"")"),100800)</f>
        <v>100800</v>
      </c>
      <c r="F101" s="88">
        <f ca="1">IFERROR(__xludf.DUMMYFUNCTION("IMPORTRANGE(""https://docs.google.com/spreadsheets/d/1-uDff_7J0KD5mKrp0Vvzr7lt3OU09vwQwhkpOPPYv2Y/edit?usp=sharing"",""งบพรบ!DQ101"")"),584200)</f>
        <v>584200</v>
      </c>
      <c r="G101" s="88">
        <f ca="1">IFERROR(__xludf.DUMMYFUNCTION("IMPORTRANGE(""https://docs.google.com/spreadsheets/d/1-uDff_7J0KD5mKrp0Vvzr7lt3OU09vwQwhkpOPPYv2Y/edit?usp=sharing"",""งบพรบ!DR101"")"),0)</f>
        <v>0</v>
      </c>
      <c r="H101" s="88">
        <f ca="1">IFERROR(__xludf.DUMMYFUNCTION("IMPORTRANGE(""https://docs.google.com/spreadsheets/d/1-uDff_7J0KD5mKrp0Vvzr7lt3OU09vwQwhkpOPPYv2Y/edit?usp=sharing"",""งบพรบ!DT101"")"),473600)</f>
        <v>473600</v>
      </c>
      <c r="I101" s="88">
        <f ca="1">IFERROR(__xludf.DUMMYFUNCTION("IMPORTRANGE(""https://docs.google.com/spreadsheets/d/1-uDff_7J0KD5mKrp0Vvzr7lt3OU09vwQwhkpOPPYv2Y/edit?usp=sharing"",""งบพรบ!DU101"")"),0)</f>
        <v>0</v>
      </c>
      <c r="J101" s="88">
        <f t="shared" ca="1" si="56"/>
        <v>101418.11</v>
      </c>
      <c r="K101" s="89">
        <f t="shared" ca="1" si="57"/>
        <v>14.805563503649635</v>
      </c>
      <c r="L101" s="88">
        <f ca="1">IFERROR(__xludf.DUMMYFUNCTION("IMPORTRANGE(""https://docs.google.com/spreadsheets/d/1-uDff_7J0KD5mKrp0Vvzr7lt3OU09vwQwhkpOPPYv2Y/edit?usp=sharing"",""งบพรบ!DV101"")"),101418.11)</f>
        <v>101418.11</v>
      </c>
      <c r="M101" s="90">
        <f t="shared" ca="1" si="58"/>
        <v>14.805563503649635</v>
      </c>
      <c r="N101" s="90">
        <f t="shared" ca="1" si="59"/>
        <v>21.414296875000002</v>
      </c>
      <c r="O101" s="91">
        <f ca="1">IFERROR(__xludf.DUMMYFUNCTION("IMPORTRANGE(""https://docs.google.com/spreadsheets/d/1-uDff_7J0KD5mKrp0Vvzr7lt3OU09vwQwhkpOPPYv2Y/edit?usp=sharing"",""งบพรบ!DW101"")"),0)</f>
        <v>0</v>
      </c>
      <c r="P101" s="91">
        <f t="shared" ca="1" si="60"/>
        <v>0</v>
      </c>
      <c r="Q101" s="90">
        <f t="shared" ca="1" si="61"/>
        <v>0</v>
      </c>
      <c r="R101" s="319"/>
      <c r="S101" s="319"/>
      <c r="T101" s="320"/>
      <c r="U101" s="319"/>
      <c r="V101" s="319"/>
      <c r="W101" s="320"/>
      <c r="X101" s="319"/>
      <c r="Y101" s="319"/>
      <c r="Z101" s="320"/>
      <c r="AA101" s="319"/>
      <c r="AB101" s="320"/>
    </row>
    <row r="102" spans="1:28" ht="24" customHeight="1" x14ac:dyDescent="0.3">
      <c r="A102" s="196"/>
      <c r="B102" s="117" t="s">
        <v>124</v>
      </c>
      <c r="C102" s="197">
        <f t="shared" ca="1" si="54"/>
        <v>0</v>
      </c>
      <c r="D102" s="198">
        <f t="shared" ca="1" si="55"/>
        <v>0</v>
      </c>
      <c r="E102" s="88">
        <f ca="1">IFERROR(__xludf.DUMMYFUNCTION("IMPORTRANGE(""https://docs.google.com/spreadsheets/d/1-uDff_7J0KD5mKrp0Vvzr7lt3OU09vwQwhkpOPPYv2Y/edit?usp=sharing"",""งบพรบ!DP102"")"),0)</f>
        <v>0</v>
      </c>
      <c r="F102" s="88">
        <f ca="1">IFERROR(__xludf.DUMMYFUNCTION("IMPORTRANGE(""https://docs.google.com/spreadsheets/d/1-uDff_7J0KD5mKrp0Vvzr7lt3OU09vwQwhkpOPPYv2Y/edit?usp=sharing"",""งบพรบ!DQ102"")"),0)</f>
        <v>0</v>
      </c>
      <c r="G102" s="88">
        <f ca="1">IFERROR(__xludf.DUMMYFUNCTION("IMPORTRANGE(""https://docs.google.com/spreadsheets/d/1-uDff_7J0KD5mKrp0Vvzr7lt3OU09vwQwhkpOPPYv2Y/edit?usp=sharing"",""งบพรบ!DR102"")"),0)</f>
        <v>0</v>
      </c>
      <c r="H102" s="88">
        <f ca="1">IFERROR(__xludf.DUMMYFUNCTION("IMPORTRANGE(""https://docs.google.com/spreadsheets/d/1-uDff_7J0KD5mKrp0Vvzr7lt3OU09vwQwhkpOPPYv2Y/edit?usp=sharing"",""งบพรบ!DT102"")"),0)</f>
        <v>0</v>
      </c>
      <c r="I102" s="88">
        <f ca="1">IFERROR(__xludf.DUMMYFUNCTION("IMPORTRANGE(""https://docs.google.com/spreadsheets/d/1-uDff_7J0KD5mKrp0Vvzr7lt3OU09vwQwhkpOPPYv2Y/edit?usp=sharing"",""งบพรบ!DU102"")"),0)</f>
        <v>0</v>
      </c>
      <c r="J102" s="88">
        <f t="shared" ca="1" si="56"/>
        <v>0</v>
      </c>
      <c r="K102" s="89">
        <f t="shared" ca="1" si="57"/>
        <v>0</v>
      </c>
      <c r="L102" s="88">
        <f ca="1">IFERROR(__xludf.DUMMYFUNCTION("IMPORTRANGE(""https://docs.google.com/spreadsheets/d/1-uDff_7J0KD5mKrp0Vvzr7lt3OU09vwQwhkpOPPYv2Y/edit?usp=sharing"",""งบพรบ!DV102"")"),0)</f>
        <v>0</v>
      </c>
      <c r="M102" s="90">
        <f t="shared" ca="1" si="58"/>
        <v>0</v>
      </c>
      <c r="N102" s="90">
        <f t="shared" ca="1" si="59"/>
        <v>0</v>
      </c>
      <c r="O102" s="91">
        <f ca="1">IFERROR(__xludf.DUMMYFUNCTION("IMPORTRANGE(""https://docs.google.com/spreadsheets/d/1-uDff_7J0KD5mKrp0Vvzr7lt3OU09vwQwhkpOPPYv2Y/edit?usp=sharing"",""งบพรบ!DW102"")"),0)</f>
        <v>0</v>
      </c>
      <c r="P102" s="91">
        <f t="shared" ca="1" si="60"/>
        <v>0</v>
      </c>
      <c r="Q102" s="90">
        <f t="shared" ca="1" si="61"/>
        <v>0</v>
      </c>
      <c r="R102" s="319"/>
      <c r="S102" s="319"/>
      <c r="T102" s="320"/>
      <c r="U102" s="319"/>
      <c r="V102" s="319"/>
      <c r="W102" s="320"/>
      <c r="X102" s="319"/>
      <c r="Y102" s="319"/>
      <c r="Z102" s="320"/>
      <c r="AA102" s="319"/>
      <c r="AB102" s="320"/>
    </row>
    <row r="103" spans="1:28" ht="24" customHeight="1" x14ac:dyDescent="0.3">
      <c r="A103" s="196"/>
      <c r="B103" s="117" t="s">
        <v>125</v>
      </c>
      <c r="C103" s="197">
        <f t="shared" ca="1" si="54"/>
        <v>0</v>
      </c>
      <c r="D103" s="198">
        <f t="shared" ca="1" si="55"/>
        <v>0</v>
      </c>
      <c r="E103" s="88">
        <f ca="1">IFERROR(__xludf.DUMMYFUNCTION("IMPORTRANGE(""https://docs.google.com/spreadsheets/d/1-uDff_7J0KD5mKrp0Vvzr7lt3OU09vwQwhkpOPPYv2Y/edit?usp=sharing"",""งบพรบ!DP103"")"),0)</f>
        <v>0</v>
      </c>
      <c r="F103" s="88">
        <f ca="1">IFERROR(__xludf.DUMMYFUNCTION("IMPORTRANGE(""https://docs.google.com/spreadsheets/d/1-uDff_7J0KD5mKrp0Vvzr7lt3OU09vwQwhkpOPPYv2Y/edit?usp=sharing"",""งบพรบ!DQ103"")"),0)</f>
        <v>0</v>
      </c>
      <c r="G103" s="88">
        <f ca="1">IFERROR(__xludf.DUMMYFUNCTION("IMPORTRANGE(""https://docs.google.com/spreadsheets/d/1-uDff_7J0KD5mKrp0Vvzr7lt3OU09vwQwhkpOPPYv2Y/edit?usp=sharing"",""งบพรบ!DR103"")"),0)</f>
        <v>0</v>
      </c>
      <c r="H103" s="88">
        <f ca="1">IFERROR(__xludf.DUMMYFUNCTION("IMPORTRANGE(""https://docs.google.com/spreadsheets/d/1-uDff_7J0KD5mKrp0Vvzr7lt3OU09vwQwhkpOPPYv2Y/edit?usp=sharing"",""งบพรบ!DT103"")"),0)</f>
        <v>0</v>
      </c>
      <c r="I103" s="88">
        <f ca="1">IFERROR(__xludf.DUMMYFUNCTION("IMPORTRANGE(""https://docs.google.com/spreadsheets/d/1-uDff_7J0KD5mKrp0Vvzr7lt3OU09vwQwhkpOPPYv2Y/edit?usp=sharing"",""งบพรบ!DU103"")"),0)</f>
        <v>0</v>
      </c>
      <c r="J103" s="88">
        <f t="shared" ca="1" si="56"/>
        <v>0</v>
      </c>
      <c r="K103" s="89">
        <f t="shared" ca="1" si="57"/>
        <v>0</v>
      </c>
      <c r="L103" s="88">
        <f ca="1">IFERROR(__xludf.DUMMYFUNCTION("IMPORTRANGE(""https://docs.google.com/spreadsheets/d/1-uDff_7J0KD5mKrp0Vvzr7lt3OU09vwQwhkpOPPYv2Y/edit?usp=sharing"",""งบพรบ!DV103"")"),0)</f>
        <v>0</v>
      </c>
      <c r="M103" s="90">
        <f t="shared" ca="1" si="58"/>
        <v>0</v>
      </c>
      <c r="N103" s="90">
        <f t="shared" ca="1" si="59"/>
        <v>0</v>
      </c>
      <c r="O103" s="91">
        <f ca="1">IFERROR(__xludf.DUMMYFUNCTION("IMPORTRANGE(""https://docs.google.com/spreadsheets/d/1-uDff_7J0KD5mKrp0Vvzr7lt3OU09vwQwhkpOPPYv2Y/edit?usp=sharing"",""งบพรบ!DW103"")"),0)</f>
        <v>0</v>
      </c>
      <c r="P103" s="91">
        <f t="shared" ca="1" si="60"/>
        <v>0</v>
      </c>
      <c r="Q103" s="90">
        <f t="shared" ca="1" si="61"/>
        <v>0</v>
      </c>
      <c r="R103" s="321"/>
      <c r="S103" s="321"/>
      <c r="T103" s="322"/>
      <c r="U103" s="321"/>
      <c r="V103" s="321"/>
      <c r="W103" s="322"/>
      <c r="X103" s="321"/>
      <c r="Y103" s="321"/>
      <c r="Z103" s="322"/>
      <c r="AA103" s="321"/>
      <c r="AB103" s="322"/>
    </row>
    <row r="104" spans="1:28" ht="24" customHeight="1" x14ac:dyDescent="0.3">
      <c r="A104" s="196"/>
      <c r="B104" s="117" t="s">
        <v>126</v>
      </c>
      <c r="C104" s="197">
        <f t="shared" ca="1" si="54"/>
        <v>539200</v>
      </c>
      <c r="D104" s="198">
        <f t="shared" ca="1" si="55"/>
        <v>539200</v>
      </c>
      <c r="E104" s="88">
        <f ca="1">IFERROR(__xludf.DUMMYFUNCTION("IMPORTRANGE(""https://docs.google.com/spreadsheets/d/1-uDff_7J0KD5mKrp0Vvzr7lt3OU09vwQwhkpOPPYv2Y/edit?usp=sharing"",""งบพรบ!DP104"")"),539200)</f>
        <v>539200</v>
      </c>
      <c r="F104" s="88">
        <f ca="1">IFERROR(__xludf.DUMMYFUNCTION("IMPORTRANGE(""https://docs.google.com/spreadsheets/d/1-uDff_7J0KD5mKrp0Vvzr7lt3OU09vwQwhkpOPPYv2Y/edit?usp=sharing"",""งบพรบ!DQ104"")"),0)</f>
        <v>0</v>
      </c>
      <c r="G104" s="88">
        <f ca="1">IFERROR(__xludf.DUMMYFUNCTION("IMPORTRANGE(""https://docs.google.com/spreadsheets/d/1-uDff_7J0KD5mKrp0Vvzr7lt3OU09vwQwhkpOPPYv2Y/edit?usp=sharing"",""งบพรบ!DR104"")"),0)</f>
        <v>0</v>
      </c>
      <c r="H104" s="88">
        <f ca="1">IFERROR(__xludf.DUMMYFUNCTION("IMPORTRANGE(""https://docs.google.com/spreadsheets/d/1-uDff_7J0KD5mKrp0Vvzr7lt3OU09vwQwhkpOPPYv2Y/edit?usp=sharing"",""งบพรบ!DT104"")"),470000)</f>
        <v>470000</v>
      </c>
      <c r="I104" s="88">
        <f ca="1">IFERROR(__xludf.DUMMYFUNCTION("IMPORTRANGE(""https://docs.google.com/spreadsheets/d/1-uDff_7J0KD5mKrp0Vvzr7lt3OU09vwQwhkpOPPYv2Y/edit?usp=sharing"",""งบพรบ!DU104"")"),0)</f>
        <v>0</v>
      </c>
      <c r="J104" s="88">
        <f t="shared" ca="1" si="56"/>
        <v>0</v>
      </c>
      <c r="K104" s="89">
        <f t="shared" ca="1" si="57"/>
        <v>0</v>
      </c>
      <c r="L104" s="88">
        <f ca="1">IFERROR(__xludf.DUMMYFUNCTION("IMPORTRANGE(""https://docs.google.com/spreadsheets/d/1-uDff_7J0KD5mKrp0Vvzr7lt3OU09vwQwhkpOPPYv2Y/edit?usp=sharing"",""งบพรบ!DV104"")"),0)</f>
        <v>0</v>
      </c>
      <c r="M104" s="90">
        <f t="shared" ca="1" si="58"/>
        <v>0</v>
      </c>
      <c r="N104" s="90">
        <f t="shared" ca="1" si="59"/>
        <v>0</v>
      </c>
      <c r="O104" s="91">
        <f ca="1">IFERROR(__xludf.DUMMYFUNCTION("IMPORTRANGE(""https://docs.google.com/spreadsheets/d/1-uDff_7J0KD5mKrp0Vvzr7lt3OU09vwQwhkpOPPYv2Y/edit?usp=sharing"",""งบพรบ!DW104"")"),0)</f>
        <v>0</v>
      </c>
      <c r="P104" s="91">
        <f t="shared" ca="1" si="60"/>
        <v>0</v>
      </c>
      <c r="Q104" s="90">
        <f t="shared" ca="1" si="61"/>
        <v>0</v>
      </c>
      <c r="R104" s="319"/>
      <c r="S104" s="319"/>
      <c r="T104" s="320"/>
      <c r="U104" s="319"/>
      <c r="V104" s="319"/>
      <c r="W104" s="320"/>
      <c r="X104" s="319"/>
      <c r="Y104" s="319"/>
      <c r="Z104" s="320"/>
      <c r="AA104" s="319"/>
      <c r="AB104" s="320"/>
    </row>
    <row r="105" spans="1:28" ht="24" customHeight="1" x14ac:dyDescent="0.3">
      <c r="A105" s="196"/>
      <c r="B105" s="118" t="s">
        <v>127</v>
      </c>
      <c r="C105" s="197">
        <f t="shared" ca="1" si="54"/>
        <v>0</v>
      </c>
      <c r="D105" s="198">
        <f t="shared" ca="1" si="55"/>
        <v>0</v>
      </c>
      <c r="E105" s="88">
        <f ca="1">IFERROR(__xludf.DUMMYFUNCTION("IMPORTRANGE(""https://docs.google.com/spreadsheets/d/1-uDff_7J0KD5mKrp0Vvzr7lt3OU09vwQwhkpOPPYv2Y/edit?usp=sharing"",""งบพรบ!DP105"")"),0)</f>
        <v>0</v>
      </c>
      <c r="F105" s="88">
        <f ca="1">IFERROR(__xludf.DUMMYFUNCTION("IMPORTRANGE(""https://docs.google.com/spreadsheets/d/1-uDff_7J0KD5mKrp0Vvzr7lt3OU09vwQwhkpOPPYv2Y/edit?usp=sharing"",""งบพรบ!DQ105"")"),0)</f>
        <v>0</v>
      </c>
      <c r="G105" s="88">
        <f ca="1">IFERROR(__xludf.DUMMYFUNCTION("IMPORTRANGE(""https://docs.google.com/spreadsheets/d/1-uDff_7J0KD5mKrp0Vvzr7lt3OU09vwQwhkpOPPYv2Y/edit?usp=sharing"",""งบพรบ!DR105"")"),0)</f>
        <v>0</v>
      </c>
      <c r="H105" s="88">
        <f ca="1">IFERROR(__xludf.DUMMYFUNCTION("IMPORTRANGE(""https://docs.google.com/spreadsheets/d/1-uDff_7J0KD5mKrp0Vvzr7lt3OU09vwQwhkpOPPYv2Y/edit?usp=sharing"",""งบพรบ!DT105"")"),0)</f>
        <v>0</v>
      </c>
      <c r="I105" s="88">
        <f ca="1">IFERROR(__xludf.DUMMYFUNCTION("IMPORTRANGE(""https://docs.google.com/spreadsheets/d/1-uDff_7J0KD5mKrp0Vvzr7lt3OU09vwQwhkpOPPYv2Y/edit?usp=sharing"",""งบพรบ!DU105"")"),0)</f>
        <v>0</v>
      </c>
      <c r="J105" s="88">
        <f t="shared" ca="1" si="56"/>
        <v>0</v>
      </c>
      <c r="K105" s="89">
        <f t="shared" ca="1" si="57"/>
        <v>0</v>
      </c>
      <c r="L105" s="88">
        <f ca="1">IFERROR(__xludf.DUMMYFUNCTION("IMPORTRANGE(""https://docs.google.com/spreadsheets/d/1-uDff_7J0KD5mKrp0Vvzr7lt3OU09vwQwhkpOPPYv2Y/edit?usp=sharing"",""งบพรบ!DV105"")"),0)</f>
        <v>0</v>
      </c>
      <c r="M105" s="90">
        <f t="shared" ca="1" si="58"/>
        <v>0</v>
      </c>
      <c r="N105" s="90">
        <f t="shared" ca="1" si="59"/>
        <v>0</v>
      </c>
      <c r="O105" s="91">
        <f ca="1">IFERROR(__xludf.DUMMYFUNCTION("IMPORTRANGE(""https://docs.google.com/spreadsheets/d/1-uDff_7J0KD5mKrp0Vvzr7lt3OU09vwQwhkpOPPYv2Y/edit?usp=sharing"",""งบพรบ!DW105"")"),0)</f>
        <v>0</v>
      </c>
      <c r="P105" s="91">
        <f t="shared" ca="1" si="60"/>
        <v>0</v>
      </c>
      <c r="Q105" s="90">
        <f t="shared" ca="1" si="61"/>
        <v>0</v>
      </c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</row>
    <row r="106" spans="1:28" ht="24" customHeight="1" x14ac:dyDescent="0.3">
      <c r="A106" s="200"/>
      <c r="B106" s="120" t="s">
        <v>128</v>
      </c>
      <c r="C106" s="201">
        <f t="shared" ca="1" si="54"/>
        <v>0</v>
      </c>
      <c r="D106" s="202">
        <f t="shared" ca="1" si="55"/>
        <v>0</v>
      </c>
      <c r="E106" s="99">
        <f ca="1">IFERROR(__xludf.DUMMYFUNCTION("IMPORTRANGE(""https://docs.google.com/spreadsheets/d/1-uDff_7J0KD5mKrp0Vvzr7lt3OU09vwQwhkpOPPYv2Y/edit?usp=sharing"",""งบพรบ!DP106"")"),0)</f>
        <v>0</v>
      </c>
      <c r="F106" s="99">
        <f ca="1">IFERROR(__xludf.DUMMYFUNCTION("IMPORTRANGE(""https://docs.google.com/spreadsheets/d/1-uDff_7J0KD5mKrp0Vvzr7lt3OU09vwQwhkpOPPYv2Y/edit?usp=sharing"",""งบพรบ!DQ106"")"),0)</f>
        <v>0</v>
      </c>
      <c r="G106" s="99">
        <f ca="1">IFERROR(__xludf.DUMMYFUNCTION("IMPORTRANGE(""https://docs.google.com/spreadsheets/d/1-uDff_7J0KD5mKrp0Vvzr7lt3OU09vwQwhkpOPPYv2Y/edit?usp=sharing"",""งบพรบ!DR106"")"),0)</f>
        <v>0</v>
      </c>
      <c r="H106" s="99">
        <f ca="1">IFERROR(__xludf.DUMMYFUNCTION("IMPORTRANGE(""https://docs.google.com/spreadsheets/d/1-uDff_7J0KD5mKrp0Vvzr7lt3OU09vwQwhkpOPPYv2Y/edit?usp=sharing"",""งบพรบ!DT106"")"),0)</f>
        <v>0</v>
      </c>
      <c r="I106" s="99">
        <f ca="1">IFERROR(__xludf.DUMMYFUNCTION("IMPORTRANGE(""https://docs.google.com/spreadsheets/d/1-uDff_7J0KD5mKrp0Vvzr7lt3OU09vwQwhkpOPPYv2Y/edit?usp=sharing"",""งบพรบ!DU106"")"),0)</f>
        <v>0</v>
      </c>
      <c r="J106" s="99">
        <f t="shared" ca="1" si="56"/>
        <v>0</v>
      </c>
      <c r="K106" s="100">
        <f t="shared" ca="1" si="57"/>
        <v>0</v>
      </c>
      <c r="L106" s="99">
        <f ca="1">IFERROR(__xludf.DUMMYFUNCTION("IMPORTRANGE(""https://docs.google.com/spreadsheets/d/1-uDff_7J0KD5mKrp0Vvzr7lt3OU09vwQwhkpOPPYv2Y/edit?usp=sharing"",""งบพรบ!DV106"")"),0)</f>
        <v>0</v>
      </c>
      <c r="M106" s="101">
        <f t="shared" ca="1" si="58"/>
        <v>0</v>
      </c>
      <c r="N106" s="101">
        <f t="shared" ca="1" si="59"/>
        <v>0</v>
      </c>
      <c r="O106" s="102">
        <f ca="1">IFERROR(__xludf.DUMMYFUNCTION("IMPORTRANGE(""https://docs.google.com/spreadsheets/d/1-uDff_7J0KD5mKrp0Vvzr7lt3OU09vwQwhkpOPPYv2Y/edit?usp=sharing"",""งบพรบ!DW106"")"),0)</f>
        <v>0</v>
      </c>
      <c r="P106" s="102">
        <f t="shared" ca="1" si="60"/>
        <v>0</v>
      </c>
      <c r="Q106" s="101">
        <f t="shared" ca="1" si="61"/>
        <v>0</v>
      </c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</row>
    <row r="107" spans="1:28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89"/>
      <c r="S107" s="289"/>
      <c r="T107" s="289"/>
      <c r="U107" s="290"/>
      <c r="V107" s="290"/>
      <c r="W107" s="290"/>
      <c r="X107" s="290"/>
      <c r="Y107" s="290"/>
      <c r="Z107" s="290"/>
      <c r="AA107" s="290"/>
      <c r="AB107" s="290"/>
    </row>
    <row r="108" spans="1:28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89"/>
      <c r="S108" s="289"/>
      <c r="T108" s="289"/>
      <c r="U108" s="290"/>
      <c r="V108" s="290"/>
      <c r="W108" s="290"/>
      <c r="X108" s="290"/>
      <c r="Y108" s="290"/>
      <c r="Z108" s="290"/>
      <c r="AA108" s="290"/>
      <c r="AB108" s="290"/>
    </row>
    <row r="109" spans="1:28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89"/>
      <c r="S109" s="289"/>
      <c r="T109" s="289"/>
      <c r="U109" s="290"/>
      <c r="V109" s="290"/>
      <c r="W109" s="290"/>
      <c r="X109" s="290"/>
      <c r="Y109" s="290"/>
      <c r="Z109" s="290"/>
      <c r="AA109" s="290"/>
      <c r="AB109" s="290"/>
    </row>
    <row r="110" spans="1:28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89"/>
      <c r="S110" s="289"/>
      <c r="T110" s="289"/>
      <c r="U110" s="290"/>
      <c r="V110" s="290"/>
      <c r="W110" s="290"/>
      <c r="X110" s="290"/>
      <c r="Y110" s="290"/>
      <c r="Z110" s="290"/>
      <c r="AA110" s="290"/>
      <c r="AB110" s="290"/>
    </row>
    <row r="111" spans="1:28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89"/>
      <c r="S111" s="289"/>
      <c r="T111" s="289"/>
      <c r="U111" s="290"/>
      <c r="V111" s="290"/>
      <c r="W111" s="290"/>
      <c r="X111" s="290"/>
      <c r="Y111" s="290"/>
      <c r="Z111" s="290"/>
      <c r="AA111" s="290"/>
      <c r="AB111" s="290"/>
    </row>
    <row r="112" spans="1:28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89"/>
      <c r="S112" s="289"/>
      <c r="T112" s="289"/>
      <c r="U112" s="290"/>
      <c r="V112" s="290"/>
      <c r="W112" s="290"/>
      <c r="X112" s="290"/>
      <c r="Y112" s="290"/>
      <c r="Z112" s="290"/>
      <c r="AA112" s="290"/>
      <c r="AB112" s="290"/>
    </row>
    <row r="113" spans="1:28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89"/>
      <c r="S113" s="289"/>
      <c r="T113" s="289"/>
      <c r="U113" s="290"/>
      <c r="V113" s="290"/>
      <c r="W113" s="290"/>
      <c r="X113" s="290"/>
      <c r="Y113" s="290"/>
      <c r="Z113" s="290"/>
      <c r="AA113" s="290"/>
      <c r="AB113" s="290"/>
    </row>
    <row r="114" spans="1:28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89"/>
      <c r="S114" s="289"/>
      <c r="T114" s="289"/>
      <c r="U114" s="290"/>
      <c r="V114" s="290"/>
      <c r="W114" s="290"/>
      <c r="X114" s="290"/>
      <c r="Y114" s="290"/>
      <c r="Z114" s="290"/>
      <c r="AA114" s="290"/>
      <c r="AB114" s="290"/>
    </row>
    <row r="115" spans="1:28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89"/>
      <c r="S115" s="289"/>
      <c r="T115" s="289"/>
      <c r="U115" s="290"/>
      <c r="V115" s="290"/>
      <c r="W115" s="290"/>
      <c r="X115" s="290"/>
      <c r="Y115" s="290"/>
      <c r="Z115" s="290"/>
      <c r="AA115" s="290"/>
      <c r="AB115" s="290"/>
    </row>
    <row r="116" spans="1:28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89"/>
      <c r="S116" s="289"/>
      <c r="T116" s="289"/>
      <c r="U116" s="290"/>
      <c r="V116" s="290"/>
      <c r="W116" s="290"/>
      <c r="X116" s="290"/>
      <c r="Y116" s="290"/>
      <c r="Z116" s="290"/>
      <c r="AA116" s="290"/>
      <c r="AB116" s="290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89"/>
      <c r="S117" s="289"/>
      <c r="T117" s="289"/>
      <c r="U117" s="290"/>
      <c r="V117" s="290"/>
      <c r="W117" s="290"/>
      <c r="X117" s="290"/>
      <c r="Y117" s="290"/>
      <c r="Z117" s="290"/>
      <c r="AA117" s="290"/>
      <c r="AB117" s="290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89"/>
      <c r="S118" s="289"/>
      <c r="T118" s="289"/>
      <c r="U118" s="290"/>
      <c r="V118" s="290"/>
      <c r="W118" s="290"/>
      <c r="X118" s="290"/>
      <c r="Y118" s="290"/>
      <c r="Z118" s="290"/>
      <c r="AA118" s="290"/>
      <c r="AB118" s="290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89"/>
      <c r="S119" s="289"/>
      <c r="T119" s="289"/>
      <c r="U119" s="290"/>
      <c r="V119" s="290"/>
      <c r="W119" s="290"/>
      <c r="X119" s="290"/>
      <c r="Y119" s="290"/>
      <c r="Z119" s="290"/>
      <c r="AA119" s="290"/>
      <c r="AB119" s="290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89"/>
      <c r="S120" s="289"/>
      <c r="T120" s="289"/>
      <c r="U120" s="290"/>
      <c r="V120" s="290"/>
      <c r="W120" s="290"/>
      <c r="X120" s="290"/>
      <c r="Y120" s="290"/>
      <c r="Z120" s="290"/>
      <c r="AA120" s="290"/>
      <c r="AB120" s="290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89"/>
      <c r="S121" s="289"/>
      <c r="T121" s="289"/>
      <c r="U121" s="290"/>
      <c r="V121" s="290"/>
      <c r="W121" s="290"/>
      <c r="X121" s="290"/>
      <c r="Y121" s="290"/>
      <c r="Z121" s="290"/>
      <c r="AA121" s="290"/>
      <c r="AB121" s="290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89"/>
      <c r="S122" s="289"/>
      <c r="T122" s="289"/>
      <c r="U122" s="290"/>
      <c r="V122" s="290"/>
      <c r="W122" s="290"/>
      <c r="X122" s="290"/>
      <c r="Y122" s="290"/>
      <c r="Z122" s="290"/>
      <c r="AA122" s="290"/>
      <c r="AB122" s="290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89"/>
      <c r="S123" s="289"/>
      <c r="T123" s="289"/>
      <c r="U123" s="290"/>
      <c r="V123" s="290"/>
      <c r="W123" s="290"/>
      <c r="X123" s="290"/>
      <c r="Y123" s="290"/>
      <c r="Z123" s="290"/>
      <c r="AA123" s="290"/>
      <c r="AB123" s="290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89"/>
      <c r="S124" s="289"/>
      <c r="T124" s="289"/>
      <c r="U124" s="290"/>
      <c r="V124" s="290"/>
      <c r="W124" s="290"/>
      <c r="X124" s="290"/>
      <c r="Y124" s="290"/>
      <c r="Z124" s="290"/>
      <c r="AA124" s="290"/>
      <c r="AB124" s="290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89"/>
      <c r="S125" s="289"/>
      <c r="T125" s="289"/>
      <c r="U125" s="290"/>
      <c r="V125" s="290"/>
      <c r="W125" s="290"/>
      <c r="X125" s="290"/>
      <c r="Y125" s="290"/>
      <c r="Z125" s="290"/>
      <c r="AA125" s="290"/>
      <c r="AB125" s="290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89"/>
      <c r="S126" s="289"/>
      <c r="T126" s="289"/>
      <c r="U126" s="290"/>
      <c r="V126" s="290"/>
      <c r="W126" s="290"/>
      <c r="X126" s="290"/>
      <c r="Y126" s="290"/>
      <c r="Z126" s="290"/>
      <c r="AA126" s="290"/>
      <c r="AB126" s="290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89"/>
      <c r="S127" s="289"/>
      <c r="T127" s="289"/>
      <c r="U127" s="290"/>
      <c r="V127" s="290"/>
      <c r="W127" s="290"/>
      <c r="X127" s="290"/>
      <c r="Y127" s="290"/>
      <c r="Z127" s="290"/>
      <c r="AA127" s="290"/>
      <c r="AB127" s="290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89"/>
      <c r="S128" s="289"/>
      <c r="T128" s="289"/>
      <c r="U128" s="290"/>
      <c r="V128" s="290"/>
      <c r="W128" s="290"/>
      <c r="X128" s="290"/>
      <c r="Y128" s="290"/>
      <c r="Z128" s="290"/>
      <c r="AA128" s="290"/>
      <c r="AB128" s="290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89"/>
      <c r="S129" s="289"/>
      <c r="T129" s="289"/>
      <c r="U129" s="290"/>
      <c r="V129" s="290"/>
      <c r="W129" s="290"/>
      <c r="X129" s="290"/>
      <c r="Y129" s="290"/>
      <c r="Z129" s="290"/>
      <c r="AA129" s="290"/>
      <c r="AB129" s="290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89"/>
      <c r="S130" s="289"/>
      <c r="T130" s="289"/>
      <c r="U130" s="290"/>
      <c r="V130" s="290"/>
      <c r="W130" s="290"/>
      <c r="X130" s="290"/>
      <c r="Y130" s="290"/>
      <c r="Z130" s="290"/>
      <c r="AA130" s="290"/>
      <c r="AB130" s="290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89"/>
      <c r="S131" s="289"/>
      <c r="T131" s="289"/>
      <c r="U131" s="290"/>
      <c r="V131" s="290"/>
      <c r="W131" s="290"/>
      <c r="X131" s="290"/>
      <c r="Y131" s="290"/>
      <c r="Z131" s="290"/>
      <c r="AA131" s="290"/>
      <c r="AB131" s="290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89"/>
      <c r="S132" s="289"/>
      <c r="T132" s="289"/>
      <c r="U132" s="290"/>
      <c r="V132" s="290"/>
      <c r="W132" s="290"/>
      <c r="X132" s="290"/>
      <c r="Y132" s="290"/>
      <c r="Z132" s="290"/>
      <c r="AA132" s="290"/>
      <c r="AB132" s="290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89"/>
      <c r="S133" s="289"/>
      <c r="T133" s="289"/>
      <c r="U133" s="290"/>
      <c r="V133" s="290"/>
      <c r="W133" s="290"/>
      <c r="X133" s="290"/>
      <c r="Y133" s="290"/>
      <c r="Z133" s="290"/>
      <c r="AA133" s="290"/>
      <c r="AB133" s="290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89"/>
      <c r="S134" s="289"/>
      <c r="T134" s="289"/>
      <c r="U134" s="290"/>
      <c r="V134" s="290"/>
      <c r="W134" s="290"/>
      <c r="X134" s="290"/>
      <c r="Y134" s="290"/>
      <c r="Z134" s="290"/>
      <c r="AA134" s="290"/>
      <c r="AB134" s="290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89"/>
      <c r="S135" s="289"/>
      <c r="T135" s="289"/>
      <c r="U135" s="290"/>
      <c r="V135" s="290"/>
      <c r="W135" s="290"/>
      <c r="X135" s="290"/>
      <c r="Y135" s="290"/>
      <c r="Z135" s="290"/>
      <c r="AA135" s="290"/>
      <c r="AB135" s="290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89"/>
      <c r="S136" s="289"/>
      <c r="T136" s="289"/>
      <c r="U136" s="290"/>
      <c r="V136" s="290"/>
      <c r="W136" s="290"/>
      <c r="X136" s="290"/>
      <c r="Y136" s="290"/>
      <c r="Z136" s="290"/>
      <c r="AA136" s="290"/>
      <c r="AB136" s="290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89"/>
      <c r="S137" s="289"/>
      <c r="T137" s="289"/>
      <c r="U137" s="290"/>
      <c r="V137" s="290"/>
      <c r="W137" s="290"/>
      <c r="X137" s="290"/>
      <c r="Y137" s="290"/>
      <c r="Z137" s="290"/>
      <c r="AA137" s="290"/>
      <c r="AB137" s="290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89"/>
      <c r="S138" s="289"/>
      <c r="T138" s="289"/>
      <c r="U138" s="290"/>
      <c r="V138" s="290"/>
      <c r="W138" s="290"/>
      <c r="X138" s="290"/>
      <c r="Y138" s="290"/>
      <c r="Z138" s="290"/>
      <c r="AA138" s="290"/>
      <c r="AB138" s="290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89"/>
      <c r="S139" s="289"/>
      <c r="T139" s="289"/>
      <c r="U139" s="290"/>
      <c r="V139" s="290"/>
      <c r="W139" s="290"/>
      <c r="X139" s="290"/>
      <c r="Y139" s="290"/>
      <c r="Z139" s="290"/>
      <c r="AA139" s="290"/>
      <c r="AB139" s="290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89"/>
      <c r="S140" s="289"/>
      <c r="T140" s="289"/>
      <c r="U140" s="290"/>
      <c r="V140" s="290"/>
      <c r="W140" s="290"/>
      <c r="X140" s="290"/>
      <c r="Y140" s="290"/>
      <c r="Z140" s="290"/>
      <c r="AA140" s="290"/>
      <c r="AB140" s="290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89"/>
      <c r="S141" s="289"/>
      <c r="T141" s="289"/>
      <c r="U141" s="290"/>
      <c r="V141" s="290"/>
      <c r="W141" s="290"/>
      <c r="X141" s="290"/>
      <c r="Y141" s="290"/>
      <c r="Z141" s="290"/>
      <c r="AA141" s="290"/>
      <c r="AB141" s="290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89"/>
      <c r="S142" s="289"/>
      <c r="T142" s="289"/>
      <c r="U142" s="290"/>
      <c r="V142" s="290"/>
      <c r="W142" s="290"/>
      <c r="X142" s="290"/>
      <c r="Y142" s="290"/>
      <c r="Z142" s="290"/>
      <c r="AA142" s="290"/>
      <c r="AB142" s="290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89"/>
      <c r="S143" s="289"/>
      <c r="T143" s="289"/>
      <c r="U143" s="290"/>
      <c r="V143" s="290"/>
      <c r="W143" s="290"/>
      <c r="X143" s="290"/>
      <c r="Y143" s="290"/>
      <c r="Z143" s="290"/>
      <c r="AA143" s="290"/>
      <c r="AB143" s="290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89"/>
      <c r="S144" s="289"/>
      <c r="T144" s="289"/>
      <c r="U144" s="290"/>
      <c r="V144" s="290"/>
      <c r="W144" s="290"/>
      <c r="X144" s="290"/>
      <c r="Y144" s="290"/>
      <c r="Z144" s="290"/>
      <c r="AA144" s="290"/>
      <c r="AB144" s="290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89"/>
      <c r="S145" s="289"/>
      <c r="T145" s="289"/>
      <c r="U145" s="290"/>
      <c r="V145" s="290"/>
      <c r="W145" s="290"/>
      <c r="X145" s="290"/>
      <c r="Y145" s="290"/>
      <c r="Z145" s="290"/>
      <c r="AA145" s="290"/>
      <c r="AB145" s="290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89"/>
      <c r="S146" s="289"/>
      <c r="T146" s="289"/>
      <c r="U146" s="290"/>
      <c r="V146" s="290"/>
      <c r="W146" s="290"/>
      <c r="X146" s="290"/>
      <c r="Y146" s="290"/>
      <c r="Z146" s="290"/>
      <c r="AA146" s="290"/>
      <c r="AB146" s="290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89"/>
      <c r="S147" s="289"/>
      <c r="T147" s="289"/>
      <c r="U147" s="290"/>
      <c r="V147" s="290"/>
      <c r="W147" s="290"/>
      <c r="X147" s="290"/>
      <c r="Y147" s="290"/>
      <c r="Z147" s="290"/>
      <c r="AA147" s="290"/>
      <c r="AB147" s="290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89"/>
      <c r="S148" s="289"/>
      <c r="T148" s="289"/>
      <c r="U148" s="290"/>
      <c r="V148" s="290"/>
      <c r="W148" s="290"/>
      <c r="X148" s="290"/>
      <c r="Y148" s="290"/>
      <c r="Z148" s="290"/>
      <c r="AA148" s="290"/>
      <c r="AB148" s="290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89"/>
      <c r="S149" s="289"/>
      <c r="T149" s="289"/>
      <c r="U149" s="290"/>
      <c r="V149" s="290"/>
      <c r="W149" s="290"/>
      <c r="X149" s="290"/>
      <c r="Y149" s="290"/>
      <c r="Z149" s="290"/>
      <c r="AA149" s="290"/>
      <c r="AB149" s="290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89"/>
      <c r="S150" s="289"/>
      <c r="T150" s="289"/>
      <c r="U150" s="290"/>
      <c r="V150" s="290"/>
      <c r="W150" s="290"/>
      <c r="X150" s="290"/>
      <c r="Y150" s="290"/>
      <c r="Z150" s="290"/>
      <c r="AA150" s="290"/>
      <c r="AB150" s="290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89"/>
      <c r="S151" s="289"/>
      <c r="T151" s="289"/>
      <c r="U151" s="290"/>
      <c r="V151" s="290"/>
      <c r="W151" s="290"/>
      <c r="X151" s="290"/>
      <c r="Y151" s="290"/>
      <c r="Z151" s="290"/>
      <c r="AA151" s="290"/>
      <c r="AB151" s="290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89"/>
      <c r="S152" s="289"/>
      <c r="T152" s="289"/>
      <c r="U152" s="290"/>
      <c r="V152" s="290"/>
      <c r="W152" s="290"/>
      <c r="X152" s="290"/>
      <c r="Y152" s="290"/>
      <c r="Z152" s="290"/>
      <c r="AA152" s="290"/>
      <c r="AB152" s="290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89"/>
      <c r="S153" s="289"/>
      <c r="T153" s="289"/>
      <c r="U153" s="290"/>
      <c r="V153" s="290"/>
      <c r="W153" s="290"/>
      <c r="X153" s="290"/>
      <c r="Y153" s="290"/>
      <c r="Z153" s="290"/>
      <c r="AA153" s="290"/>
      <c r="AB153" s="290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89"/>
      <c r="S154" s="289"/>
      <c r="T154" s="289"/>
      <c r="U154" s="290"/>
      <c r="V154" s="290"/>
      <c r="W154" s="290"/>
      <c r="X154" s="290"/>
      <c r="Y154" s="290"/>
      <c r="Z154" s="290"/>
      <c r="AA154" s="290"/>
      <c r="AB154" s="290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89"/>
      <c r="S155" s="289"/>
      <c r="T155" s="289"/>
      <c r="U155" s="290"/>
      <c r="V155" s="290"/>
      <c r="W155" s="290"/>
      <c r="X155" s="290"/>
      <c r="Y155" s="290"/>
      <c r="Z155" s="290"/>
      <c r="AA155" s="290"/>
      <c r="AB155" s="290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89"/>
      <c r="S156" s="289"/>
      <c r="T156" s="289"/>
      <c r="U156" s="290"/>
      <c r="V156" s="290"/>
      <c r="W156" s="290"/>
      <c r="X156" s="290"/>
      <c r="Y156" s="290"/>
      <c r="Z156" s="290"/>
      <c r="AA156" s="290"/>
      <c r="AB156" s="290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89"/>
      <c r="S157" s="289"/>
      <c r="T157" s="289"/>
      <c r="U157" s="290"/>
      <c r="V157" s="290"/>
      <c r="W157" s="290"/>
      <c r="X157" s="290"/>
      <c r="Y157" s="290"/>
      <c r="Z157" s="290"/>
      <c r="AA157" s="290"/>
      <c r="AB157" s="290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89"/>
      <c r="S158" s="289"/>
      <c r="T158" s="289"/>
      <c r="U158" s="290"/>
      <c r="V158" s="290"/>
      <c r="W158" s="290"/>
      <c r="X158" s="290"/>
      <c r="Y158" s="290"/>
      <c r="Z158" s="290"/>
      <c r="AA158" s="290"/>
      <c r="AB158" s="290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89"/>
      <c r="S159" s="289"/>
      <c r="T159" s="289"/>
      <c r="U159" s="290"/>
      <c r="V159" s="290"/>
      <c r="W159" s="290"/>
      <c r="X159" s="290"/>
      <c r="Y159" s="290"/>
      <c r="Z159" s="290"/>
      <c r="AA159" s="290"/>
      <c r="AB159" s="290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89"/>
      <c r="S160" s="289"/>
      <c r="T160" s="289"/>
      <c r="U160" s="290"/>
      <c r="V160" s="290"/>
      <c r="W160" s="290"/>
      <c r="X160" s="290"/>
      <c r="Y160" s="290"/>
      <c r="Z160" s="290"/>
      <c r="AA160" s="290"/>
      <c r="AB160" s="290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89"/>
      <c r="S161" s="289"/>
      <c r="T161" s="289"/>
      <c r="U161" s="290"/>
      <c r="V161" s="290"/>
      <c r="W161" s="290"/>
      <c r="X161" s="290"/>
      <c r="Y161" s="290"/>
      <c r="Z161" s="290"/>
      <c r="AA161" s="290"/>
      <c r="AB161" s="290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89"/>
      <c r="S162" s="289"/>
      <c r="T162" s="289"/>
      <c r="U162" s="290"/>
      <c r="V162" s="290"/>
      <c r="W162" s="290"/>
      <c r="X162" s="290"/>
      <c r="Y162" s="290"/>
      <c r="Z162" s="290"/>
      <c r="AA162" s="290"/>
      <c r="AB162" s="290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89"/>
      <c r="S163" s="289"/>
      <c r="T163" s="289"/>
      <c r="U163" s="290"/>
      <c r="V163" s="290"/>
      <c r="W163" s="290"/>
      <c r="X163" s="290"/>
      <c r="Y163" s="290"/>
      <c r="Z163" s="290"/>
      <c r="AA163" s="290"/>
      <c r="AB163" s="290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89"/>
      <c r="S164" s="289"/>
      <c r="T164" s="289"/>
      <c r="U164" s="290"/>
      <c r="V164" s="290"/>
      <c r="W164" s="290"/>
      <c r="X164" s="290"/>
      <c r="Y164" s="290"/>
      <c r="Z164" s="290"/>
      <c r="AA164" s="290"/>
      <c r="AB164" s="290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89"/>
      <c r="S165" s="289"/>
      <c r="T165" s="289"/>
      <c r="U165" s="290"/>
      <c r="V165" s="290"/>
      <c r="W165" s="290"/>
      <c r="X165" s="290"/>
      <c r="Y165" s="290"/>
      <c r="Z165" s="290"/>
      <c r="AA165" s="290"/>
      <c r="AB165" s="290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89"/>
      <c r="S166" s="289"/>
      <c r="T166" s="289"/>
      <c r="U166" s="290"/>
      <c r="V166" s="290"/>
      <c r="W166" s="290"/>
      <c r="X166" s="290"/>
      <c r="Y166" s="290"/>
      <c r="Z166" s="290"/>
      <c r="AA166" s="290"/>
      <c r="AB166" s="290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89"/>
      <c r="S167" s="289"/>
      <c r="T167" s="289"/>
      <c r="U167" s="290"/>
      <c r="V167" s="290"/>
      <c r="W167" s="290"/>
      <c r="X167" s="290"/>
      <c r="Y167" s="290"/>
      <c r="Z167" s="290"/>
      <c r="AA167" s="290"/>
      <c r="AB167" s="290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89"/>
      <c r="S168" s="289"/>
      <c r="T168" s="289"/>
      <c r="U168" s="290"/>
      <c r="V168" s="290"/>
      <c r="W168" s="290"/>
      <c r="X168" s="290"/>
      <c r="Y168" s="290"/>
      <c r="Z168" s="290"/>
      <c r="AA168" s="290"/>
      <c r="AB168" s="290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89"/>
      <c r="S169" s="289"/>
      <c r="T169" s="289"/>
      <c r="U169" s="290"/>
      <c r="V169" s="290"/>
      <c r="W169" s="290"/>
      <c r="X169" s="290"/>
      <c r="Y169" s="290"/>
      <c r="Z169" s="290"/>
      <c r="AA169" s="290"/>
      <c r="AB169" s="290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89"/>
      <c r="S170" s="289"/>
      <c r="T170" s="289"/>
      <c r="U170" s="290"/>
      <c r="V170" s="290"/>
      <c r="W170" s="290"/>
      <c r="X170" s="290"/>
      <c r="Y170" s="290"/>
      <c r="Z170" s="290"/>
      <c r="AA170" s="290"/>
      <c r="AB170" s="290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89"/>
      <c r="S171" s="289"/>
      <c r="T171" s="289"/>
      <c r="U171" s="290"/>
      <c r="V171" s="290"/>
      <c r="W171" s="290"/>
      <c r="X171" s="290"/>
      <c r="Y171" s="290"/>
      <c r="Z171" s="290"/>
      <c r="AA171" s="290"/>
      <c r="AB171" s="290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89"/>
      <c r="S172" s="289"/>
      <c r="T172" s="289"/>
      <c r="U172" s="290"/>
      <c r="V172" s="290"/>
      <c r="W172" s="290"/>
      <c r="X172" s="290"/>
      <c r="Y172" s="290"/>
      <c r="Z172" s="290"/>
      <c r="AA172" s="290"/>
      <c r="AB172" s="290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89"/>
      <c r="S173" s="289"/>
      <c r="T173" s="289"/>
      <c r="U173" s="290"/>
      <c r="V173" s="290"/>
      <c r="W173" s="290"/>
      <c r="X173" s="290"/>
      <c r="Y173" s="290"/>
      <c r="Z173" s="290"/>
      <c r="AA173" s="290"/>
      <c r="AB173" s="290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89"/>
      <c r="S174" s="289"/>
      <c r="T174" s="289"/>
      <c r="U174" s="290"/>
      <c r="V174" s="290"/>
      <c r="W174" s="290"/>
      <c r="X174" s="290"/>
      <c r="Y174" s="290"/>
      <c r="Z174" s="290"/>
      <c r="AA174" s="290"/>
      <c r="AB174" s="290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89"/>
      <c r="S175" s="289"/>
      <c r="T175" s="289"/>
      <c r="U175" s="290"/>
      <c r="V175" s="290"/>
      <c r="W175" s="290"/>
      <c r="X175" s="290"/>
      <c r="Y175" s="290"/>
      <c r="Z175" s="290"/>
      <c r="AA175" s="290"/>
      <c r="AB175" s="290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89"/>
      <c r="S176" s="289"/>
      <c r="T176" s="289"/>
      <c r="U176" s="290"/>
      <c r="V176" s="290"/>
      <c r="W176" s="290"/>
      <c r="X176" s="290"/>
      <c r="Y176" s="290"/>
      <c r="Z176" s="290"/>
      <c r="AA176" s="290"/>
      <c r="AB176" s="290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89"/>
      <c r="S177" s="289"/>
      <c r="T177" s="289"/>
      <c r="U177" s="290"/>
      <c r="V177" s="290"/>
      <c r="W177" s="290"/>
      <c r="X177" s="290"/>
      <c r="Y177" s="290"/>
      <c r="Z177" s="290"/>
      <c r="AA177" s="290"/>
      <c r="AB177" s="290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89"/>
      <c r="S178" s="289"/>
      <c r="T178" s="289"/>
      <c r="U178" s="290"/>
      <c r="V178" s="290"/>
      <c r="W178" s="290"/>
      <c r="X178" s="290"/>
      <c r="Y178" s="290"/>
      <c r="Z178" s="290"/>
      <c r="AA178" s="290"/>
      <c r="AB178" s="290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89"/>
      <c r="S179" s="289"/>
      <c r="T179" s="289"/>
      <c r="U179" s="290"/>
      <c r="V179" s="290"/>
      <c r="W179" s="290"/>
      <c r="X179" s="290"/>
      <c r="Y179" s="290"/>
      <c r="Z179" s="290"/>
      <c r="AA179" s="290"/>
      <c r="AB179" s="290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89"/>
      <c r="S180" s="289"/>
      <c r="T180" s="289"/>
      <c r="U180" s="290"/>
      <c r="V180" s="290"/>
      <c r="W180" s="290"/>
      <c r="X180" s="290"/>
      <c r="Y180" s="290"/>
      <c r="Z180" s="290"/>
      <c r="AA180" s="290"/>
      <c r="AB180" s="290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89"/>
      <c r="S181" s="289"/>
      <c r="T181" s="289"/>
      <c r="U181" s="290"/>
      <c r="V181" s="290"/>
      <c r="W181" s="290"/>
      <c r="X181" s="290"/>
      <c r="Y181" s="290"/>
      <c r="Z181" s="290"/>
      <c r="AA181" s="290"/>
      <c r="AB181" s="290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89"/>
      <c r="S182" s="289"/>
      <c r="T182" s="289"/>
      <c r="U182" s="290"/>
      <c r="V182" s="290"/>
      <c r="W182" s="290"/>
      <c r="X182" s="290"/>
      <c r="Y182" s="290"/>
      <c r="Z182" s="290"/>
      <c r="AA182" s="290"/>
      <c r="AB182" s="290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89"/>
      <c r="S183" s="289"/>
      <c r="T183" s="289"/>
      <c r="U183" s="290"/>
      <c r="V183" s="290"/>
      <c r="W183" s="290"/>
      <c r="X183" s="290"/>
      <c r="Y183" s="290"/>
      <c r="Z183" s="290"/>
      <c r="AA183" s="290"/>
      <c r="AB183" s="290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89"/>
      <c r="S184" s="289"/>
      <c r="T184" s="289"/>
      <c r="U184" s="290"/>
      <c r="V184" s="290"/>
      <c r="W184" s="290"/>
      <c r="X184" s="290"/>
      <c r="Y184" s="290"/>
      <c r="Z184" s="290"/>
      <c r="AA184" s="290"/>
      <c r="AB184" s="290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89"/>
      <c r="S185" s="289"/>
      <c r="T185" s="289"/>
      <c r="U185" s="290"/>
      <c r="V185" s="290"/>
      <c r="W185" s="290"/>
      <c r="X185" s="290"/>
      <c r="Y185" s="290"/>
      <c r="Z185" s="290"/>
      <c r="AA185" s="290"/>
      <c r="AB185" s="290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89"/>
      <c r="S186" s="289"/>
      <c r="T186" s="289"/>
      <c r="U186" s="290"/>
      <c r="V186" s="290"/>
      <c r="W186" s="290"/>
      <c r="X186" s="290"/>
      <c r="Y186" s="290"/>
      <c r="Z186" s="290"/>
      <c r="AA186" s="290"/>
      <c r="AB186" s="290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89"/>
      <c r="S187" s="289"/>
      <c r="T187" s="289"/>
      <c r="U187" s="290"/>
      <c r="V187" s="290"/>
      <c r="W187" s="290"/>
      <c r="X187" s="290"/>
      <c r="Y187" s="290"/>
      <c r="Z187" s="290"/>
      <c r="AA187" s="290"/>
      <c r="AB187" s="290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89"/>
      <c r="S188" s="289"/>
      <c r="T188" s="289"/>
      <c r="U188" s="290"/>
      <c r="V188" s="290"/>
      <c r="W188" s="290"/>
      <c r="X188" s="290"/>
      <c r="Y188" s="290"/>
      <c r="Z188" s="290"/>
      <c r="AA188" s="290"/>
      <c r="AB188" s="290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89"/>
      <c r="S189" s="289"/>
      <c r="T189" s="289"/>
      <c r="U189" s="290"/>
      <c r="V189" s="290"/>
      <c r="W189" s="290"/>
      <c r="X189" s="290"/>
      <c r="Y189" s="290"/>
      <c r="Z189" s="290"/>
      <c r="AA189" s="290"/>
      <c r="AB189" s="290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89"/>
      <c r="S190" s="289"/>
      <c r="T190" s="289"/>
      <c r="U190" s="290"/>
      <c r="V190" s="290"/>
      <c r="W190" s="290"/>
      <c r="X190" s="290"/>
      <c r="Y190" s="290"/>
      <c r="Z190" s="290"/>
      <c r="AA190" s="290"/>
      <c r="AB190" s="290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89"/>
      <c r="S191" s="289"/>
      <c r="T191" s="289"/>
      <c r="U191" s="290"/>
      <c r="V191" s="290"/>
      <c r="W191" s="290"/>
      <c r="X191" s="290"/>
      <c r="Y191" s="290"/>
      <c r="Z191" s="290"/>
      <c r="AA191" s="290"/>
      <c r="AB191" s="290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89"/>
      <c r="S192" s="289"/>
      <c r="T192" s="289"/>
      <c r="U192" s="290"/>
      <c r="V192" s="290"/>
      <c r="W192" s="290"/>
      <c r="X192" s="290"/>
      <c r="Y192" s="290"/>
      <c r="Z192" s="290"/>
      <c r="AA192" s="290"/>
      <c r="AB192" s="290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89"/>
      <c r="S193" s="289"/>
      <c r="T193" s="289"/>
      <c r="U193" s="290"/>
      <c r="V193" s="290"/>
      <c r="W193" s="290"/>
      <c r="X193" s="290"/>
      <c r="Y193" s="290"/>
      <c r="Z193" s="290"/>
      <c r="AA193" s="290"/>
      <c r="AB193" s="290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89"/>
      <c r="S194" s="289"/>
      <c r="T194" s="289"/>
      <c r="U194" s="290"/>
      <c r="V194" s="290"/>
      <c r="W194" s="290"/>
      <c r="X194" s="290"/>
      <c r="Y194" s="290"/>
      <c r="Z194" s="290"/>
      <c r="AA194" s="290"/>
      <c r="AB194" s="290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89"/>
      <c r="S195" s="289"/>
      <c r="T195" s="289"/>
      <c r="U195" s="290"/>
      <c r="V195" s="290"/>
      <c r="W195" s="290"/>
      <c r="X195" s="290"/>
      <c r="Y195" s="290"/>
      <c r="Z195" s="290"/>
      <c r="AA195" s="290"/>
      <c r="AB195" s="290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89"/>
      <c r="S196" s="289"/>
      <c r="T196" s="289"/>
      <c r="U196" s="290"/>
      <c r="V196" s="290"/>
      <c r="W196" s="290"/>
      <c r="X196" s="290"/>
      <c r="Y196" s="290"/>
      <c r="Z196" s="290"/>
      <c r="AA196" s="290"/>
      <c r="AB196" s="290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89"/>
      <c r="S197" s="289"/>
      <c r="T197" s="289"/>
      <c r="U197" s="290"/>
      <c r="V197" s="290"/>
      <c r="W197" s="290"/>
      <c r="X197" s="290"/>
      <c r="Y197" s="290"/>
      <c r="Z197" s="290"/>
      <c r="AA197" s="290"/>
      <c r="AB197" s="290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89"/>
      <c r="S198" s="289"/>
      <c r="T198" s="289"/>
      <c r="U198" s="290"/>
      <c r="V198" s="290"/>
      <c r="W198" s="290"/>
      <c r="X198" s="290"/>
      <c r="Y198" s="290"/>
      <c r="Z198" s="290"/>
      <c r="AA198" s="290"/>
      <c r="AB198" s="290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89"/>
      <c r="S199" s="289"/>
      <c r="T199" s="289"/>
      <c r="U199" s="290"/>
      <c r="V199" s="290"/>
      <c r="W199" s="290"/>
      <c r="X199" s="290"/>
      <c r="Y199" s="290"/>
      <c r="Z199" s="290"/>
      <c r="AA199" s="290"/>
      <c r="AB199" s="290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89"/>
      <c r="S200" s="289"/>
      <c r="T200" s="289"/>
      <c r="U200" s="290"/>
      <c r="V200" s="290"/>
      <c r="W200" s="290"/>
      <c r="X200" s="290"/>
      <c r="Y200" s="290"/>
      <c r="Z200" s="290"/>
      <c r="AA200" s="290"/>
      <c r="AB200" s="290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89"/>
      <c r="S201" s="289"/>
      <c r="T201" s="289"/>
      <c r="U201" s="290"/>
      <c r="V201" s="290"/>
      <c r="W201" s="290"/>
      <c r="X201" s="290"/>
      <c r="Y201" s="290"/>
      <c r="Z201" s="290"/>
      <c r="AA201" s="290"/>
      <c r="AB201" s="290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89"/>
      <c r="S202" s="289"/>
      <c r="T202" s="289"/>
      <c r="U202" s="290"/>
      <c r="V202" s="290"/>
      <c r="W202" s="290"/>
      <c r="X202" s="290"/>
      <c r="Y202" s="290"/>
      <c r="Z202" s="290"/>
      <c r="AA202" s="290"/>
      <c r="AB202" s="290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89"/>
      <c r="S203" s="289"/>
      <c r="T203" s="289"/>
      <c r="U203" s="290"/>
      <c r="V203" s="290"/>
      <c r="W203" s="290"/>
      <c r="X203" s="290"/>
      <c r="Y203" s="290"/>
      <c r="Z203" s="290"/>
      <c r="AA203" s="290"/>
      <c r="AB203" s="290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89"/>
      <c r="S204" s="289"/>
      <c r="T204" s="289"/>
      <c r="U204" s="290"/>
      <c r="V204" s="290"/>
      <c r="W204" s="290"/>
      <c r="X204" s="290"/>
      <c r="Y204" s="290"/>
      <c r="Z204" s="290"/>
      <c r="AA204" s="290"/>
      <c r="AB204" s="290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89"/>
      <c r="S205" s="289"/>
      <c r="T205" s="289"/>
      <c r="U205" s="290"/>
      <c r="V205" s="290"/>
      <c r="W205" s="290"/>
      <c r="X205" s="290"/>
      <c r="Y205" s="290"/>
      <c r="Z205" s="290"/>
      <c r="AA205" s="290"/>
      <c r="AB205" s="290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89"/>
      <c r="S206" s="289"/>
      <c r="T206" s="289"/>
      <c r="U206" s="290"/>
      <c r="V206" s="290"/>
      <c r="W206" s="290"/>
      <c r="X206" s="290"/>
      <c r="Y206" s="290"/>
      <c r="Z206" s="290"/>
      <c r="AA206" s="290"/>
      <c r="AB206" s="290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89"/>
      <c r="S207" s="289"/>
      <c r="T207" s="289"/>
      <c r="U207" s="290"/>
      <c r="V207" s="290"/>
      <c r="W207" s="290"/>
      <c r="X207" s="290"/>
      <c r="Y207" s="290"/>
      <c r="Z207" s="290"/>
      <c r="AA207" s="290"/>
      <c r="AB207" s="290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89"/>
      <c r="S208" s="289"/>
      <c r="T208" s="289"/>
      <c r="U208" s="290"/>
      <c r="V208" s="290"/>
      <c r="W208" s="290"/>
      <c r="X208" s="290"/>
      <c r="Y208" s="290"/>
      <c r="Z208" s="290"/>
      <c r="AA208" s="290"/>
      <c r="AB208" s="290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89"/>
      <c r="S209" s="289"/>
      <c r="T209" s="289"/>
      <c r="U209" s="290"/>
      <c r="V209" s="290"/>
      <c r="W209" s="290"/>
      <c r="X209" s="290"/>
      <c r="Y209" s="290"/>
      <c r="Z209" s="290"/>
      <c r="AA209" s="290"/>
      <c r="AB209" s="290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89"/>
      <c r="S210" s="289"/>
      <c r="T210" s="289"/>
      <c r="U210" s="290"/>
      <c r="V210" s="290"/>
      <c r="W210" s="290"/>
      <c r="X210" s="290"/>
      <c r="Y210" s="290"/>
      <c r="Z210" s="290"/>
      <c r="AA210" s="290"/>
      <c r="AB210" s="290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89"/>
      <c r="S211" s="289"/>
      <c r="T211" s="289"/>
      <c r="U211" s="290"/>
      <c r="V211" s="290"/>
      <c r="W211" s="290"/>
      <c r="X211" s="290"/>
      <c r="Y211" s="290"/>
      <c r="Z211" s="290"/>
      <c r="AA211" s="290"/>
      <c r="AB211" s="290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89"/>
      <c r="S212" s="289"/>
      <c r="T212" s="289"/>
      <c r="U212" s="290"/>
      <c r="V212" s="290"/>
      <c r="W212" s="290"/>
      <c r="X212" s="290"/>
      <c r="Y212" s="290"/>
      <c r="Z212" s="290"/>
      <c r="AA212" s="290"/>
      <c r="AB212" s="290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89"/>
      <c r="S213" s="289"/>
      <c r="T213" s="289"/>
      <c r="U213" s="290"/>
      <c r="V213" s="290"/>
      <c r="W213" s="290"/>
      <c r="X213" s="290"/>
      <c r="Y213" s="290"/>
      <c r="Z213" s="290"/>
      <c r="AA213" s="290"/>
      <c r="AB213" s="290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89"/>
      <c r="S214" s="289"/>
      <c r="T214" s="289"/>
      <c r="U214" s="290"/>
      <c r="V214" s="290"/>
      <c r="W214" s="290"/>
      <c r="X214" s="290"/>
      <c r="Y214" s="290"/>
      <c r="Z214" s="290"/>
      <c r="AA214" s="290"/>
      <c r="AB214" s="290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89"/>
      <c r="S215" s="289"/>
      <c r="T215" s="289"/>
      <c r="U215" s="290"/>
      <c r="V215" s="290"/>
      <c r="W215" s="290"/>
      <c r="X215" s="290"/>
      <c r="Y215" s="290"/>
      <c r="Z215" s="290"/>
      <c r="AA215" s="290"/>
      <c r="AB215" s="290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89"/>
      <c r="S216" s="289"/>
      <c r="T216" s="289"/>
      <c r="U216" s="290"/>
      <c r="V216" s="290"/>
      <c r="W216" s="290"/>
      <c r="X216" s="290"/>
      <c r="Y216" s="290"/>
      <c r="Z216" s="290"/>
      <c r="AA216" s="290"/>
      <c r="AB216" s="290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89"/>
      <c r="S217" s="289"/>
      <c r="T217" s="289"/>
      <c r="U217" s="290"/>
      <c r="V217" s="290"/>
      <c r="W217" s="290"/>
      <c r="X217" s="290"/>
      <c r="Y217" s="290"/>
      <c r="Z217" s="290"/>
      <c r="AA217" s="290"/>
      <c r="AB217" s="290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89"/>
      <c r="S218" s="289"/>
      <c r="T218" s="289"/>
      <c r="U218" s="290"/>
      <c r="V218" s="290"/>
      <c r="W218" s="290"/>
      <c r="X218" s="290"/>
      <c r="Y218" s="290"/>
      <c r="Z218" s="290"/>
      <c r="AA218" s="290"/>
      <c r="AB218" s="290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89"/>
      <c r="S219" s="289"/>
      <c r="T219" s="289"/>
      <c r="U219" s="290"/>
      <c r="V219" s="290"/>
      <c r="W219" s="290"/>
      <c r="X219" s="290"/>
      <c r="Y219" s="290"/>
      <c r="Z219" s="290"/>
      <c r="AA219" s="290"/>
      <c r="AB219" s="290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89"/>
      <c r="S220" s="289"/>
      <c r="T220" s="289"/>
      <c r="U220" s="290"/>
      <c r="V220" s="290"/>
      <c r="W220" s="290"/>
      <c r="X220" s="290"/>
      <c r="Y220" s="290"/>
      <c r="Z220" s="290"/>
      <c r="AA220" s="290"/>
      <c r="AB220" s="290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89"/>
      <c r="S221" s="289"/>
      <c r="T221" s="289"/>
      <c r="U221" s="290"/>
      <c r="V221" s="290"/>
      <c r="W221" s="290"/>
      <c r="X221" s="290"/>
      <c r="Y221" s="290"/>
      <c r="Z221" s="290"/>
      <c r="AA221" s="290"/>
      <c r="AB221" s="290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89"/>
      <c r="S222" s="289"/>
      <c r="T222" s="289"/>
      <c r="U222" s="290"/>
      <c r="V222" s="290"/>
      <c r="W222" s="290"/>
      <c r="X222" s="290"/>
      <c r="Y222" s="290"/>
      <c r="Z222" s="290"/>
      <c r="AA222" s="290"/>
      <c r="AB222" s="290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89"/>
      <c r="S223" s="289"/>
      <c r="T223" s="289"/>
      <c r="U223" s="290"/>
      <c r="V223" s="290"/>
      <c r="W223" s="290"/>
      <c r="X223" s="290"/>
      <c r="Y223" s="290"/>
      <c r="Z223" s="290"/>
      <c r="AA223" s="290"/>
      <c r="AB223" s="290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89"/>
      <c r="S224" s="289"/>
      <c r="T224" s="289"/>
      <c r="U224" s="290"/>
      <c r="V224" s="290"/>
      <c r="W224" s="290"/>
      <c r="X224" s="290"/>
      <c r="Y224" s="290"/>
      <c r="Z224" s="290"/>
      <c r="AA224" s="290"/>
      <c r="AB224" s="290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89"/>
      <c r="S225" s="289"/>
      <c r="T225" s="289"/>
      <c r="U225" s="290"/>
      <c r="V225" s="290"/>
      <c r="W225" s="290"/>
      <c r="X225" s="290"/>
      <c r="Y225" s="290"/>
      <c r="Z225" s="290"/>
      <c r="AA225" s="290"/>
      <c r="AB225" s="290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89"/>
      <c r="S226" s="289"/>
      <c r="T226" s="289"/>
      <c r="U226" s="290"/>
      <c r="V226" s="290"/>
      <c r="W226" s="290"/>
      <c r="X226" s="290"/>
      <c r="Y226" s="290"/>
      <c r="Z226" s="290"/>
      <c r="AA226" s="290"/>
      <c r="AB226" s="290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89"/>
      <c r="S227" s="289"/>
      <c r="T227" s="289"/>
      <c r="U227" s="290"/>
      <c r="V227" s="290"/>
      <c r="W227" s="290"/>
      <c r="X227" s="290"/>
      <c r="Y227" s="290"/>
      <c r="Z227" s="290"/>
      <c r="AA227" s="290"/>
      <c r="AB227" s="290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89"/>
      <c r="S228" s="289"/>
      <c r="T228" s="289"/>
      <c r="U228" s="290"/>
      <c r="V228" s="290"/>
      <c r="W228" s="290"/>
      <c r="X228" s="290"/>
      <c r="Y228" s="290"/>
      <c r="Z228" s="290"/>
      <c r="AA228" s="290"/>
      <c r="AB228" s="290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89"/>
      <c r="S229" s="289"/>
      <c r="T229" s="289"/>
      <c r="U229" s="290"/>
      <c r="V229" s="290"/>
      <c r="W229" s="290"/>
      <c r="X229" s="290"/>
      <c r="Y229" s="290"/>
      <c r="Z229" s="290"/>
      <c r="AA229" s="290"/>
      <c r="AB229" s="290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89"/>
      <c r="S230" s="289"/>
      <c r="T230" s="289"/>
      <c r="U230" s="290"/>
      <c r="V230" s="290"/>
      <c r="W230" s="290"/>
      <c r="X230" s="290"/>
      <c r="Y230" s="290"/>
      <c r="Z230" s="290"/>
      <c r="AA230" s="290"/>
      <c r="AB230" s="290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89"/>
      <c r="S231" s="289"/>
      <c r="T231" s="289"/>
      <c r="U231" s="290"/>
      <c r="V231" s="290"/>
      <c r="W231" s="290"/>
      <c r="X231" s="290"/>
      <c r="Y231" s="290"/>
      <c r="Z231" s="290"/>
      <c r="AA231" s="290"/>
      <c r="AB231" s="290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89"/>
      <c r="S232" s="289"/>
      <c r="T232" s="289"/>
      <c r="U232" s="290"/>
      <c r="V232" s="290"/>
      <c r="W232" s="290"/>
      <c r="X232" s="290"/>
      <c r="Y232" s="290"/>
      <c r="Z232" s="290"/>
      <c r="AA232" s="290"/>
      <c r="AB232" s="290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89"/>
      <c r="S233" s="289"/>
      <c r="T233" s="289"/>
      <c r="U233" s="290"/>
      <c r="V233" s="290"/>
      <c r="W233" s="290"/>
      <c r="X233" s="290"/>
      <c r="Y233" s="290"/>
      <c r="Z233" s="290"/>
      <c r="AA233" s="290"/>
      <c r="AB233" s="290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89"/>
      <c r="S234" s="289"/>
      <c r="T234" s="289"/>
      <c r="U234" s="290"/>
      <c r="V234" s="290"/>
      <c r="W234" s="290"/>
      <c r="X234" s="290"/>
      <c r="Y234" s="290"/>
      <c r="Z234" s="290"/>
      <c r="AA234" s="290"/>
      <c r="AB234" s="290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89"/>
      <c r="S235" s="289"/>
      <c r="T235" s="289"/>
      <c r="U235" s="290"/>
      <c r="V235" s="290"/>
      <c r="W235" s="290"/>
      <c r="X235" s="290"/>
      <c r="Y235" s="290"/>
      <c r="Z235" s="290"/>
      <c r="AA235" s="290"/>
      <c r="AB235" s="290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89"/>
      <c r="S236" s="289"/>
      <c r="T236" s="289"/>
      <c r="U236" s="290"/>
      <c r="V236" s="290"/>
      <c r="W236" s="290"/>
      <c r="X236" s="290"/>
      <c r="Y236" s="290"/>
      <c r="Z236" s="290"/>
      <c r="AA236" s="290"/>
      <c r="AB236" s="290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89"/>
      <c r="S237" s="289"/>
      <c r="T237" s="289"/>
      <c r="U237" s="290"/>
      <c r="V237" s="290"/>
      <c r="W237" s="290"/>
      <c r="X237" s="290"/>
      <c r="Y237" s="290"/>
      <c r="Z237" s="290"/>
      <c r="AA237" s="290"/>
      <c r="AB237" s="290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89"/>
      <c r="S238" s="289"/>
      <c r="T238" s="289"/>
      <c r="U238" s="290"/>
      <c r="V238" s="290"/>
      <c r="W238" s="290"/>
      <c r="X238" s="290"/>
      <c r="Y238" s="290"/>
      <c r="Z238" s="290"/>
      <c r="AA238" s="290"/>
      <c r="AB238" s="290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89"/>
      <c r="S239" s="289"/>
      <c r="T239" s="289"/>
      <c r="U239" s="290"/>
      <c r="V239" s="290"/>
      <c r="W239" s="290"/>
      <c r="X239" s="290"/>
      <c r="Y239" s="290"/>
      <c r="Z239" s="290"/>
      <c r="AA239" s="290"/>
      <c r="AB239" s="290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89"/>
      <c r="S240" s="289"/>
      <c r="T240" s="289"/>
      <c r="U240" s="290"/>
      <c r="V240" s="290"/>
      <c r="W240" s="290"/>
      <c r="X240" s="290"/>
      <c r="Y240" s="290"/>
      <c r="Z240" s="290"/>
      <c r="AA240" s="290"/>
      <c r="AB240" s="290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89"/>
      <c r="S241" s="289"/>
      <c r="T241" s="289"/>
      <c r="U241" s="290"/>
      <c r="V241" s="290"/>
      <c r="W241" s="290"/>
      <c r="X241" s="290"/>
      <c r="Y241" s="290"/>
      <c r="Z241" s="290"/>
      <c r="AA241" s="290"/>
      <c r="AB241" s="290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89"/>
      <c r="S242" s="289"/>
      <c r="T242" s="289"/>
      <c r="U242" s="290"/>
      <c r="V242" s="290"/>
      <c r="W242" s="290"/>
      <c r="X242" s="290"/>
      <c r="Y242" s="290"/>
      <c r="Z242" s="290"/>
      <c r="AA242" s="290"/>
      <c r="AB242" s="290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89"/>
      <c r="S243" s="289"/>
      <c r="T243" s="289"/>
      <c r="U243" s="290"/>
      <c r="V243" s="290"/>
      <c r="W243" s="290"/>
      <c r="X243" s="290"/>
      <c r="Y243" s="290"/>
      <c r="Z243" s="290"/>
      <c r="AA243" s="290"/>
      <c r="AB243" s="290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89"/>
      <c r="S244" s="289"/>
      <c r="T244" s="289"/>
      <c r="U244" s="290"/>
      <c r="V244" s="290"/>
      <c r="W244" s="290"/>
      <c r="X244" s="290"/>
      <c r="Y244" s="290"/>
      <c r="Z244" s="290"/>
      <c r="AA244" s="290"/>
      <c r="AB244" s="290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89"/>
      <c r="S245" s="289"/>
      <c r="T245" s="289"/>
      <c r="U245" s="290"/>
      <c r="V245" s="290"/>
      <c r="W245" s="290"/>
      <c r="X245" s="290"/>
      <c r="Y245" s="290"/>
      <c r="Z245" s="290"/>
      <c r="AA245" s="290"/>
      <c r="AB245" s="290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89"/>
      <c r="S246" s="289"/>
      <c r="T246" s="289"/>
      <c r="U246" s="290"/>
      <c r="V246" s="290"/>
      <c r="W246" s="290"/>
      <c r="X246" s="290"/>
      <c r="Y246" s="290"/>
      <c r="Z246" s="290"/>
      <c r="AA246" s="290"/>
      <c r="AB246" s="290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89"/>
      <c r="S247" s="289"/>
      <c r="T247" s="289"/>
      <c r="U247" s="290"/>
      <c r="V247" s="290"/>
      <c r="W247" s="290"/>
      <c r="X247" s="290"/>
      <c r="Y247" s="290"/>
      <c r="Z247" s="290"/>
      <c r="AA247" s="290"/>
      <c r="AB247" s="290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89"/>
      <c r="S248" s="289"/>
      <c r="T248" s="289"/>
      <c r="U248" s="290"/>
      <c r="V248" s="290"/>
      <c r="W248" s="290"/>
      <c r="X248" s="290"/>
      <c r="Y248" s="290"/>
      <c r="Z248" s="290"/>
      <c r="AA248" s="290"/>
      <c r="AB248" s="290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89"/>
      <c r="S249" s="289"/>
      <c r="T249" s="289"/>
      <c r="U249" s="290"/>
      <c r="V249" s="290"/>
      <c r="W249" s="290"/>
      <c r="X249" s="290"/>
      <c r="Y249" s="290"/>
      <c r="Z249" s="290"/>
      <c r="AA249" s="290"/>
      <c r="AB249" s="290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89"/>
      <c r="S250" s="289"/>
      <c r="T250" s="289"/>
      <c r="U250" s="290"/>
      <c r="V250" s="290"/>
      <c r="W250" s="290"/>
      <c r="X250" s="290"/>
      <c r="Y250" s="290"/>
      <c r="Z250" s="290"/>
      <c r="AA250" s="290"/>
      <c r="AB250" s="290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89"/>
      <c r="S251" s="289"/>
      <c r="T251" s="289"/>
      <c r="U251" s="290"/>
      <c r="V251" s="290"/>
      <c r="W251" s="290"/>
      <c r="X251" s="290"/>
      <c r="Y251" s="290"/>
      <c r="Z251" s="290"/>
      <c r="AA251" s="290"/>
      <c r="AB251" s="290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89"/>
      <c r="S252" s="289"/>
      <c r="T252" s="289"/>
      <c r="U252" s="290"/>
      <c r="V252" s="290"/>
      <c r="W252" s="290"/>
      <c r="X252" s="290"/>
      <c r="Y252" s="290"/>
      <c r="Z252" s="290"/>
      <c r="AA252" s="290"/>
      <c r="AB252" s="290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89"/>
      <c r="S253" s="289"/>
      <c r="T253" s="289"/>
      <c r="U253" s="290"/>
      <c r="V253" s="290"/>
      <c r="W253" s="290"/>
      <c r="X253" s="290"/>
      <c r="Y253" s="290"/>
      <c r="Z253" s="290"/>
      <c r="AA253" s="290"/>
      <c r="AB253" s="290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89"/>
      <c r="S254" s="289"/>
      <c r="T254" s="289"/>
      <c r="U254" s="290"/>
      <c r="V254" s="290"/>
      <c r="W254" s="290"/>
      <c r="X254" s="290"/>
      <c r="Y254" s="290"/>
      <c r="Z254" s="290"/>
      <c r="AA254" s="290"/>
      <c r="AB254" s="290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89"/>
      <c r="S255" s="289"/>
      <c r="T255" s="289"/>
      <c r="U255" s="290"/>
      <c r="V255" s="290"/>
      <c r="W255" s="290"/>
      <c r="X255" s="290"/>
      <c r="Y255" s="290"/>
      <c r="Z255" s="290"/>
      <c r="AA255" s="290"/>
      <c r="AB255" s="290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89"/>
      <c r="S256" s="289"/>
      <c r="T256" s="289"/>
      <c r="U256" s="290"/>
      <c r="V256" s="290"/>
      <c r="W256" s="290"/>
      <c r="X256" s="290"/>
      <c r="Y256" s="290"/>
      <c r="Z256" s="290"/>
      <c r="AA256" s="290"/>
      <c r="AB256" s="290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89"/>
      <c r="S257" s="289"/>
      <c r="T257" s="289"/>
      <c r="U257" s="290"/>
      <c r="V257" s="290"/>
      <c r="W257" s="290"/>
      <c r="X257" s="290"/>
      <c r="Y257" s="290"/>
      <c r="Z257" s="290"/>
      <c r="AA257" s="290"/>
      <c r="AB257" s="290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89"/>
      <c r="S258" s="289"/>
      <c r="T258" s="289"/>
      <c r="U258" s="290"/>
      <c r="V258" s="290"/>
      <c r="W258" s="290"/>
      <c r="X258" s="290"/>
      <c r="Y258" s="290"/>
      <c r="Z258" s="290"/>
      <c r="AA258" s="290"/>
      <c r="AB258" s="290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89"/>
      <c r="S259" s="289"/>
      <c r="T259" s="289"/>
      <c r="U259" s="290"/>
      <c r="V259" s="290"/>
      <c r="W259" s="290"/>
      <c r="X259" s="290"/>
      <c r="Y259" s="290"/>
      <c r="Z259" s="290"/>
      <c r="AA259" s="290"/>
      <c r="AB259" s="290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89"/>
      <c r="S260" s="289"/>
      <c r="T260" s="289"/>
      <c r="U260" s="290"/>
      <c r="V260" s="290"/>
      <c r="W260" s="290"/>
      <c r="X260" s="290"/>
      <c r="Y260" s="290"/>
      <c r="Z260" s="290"/>
      <c r="AA260" s="290"/>
      <c r="AB260" s="290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89"/>
      <c r="S261" s="289"/>
      <c r="T261" s="289"/>
      <c r="U261" s="290"/>
      <c r="V261" s="290"/>
      <c r="W261" s="290"/>
      <c r="X261" s="290"/>
      <c r="Y261" s="290"/>
      <c r="Z261" s="290"/>
      <c r="AA261" s="290"/>
      <c r="AB261" s="290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89"/>
      <c r="S262" s="289"/>
      <c r="T262" s="289"/>
      <c r="U262" s="290"/>
      <c r="V262" s="290"/>
      <c r="W262" s="290"/>
      <c r="X262" s="290"/>
      <c r="Y262" s="290"/>
      <c r="Z262" s="290"/>
      <c r="AA262" s="290"/>
      <c r="AB262" s="290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89"/>
      <c r="S263" s="289"/>
      <c r="T263" s="289"/>
      <c r="U263" s="290"/>
      <c r="V263" s="290"/>
      <c r="W263" s="290"/>
      <c r="X263" s="290"/>
      <c r="Y263" s="290"/>
      <c r="Z263" s="290"/>
      <c r="AA263" s="290"/>
      <c r="AB263" s="290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89"/>
      <c r="S264" s="289"/>
      <c r="T264" s="289"/>
      <c r="U264" s="290"/>
      <c r="V264" s="290"/>
      <c r="W264" s="290"/>
      <c r="X264" s="290"/>
      <c r="Y264" s="290"/>
      <c r="Z264" s="290"/>
      <c r="AA264" s="290"/>
      <c r="AB264" s="290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89"/>
      <c r="S265" s="289"/>
      <c r="T265" s="289"/>
      <c r="U265" s="290"/>
      <c r="V265" s="290"/>
      <c r="W265" s="290"/>
      <c r="X265" s="290"/>
      <c r="Y265" s="290"/>
      <c r="Z265" s="290"/>
      <c r="AA265" s="290"/>
      <c r="AB265" s="290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89"/>
      <c r="S266" s="289"/>
      <c r="T266" s="289"/>
      <c r="U266" s="290"/>
      <c r="V266" s="290"/>
      <c r="W266" s="290"/>
      <c r="X266" s="290"/>
      <c r="Y266" s="290"/>
      <c r="Z266" s="290"/>
      <c r="AA266" s="290"/>
      <c r="AB266" s="290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89"/>
      <c r="S267" s="289"/>
      <c r="T267" s="289"/>
      <c r="U267" s="290"/>
      <c r="V267" s="290"/>
      <c r="W267" s="290"/>
      <c r="X267" s="290"/>
      <c r="Y267" s="290"/>
      <c r="Z267" s="290"/>
      <c r="AA267" s="290"/>
      <c r="AB267" s="290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89"/>
      <c r="S268" s="289"/>
      <c r="T268" s="289"/>
      <c r="U268" s="290"/>
      <c r="V268" s="290"/>
      <c r="W268" s="290"/>
      <c r="X268" s="290"/>
      <c r="Y268" s="290"/>
      <c r="Z268" s="290"/>
      <c r="AA268" s="290"/>
      <c r="AB268" s="290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89"/>
      <c r="S269" s="289"/>
      <c r="T269" s="289"/>
      <c r="U269" s="290"/>
      <c r="V269" s="290"/>
      <c r="W269" s="290"/>
      <c r="X269" s="290"/>
      <c r="Y269" s="290"/>
      <c r="Z269" s="290"/>
      <c r="AA269" s="290"/>
      <c r="AB269" s="290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89"/>
      <c r="S270" s="289"/>
      <c r="T270" s="289"/>
      <c r="U270" s="290"/>
      <c r="V270" s="290"/>
      <c r="W270" s="290"/>
      <c r="X270" s="290"/>
      <c r="Y270" s="290"/>
      <c r="Z270" s="290"/>
      <c r="AA270" s="290"/>
      <c r="AB270" s="290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89"/>
      <c r="S271" s="289"/>
      <c r="T271" s="289"/>
      <c r="U271" s="290"/>
      <c r="V271" s="290"/>
      <c r="W271" s="290"/>
      <c r="X271" s="290"/>
      <c r="Y271" s="290"/>
      <c r="Z271" s="290"/>
      <c r="AA271" s="290"/>
      <c r="AB271" s="290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89"/>
      <c r="S272" s="289"/>
      <c r="T272" s="289"/>
      <c r="U272" s="290"/>
      <c r="V272" s="290"/>
      <c r="W272" s="290"/>
      <c r="X272" s="290"/>
      <c r="Y272" s="290"/>
      <c r="Z272" s="290"/>
      <c r="AA272" s="290"/>
      <c r="AB272" s="290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89"/>
      <c r="S273" s="289"/>
      <c r="T273" s="289"/>
      <c r="U273" s="290"/>
      <c r="V273" s="290"/>
      <c r="W273" s="290"/>
      <c r="X273" s="290"/>
      <c r="Y273" s="290"/>
      <c r="Z273" s="290"/>
      <c r="AA273" s="290"/>
      <c r="AB273" s="290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89"/>
      <c r="S274" s="289"/>
      <c r="T274" s="289"/>
      <c r="U274" s="290"/>
      <c r="V274" s="290"/>
      <c r="W274" s="290"/>
      <c r="X274" s="290"/>
      <c r="Y274" s="290"/>
      <c r="Z274" s="290"/>
      <c r="AA274" s="290"/>
      <c r="AB274" s="290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89"/>
      <c r="S275" s="289"/>
      <c r="T275" s="289"/>
      <c r="U275" s="290"/>
      <c r="V275" s="290"/>
      <c r="W275" s="290"/>
      <c r="X275" s="290"/>
      <c r="Y275" s="290"/>
      <c r="Z275" s="290"/>
      <c r="AA275" s="290"/>
      <c r="AB275" s="290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89"/>
      <c r="S276" s="289"/>
      <c r="T276" s="289"/>
      <c r="U276" s="290"/>
      <c r="V276" s="290"/>
      <c r="W276" s="290"/>
      <c r="X276" s="290"/>
      <c r="Y276" s="290"/>
      <c r="Z276" s="290"/>
      <c r="AA276" s="290"/>
      <c r="AB276" s="290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89"/>
      <c r="S277" s="289"/>
      <c r="T277" s="289"/>
      <c r="U277" s="290"/>
      <c r="V277" s="290"/>
      <c r="W277" s="290"/>
      <c r="X277" s="290"/>
      <c r="Y277" s="290"/>
      <c r="Z277" s="290"/>
      <c r="AA277" s="290"/>
      <c r="AB277" s="290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89"/>
      <c r="S278" s="289"/>
      <c r="T278" s="289"/>
      <c r="U278" s="290"/>
      <c r="V278" s="290"/>
      <c r="W278" s="290"/>
      <c r="X278" s="290"/>
      <c r="Y278" s="290"/>
      <c r="Z278" s="290"/>
      <c r="AA278" s="290"/>
      <c r="AB278" s="290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89"/>
      <c r="S279" s="289"/>
      <c r="T279" s="289"/>
      <c r="U279" s="290"/>
      <c r="V279" s="290"/>
      <c r="W279" s="290"/>
      <c r="X279" s="290"/>
      <c r="Y279" s="290"/>
      <c r="Z279" s="290"/>
      <c r="AA279" s="290"/>
      <c r="AB279" s="290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89"/>
      <c r="S280" s="289"/>
      <c r="T280" s="289"/>
      <c r="U280" s="290"/>
      <c r="V280" s="290"/>
      <c r="W280" s="290"/>
      <c r="X280" s="290"/>
      <c r="Y280" s="290"/>
      <c r="Z280" s="290"/>
      <c r="AA280" s="290"/>
      <c r="AB280" s="290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89"/>
      <c r="S281" s="289"/>
      <c r="T281" s="289"/>
      <c r="U281" s="290"/>
      <c r="V281" s="290"/>
      <c r="W281" s="290"/>
      <c r="X281" s="290"/>
      <c r="Y281" s="290"/>
      <c r="Z281" s="290"/>
      <c r="AA281" s="290"/>
      <c r="AB281" s="290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89"/>
      <c r="S282" s="289"/>
      <c r="T282" s="289"/>
      <c r="U282" s="290"/>
      <c r="V282" s="290"/>
      <c r="W282" s="290"/>
      <c r="X282" s="290"/>
      <c r="Y282" s="290"/>
      <c r="Z282" s="290"/>
      <c r="AA282" s="290"/>
      <c r="AB282" s="290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89"/>
      <c r="S283" s="289"/>
      <c r="T283" s="289"/>
      <c r="U283" s="290"/>
      <c r="V283" s="290"/>
      <c r="W283" s="290"/>
      <c r="X283" s="290"/>
      <c r="Y283" s="290"/>
      <c r="Z283" s="290"/>
      <c r="AA283" s="290"/>
      <c r="AB283" s="290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89"/>
      <c r="S284" s="289"/>
      <c r="T284" s="289"/>
      <c r="U284" s="290"/>
      <c r="V284" s="290"/>
      <c r="W284" s="290"/>
      <c r="X284" s="290"/>
      <c r="Y284" s="290"/>
      <c r="Z284" s="290"/>
      <c r="AA284" s="290"/>
      <c r="AB284" s="290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89"/>
      <c r="S285" s="289"/>
      <c r="T285" s="289"/>
      <c r="U285" s="290"/>
      <c r="V285" s="290"/>
      <c r="W285" s="290"/>
      <c r="X285" s="290"/>
      <c r="Y285" s="290"/>
      <c r="Z285" s="290"/>
      <c r="AA285" s="290"/>
      <c r="AB285" s="290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89"/>
      <c r="S286" s="289"/>
      <c r="T286" s="289"/>
      <c r="U286" s="290"/>
      <c r="V286" s="290"/>
      <c r="W286" s="290"/>
      <c r="X286" s="290"/>
      <c r="Y286" s="290"/>
      <c r="Z286" s="290"/>
      <c r="AA286" s="290"/>
      <c r="AB286" s="290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89"/>
      <c r="S287" s="289"/>
      <c r="T287" s="289"/>
      <c r="U287" s="290"/>
      <c r="V287" s="290"/>
      <c r="W287" s="290"/>
      <c r="X287" s="290"/>
      <c r="Y287" s="290"/>
      <c r="Z287" s="290"/>
      <c r="AA287" s="290"/>
      <c r="AB287" s="290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89"/>
      <c r="S288" s="289"/>
      <c r="T288" s="289"/>
      <c r="U288" s="290"/>
      <c r="V288" s="290"/>
      <c r="W288" s="290"/>
      <c r="X288" s="290"/>
      <c r="Y288" s="290"/>
      <c r="Z288" s="290"/>
      <c r="AA288" s="290"/>
      <c r="AB288" s="290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89"/>
      <c r="S289" s="289"/>
      <c r="T289" s="289"/>
      <c r="U289" s="290"/>
      <c r="V289" s="290"/>
      <c r="W289" s="290"/>
      <c r="X289" s="290"/>
      <c r="Y289" s="290"/>
      <c r="Z289" s="290"/>
      <c r="AA289" s="290"/>
      <c r="AB289" s="290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89"/>
      <c r="S290" s="289"/>
      <c r="T290" s="289"/>
      <c r="U290" s="290"/>
      <c r="V290" s="290"/>
      <c r="W290" s="290"/>
      <c r="X290" s="290"/>
      <c r="Y290" s="290"/>
      <c r="Z290" s="290"/>
      <c r="AA290" s="290"/>
      <c r="AB290" s="290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89"/>
      <c r="S291" s="289"/>
      <c r="T291" s="289"/>
      <c r="U291" s="290"/>
      <c r="V291" s="290"/>
      <c r="W291" s="290"/>
      <c r="X291" s="290"/>
      <c r="Y291" s="290"/>
      <c r="Z291" s="290"/>
      <c r="AA291" s="290"/>
      <c r="AB291" s="290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89"/>
      <c r="S292" s="289"/>
      <c r="T292" s="289"/>
      <c r="U292" s="290"/>
      <c r="V292" s="290"/>
      <c r="W292" s="290"/>
      <c r="X292" s="290"/>
      <c r="Y292" s="290"/>
      <c r="Z292" s="290"/>
      <c r="AA292" s="290"/>
      <c r="AB292" s="290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89"/>
      <c r="S293" s="289"/>
      <c r="T293" s="289"/>
      <c r="U293" s="290"/>
      <c r="V293" s="290"/>
      <c r="W293" s="290"/>
      <c r="X293" s="290"/>
      <c r="Y293" s="290"/>
      <c r="Z293" s="290"/>
      <c r="AA293" s="290"/>
      <c r="AB293" s="290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89"/>
      <c r="S294" s="289"/>
      <c r="T294" s="289"/>
      <c r="U294" s="290"/>
      <c r="V294" s="290"/>
      <c r="W294" s="290"/>
      <c r="X294" s="290"/>
      <c r="Y294" s="290"/>
      <c r="Z294" s="290"/>
      <c r="AA294" s="290"/>
      <c r="AB294" s="290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89"/>
      <c r="S295" s="289"/>
      <c r="T295" s="289"/>
      <c r="U295" s="290"/>
      <c r="V295" s="290"/>
      <c r="W295" s="290"/>
      <c r="X295" s="290"/>
      <c r="Y295" s="290"/>
      <c r="Z295" s="290"/>
      <c r="AA295" s="290"/>
      <c r="AB295" s="290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89"/>
      <c r="S296" s="289"/>
      <c r="T296" s="289"/>
      <c r="U296" s="290"/>
      <c r="V296" s="290"/>
      <c r="W296" s="290"/>
      <c r="X296" s="290"/>
      <c r="Y296" s="290"/>
      <c r="Z296" s="290"/>
      <c r="AA296" s="290"/>
      <c r="AB296" s="290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89"/>
      <c r="S297" s="289"/>
      <c r="T297" s="289"/>
      <c r="U297" s="290"/>
      <c r="V297" s="290"/>
      <c r="W297" s="290"/>
      <c r="X297" s="290"/>
      <c r="Y297" s="290"/>
      <c r="Z297" s="290"/>
      <c r="AA297" s="290"/>
      <c r="AB297" s="290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89"/>
      <c r="S298" s="289"/>
      <c r="T298" s="289"/>
      <c r="U298" s="290"/>
      <c r="V298" s="290"/>
      <c r="W298" s="290"/>
      <c r="X298" s="290"/>
      <c r="Y298" s="290"/>
      <c r="Z298" s="290"/>
      <c r="AA298" s="290"/>
      <c r="AB298" s="290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89"/>
      <c r="S299" s="289"/>
      <c r="T299" s="289"/>
      <c r="U299" s="290"/>
      <c r="V299" s="290"/>
      <c r="W299" s="290"/>
      <c r="X299" s="290"/>
      <c r="Y299" s="290"/>
      <c r="Z299" s="290"/>
      <c r="AA299" s="290"/>
      <c r="AB299" s="290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89"/>
      <c r="S300" s="289"/>
      <c r="T300" s="289"/>
      <c r="U300" s="290"/>
      <c r="V300" s="290"/>
      <c r="W300" s="290"/>
      <c r="X300" s="290"/>
      <c r="Y300" s="290"/>
      <c r="Z300" s="290"/>
      <c r="AA300" s="290"/>
      <c r="AB300" s="290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89"/>
      <c r="S301" s="289"/>
      <c r="T301" s="289"/>
      <c r="U301" s="290"/>
      <c r="V301" s="290"/>
      <c r="W301" s="290"/>
      <c r="X301" s="290"/>
      <c r="Y301" s="290"/>
      <c r="Z301" s="290"/>
      <c r="AA301" s="290"/>
      <c r="AB301" s="290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89"/>
      <c r="S302" s="289"/>
      <c r="T302" s="289"/>
      <c r="U302" s="290"/>
      <c r="V302" s="290"/>
      <c r="W302" s="290"/>
      <c r="X302" s="290"/>
      <c r="Y302" s="290"/>
      <c r="Z302" s="290"/>
      <c r="AA302" s="290"/>
      <c r="AB302" s="290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89"/>
      <c r="S303" s="289"/>
      <c r="T303" s="289"/>
      <c r="U303" s="290"/>
      <c r="V303" s="290"/>
      <c r="W303" s="290"/>
      <c r="X303" s="290"/>
      <c r="Y303" s="290"/>
      <c r="Z303" s="290"/>
      <c r="AA303" s="290"/>
      <c r="AB303" s="290"/>
    </row>
    <row r="304" spans="1:28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325"/>
      <c r="S304" s="325"/>
      <c r="T304" s="325"/>
      <c r="U304" s="290"/>
      <c r="V304" s="290"/>
      <c r="W304" s="290"/>
      <c r="X304" s="290"/>
      <c r="Y304" s="290"/>
      <c r="Z304" s="290"/>
      <c r="AA304" s="290"/>
      <c r="AB304" s="290"/>
    </row>
    <row r="305" spans="1:28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325"/>
      <c r="S305" s="325"/>
      <c r="T305" s="325"/>
      <c r="U305" s="290"/>
      <c r="V305" s="290"/>
      <c r="W305" s="290"/>
      <c r="X305" s="290"/>
      <c r="Y305" s="290"/>
      <c r="Z305" s="290"/>
      <c r="AA305" s="290"/>
      <c r="AB305" s="290"/>
    </row>
    <row r="306" spans="1:28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325"/>
      <c r="S306" s="325"/>
      <c r="T306" s="325"/>
      <c r="U306" s="290"/>
      <c r="V306" s="290"/>
      <c r="W306" s="290"/>
      <c r="X306" s="290"/>
      <c r="Y306" s="290"/>
      <c r="Z306" s="290"/>
      <c r="AA306" s="290"/>
      <c r="AB306" s="290"/>
    </row>
    <row r="307" spans="1:28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325"/>
      <c r="S307" s="325"/>
      <c r="T307" s="325"/>
      <c r="U307" s="290"/>
      <c r="V307" s="290"/>
      <c r="W307" s="290"/>
      <c r="X307" s="290"/>
      <c r="Y307" s="290"/>
      <c r="Z307" s="290"/>
      <c r="AA307" s="290"/>
      <c r="AB307" s="290"/>
    </row>
    <row r="308" spans="1:28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325"/>
      <c r="S308" s="325"/>
      <c r="T308" s="325"/>
      <c r="U308" s="290"/>
      <c r="V308" s="290"/>
      <c r="W308" s="290"/>
      <c r="X308" s="290"/>
      <c r="Y308" s="290"/>
      <c r="Z308" s="290"/>
      <c r="AA308" s="290"/>
      <c r="AB308" s="290"/>
    </row>
    <row r="309" spans="1:28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325"/>
      <c r="S309" s="325"/>
      <c r="T309" s="325"/>
      <c r="U309" s="290"/>
      <c r="V309" s="290"/>
      <c r="W309" s="290"/>
      <c r="X309" s="290"/>
      <c r="Y309" s="290"/>
      <c r="Z309" s="290"/>
      <c r="AA309" s="290"/>
      <c r="AB309" s="290"/>
    </row>
    <row r="310" spans="1:28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325"/>
      <c r="S310" s="325"/>
      <c r="T310" s="325"/>
      <c r="U310" s="290"/>
      <c r="V310" s="290"/>
      <c r="W310" s="290"/>
      <c r="X310" s="290"/>
      <c r="Y310" s="290"/>
      <c r="Z310" s="290"/>
      <c r="AA310" s="290"/>
      <c r="AB310" s="290"/>
    </row>
    <row r="311" spans="1:28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325"/>
      <c r="S311" s="325"/>
      <c r="T311" s="325"/>
      <c r="U311" s="290"/>
      <c r="V311" s="290"/>
      <c r="W311" s="290"/>
      <c r="X311" s="290"/>
      <c r="Y311" s="290"/>
      <c r="Z311" s="290"/>
      <c r="AA311" s="290"/>
      <c r="AB311" s="290"/>
    </row>
    <row r="312" spans="1:28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325"/>
      <c r="S312" s="325"/>
      <c r="T312" s="325"/>
      <c r="U312" s="290"/>
      <c r="V312" s="290"/>
      <c r="W312" s="290"/>
      <c r="X312" s="290"/>
      <c r="Y312" s="290"/>
      <c r="Z312" s="290"/>
      <c r="AA312" s="290"/>
      <c r="AB312" s="290"/>
    </row>
    <row r="313" spans="1:28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325"/>
      <c r="S313" s="325"/>
      <c r="T313" s="325"/>
      <c r="U313" s="290"/>
      <c r="V313" s="290"/>
      <c r="W313" s="290"/>
      <c r="X313" s="290"/>
      <c r="Y313" s="290"/>
      <c r="Z313" s="290"/>
      <c r="AA313" s="290"/>
      <c r="AB313" s="290"/>
    </row>
    <row r="314" spans="1:28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325"/>
      <c r="S314" s="325"/>
      <c r="T314" s="325"/>
      <c r="U314" s="290"/>
      <c r="V314" s="290"/>
      <c r="W314" s="290"/>
      <c r="X314" s="290"/>
      <c r="Y314" s="290"/>
      <c r="Z314" s="290"/>
      <c r="AA314" s="290"/>
      <c r="AB314" s="290"/>
    </row>
    <row r="315" spans="1:28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325"/>
      <c r="S315" s="325"/>
      <c r="T315" s="325"/>
      <c r="U315" s="290"/>
      <c r="V315" s="290"/>
      <c r="W315" s="290"/>
      <c r="X315" s="290"/>
      <c r="Y315" s="290"/>
      <c r="Z315" s="290"/>
      <c r="AA315" s="290"/>
      <c r="AB315" s="290"/>
    </row>
    <row r="316" spans="1:28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325"/>
      <c r="S316" s="325"/>
      <c r="T316" s="325"/>
      <c r="U316" s="290"/>
      <c r="V316" s="290"/>
      <c r="W316" s="290"/>
      <c r="X316" s="290"/>
      <c r="Y316" s="290"/>
      <c r="Z316" s="290"/>
      <c r="AA316" s="290"/>
      <c r="AB316" s="290"/>
    </row>
    <row r="317" spans="1:28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325"/>
      <c r="S317" s="325"/>
      <c r="T317" s="325"/>
      <c r="U317" s="290"/>
      <c r="V317" s="290"/>
      <c r="W317" s="290"/>
      <c r="X317" s="290"/>
      <c r="Y317" s="290"/>
      <c r="Z317" s="290"/>
      <c r="AA317" s="290"/>
      <c r="AB317" s="290"/>
    </row>
    <row r="318" spans="1:28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325"/>
      <c r="S318" s="325"/>
      <c r="T318" s="325"/>
      <c r="U318" s="290"/>
      <c r="V318" s="290"/>
      <c r="W318" s="290"/>
      <c r="X318" s="290"/>
      <c r="Y318" s="290"/>
      <c r="Z318" s="290"/>
      <c r="AA318" s="290"/>
      <c r="AB318" s="290"/>
    </row>
    <row r="319" spans="1:28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325"/>
      <c r="S319" s="325"/>
      <c r="T319" s="325"/>
      <c r="U319" s="290"/>
      <c r="V319" s="290"/>
      <c r="W319" s="290"/>
      <c r="X319" s="290"/>
      <c r="Y319" s="290"/>
      <c r="Z319" s="290"/>
      <c r="AA319" s="290"/>
      <c r="AB319" s="290"/>
    </row>
    <row r="320" spans="1:28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325"/>
      <c r="S320" s="325"/>
      <c r="T320" s="325"/>
      <c r="U320" s="290"/>
      <c r="V320" s="290"/>
      <c r="W320" s="290"/>
      <c r="X320" s="290"/>
      <c r="Y320" s="290"/>
      <c r="Z320" s="290"/>
      <c r="AA320" s="290"/>
      <c r="AB320" s="290"/>
    </row>
    <row r="321" spans="1:28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325"/>
      <c r="S321" s="325"/>
      <c r="T321" s="325"/>
      <c r="U321" s="290"/>
      <c r="V321" s="290"/>
      <c r="W321" s="290"/>
      <c r="X321" s="290"/>
      <c r="Y321" s="290"/>
      <c r="Z321" s="290"/>
      <c r="AA321" s="290"/>
      <c r="AB321" s="290"/>
    </row>
    <row r="322" spans="1:28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325"/>
      <c r="S322" s="325"/>
      <c r="T322" s="325"/>
      <c r="U322" s="290"/>
      <c r="V322" s="290"/>
      <c r="W322" s="290"/>
      <c r="X322" s="290"/>
      <c r="Y322" s="290"/>
      <c r="Z322" s="290"/>
      <c r="AA322" s="290"/>
      <c r="AB322" s="290"/>
    </row>
    <row r="323" spans="1:28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325"/>
      <c r="S323" s="325"/>
      <c r="T323" s="325"/>
      <c r="U323" s="290"/>
      <c r="V323" s="290"/>
      <c r="W323" s="290"/>
      <c r="X323" s="290"/>
      <c r="Y323" s="290"/>
      <c r="Z323" s="290"/>
      <c r="AA323" s="290"/>
      <c r="AB323" s="290"/>
    </row>
    <row r="324" spans="1:28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325"/>
      <c r="S324" s="325"/>
      <c r="T324" s="325"/>
      <c r="U324" s="290"/>
      <c r="V324" s="290"/>
      <c r="W324" s="290"/>
      <c r="X324" s="290"/>
      <c r="Y324" s="290"/>
      <c r="Z324" s="290"/>
      <c r="AA324" s="290"/>
      <c r="AB324" s="290"/>
    </row>
    <row r="325" spans="1:28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325"/>
      <c r="S325" s="325"/>
      <c r="T325" s="325"/>
      <c r="U325" s="290"/>
      <c r="V325" s="290"/>
      <c r="W325" s="290"/>
      <c r="X325" s="290"/>
      <c r="Y325" s="290"/>
      <c r="Z325" s="290"/>
      <c r="AA325" s="290"/>
      <c r="AB325" s="290"/>
    </row>
    <row r="326" spans="1:28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325"/>
      <c r="S326" s="325"/>
      <c r="T326" s="325"/>
      <c r="U326" s="290"/>
      <c r="V326" s="290"/>
      <c r="W326" s="290"/>
      <c r="X326" s="290"/>
      <c r="Y326" s="290"/>
      <c r="Z326" s="290"/>
      <c r="AA326" s="290"/>
      <c r="AB326" s="290"/>
    </row>
    <row r="327" spans="1:28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325"/>
      <c r="S327" s="325"/>
      <c r="T327" s="325"/>
      <c r="U327" s="290"/>
      <c r="V327" s="290"/>
      <c r="W327" s="290"/>
      <c r="X327" s="290"/>
      <c r="Y327" s="290"/>
      <c r="Z327" s="290"/>
      <c r="AA327" s="290"/>
      <c r="AB327" s="290"/>
    </row>
    <row r="328" spans="1:28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325"/>
      <c r="S328" s="325"/>
      <c r="T328" s="325"/>
      <c r="U328" s="290"/>
      <c r="V328" s="290"/>
      <c r="W328" s="290"/>
      <c r="X328" s="290"/>
      <c r="Y328" s="290"/>
      <c r="Z328" s="290"/>
      <c r="AA328" s="290"/>
      <c r="AB328" s="290"/>
    </row>
    <row r="329" spans="1:28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325"/>
      <c r="S329" s="325"/>
      <c r="T329" s="325"/>
      <c r="U329" s="290"/>
      <c r="V329" s="290"/>
      <c r="W329" s="290"/>
      <c r="X329" s="290"/>
      <c r="Y329" s="290"/>
      <c r="Z329" s="290"/>
      <c r="AA329" s="290"/>
      <c r="AB329" s="290"/>
    </row>
    <row r="330" spans="1:28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325"/>
      <c r="S330" s="325"/>
      <c r="T330" s="325"/>
      <c r="U330" s="290"/>
      <c r="V330" s="290"/>
      <c r="W330" s="290"/>
      <c r="X330" s="290"/>
      <c r="Y330" s="290"/>
      <c r="Z330" s="290"/>
      <c r="AA330" s="290"/>
      <c r="AB330" s="290"/>
    </row>
    <row r="331" spans="1:28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325"/>
      <c r="S331" s="325"/>
      <c r="T331" s="325"/>
      <c r="U331" s="290"/>
      <c r="V331" s="290"/>
      <c r="W331" s="290"/>
      <c r="X331" s="290"/>
      <c r="Y331" s="290"/>
      <c r="Z331" s="290"/>
      <c r="AA331" s="290"/>
      <c r="AB331" s="290"/>
    </row>
    <row r="332" spans="1:28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325"/>
      <c r="S332" s="325"/>
      <c r="T332" s="325"/>
      <c r="U332" s="290"/>
      <c r="V332" s="290"/>
      <c r="W332" s="290"/>
      <c r="X332" s="290"/>
      <c r="Y332" s="290"/>
      <c r="Z332" s="290"/>
      <c r="AA332" s="290"/>
      <c r="AB332" s="290"/>
    </row>
    <row r="333" spans="1:28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325"/>
      <c r="S333" s="325"/>
      <c r="T333" s="325"/>
      <c r="U333" s="290"/>
      <c r="V333" s="290"/>
      <c r="W333" s="290"/>
      <c r="X333" s="290"/>
      <c r="Y333" s="290"/>
      <c r="Z333" s="290"/>
      <c r="AA333" s="290"/>
      <c r="AB333" s="290"/>
    </row>
    <row r="334" spans="1:28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325"/>
      <c r="S334" s="325"/>
      <c r="T334" s="325"/>
      <c r="U334" s="290"/>
      <c r="V334" s="290"/>
      <c r="W334" s="290"/>
      <c r="X334" s="290"/>
      <c r="Y334" s="290"/>
      <c r="Z334" s="290"/>
      <c r="AA334" s="290"/>
      <c r="AB334" s="290"/>
    </row>
    <row r="335" spans="1:28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325"/>
      <c r="S335" s="325"/>
      <c r="T335" s="325"/>
      <c r="U335" s="290"/>
      <c r="V335" s="290"/>
      <c r="W335" s="290"/>
      <c r="X335" s="290"/>
      <c r="Y335" s="290"/>
      <c r="Z335" s="290"/>
      <c r="AA335" s="290"/>
      <c r="AB335" s="290"/>
    </row>
    <row r="336" spans="1:28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325"/>
      <c r="S336" s="325"/>
      <c r="T336" s="325"/>
      <c r="U336" s="290"/>
      <c r="V336" s="290"/>
      <c r="W336" s="290"/>
      <c r="X336" s="290"/>
      <c r="Y336" s="290"/>
      <c r="Z336" s="290"/>
      <c r="AA336" s="290"/>
      <c r="AB336" s="290"/>
    </row>
    <row r="337" spans="1:28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325"/>
      <c r="S337" s="325"/>
      <c r="T337" s="325"/>
      <c r="U337" s="290"/>
      <c r="V337" s="290"/>
      <c r="W337" s="290"/>
      <c r="X337" s="290"/>
      <c r="Y337" s="290"/>
      <c r="Z337" s="290"/>
      <c r="AA337" s="290"/>
      <c r="AB337" s="290"/>
    </row>
    <row r="338" spans="1:28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325"/>
      <c r="S338" s="325"/>
      <c r="T338" s="325"/>
      <c r="U338" s="290"/>
      <c r="V338" s="290"/>
      <c r="W338" s="290"/>
      <c r="X338" s="290"/>
      <c r="Y338" s="290"/>
      <c r="Z338" s="290"/>
      <c r="AA338" s="290"/>
      <c r="AB338" s="290"/>
    </row>
    <row r="339" spans="1:28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325"/>
      <c r="S339" s="325"/>
      <c r="T339" s="325"/>
      <c r="U339" s="290"/>
      <c r="V339" s="290"/>
      <c r="W339" s="290"/>
      <c r="X339" s="290"/>
      <c r="Y339" s="290"/>
      <c r="Z339" s="290"/>
      <c r="AA339" s="290"/>
      <c r="AB339" s="290"/>
    </row>
    <row r="340" spans="1:28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325"/>
      <c r="S340" s="325"/>
      <c r="T340" s="325"/>
      <c r="U340" s="290"/>
      <c r="V340" s="290"/>
      <c r="W340" s="290"/>
      <c r="X340" s="290"/>
      <c r="Y340" s="290"/>
      <c r="Z340" s="290"/>
      <c r="AA340" s="290"/>
      <c r="AB340" s="290"/>
    </row>
    <row r="341" spans="1:28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325"/>
      <c r="S341" s="325"/>
      <c r="T341" s="325"/>
      <c r="U341" s="290"/>
      <c r="V341" s="290"/>
      <c r="W341" s="290"/>
      <c r="X341" s="290"/>
      <c r="Y341" s="290"/>
      <c r="Z341" s="290"/>
      <c r="AA341" s="290"/>
      <c r="AB341" s="290"/>
    </row>
    <row r="342" spans="1:28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325"/>
      <c r="S342" s="325"/>
      <c r="T342" s="325"/>
      <c r="U342" s="290"/>
      <c r="V342" s="290"/>
      <c r="W342" s="290"/>
      <c r="X342" s="290"/>
      <c r="Y342" s="290"/>
      <c r="Z342" s="290"/>
      <c r="AA342" s="290"/>
      <c r="AB342" s="290"/>
    </row>
    <row r="343" spans="1:28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325"/>
      <c r="S343" s="325"/>
      <c r="T343" s="325"/>
      <c r="U343" s="290"/>
      <c r="V343" s="290"/>
      <c r="W343" s="290"/>
      <c r="X343" s="290"/>
      <c r="Y343" s="290"/>
      <c r="Z343" s="290"/>
      <c r="AA343" s="290"/>
      <c r="AB343" s="290"/>
    </row>
    <row r="344" spans="1:28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325"/>
      <c r="S344" s="325"/>
      <c r="T344" s="325"/>
      <c r="U344" s="290"/>
      <c r="V344" s="290"/>
      <c r="W344" s="290"/>
      <c r="X344" s="290"/>
      <c r="Y344" s="290"/>
      <c r="Z344" s="290"/>
      <c r="AA344" s="290"/>
      <c r="AB344" s="290"/>
    </row>
    <row r="345" spans="1:28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325"/>
      <c r="S345" s="325"/>
      <c r="T345" s="325"/>
      <c r="U345" s="290"/>
      <c r="V345" s="290"/>
      <c r="W345" s="290"/>
      <c r="X345" s="290"/>
      <c r="Y345" s="290"/>
      <c r="Z345" s="290"/>
      <c r="AA345" s="290"/>
      <c r="AB345" s="290"/>
    </row>
    <row r="346" spans="1:28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325"/>
      <c r="S346" s="325"/>
      <c r="T346" s="325"/>
      <c r="U346" s="290"/>
      <c r="V346" s="290"/>
      <c r="W346" s="290"/>
      <c r="X346" s="290"/>
      <c r="Y346" s="290"/>
      <c r="Z346" s="290"/>
      <c r="AA346" s="290"/>
      <c r="AB346" s="290"/>
    </row>
    <row r="347" spans="1:28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325"/>
      <c r="S347" s="325"/>
      <c r="T347" s="325"/>
      <c r="U347" s="290"/>
      <c r="V347" s="290"/>
      <c r="W347" s="290"/>
      <c r="X347" s="290"/>
      <c r="Y347" s="290"/>
      <c r="Z347" s="290"/>
      <c r="AA347" s="290"/>
      <c r="AB347" s="290"/>
    </row>
    <row r="348" spans="1:28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325"/>
      <c r="S348" s="325"/>
      <c r="T348" s="325"/>
      <c r="U348" s="290"/>
      <c r="V348" s="290"/>
      <c r="W348" s="290"/>
      <c r="X348" s="290"/>
      <c r="Y348" s="290"/>
      <c r="Z348" s="290"/>
      <c r="AA348" s="290"/>
      <c r="AB348" s="290"/>
    </row>
    <row r="349" spans="1:28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325"/>
      <c r="S349" s="325"/>
      <c r="T349" s="325"/>
      <c r="U349" s="290"/>
      <c r="V349" s="290"/>
      <c r="W349" s="290"/>
      <c r="X349" s="290"/>
      <c r="Y349" s="290"/>
      <c r="Z349" s="290"/>
      <c r="AA349" s="290"/>
      <c r="AB349" s="290"/>
    </row>
    <row r="350" spans="1:28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325"/>
      <c r="S350" s="325"/>
      <c r="T350" s="325"/>
      <c r="U350" s="290"/>
      <c r="V350" s="290"/>
      <c r="W350" s="290"/>
      <c r="X350" s="290"/>
      <c r="Y350" s="290"/>
      <c r="Z350" s="290"/>
      <c r="AA350" s="290"/>
      <c r="AB350" s="290"/>
    </row>
    <row r="351" spans="1:28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325"/>
      <c r="S351" s="325"/>
      <c r="T351" s="325"/>
      <c r="U351" s="290"/>
      <c r="V351" s="290"/>
      <c r="W351" s="290"/>
      <c r="X351" s="290"/>
      <c r="Y351" s="290"/>
      <c r="Z351" s="290"/>
      <c r="AA351" s="290"/>
      <c r="AB351" s="290"/>
    </row>
    <row r="352" spans="1:28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325"/>
      <c r="S352" s="325"/>
      <c r="T352" s="325"/>
      <c r="U352" s="290"/>
      <c r="V352" s="290"/>
      <c r="W352" s="290"/>
      <c r="X352" s="290"/>
      <c r="Y352" s="290"/>
      <c r="Z352" s="290"/>
      <c r="AA352" s="290"/>
      <c r="AB352" s="290"/>
    </row>
    <row r="353" spans="1:28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325"/>
      <c r="S353" s="325"/>
      <c r="T353" s="325"/>
      <c r="U353" s="290"/>
      <c r="V353" s="290"/>
      <c r="W353" s="290"/>
      <c r="X353" s="290"/>
      <c r="Y353" s="290"/>
      <c r="Z353" s="290"/>
      <c r="AA353" s="290"/>
      <c r="AB353" s="290"/>
    </row>
    <row r="354" spans="1:28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325"/>
      <c r="S354" s="325"/>
      <c r="T354" s="325"/>
      <c r="U354" s="290"/>
      <c r="V354" s="290"/>
      <c r="W354" s="290"/>
      <c r="X354" s="290"/>
      <c r="Y354" s="290"/>
      <c r="Z354" s="290"/>
      <c r="AA354" s="290"/>
      <c r="AB354" s="290"/>
    </row>
    <row r="355" spans="1:28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325"/>
      <c r="S355" s="325"/>
      <c r="T355" s="325"/>
      <c r="U355" s="290"/>
      <c r="V355" s="290"/>
      <c r="W355" s="290"/>
      <c r="X355" s="290"/>
      <c r="Y355" s="290"/>
      <c r="Z355" s="290"/>
      <c r="AA355" s="290"/>
      <c r="AB355" s="290"/>
    </row>
    <row r="356" spans="1:28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325"/>
      <c r="S356" s="325"/>
      <c r="T356" s="325"/>
      <c r="U356" s="290"/>
      <c r="V356" s="290"/>
      <c r="W356" s="290"/>
      <c r="X356" s="290"/>
      <c r="Y356" s="290"/>
      <c r="Z356" s="290"/>
      <c r="AA356" s="290"/>
      <c r="AB356" s="290"/>
    </row>
    <row r="357" spans="1:28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325"/>
      <c r="S357" s="325"/>
      <c r="T357" s="325"/>
      <c r="U357" s="290"/>
      <c r="V357" s="290"/>
      <c r="W357" s="290"/>
      <c r="X357" s="290"/>
      <c r="Y357" s="290"/>
      <c r="Z357" s="290"/>
      <c r="AA357" s="290"/>
      <c r="AB357" s="290"/>
    </row>
    <row r="358" spans="1:28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325"/>
      <c r="S358" s="325"/>
      <c r="T358" s="325"/>
      <c r="U358" s="290"/>
      <c r="V358" s="290"/>
      <c r="W358" s="290"/>
      <c r="X358" s="290"/>
      <c r="Y358" s="290"/>
      <c r="Z358" s="290"/>
      <c r="AA358" s="290"/>
      <c r="AB358" s="290"/>
    </row>
    <row r="359" spans="1:28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325"/>
      <c r="S359" s="325"/>
      <c r="T359" s="325"/>
      <c r="U359" s="290"/>
      <c r="V359" s="290"/>
      <c r="W359" s="290"/>
      <c r="X359" s="290"/>
      <c r="Y359" s="290"/>
      <c r="Z359" s="290"/>
      <c r="AA359" s="290"/>
      <c r="AB359" s="290"/>
    </row>
    <row r="360" spans="1:28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325"/>
      <c r="S360" s="325"/>
      <c r="T360" s="325"/>
      <c r="U360" s="290"/>
      <c r="V360" s="290"/>
      <c r="W360" s="290"/>
      <c r="X360" s="290"/>
      <c r="Y360" s="290"/>
      <c r="Z360" s="290"/>
      <c r="AA360" s="290"/>
      <c r="AB360" s="290"/>
    </row>
    <row r="361" spans="1:28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325"/>
      <c r="S361" s="325"/>
      <c r="T361" s="325"/>
      <c r="U361" s="290"/>
      <c r="V361" s="290"/>
      <c r="W361" s="290"/>
      <c r="X361" s="290"/>
      <c r="Y361" s="290"/>
      <c r="Z361" s="290"/>
      <c r="AA361" s="290"/>
      <c r="AB361" s="290"/>
    </row>
    <row r="362" spans="1:28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325"/>
      <c r="S362" s="325"/>
      <c r="T362" s="325"/>
      <c r="U362" s="290"/>
      <c r="V362" s="290"/>
      <c r="W362" s="290"/>
      <c r="X362" s="290"/>
      <c r="Y362" s="290"/>
      <c r="Z362" s="290"/>
      <c r="AA362" s="290"/>
      <c r="AB362" s="290"/>
    </row>
    <row r="363" spans="1:28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325"/>
      <c r="S363" s="325"/>
      <c r="T363" s="325"/>
      <c r="U363" s="290"/>
      <c r="V363" s="290"/>
      <c r="W363" s="290"/>
      <c r="X363" s="290"/>
      <c r="Y363" s="290"/>
      <c r="Z363" s="290"/>
      <c r="AA363" s="290"/>
      <c r="AB363" s="290"/>
    </row>
    <row r="364" spans="1:28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325"/>
      <c r="S364" s="325"/>
      <c r="T364" s="325"/>
      <c r="U364" s="290"/>
      <c r="V364" s="290"/>
      <c r="W364" s="290"/>
      <c r="X364" s="290"/>
      <c r="Y364" s="290"/>
      <c r="Z364" s="290"/>
      <c r="AA364" s="290"/>
      <c r="AB364" s="290"/>
    </row>
    <row r="365" spans="1:28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325"/>
      <c r="S365" s="325"/>
      <c r="T365" s="325"/>
      <c r="U365" s="290"/>
      <c r="V365" s="290"/>
      <c r="W365" s="290"/>
      <c r="X365" s="290"/>
      <c r="Y365" s="290"/>
      <c r="Z365" s="290"/>
      <c r="AA365" s="290"/>
      <c r="AB365" s="290"/>
    </row>
    <row r="366" spans="1:28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325"/>
      <c r="S366" s="325"/>
      <c r="T366" s="325"/>
      <c r="U366" s="290"/>
      <c r="V366" s="290"/>
      <c r="W366" s="290"/>
      <c r="X366" s="290"/>
      <c r="Y366" s="290"/>
      <c r="Z366" s="290"/>
      <c r="AA366" s="290"/>
      <c r="AB366" s="290"/>
    </row>
    <row r="367" spans="1:28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325"/>
      <c r="S367" s="325"/>
      <c r="T367" s="325"/>
      <c r="U367" s="290"/>
      <c r="V367" s="290"/>
      <c r="W367" s="290"/>
      <c r="X367" s="290"/>
      <c r="Y367" s="290"/>
      <c r="Z367" s="290"/>
      <c r="AA367" s="290"/>
      <c r="AB367" s="290"/>
    </row>
    <row r="368" spans="1:28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325"/>
      <c r="S368" s="325"/>
      <c r="T368" s="325"/>
      <c r="U368" s="290"/>
      <c r="V368" s="290"/>
      <c r="W368" s="290"/>
      <c r="X368" s="290"/>
      <c r="Y368" s="290"/>
      <c r="Z368" s="290"/>
      <c r="AA368" s="290"/>
      <c r="AB368" s="290"/>
    </row>
    <row r="369" spans="1:28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325"/>
      <c r="S369" s="325"/>
      <c r="T369" s="325"/>
      <c r="U369" s="290"/>
      <c r="V369" s="290"/>
      <c r="W369" s="290"/>
      <c r="X369" s="290"/>
      <c r="Y369" s="290"/>
      <c r="Z369" s="290"/>
      <c r="AA369" s="290"/>
      <c r="AB369" s="290"/>
    </row>
    <row r="370" spans="1:28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325"/>
      <c r="S370" s="325"/>
      <c r="T370" s="325"/>
      <c r="U370" s="290"/>
      <c r="V370" s="290"/>
      <c r="W370" s="290"/>
      <c r="X370" s="290"/>
      <c r="Y370" s="290"/>
      <c r="Z370" s="290"/>
      <c r="AA370" s="290"/>
      <c r="AB370" s="290"/>
    </row>
    <row r="371" spans="1:28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325"/>
      <c r="S371" s="325"/>
      <c r="T371" s="325"/>
      <c r="U371" s="290"/>
      <c r="V371" s="290"/>
      <c r="W371" s="290"/>
      <c r="X371" s="290"/>
      <c r="Y371" s="290"/>
      <c r="Z371" s="290"/>
      <c r="AA371" s="290"/>
      <c r="AB371" s="290"/>
    </row>
    <row r="372" spans="1:28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325"/>
      <c r="S372" s="325"/>
      <c r="T372" s="325"/>
      <c r="U372" s="290"/>
      <c r="V372" s="290"/>
      <c r="W372" s="290"/>
      <c r="X372" s="290"/>
      <c r="Y372" s="290"/>
      <c r="Z372" s="290"/>
      <c r="AA372" s="290"/>
      <c r="AB372" s="290"/>
    </row>
    <row r="373" spans="1:28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325"/>
      <c r="S373" s="325"/>
      <c r="T373" s="325"/>
      <c r="U373" s="290"/>
      <c r="V373" s="290"/>
      <c r="W373" s="290"/>
      <c r="X373" s="290"/>
      <c r="Y373" s="290"/>
      <c r="Z373" s="290"/>
      <c r="AA373" s="290"/>
      <c r="AB373" s="290"/>
    </row>
    <row r="374" spans="1:28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325"/>
      <c r="S374" s="325"/>
      <c r="T374" s="325"/>
      <c r="U374" s="290"/>
      <c r="V374" s="290"/>
      <c r="W374" s="290"/>
      <c r="X374" s="290"/>
      <c r="Y374" s="290"/>
      <c r="Z374" s="290"/>
      <c r="AA374" s="290"/>
      <c r="AB374" s="290"/>
    </row>
    <row r="375" spans="1:28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325"/>
      <c r="S375" s="325"/>
      <c r="T375" s="325"/>
      <c r="U375" s="290"/>
      <c r="V375" s="290"/>
      <c r="W375" s="290"/>
      <c r="X375" s="290"/>
      <c r="Y375" s="290"/>
      <c r="Z375" s="290"/>
      <c r="AA375" s="290"/>
      <c r="AB375" s="290"/>
    </row>
    <row r="376" spans="1:28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325"/>
      <c r="S376" s="325"/>
      <c r="T376" s="325"/>
      <c r="U376" s="290"/>
      <c r="V376" s="290"/>
      <c r="W376" s="290"/>
      <c r="X376" s="290"/>
      <c r="Y376" s="290"/>
      <c r="Z376" s="290"/>
      <c r="AA376" s="290"/>
      <c r="AB376" s="290"/>
    </row>
    <row r="377" spans="1:28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325"/>
      <c r="S377" s="325"/>
      <c r="T377" s="325"/>
      <c r="U377" s="290"/>
      <c r="V377" s="290"/>
      <c r="W377" s="290"/>
      <c r="X377" s="290"/>
      <c r="Y377" s="290"/>
      <c r="Z377" s="290"/>
      <c r="AA377" s="290"/>
      <c r="AB377" s="290"/>
    </row>
    <row r="378" spans="1:28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325"/>
      <c r="S378" s="325"/>
      <c r="T378" s="325"/>
      <c r="U378" s="290"/>
      <c r="V378" s="290"/>
      <c r="W378" s="290"/>
      <c r="X378" s="290"/>
      <c r="Y378" s="290"/>
      <c r="Z378" s="290"/>
      <c r="AA378" s="290"/>
      <c r="AB378" s="290"/>
    </row>
    <row r="379" spans="1:28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325"/>
      <c r="S379" s="325"/>
      <c r="T379" s="325"/>
      <c r="U379" s="290"/>
      <c r="V379" s="290"/>
      <c r="W379" s="290"/>
      <c r="X379" s="290"/>
      <c r="Y379" s="290"/>
      <c r="Z379" s="290"/>
      <c r="AA379" s="290"/>
      <c r="AB379" s="290"/>
    </row>
    <row r="380" spans="1:28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325"/>
      <c r="S380" s="325"/>
      <c r="T380" s="325"/>
      <c r="U380" s="290"/>
      <c r="V380" s="290"/>
      <c r="W380" s="290"/>
      <c r="X380" s="290"/>
      <c r="Y380" s="290"/>
      <c r="Z380" s="290"/>
      <c r="AA380" s="290"/>
      <c r="AB380" s="290"/>
    </row>
    <row r="381" spans="1:28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325"/>
      <c r="S381" s="325"/>
      <c r="T381" s="325"/>
      <c r="U381" s="290"/>
      <c r="V381" s="290"/>
      <c r="W381" s="290"/>
      <c r="X381" s="290"/>
      <c r="Y381" s="290"/>
      <c r="Z381" s="290"/>
      <c r="AA381" s="290"/>
      <c r="AB381" s="290"/>
    </row>
    <row r="382" spans="1:28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325"/>
      <c r="S382" s="325"/>
      <c r="T382" s="325"/>
      <c r="U382" s="290"/>
      <c r="V382" s="290"/>
      <c r="W382" s="290"/>
      <c r="X382" s="290"/>
      <c r="Y382" s="290"/>
      <c r="Z382" s="290"/>
      <c r="AA382" s="290"/>
      <c r="AB382" s="290"/>
    </row>
    <row r="383" spans="1:28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325"/>
      <c r="S383" s="325"/>
      <c r="T383" s="325"/>
      <c r="U383" s="290"/>
      <c r="V383" s="290"/>
      <c r="W383" s="290"/>
      <c r="X383" s="290"/>
      <c r="Y383" s="290"/>
      <c r="Z383" s="290"/>
      <c r="AA383" s="290"/>
      <c r="AB383" s="290"/>
    </row>
    <row r="384" spans="1:28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325"/>
      <c r="S384" s="325"/>
      <c r="T384" s="325"/>
      <c r="U384" s="290"/>
      <c r="V384" s="290"/>
      <c r="W384" s="290"/>
      <c r="X384" s="290"/>
      <c r="Y384" s="290"/>
      <c r="Z384" s="290"/>
      <c r="AA384" s="290"/>
      <c r="AB384" s="290"/>
    </row>
    <row r="385" spans="1:28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325"/>
      <c r="S385" s="325"/>
      <c r="T385" s="325"/>
      <c r="U385" s="290"/>
      <c r="V385" s="290"/>
      <c r="W385" s="290"/>
      <c r="X385" s="290"/>
      <c r="Y385" s="290"/>
      <c r="Z385" s="290"/>
      <c r="AA385" s="290"/>
      <c r="AB385" s="290"/>
    </row>
    <row r="386" spans="1:28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325"/>
      <c r="S386" s="325"/>
      <c r="T386" s="325"/>
      <c r="U386" s="290"/>
      <c r="V386" s="290"/>
      <c r="W386" s="290"/>
      <c r="X386" s="290"/>
      <c r="Y386" s="290"/>
      <c r="Z386" s="290"/>
      <c r="AA386" s="290"/>
      <c r="AB386" s="290"/>
    </row>
    <row r="387" spans="1:28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325"/>
      <c r="S387" s="325"/>
      <c r="T387" s="325"/>
      <c r="U387" s="290"/>
      <c r="V387" s="290"/>
      <c r="W387" s="290"/>
      <c r="X387" s="290"/>
      <c r="Y387" s="290"/>
      <c r="Z387" s="290"/>
      <c r="AA387" s="290"/>
      <c r="AB387" s="290"/>
    </row>
    <row r="388" spans="1:28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325"/>
      <c r="S388" s="325"/>
      <c r="T388" s="325"/>
      <c r="U388" s="290"/>
      <c r="V388" s="290"/>
      <c r="W388" s="290"/>
      <c r="X388" s="290"/>
      <c r="Y388" s="290"/>
      <c r="Z388" s="290"/>
      <c r="AA388" s="290"/>
      <c r="AB388" s="290"/>
    </row>
    <row r="389" spans="1:28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325"/>
      <c r="S389" s="325"/>
      <c r="T389" s="325"/>
      <c r="U389" s="290"/>
      <c r="V389" s="290"/>
      <c r="W389" s="290"/>
      <c r="X389" s="290"/>
      <c r="Y389" s="290"/>
      <c r="Z389" s="290"/>
      <c r="AA389" s="290"/>
      <c r="AB389" s="290"/>
    </row>
    <row r="390" spans="1:28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325"/>
      <c r="S390" s="325"/>
      <c r="T390" s="325"/>
      <c r="U390" s="290"/>
      <c r="V390" s="290"/>
      <c r="W390" s="290"/>
      <c r="X390" s="290"/>
      <c r="Y390" s="290"/>
      <c r="Z390" s="290"/>
      <c r="AA390" s="290"/>
      <c r="AB390" s="290"/>
    </row>
    <row r="391" spans="1:28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325"/>
      <c r="S391" s="325"/>
      <c r="T391" s="325"/>
      <c r="U391" s="290"/>
      <c r="V391" s="290"/>
      <c r="W391" s="290"/>
      <c r="X391" s="290"/>
      <c r="Y391" s="290"/>
      <c r="Z391" s="290"/>
      <c r="AA391" s="290"/>
      <c r="AB391" s="290"/>
    </row>
    <row r="392" spans="1:28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325"/>
      <c r="S392" s="325"/>
      <c r="T392" s="325"/>
      <c r="U392" s="290"/>
      <c r="V392" s="290"/>
      <c r="W392" s="290"/>
      <c r="X392" s="290"/>
      <c r="Y392" s="290"/>
      <c r="Z392" s="290"/>
      <c r="AA392" s="290"/>
      <c r="AB392" s="290"/>
    </row>
    <row r="393" spans="1:28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325"/>
      <c r="S393" s="325"/>
      <c r="T393" s="325"/>
      <c r="U393" s="290"/>
      <c r="V393" s="290"/>
      <c r="W393" s="290"/>
      <c r="X393" s="290"/>
      <c r="Y393" s="290"/>
      <c r="Z393" s="290"/>
      <c r="AA393" s="290"/>
      <c r="AB393" s="290"/>
    </row>
    <row r="394" spans="1:28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325"/>
      <c r="S394" s="325"/>
      <c r="T394" s="325"/>
      <c r="U394" s="290"/>
      <c r="V394" s="290"/>
      <c r="W394" s="290"/>
      <c r="X394" s="290"/>
      <c r="Y394" s="290"/>
      <c r="Z394" s="290"/>
      <c r="AA394" s="290"/>
      <c r="AB394" s="290"/>
    </row>
    <row r="395" spans="1:28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325"/>
      <c r="S395" s="325"/>
      <c r="T395" s="325"/>
      <c r="U395" s="290"/>
      <c r="V395" s="290"/>
      <c r="W395" s="290"/>
      <c r="X395" s="290"/>
      <c r="Y395" s="290"/>
      <c r="Z395" s="290"/>
      <c r="AA395" s="290"/>
      <c r="AB395" s="290"/>
    </row>
    <row r="396" spans="1:28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325"/>
      <c r="S396" s="325"/>
      <c r="T396" s="325"/>
      <c r="U396" s="290"/>
      <c r="V396" s="290"/>
      <c r="W396" s="290"/>
      <c r="X396" s="290"/>
      <c r="Y396" s="290"/>
      <c r="Z396" s="290"/>
      <c r="AA396" s="290"/>
      <c r="AB396" s="290"/>
    </row>
    <row r="397" spans="1:28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325"/>
      <c r="S397" s="325"/>
      <c r="T397" s="325"/>
      <c r="U397" s="290"/>
      <c r="V397" s="290"/>
      <c r="W397" s="290"/>
      <c r="X397" s="290"/>
      <c r="Y397" s="290"/>
      <c r="Z397" s="290"/>
      <c r="AA397" s="290"/>
      <c r="AB397" s="290"/>
    </row>
    <row r="398" spans="1:28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325"/>
      <c r="S398" s="325"/>
      <c r="T398" s="325"/>
      <c r="U398" s="290"/>
      <c r="V398" s="290"/>
      <c r="W398" s="290"/>
      <c r="X398" s="290"/>
      <c r="Y398" s="290"/>
      <c r="Z398" s="290"/>
      <c r="AA398" s="290"/>
      <c r="AB398" s="290"/>
    </row>
    <row r="399" spans="1:28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325"/>
      <c r="S399" s="325"/>
      <c r="T399" s="325"/>
      <c r="U399" s="290"/>
      <c r="V399" s="290"/>
      <c r="W399" s="290"/>
      <c r="X399" s="290"/>
      <c r="Y399" s="290"/>
      <c r="Z399" s="290"/>
      <c r="AA399" s="290"/>
      <c r="AB399" s="290"/>
    </row>
    <row r="400" spans="1:28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325"/>
      <c r="S400" s="325"/>
      <c r="T400" s="325"/>
      <c r="U400" s="290"/>
      <c r="V400" s="290"/>
      <c r="W400" s="290"/>
      <c r="X400" s="290"/>
      <c r="Y400" s="290"/>
      <c r="Z400" s="290"/>
      <c r="AA400" s="290"/>
      <c r="AB400" s="290"/>
    </row>
    <row r="401" spans="1:28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325"/>
      <c r="S401" s="325"/>
      <c r="T401" s="325"/>
      <c r="U401" s="290"/>
      <c r="V401" s="290"/>
      <c r="W401" s="290"/>
      <c r="X401" s="290"/>
      <c r="Y401" s="290"/>
      <c r="Z401" s="290"/>
      <c r="AA401" s="290"/>
      <c r="AB401" s="290"/>
    </row>
    <row r="402" spans="1:28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325"/>
      <c r="S402" s="325"/>
      <c r="T402" s="325"/>
      <c r="U402" s="290"/>
      <c r="V402" s="290"/>
      <c r="W402" s="290"/>
      <c r="X402" s="290"/>
      <c r="Y402" s="290"/>
      <c r="Z402" s="290"/>
      <c r="AA402" s="290"/>
      <c r="AB402" s="290"/>
    </row>
    <row r="403" spans="1:28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325"/>
      <c r="S403" s="325"/>
      <c r="T403" s="325"/>
      <c r="U403" s="290"/>
      <c r="V403" s="290"/>
      <c r="W403" s="290"/>
      <c r="X403" s="290"/>
      <c r="Y403" s="290"/>
      <c r="Z403" s="290"/>
      <c r="AA403" s="290"/>
      <c r="AB403" s="290"/>
    </row>
    <row r="404" spans="1:28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325"/>
      <c r="S404" s="325"/>
      <c r="T404" s="325"/>
      <c r="U404" s="290"/>
      <c r="V404" s="290"/>
      <c r="W404" s="290"/>
      <c r="X404" s="290"/>
      <c r="Y404" s="290"/>
      <c r="Z404" s="290"/>
      <c r="AA404" s="290"/>
      <c r="AB404" s="290"/>
    </row>
    <row r="405" spans="1:28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325"/>
      <c r="S405" s="325"/>
      <c r="T405" s="325"/>
      <c r="U405" s="290"/>
      <c r="V405" s="290"/>
      <c r="W405" s="290"/>
      <c r="X405" s="290"/>
      <c r="Y405" s="290"/>
      <c r="Z405" s="290"/>
      <c r="AA405" s="290"/>
      <c r="AB405" s="290"/>
    </row>
    <row r="406" spans="1:28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325"/>
      <c r="S406" s="325"/>
      <c r="T406" s="325"/>
      <c r="U406" s="290"/>
      <c r="V406" s="290"/>
      <c r="W406" s="290"/>
      <c r="X406" s="290"/>
      <c r="Y406" s="290"/>
      <c r="Z406" s="290"/>
      <c r="AA406" s="290"/>
      <c r="AB406" s="290"/>
    </row>
    <row r="407" spans="1:28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325"/>
      <c r="S407" s="325"/>
      <c r="T407" s="325"/>
      <c r="U407" s="290"/>
      <c r="V407" s="290"/>
      <c r="W407" s="290"/>
      <c r="X407" s="290"/>
      <c r="Y407" s="290"/>
      <c r="Z407" s="290"/>
      <c r="AA407" s="290"/>
      <c r="AB407" s="290"/>
    </row>
    <row r="408" spans="1:28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325"/>
      <c r="S408" s="325"/>
      <c r="T408" s="325"/>
      <c r="U408" s="290"/>
      <c r="V408" s="290"/>
      <c r="W408" s="290"/>
      <c r="X408" s="290"/>
      <c r="Y408" s="290"/>
      <c r="Z408" s="290"/>
      <c r="AA408" s="290"/>
      <c r="AB408" s="290"/>
    </row>
    <row r="409" spans="1:28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325"/>
      <c r="S409" s="325"/>
      <c r="T409" s="325"/>
      <c r="U409" s="290"/>
      <c r="V409" s="290"/>
      <c r="W409" s="290"/>
      <c r="X409" s="290"/>
      <c r="Y409" s="290"/>
      <c r="Z409" s="290"/>
      <c r="AA409" s="290"/>
      <c r="AB409" s="290"/>
    </row>
    <row r="410" spans="1:28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325"/>
      <c r="S410" s="325"/>
      <c r="T410" s="325"/>
      <c r="U410" s="290"/>
      <c r="V410" s="290"/>
      <c r="W410" s="290"/>
      <c r="X410" s="290"/>
      <c r="Y410" s="290"/>
      <c r="Z410" s="290"/>
      <c r="AA410" s="290"/>
      <c r="AB410" s="290"/>
    </row>
    <row r="411" spans="1:28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325"/>
      <c r="S411" s="325"/>
      <c r="T411" s="325"/>
      <c r="U411" s="290"/>
      <c r="V411" s="290"/>
      <c r="W411" s="290"/>
      <c r="X411" s="290"/>
      <c r="Y411" s="290"/>
      <c r="Z411" s="290"/>
      <c r="AA411" s="290"/>
      <c r="AB411" s="290"/>
    </row>
    <row r="412" spans="1:28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325"/>
      <c r="S412" s="325"/>
      <c r="T412" s="325"/>
      <c r="U412" s="290"/>
      <c r="V412" s="290"/>
      <c r="W412" s="290"/>
      <c r="X412" s="290"/>
      <c r="Y412" s="290"/>
      <c r="Z412" s="290"/>
      <c r="AA412" s="290"/>
      <c r="AB412" s="290"/>
    </row>
    <row r="413" spans="1:28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325"/>
      <c r="S413" s="325"/>
      <c r="T413" s="325"/>
      <c r="U413" s="290"/>
      <c r="V413" s="290"/>
      <c r="W413" s="290"/>
      <c r="X413" s="290"/>
      <c r="Y413" s="290"/>
      <c r="Z413" s="290"/>
      <c r="AA413" s="290"/>
      <c r="AB413" s="290"/>
    </row>
    <row r="414" spans="1:28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325"/>
      <c r="S414" s="325"/>
      <c r="T414" s="325"/>
      <c r="U414" s="290"/>
      <c r="V414" s="290"/>
      <c r="W414" s="290"/>
      <c r="X414" s="290"/>
      <c r="Y414" s="290"/>
      <c r="Z414" s="290"/>
      <c r="AA414" s="290"/>
      <c r="AB414" s="290"/>
    </row>
    <row r="415" spans="1:28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325"/>
      <c r="S415" s="325"/>
      <c r="T415" s="325"/>
      <c r="U415" s="290"/>
      <c r="V415" s="290"/>
      <c r="W415" s="290"/>
      <c r="X415" s="290"/>
      <c r="Y415" s="290"/>
      <c r="Z415" s="290"/>
      <c r="AA415" s="290"/>
      <c r="AB415" s="290"/>
    </row>
    <row r="416" spans="1:28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325"/>
      <c r="S416" s="325"/>
      <c r="T416" s="325"/>
      <c r="U416" s="290"/>
      <c r="V416" s="290"/>
      <c r="W416" s="290"/>
      <c r="X416" s="290"/>
      <c r="Y416" s="290"/>
      <c r="Z416" s="290"/>
      <c r="AA416" s="290"/>
      <c r="AB416" s="290"/>
    </row>
    <row r="417" spans="1:28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325"/>
      <c r="S417" s="325"/>
      <c r="T417" s="325"/>
      <c r="U417" s="290"/>
      <c r="V417" s="290"/>
      <c r="W417" s="290"/>
      <c r="X417" s="290"/>
      <c r="Y417" s="290"/>
      <c r="Z417" s="290"/>
      <c r="AA417" s="290"/>
      <c r="AB417" s="290"/>
    </row>
    <row r="418" spans="1:28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325"/>
      <c r="S418" s="325"/>
      <c r="T418" s="325"/>
      <c r="U418" s="290"/>
      <c r="V418" s="290"/>
      <c r="W418" s="290"/>
      <c r="X418" s="290"/>
      <c r="Y418" s="290"/>
      <c r="Z418" s="290"/>
      <c r="AA418" s="290"/>
      <c r="AB418" s="290"/>
    </row>
    <row r="419" spans="1:28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325"/>
      <c r="S419" s="325"/>
      <c r="T419" s="325"/>
      <c r="U419" s="290"/>
      <c r="V419" s="290"/>
      <c r="W419" s="290"/>
      <c r="X419" s="290"/>
      <c r="Y419" s="290"/>
      <c r="Z419" s="290"/>
      <c r="AA419" s="290"/>
      <c r="AB419" s="290"/>
    </row>
    <row r="420" spans="1:28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325"/>
      <c r="S420" s="325"/>
      <c r="T420" s="325"/>
      <c r="U420" s="290"/>
      <c r="V420" s="290"/>
      <c r="W420" s="290"/>
      <c r="X420" s="290"/>
      <c r="Y420" s="290"/>
      <c r="Z420" s="290"/>
      <c r="AA420" s="290"/>
      <c r="AB420" s="290"/>
    </row>
    <row r="421" spans="1:28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325"/>
      <c r="S421" s="325"/>
      <c r="T421" s="325"/>
      <c r="U421" s="290"/>
      <c r="V421" s="290"/>
      <c r="W421" s="290"/>
      <c r="X421" s="290"/>
      <c r="Y421" s="290"/>
      <c r="Z421" s="290"/>
      <c r="AA421" s="290"/>
      <c r="AB421" s="290"/>
    </row>
    <row r="422" spans="1:28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325"/>
      <c r="S422" s="325"/>
      <c r="T422" s="325"/>
      <c r="U422" s="290"/>
      <c r="V422" s="290"/>
      <c r="W422" s="290"/>
      <c r="X422" s="290"/>
      <c r="Y422" s="290"/>
      <c r="Z422" s="290"/>
      <c r="AA422" s="290"/>
      <c r="AB422" s="290"/>
    </row>
    <row r="423" spans="1:28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325"/>
      <c r="S423" s="325"/>
      <c r="T423" s="325"/>
      <c r="U423" s="290"/>
      <c r="V423" s="290"/>
      <c r="W423" s="290"/>
      <c r="X423" s="290"/>
      <c r="Y423" s="290"/>
      <c r="Z423" s="290"/>
      <c r="AA423" s="290"/>
      <c r="AB423" s="290"/>
    </row>
    <row r="424" spans="1:28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325"/>
      <c r="S424" s="325"/>
      <c r="T424" s="325"/>
      <c r="U424" s="290"/>
      <c r="V424" s="290"/>
      <c r="W424" s="290"/>
      <c r="X424" s="290"/>
      <c r="Y424" s="290"/>
      <c r="Z424" s="290"/>
      <c r="AA424" s="290"/>
      <c r="AB424" s="290"/>
    </row>
    <row r="425" spans="1:28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325"/>
      <c r="S425" s="325"/>
      <c r="T425" s="325"/>
      <c r="U425" s="290"/>
      <c r="V425" s="290"/>
      <c r="W425" s="290"/>
      <c r="X425" s="290"/>
      <c r="Y425" s="290"/>
      <c r="Z425" s="290"/>
      <c r="AA425" s="290"/>
      <c r="AB425" s="290"/>
    </row>
    <row r="426" spans="1:28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325"/>
      <c r="S426" s="325"/>
      <c r="T426" s="325"/>
      <c r="U426" s="290"/>
      <c r="V426" s="290"/>
      <c r="W426" s="290"/>
      <c r="X426" s="290"/>
      <c r="Y426" s="290"/>
      <c r="Z426" s="290"/>
      <c r="AA426" s="290"/>
      <c r="AB426" s="290"/>
    </row>
    <row r="427" spans="1:28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325"/>
      <c r="S427" s="325"/>
      <c r="T427" s="325"/>
      <c r="U427" s="290"/>
      <c r="V427" s="290"/>
      <c r="W427" s="290"/>
      <c r="X427" s="290"/>
      <c r="Y427" s="290"/>
      <c r="Z427" s="290"/>
      <c r="AA427" s="290"/>
      <c r="AB427" s="290"/>
    </row>
    <row r="428" spans="1:28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325"/>
      <c r="S428" s="325"/>
      <c r="T428" s="325"/>
      <c r="U428" s="290"/>
      <c r="V428" s="290"/>
      <c r="W428" s="290"/>
      <c r="X428" s="290"/>
      <c r="Y428" s="290"/>
      <c r="Z428" s="290"/>
      <c r="AA428" s="290"/>
      <c r="AB428" s="290"/>
    </row>
    <row r="429" spans="1:28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325"/>
      <c r="S429" s="325"/>
      <c r="T429" s="325"/>
      <c r="U429" s="290"/>
      <c r="V429" s="290"/>
      <c r="W429" s="290"/>
      <c r="X429" s="290"/>
      <c r="Y429" s="290"/>
      <c r="Z429" s="290"/>
      <c r="AA429" s="290"/>
      <c r="AB429" s="290"/>
    </row>
    <row r="430" spans="1:28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325"/>
      <c r="S430" s="325"/>
      <c r="T430" s="325"/>
      <c r="U430" s="290"/>
      <c r="V430" s="290"/>
      <c r="W430" s="290"/>
      <c r="X430" s="290"/>
      <c r="Y430" s="290"/>
      <c r="Z430" s="290"/>
      <c r="AA430" s="290"/>
      <c r="AB430" s="290"/>
    </row>
    <row r="431" spans="1:28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325"/>
      <c r="S431" s="325"/>
      <c r="T431" s="325"/>
      <c r="U431" s="290"/>
      <c r="V431" s="290"/>
      <c r="W431" s="290"/>
      <c r="X431" s="290"/>
      <c r="Y431" s="290"/>
      <c r="Z431" s="290"/>
      <c r="AA431" s="290"/>
      <c r="AB431" s="290"/>
    </row>
    <row r="432" spans="1:28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325"/>
      <c r="S432" s="325"/>
      <c r="T432" s="325"/>
      <c r="U432" s="290"/>
      <c r="V432" s="290"/>
      <c r="W432" s="290"/>
      <c r="X432" s="290"/>
      <c r="Y432" s="290"/>
      <c r="Z432" s="290"/>
      <c r="AA432" s="290"/>
      <c r="AB432" s="290"/>
    </row>
    <row r="433" spans="1:28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325"/>
      <c r="S433" s="325"/>
      <c r="T433" s="325"/>
      <c r="U433" s="290"/>
      <c r="V433" s="290"/>
      <c r="W433" s="290"/>
      <c r="X433" s="290"/>
      <c r="Y433" s="290"/>
      <c r="Z433" s="290"/>
      <c r="AA433" s="290"/>
      <c r="AB433" s="290"/>
    </row>
    <row r="434" spans="1:28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325"/>
      <c r="S434" s="325"/>
      <c r="T434" s="325"/>
      <c r="U434" s="290"/>
      <c r="V434" s="290"/>
      <c r="W434" s="290"/>
      <c r="X434" s="290"/>
      <c r="Y434" s="290"/>
      <c r="Z434" s="290"/>
      <c r="AA434" s="290"/>
      <c r="AB434" s="290"/>
    </row>
    <row r="435" spans="1:28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325"/>
      <c r="S435" s="325"/>
      <c r="T435" s="325"/>
      <c r="U435" s="290"/>
      <c r="V435" s="290"/>
      <c r="W435" s="290"/>
      <c r="X435" s="290"/>
      <c r="Y435" s="290"/>
      <c r="Z435" s="290"/>
      <c r="AA435" s="290"/>
      <c r="AB435" s="290"/>
    </row>
    <row r="436" spans="1:28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325"/>
      <c r="S436" s="325"/>
      <c r="T436" s="325"/>
      <c r="U436" s="290"/>
      <c r="V436" s="290"/>
      <c r="W436" s="290"/>
      <c r="X436" s="290"/>
      <c r="Y436" s="290"/>
      <c r="Z436" s="290"/>
      <c r="AA436" s="290"/>
      <c r="AB436" s="290"/>
    </row>
    <row r="437" spans="1:28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325"/>
      <c r="S437" s="325"/>
      <c r="T437" s="325"/>
      <c r="U437" s="290"/>
      <c r="V437" s="290"/>
      <c r="W437" s="290"/>
      <c r="X437" s="290"/>
      <c r="Y437" s="290"/>
      <c r="Z437" s="290"/>
      <c r="AA437" s="290"/>
      <c r="AB437" s="290"/>
    </row>
    <row r="438" spans="1:28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325"/>
      <c r="S438" s="325"/>
      <c r="T438" s="325"/>
      <c r="U438" s="290"/>
      <c r="V438" s="290"/>
      <c r="W438" s="290"/>
      <c r="X438" s="290"/>
      <c r="Y438" s="290"/>
      <c r="Z438" s="290"/>
      <c r="AA438" s="290"/>
      <c r="AB438" s="290"/>
    </row>
    <row r="439" spans="1:28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325"/>
      <c r="S439" s="325"/>
      <c r="T439" s="325"/>
      <c r="U439" s="290"/>
      <c r="V439" s="290"/>
      <c r="W439" s="290"/>
      <c r="X439" s="290"/>
      <c r="Y439" s="290"/>
      <c r="Z439" s="290"/>
      <c r="AA439" s="290"/>
      <c r="AB439" s="290"/>
    </row>
    <row r="440" spans="1:28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325"/>
      <c r="S440" s="325"/>
      <c r="T440" s="325"/>
      <c r="U440" s="290"/>
      <c r="V440" s="290"/>
      <c r="W440" s="290"/>
      <c r="X440" s="290"/>
      <c r="Y440" s="290"/>
      <c r="Z440" s="290"/>
      <c r="AA440" s="290"/>
      <c r="AB440" s="290"/>
    </row>
    <row r="441" spans="1:28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325"/>
      <c r="S441" s="325"/>
      <c r="T441" s="325"/>
      <c r="U441" s="290"/>
      <c r="V441" s="290"/>
      <c r="W441" s="290"/>
      <c r="X441" s="290"/>
      <c r="Y441" s="290"/>
      <c r="Z441" s="290"/>
      <c r="AA441" s="290"/>
      <c r="AB441" s="290"/>
    </row>
    <row r="442" spans="1:28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325"/>
      <c r="S442" s="325"/>
      <c r="T442" s="325"/>
      <c r="U442" s="290"/>
      <c r="V442" s="290"/>
      <c r="W442" s="290"/>
      <c r="X442" s="290"/>
      <c r="Y442" s="290"/>
      <c r="Z442" s="290"/>
      <c r="AA442" s="290"/>
      <c r="AB442" s="290"/>
    </row>
    <row r="443" spans="1:28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325"/>
      <c r="S443" s="325"/>
      <c r="T443" s="325"/>
      <c r="U443" s="290"/>
      <c r="V443" s="290"/>
      <c r="W443" s="290"/>
      <c r="X443" s="290"/>
      <c r="Y443" s="290"/>
      <c r="Z443" s="290"/>
      <c r="AA443" s="290"/>
      <c r="AB443" s="290"/>
    </row>
    <row r="444" spans="1:28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325"/>
      <c r="S444" s="325"/>
      <c r="T444" s="325"/>
      <c r="U444" s="290"/>
      <c r="V444" s="290"/>
      <c r="W444" s="290"/>
      <c r="X444" s="290"/>
      <c r="Y444" s="290"/>
      <c r="Z444" s="290"/>
      <c r="AA444" s="290"/>
      <c r="AB444" s="290"/>
    </row>
    <row r="445" spans="1:28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325"/>
      <c r="S445" s="325"/>
      <c r="T445" s="325"/>
      <c r="U445" s="290"/>
      <c r="V445" s="290"/>
      <c r="W445" s="290"/>
      <c r="X445" s="290"/>
      <c r="Y445" s="290"/>
      <c r="Z445" s="290"/>
      <c r="AA445" s="290"/>
      <c r="AB445" s="290"/>
    </row>
    <row r="446" spans="1:28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325"/>
      <c r="S446" s="325"/>
      <c r="T446" s="325"/>
      <c r="U446" s="290"/>
      <c r="V446" s="290"/>
      <c r="W446" s="290"/>
      <c r="X446" s="290"/>
      <c r="Y446" s="290"/>
      <c r="Z446" s="290"/>
      <c r="AA446" s="290"/>
      <c r="AB446" s="290"/>
    </row>
    <row r="447" spans="1:28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325"/>
      <c r="S447" s="325"/>
      <c r="T447" s="325"/>
      <c r="U447" s="290"/>
      <c r="V447" s="290"/>
      <c r="W447" s="290"/>
      <c r="X447" s="290"/>
      <c r="Y447" s="290"/>
      <c r="Z447" s="290"/>
      <c r="AA447" s="290"/>
      <c r="AB447" s="290"/>
    </row>
    <row r="448" spans="1:28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325"/>
      <c r="S448" s="325"/>
      <c r="T448" s="325"/>
      <c r="U448" s="290"/>
      <c r="V448" s="290"/>
      <c r="W448" s="290"/>
      <c r="X448" s="290"/>
      <c r="Y448" s="290"/>
      <c r="Z448" s="290"/>
      <c r="AA448" s="290"/>
      <c r="AB448" s="290"/>
    </row>
    <row r="449" spans="1:28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325"/>
      <c r="S449" s="325"/>
      <c r="T449" s="325"/>
      <c r="U449" s="290"/>
      <c r="V449" s="290"/>
      <c r="W449" s="290"/>
      <c r="X449" s="290"/>
      <c r="Y449" s="290"/>
      <c r="Z449" s="290"/>
      <c r="AA449" s="290"/>
      <c r="AB449" s="290"/>
    </row>
    <row r="450" spans="1:28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325"/>
      <c r="S450" s="325"/>
      <c r="T450" s="325"/>
      <c r="U450" s="290"/>
      <c r="V450" s="290"/>
      <c r="W450" s="290"/>
      <c r="X450" s="290"/>
      <c r="Y450" s="290"/>
      <c r="Z450" s="290"/>
      <c r="AA450" s="290"/>
      <c r="AB450" s="290"/>
    </row>
    <row r="451" spans="1:28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325"/>
      <c r="S451" s="325"/>
      <c r="T451" s="325"/>
      <c r="U451" s="290"/>
      <c r="V451" s="290"/>
      <c r="W451" s="290"/>
      <c r="X451" s="290"/>
      <c r="Y451" s="290"/>
      <c r="Z451" s="290"/>
      <c r="AA451" s="290"/>
      <c r="AB451" s="290"/>
    </row>
    <row r="452" spans="1:28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325"/>
      <c r="S452" s="325"/>
      <c r="T452" s="325"/>
      <c r="U452" s="290"/>
      <c r="V452" s="290"/>
      <c r="W452" s="290"/>
      <c r="X452" s="290"/>
      <c r="Y452" s="290"/>
      <c r="Z452" s="290"/>
      <c r="AA452" s="290"/>
      <c r="AB452" s="290"/>
    </row>
    <row r="453" spans="1:28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325"/>
      <c r="S453" s="325"/>
      <c r="T453" s="325"/>
      <c r="U453" s="290"/>
      <c r="V453" s="290"/>
      <c r="W453" s="290"/>
      <c r="X453" s="290"/>
      <c r="Y453" s="290"/>
      <c r="Z453" s="290"/>
      <c r="AA453" s="290"/>
      <c r="AB453" s="290"/>
    </row>
    <row r="454" spans="1:28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325"/>
      <c r="S454" s="325"/>
      <c r="T454" s="325"/>
      <c r="U454" s="290"/>
      <c r="V454" s="290"/>
      <c r="W454" s="290"/>
      <c r="X454" s="290"/>
      <c r="Y454" s="290"/>
      <c r="Z454" s="290"/>
      <c r="AA454" s="290"/>
      <c r="AB454" s="290"/>
    </row>
    <row r="455" spans="1:28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325"/>
      <c r="S455" s="325"/>
      <c r="T455" s="325"/>
      <c r="U455" s="290"/>
      <c r="V455" s="290"/>
      <c r="W455" s="290"/>
      <c r="X455" s="290"/>
      <c r="Y455" s="290"/>
      <c r="Z455" s="290"/>
      <c r="AA455" s="290"/>
      <c r="AB455" s="290"/>
    </row>
    <row r="456" spans="1:28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325"/>
      <c r="S456" s="325"/>
      <c r="T456" s="325"/>
      <c r="U456" s="290"/>
      <c r="V456" s="290"/>
      <c r="W456" s="290"/>
      <c r="X456" s="290"/>
      <c r="Y456" s="290"/>
      <c r="Z456" s="290"/>
      <c r="AA456" s="290"/>
      <c r="AB456" s="290"/>
    </row>
    <row r="457" spans="1:28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325"/>
      <c r="S457" s="325"/>
      <c r="T457" s="325"/>
      <c r="U457" s="290"/>
      <c r="V457" s="290"/>
      <c r="W457" s="290"/>
      <c r="X457" s="290"/>
      <c r="Y457" s="290"/>
      <c r="Z457" s="290"/>
      <c r="AA457" s="290"/>
      <c r="AB457" s="290"/>
    </row>
    <row r="458" spans="1:28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325"/>
      <c r="S458" s="325"/>
      <c r="T458" s="325"/>
      <c r="U458" s="290"/>
      <c r="V458" s="290"/>
      <c r="W458" s="290"/>
      <c r="X458" s="290"/>
      <c r="Y458" s="290"/>
      <c r="Z458" s="290"/>
      <c r="AA458" s="290"/>
      <c r="AB458" s="290"/>
    </row>
    <row r="459" spans="1:28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325"/>
      <c r="S459" s="325"/>
      <c r="T459" s="325"/>
      <c r="U459" s="290"/>
      <c r="V459" s="290"/>
      <c r="W459" s="290"/>
      <c r="X459" s="290"/>
      <c r="Y459" s="290"/>
      <c r="Z459" s="290"/>
      <c r="AA459" s="290"/>
      <c r="AB459" s="290"/>
    </row>
    <row r="460" spans="1:28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325"/>
      <c r="S460" s="325"/>
      <c r="T460" s="325"/>
      <c r="U460" s="290"/>
      <c r="V460" s="290"/>
      <c r="W460" s="290"/>
      <c r="X460" s="290"/>
      <c r="Y460" s="290"/>
      <c r="Z460" s="290"/>
      <c r="AA460" s="290"/>
      <c r="AB460" s="290"/>
    </row>
    <row r="461" spans="1:28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325"/>
      <c r="S461" s="325"/>
      <c r="T461" s="325"/>
      <c r="U461" s="290"/>
      <c r="V461" s="290"/>
      <c r="W461" s="290"/>
      <c r="X461" s="290"/>
      <c r="Y461" s="290"/>
      <c r="Z461" s="290"/>
      <c r="AA461" s="290"/>
      <c r="AB461" s="290"/>
    </row>
    <row r="462" spans="1:28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325"/>
      <c r="S462" s="325"/>
      <c r="T462" s="325"/>
      <c r="U462" s="290"/>
      <c r="V462" s="290"/>
      <c r="W462" s="290"/>
      <c r="X462" s="290"/>
      <c r="Y462" s="290"/>
      <c r="Z462" s="290"/>
      <c r="AA462" s="290"/>
      <c r="AB462" s="290"/>
    </row>
    <row r="463" spans="1:28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325"/>
      <c r="S463" s="325"/>
      <c r="T463" s="325"/>
      <c r="U463" s="290"/>
      <c r="V463" s="290"/>
      <c r="W463" s="290"/>
      <c r="X463" s="290"/>
      <c r="Y463" s="290"/>
      <c r="Z463" s="290"/>
      <c r="AA463" s="290"/>
      <c r="AB463" s="290"/>
    </row>
    <row r="464" spans="1:28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325"/>
      <c r="S464" s="325"/>
      <c r="T464" s="325"/>
      <c r="U464" s="290"/>
      <c r="V464" s="290"/>
      <c r="W464" s="290"/>
      <c r="X464" s="290"/>
      <c r="Y464" s="290"/>
      <c r="Z464" s="290"/>
      <c r="AA464" s="290"/>
      <c r="AB464" s="290"/>
    </row>
    <row r="465" spans="1:28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325"/>
      <c r="S465" s="325"/>
      <c r="T465" s="325"/>
      <c r="U465" s="290"/>
      <c r="V465" s="290"/>
      <c r="W465" s="290"/>
      <c r="X465" s="290"/>
      <c r="Y465" s="290"/>
      <c r="Z465" s="290"/>
      <c r="AA465" s="290"/>
      <c r="AB465" s="290"/>
    </row>
    <row r="466" spans="1:28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325"/>
      <c r="S466" s="325"/>
      <c r="T466" s="325"/>
      <c r="U466" s="290"/>
      <c r="V466" s="290"/>
      <c r="W466" s="290"/>
      <c r="X466" s="290"/>
      <c r="Y466" s="290"/>
      <c r="Z466" s="290"/>
      <c r="AA466" s="290"/>
      <c r="AB466" s="290"/>
    </row>
    <row r="467" spans="1:28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325"/>
      <c r="S467" s="325"/>
      <c r="T467" s="325"/>
      <c r="U467" s="290"/>
      <c r="V467" s="290"/>
      <c r="W467" s="290"/>
      <c r="X467" s="290"/>
      <c r="Y467" s="290"/>
      <c r="Z467" s="290"/>
      <c r="AA467" s="290"/>
      <c r="AB467" s="290"/>
    </row>
    <row r="468" spans="1:28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325"/>
      <c r="S468" s="325"/>
      <c r="T468" s="325"/>
      <c r="U468" s="290"/>
      <c r="V468" s="290"/>
      <c r="W468" s="290"/>
      <c r="X468" s="290"/>
      <c r="Y468" s="290"/>
      <c r="Z468" s="290"/>
      <c r="AA468" s="290"/>
      <c r="AB468" s="290"/>
    </row>
    <row r="469" spans="1:28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325"/>
      <c r="S469" s="325"/>
      <c r="T469" s="325"/>
      <c r="U469" s="290"/>
      <c r="V469" s="290"/>
      <c r="W469" s="290"/>
      <c r="X469" s="290"/>
      <c r="Y469" s="290"/>
      <c r="Z469" s="290"/>
      <c r="AA469" s="290"/>
      <c r="AB469" s="290"/>
    </row>
    <row r="470" spans="1:28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325"/>
      <c r="S470" s="325"/>
      <c r="T470" s="325"/>
      <c r="U470" s="290"/>
      <c r="V470" s="290"/>
      <c r="W470" s="290"/>
      <c r="X470" s="290"/>
      <c r="Y470" s="290"/>
      <c r="Z470" s="290"/>
      <c r="AA470" s="290"/>
      <c r="AB470" s="290"/>
    </row>
    <row r="471" spans="1:28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325"/>
      <c r="S471" s="325"/>
      <c r="T471" s="325"/>
      <c r="U471" s="290"/>
      <c r="V471" s="290"/>
      <c r="W471" s="290"/>
      <c r="X471" s="290"/>
      <c r="Y471" s="290"/>
      <c r="Z471" s="290"/>
      <c r="AA471" s="290"/>
      <c r="AB471" s="290"/>
    </row>
    <row r="472" spans="1:28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325"/>
      <c r="S472" s="325"/>
      <c r="T472" s="325"/>
      <c r="U472" s="290"/>
      <c r="V472" s="290"/>
      <c r="W472" s="290"/>
      <c r="X472" s="290"/>
      <c r="Y472" s="290"/>
      <c r="Z472" s="290"/>
      <c r="AA472" s="290"/>
      <c r="AB472" s="290"/>
    </row>
    <row r="473" spans="1:28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325"/>
      <c r="S473" s="325"/>
      <c r="T473" s="325"/>
      <c r="U473" s="290"/>
      <c r="V473" s="290"/>
      <c r="W473" s="290"/>
      <c r="X473" s="290"/>
      <c r="Y473" s="290"/>
      <c r="Z473" s="290"/>
      <c r="AA473" s="290"/>
      <c r="AB473" s="290"/>
    </row>
    <row r="474" spans="1:28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325"/>
      <c r="S474" s="325"/>
      <c r="T474" s="325"/>
      <c r="U474" s="290"/>
      <c r="V474" s="290"/>
      <c r="W474" s="290"/>
      <c r="X474" s="290"/>
      <c r="Y474" s="290"/>
      <c r="Z474" s="290"/>
      <c r="AA474" s="290"/>
      <c r="AB474" s="290"/>
    </row>
    <row r="475" spans="1:28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325"/>
      <c r="S475" s="325"/>
      <c r="T475" s="325"/>
      <c r="U475" s="290"/>
      <c r="V475" s="290"/>
      <c r="W475" s="290"/>
      <c r="X475" s="290"/>
      <c r="Y475" s="290"/>
      <c r="Z475" s="290"/>
      <c r="AA475" s="290"/>
      <c r="AB475" s="290"/>
    </row>
    <row r="476" spans="1:28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325"/>
      <c r="S476" s="325"/>
      <c r="T476" s="325"/>
      <c r="U476" s="290"/>
      <c r="V476" s="290"/>
      <c r="W476" s="290"/>
      <c r="X476" s="290"/>
      <c r="Y476" s="290"/>
      <c r="Z476" s="290"/>
      <c r="AA476" s="290"/>
      <c r="AB476" s="290"/>
    </row>
    <row r="477" spans="1:28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325"/>
      <c r="S477" s="325"/>
      <c r="T477" s="325"/>
      <c r="U477" s="290"/>
      <c r="V477" s="290"/>
      <c r="W477" s="290"/>
      <c r="X477" s="290"/>
      <c r="Y477" s="290"/>
      <c r="Z477" s="290"/>
      <c r="AA477" s="290"/>
      <c r="AB477" s="290"/>
    </row>
    <row r="478" spans="1:28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325"/>
      <c r="S478" s="325"/>
      <c r="T478" s="325"/>
      <c r="U478" s="290"/>
      <c r="V478" s="290"/>
      <c r="W478" s="290"/>
      <c r="X478" s="290"/>
      <c r="Y478" s="290"/>
      <c r="Z478" s="290"/>
      <c r="AA478" s="290"/>
      <c r="AB478" s="290"/>
    </row>
    <row r="479" spans="1:28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325"/>
      <c r="S479" s="325"/>
      <c r="T479" s="325"/>
      <c r="U479" s="290"/>
      <c r="V479" s="290"/>
      <c r="W479" s="290"/>
      <c r="X479" s="290"/>
      <c r="Y479" s="290"/>
      <c r="Z479" s="290"/>
      <c r="AA479" s="290"/>
      <c r="AB479" s="290"/>
    </row>
    <row r="480" spans="1:28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325"/>
      <c r="S480" s="325"/>
      <c r="T480" s="325"/>
      <c r="U480" s="290"/>
      <c r="V480" s="290"/>
      <c r="W480" s="290"/>
      <c r="X480" s="290"/>
      <c r="Y480" s="290"/>
      <c r="Z480" s="290"/>
      <c r="AA480" s="290"/>
      <c r="AB480" s="290"/>
    </row>
    <row r="481" spans="1:28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325"/>
      <c r="S481" s="325"/>
      <c r="T481" s="325"/>
      <c r="U481" s="290"/>
      <c r="V481" s="290"/>
      <c r="W481" s="290"/>
      <c r="X481" s="290"/>
      <c r="Y481" s="290"/>
      <c r="Z481" s="290"/>
      <c r="AA481" s="290"/>
      <c r="AB481" s="290"/>
    </row>
    <row r="482" spans="1:28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325"/>
      <c r="S482" s="325"/>
      <c r="T482" s="325"/>
      <c r="U482" s="290"/>
      <c r="V482" s="290"/>
      <c r="W482" s="290"/>
      <c r="X482" s="290"/>
      <c r="Y482" s="290"/>
      <c r="Z482" s="290"/>
      <c r="AA482" s="290"/>
      <c r="AB482" s="290"/>
    </row>
    <row r="483" spans="1:28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325"/>
      <c r="S483" s="325"/>
      <c r="T483" s="325"/>
      <c r="U483" s="290"/>
      <c r="V483" s="290"/>
      <c r="W483" s="290"/>
      <c r="X483" s="290"/>
      <c r="Y483" s="290"/>
      <c r="Z483" s="290"/>
      <c r="AA483" s="290"/>
      <c r="AB483" s="290"/>
    </row>
    <row r="484" spans="1:28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325"/>
      <c r="S484" s="325"/>
      <c r="T484" s="325"/>
      <c r="U484" s="290"/>
      <c r="V484" s="290"/>
      <c r="W484" s="290"/>
      <c r="X484" s="290"/>
      <c r="Y484" s="290"/>
      <c r="Z484" s="290"/>
      <c r="AA484" s="290"/>
      <c r="AB484" s="290"/>
    </row>
    <row r="485" spans="1:28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325"/>
      <c r="S485" s="325"/>
      <c r="T485" s="325"/>
      <c r="U485" s="290"/>
      <c r="V485" s="290"/>
      <c r="W485" s="290"/>
      <c r="X485" s="290"/>
      <c r="Y485" s="290"/>
      <c r="Z485" s="290"/>
      <c r="AA485" s="290"/>
      <c r="AB485" s="290"/>
    </row>
    <row r="486" spans="1:28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325"/>
      <c r="S486" s="325"/>
      <c r="T486" s="325"/>
      <c r="U486" s="290"/>
      <c r="V486" s="290"/>
      <c r="W486" s="290"/>
      <c r="X486" s="290"/>
      <c r="Y486" s="290"/>
      <c r="Z486" s="290"/>
      <c r="AA486" s="290"/>
      <c r="AB486" s="290"/>
    </row>
    <row r="487" spans="1:28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325"/>
      <c r="S487" s="325"/>
      <c r="T487" s="325"/>
      <c r="U487" s="290"/>
      <c r="V487" s="290"/>
      <c r="W487" s="290"/>
      <c r="X487" s="290"/>
      <c r="Y487" s="290"/>
      <c r="Z487" s="290"/>
      <c r="AA487" s="290"/>
      <c r="AB487" s="290"/>
    </row>
    <row r="488" spans="1:28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325"/>
      <c r="S488" s="325"/>
      <c r="T488" s="325"/>
      <c r="U488" s="290"/>
      <c r="V488" s="290"/>
      <c r="W488" s="290"/>
      <c r="X488" s="290"/>
      <c r="Y488" s="290"/>
      <c r="Z488" s="290"/>
      <c r="AA488" s="290"/>
      <c r="AB488" s="290"/>
    </row>
    <row r="489" spans="1:28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325"/>
      <c r="S489" s="325"/>
      <c r="T489" s="325"/>
      <c r="U489" s="290"/>
      <c r="V489" s="290"/>
      <c r="W489" s="290"/>
      <c r="X489" s="290"/>
      <c r="Y489" s="290"/>
      <c r="Z489" s="290"/>
      <c r="AA489" s="290"/>
      <c r="AB489" s="290"/>
    </row>
    <row r="490" spans="1:28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325"/>
      <c r="S490" s="325"/>
      <c r="T490" s="325"/>
      <c r="U490" s="290"/>
      <c r="V490" s="290"/>
      <c r="W490" s="290"/>
      <c r="X490" s="290"/>
      <c r="Y490" s="290"/>
      <c r="Z490" s="290"/>
      <c r="AA490" s="290"/>
      <c r="AB490" s="290"/>
    </row>
    <row r="491" spans="1:28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325"/>
      <c r="S491" s="325"/>
      <c r="T491" s="325"/>
      <c r="U491" s="290"/>
      <c r="V491" s="290"/>
      <c r="W491" s="290"/>
      <c r="X491" s="290"/>
      <c r="Y491" s="290"/>
      <c r="Z491" s="290"/>
      <c r="AA491" s="290"/>
      <c r="AB491" s="290"/>
    </row>
    <row r="492" spans="1:28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325"/>
      <c r="S492" s="325"/>
      <c r="T492" s="325"/>
      <c r="U492" s="290"/>
      <c r="V492" s="290"/>
      <c r="W492" s="290"/>
      <c r="X492" s="290"/>
      <c r="Y492" s="290"/>
      <c r="Z492" s="290"/>
      <c r="AA492" s="290"/>
      <c r="AB492" s="290"/>
    </row>
    <row r="493" spans="1:28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325"/>
      <c r="S493" s="325"/>
      <c r="T493" s="325"/>
      <c r="U493" s="290"/>
      <c r="V493" s="290"/>
      <c r="W493" s="290"/>
      <c r="X493" s="290"/>
      <c r="Y493" s="290"/>
      <c r="Z493" s="290"/>
      <c r="AA493" s="290"/>
      <c r="AB493" s="290"/>
    </row>
    <row r="494" spans="1:28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325"/>
      <c r="S494" s="325"/>
      <c r="T494" s="325"/>
      <c r="U494" s="290"/>
      <c r="V494" s="290"/>
      <c r="W494" s="290"/>
      <c r="X494" s="290"/>
      <c r="Y494" s="290"/>
      <c r="Z494" s="290"/>
      <c r="AA494" s="290"/>
      <c r="AB494" s="290"/>
    </row>
    <row r="495" spans="1:28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325"/>
      <c r="S495" s="325"/>
      <c r="T495" s="325"/>
      <c r="U495" s="290"/>
      <c r="V495" s="290"/>
      <c r="W495" s="290"/>
      <c r="X495" s="290"/>
      <c r="Y495" s="290"/>
      <c r="Z495" s="290"/>
      <c r="AA495" s="290"/>
      <c r="AB495" s="290"/>
    </row>
    <row r="496" spans="1:28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325"/>
      <c r="S496" s="325"/>
      <c r="T496" s="325"/>
      <c r="U496" s="290"/>
      <c r="V496" s="290"/>
      <c r="W496" s="290"/>
      <c r="X496" s="290"/>
      <c r="Y496" s="290"/>
      <c r="Z496" s="290"/>
      <c r="AA496" s="290"/>
      <c r="AB496" s="290"/>
    </row>
    <row r="497" spans="1:28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325"/>
      <c r="S497" s="325"/>
      <c r="T497" s="325"/>
      <c r="U497" s="290"/>
      <c r="V497" s="290"/>
      <c r="W497" s="290"/>
      <c r="X497" s="290"/>
      <c r="Y497" s="290"/>
      <c r="Z497" s="290"/>
      <c r="AA497" s="290"/>
      <c r="AB497" s="290"/>
    </row>
    <row r="498" spans="1:28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325"/>
      <c r="S498" s="325"/>
      <c r="T498" s="325"/>
      <c r="U498" s="290"/>
      <c r="V498" s="290"/>
      <c r="W498" s="290"/>
      <c r="X498" s="290"/>
      <c r="Y498" s="290"/>
      <c r="Z498" s="290"/>
      <c r="AA498" s="290"/>
      <c r="AB498" s="290"/>
    </row>
    <row r="499" spans="1:28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325"/>
      <c r="S499" s="325"/>
      <c r="T499" s="325"/>
      <c r="U499" s="290"/>
      <c r="V499" s="290"/>
      <c r="W499" s="290"/>
      <c r="X499" s="290"/>
      <c r="Y499" s="290"/>
      <c r="Z499" s="290"/>
      <c r="AA499" s="290"/>
      <c r="AB499" s="290"/>
    </row>
    <row r="500" spans="1:28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325"/>
      <c r="S500" s="325"/>
      <c r="T500" s="325"/>
      <c r="U500" s="290"/>
      <c r="V500" s="290"/>
      <c r="W500" s="290"/>
      <c r="X500" s="290"/>
      <c r="Y500" s="290"/>
      <c r="Z500" s="290"/>
      <c r="AA500" s="290"/>
      <c r="AB500" s="290"/>
    </row>
    <row r="501" spans="1:28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325"/>
      <c r="S501" s="325"/>
      <c r="T501" s="325"/>
      <c r="U501" s="290"/>
      <c r="V501" s="290"/>
      <c r="W501" s="290"/>
      <c r="X501" s="290"/>
      <c r="Y501" s="290"/>
      <c r="Z501" s="290"/>
      <c r="AA501" s="290"/>
      <c r="AB501" s="290"/>
    </row>
    <row r="502" spans="1:28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325"/>
      <c r="S502" s="325"/>
      <c r="T502" s="325"/>
      <c r="U502" s="290"/>
      <c r="V502" s="290"/>
      <c r="W502" s="290"/>
      <c r="X502" s="290"/>
      <c r="Y502" s="290"/>
      <c r="Z502" s="290"/>
      <c r="AA502" s="290"/>
      <c r="AB502" s="290"/>
    </row>
    <row r="503" spans="1:28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325"/>
      <c r="S503" s="325"/>
      <c r="T503" s="325"/>
      <c r="U503" s="290"/>
      <c r="V503" s="290"/>
      <c r="W503" s="290"/>
      <c r="X503" s="290"/>
      <c r="Y503" s="290"/>
      <c r="Z503" s="290"/>
      <c r="AA503" s="290"/>
      <c r="AB503" s="290"/>
    </row>
    <row r="504" spans="1:28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325"/>
      <c r="S504" s="325"/>
      <c r="T504" s="325"/>
      <c r="U504" s="290"/>
      <c r="V504" s="290"/>
      <c r="W504" s="290"/>
      <c r="X504" s="290"/>
      <c r="Y504" s="290"/>
      <c r="Z504" s="290"/>
      <c r="AA504" s="290"/>
      <c r="AB504" s="290"/>
    </row>
    <row r="505" spans="1:28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325"/>
      <c r="S505" s="325"/>
      <c r="T505" s="325"/>
      <c r="U505" s="290"/>
      <c r="V505" s="290"/>
      <c r="W505" s="290"/>
      <c r="X505" s="290"/>
      <c r="Y505" s="290"/>
      <c r="Z505" s="290"/>
      <c r="AA505" s="290"/>
      <c r="AB505" s="290"/>
    </row>
    <row r="506" spans="1:28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325"/>
      <c r="S506" s="325"/>
      <c r="T506" s="325"/>
      <c r="U506" s="290"/>
      <c r="V506" s="290"/>
      <c r="W506" s="290"/>
      <c r="X506" s="290"/>
      <c r="Y506" s="290"/>
      <c r="Z506" s="290"/>
      <c r="AA506" s="290"/>
      <c r="AB506" s="290"/>
    </row>
    <row r="507" spans="1:28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325"/>
      <c r="S507" s="325"/>
      <c r="T507" s="325"/>
      <c r="U507" s="290"/>
      <c r="V507" s="290"/>
      <c r="W507" s="290"/>
      <c r="X507" s="290"/>
      <c r="Y507" s="290"/>
      <c r="Z507" s="290"/>
      <c r="AA507" s="290"/>
      <c r="AB507" s="290"/>
    </row>
    <row r="508" spans="1:28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325"/>
      <c r="S508" s="325"/>
      <c r="T508" s="325"/>
      <c r="U508" s="290"/>
      <c r="V508" s="290"/>
      <c r="W508" s="290"/>
      <c r="X508" s="290"/>
      <c r="Y508" s="290"/>
      <c r="Z508" s="290"/>
      <c r="AA508" s="290"/>
      <c r="AB508" s="290"/>
    </row>
    <row r="509" spans="1:28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325"/>
      <c r="S509" s="325"/>
      <c r="T509" s="325"/>
      <c r="U509" s="290"/>
      <c r="V509" s="290"/>
      <c r="W509" s="290"/>
      <c r="X509" s="290"/>
      <c r="Y509" s="290"/>
      <c r="Z509" s="290"/>
      <c r="AA509" s="290"/>
      <c r="AB509" s="290"/>
    </row>
    <row r="510" spans="1:28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325"/>
      <c r="S510" s="325"/>
      <c r="T510" s="325"/>
      <c r="U510" s="290"/>
      <c r="V510" s="290"/>
      <c r="W510" s="290"/>
      <c r="X510" s="290"/>
      <c r="Y510" s="290"/>
      <c r="Z510" s="290"/>
      <c r="AA510" s="290"/>
      <c r="AB510" s="290"/>
    </row>
    <row r="511" spans="1:28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325"/>
      <c r="S511" s="325"/>
      <c r="T511" s="325"/>
      <c r="U511" s="290"/>
      <c r="V511" s="290"/>
      <c r="W511" s="290"/>
      <c r="X511" s="290"/>
      <c r="Y511" s="290"/>
      <c r="Z511" s="290"/>
      <c r="AA511" s="290"/>
      <c r="AB511" s="290"/>
    </row>
    <row r="512" spans="1:28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325"/>
      <c r="S512" s="325"/>
      <c r="T512" s="325"/>
      <c r="U512" s="290"/>
      <c r="V512" s="290"/>
      <c r="W512" s="290"/>
      <c r="X512" s="290"/>
      <c r="Y512" s="290"/>
      <c r="Z512" s="290"/>
      <c r="AA512" s="290"/>
      <c r="AB512" s="290"/>
    </row>
    <row r="513" spans="1:28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325"/>
      <c r="S513" s="325"/>
      <c r="T513" s="325"/>
      <c r="U513" s="290"/>
      <c r="V513" s="290"/>
      <c r="W513" s="290"/>
      <c r="X513" s="290"/>
      <c r="Y513" s="290"/>
      <c r="Z513" s="290"/>
      <c r="AA513" s="290"/>
      <c r="AB513" s="290"/>
    </row>
    <row r="514" spans="1:28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325"/>
      <c r="S514" s="325"/>
      <c r="T514" s="325"/>
      <c r="U514" s="290"/>
      <c r="V514" s="290"/>
      <c r="W514" s="290"/>
      <c r="X514" s="290"/>
      <c r="Y514" s="290"/>
      <c r="Z514" s="290"/>
      <c r="AA514" s="290"/>
      <c r="AB514" s="290"/>
    </row>
    <row r="515" spans="1:28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325"/>
      <c r="S515" s="325"/>
      <c r="T515" s="325"/>
      <c r="U515" s="290"/>
      <c r="V515" s="290"/>
      <c r="W515" s="290"/>
      <c r="X515" s="290"/>
      <c r="Y515" s="290"/>
      <c r="Z515" s="290"/>
      <c r="AA515" s="290"/>
      <c r="AB515" s="290"/>
    </row>
    <row r="516" spans="1:28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325"/>
      <c r="S516" s="325"/>
      <c r="T516" s="325"/>
      <c r="U516" s="290"/>
      <c r="V516" s="290"/>
      <c r="W516" s="290"/>
      <c r="X516" s="290"/>
      <c r="Y516" s="290"/>
      <c r="Z516" s="290"/>
      <c r="AA516" s="290"/>
      <c r="AB516" s="290"/>
    </row>
    <row r="517" spans="1:28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325"/>
      <c r="S517" s="325"/>
      <c r="T517" s="325"/>
      <c r="U517" s="290"/>
      <c r="V517" s="290"/>
      <c r="W517" s="290"/>
      <c r="X517" s="290"/>
      <c r="Y517" s="290"/>
      <c r="Z517" s="290"/>
      <c r="AA517" s="290"/>
      <c r="AB517" s="290"/>
    </row>
    <row r="518" spans="1:28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325"/>
      <c r="S518" s="325"/>
      <c r="T518" s="325"/>
      <c r="U518" s="290"/>
      <c r="V518" s="290"/>
      <c r="W518" s="290"/>
      <c r="X518" s="290"/>
      <c r="Y518" s="290"/>
      <c r="Z518" s="290"/>
      <c r="AA518" s="290"/>
      <c r="AB518" s="290"/>
    </row>
    <row r="519" spans="1:28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325"/>
      <c r="S519" s="325"/>
      <c r="T519" s="325"/>
      <c r="U519" s="290"/>
      <c r="V519" s="290"/>
      <c r="W519" s="290"/>
      <c r="X519" s="290"/>
      <c r="Y519" s="290"/>
      <c r="Z519" s="290"/>
      <c r="AA519" s="290"/>
      <c r="AB519" s="290"/>
    </row>
    <row r="520" spans="1:28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325"/>
      <c r="S520" s="325"/>
      <c r="T520" s="325"/>
      <c r="U520" s="290"/>
      <c r="V520" s="290"/>
      <c r="W520" s="290"/>
      <c r="X520" s="290"/>
      <c r="Y520" s="290"/>
      <c r="Z520" s="290"/>
      <c r="AA520" s="290"/>
      <c r="AB520" s="290"/>
    </row>
    <row r="521" spans="1:28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325"/>
      <c r="S521" s="325"/>
      <c r="T521" s="325"/>
      <c r="U521" s="290"/>
      <c r="V521" s="290"/>
      <c r="W521" s="290"/>
      <c r="X521" s="290"/>
      <c r="Y521" s="290"/>
      <c r="Z521" s="290"/>
      <c r="AA521" s="290"/>
      <c r="AB521" s="290"/>
    </row>
    <row r="522" spans="1:28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325"/>
      <c r="S522" s="325"/>
      <c r="T522" s="325"/>
      <c r="U522" s="290"/>
      <c r="V522" s="290"/>
      <c r="W522" s="290"/>
      <c r="X522" s="290"/>
      <c r="Y522" s="290"/>
      <c r="Z522" s="290"/>
      <c r="AA522" s="290"/>
      <c r="AB522" s="290"/>
    </row>
    <row r="523" spans="1:28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325"/>
      <c r="S523" s="325"/>
      <c r="T523" s="325"/>
      <c r="U523" s="290"/>
      <c r="V523" s="290"/>
      <c r="W523" s="290"/>
      <c r="X523" s="290"/>
      <c r="Y523" s="290"/>
      <c r="Z523" s="290"/>
      <c r="AA523" s="290"/>
      <c r="AB523" s="290"/>
    </row>
    <row r="524" spans="1:28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325"/>
      <c r="S524" s="325"/>
      <c r="T524" s="325"/>
      <c r="U524" s="290"/>
      <c r="V524" s="290"/>
      <c r="W524" s="290"/>
      <c r="X524" s="290"/>
      <c r="Y524" s="290"/>
      <c r="Z524" s="290"/>
      <c r="AA524" s="290"/>
      <c r="AB524" s="290"/>
    </row>
    <row r="525" spans="1:28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325"/>
      <c r="S525" s="325"/>
      <c r="T525" s="325"/>
      <c r="U525" s="290"/>
      <c r="V525" s="290"/>
      <c r="W525" s="290"/>
      <c r="X525" s="290"/>
      <c r="Y525" s="290"/>
      <c r="Z525" s="290"/>
      <c r="AA525" s="290"/>
      <c r="AB525" s="290"/>
    </row>
    <row r="526" spans="1:28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325"/>
      <c r="S526" s="325"/>
      <c r="T526" s="325"/>
      <c r="U526" s="290"/>
      <c r="V526" s="290"/>
      <c r="W526" s="290"/>
      <c r="X526" s="290"/>
      <c r="Y526" s="290"/>
      <c r="Z526" s="290"/>
      <c r="AA526" s="290"/>
      <c r="AB526" s="290"/>
    </row>
    <row r="527" spans="1:28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325"/>
      <c r="S527" s="325"/>
      <c r="T527" s="325"/>
      <c r="U527" s="290"/>
      <c r="V527" s="290"/>
      <c r="W527" s="290"/>
      <c r="X527" s="290"/>
      <c r="Y527" s="290"/>
      <c r="Z527" s="290"/>
      <c r="AA527" s="290"/>
      <c r="AB527" s="290"/>
    </row>
    <row r="528" spans="1:28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325"/>
      <c r="S528" s="325"/>
      <c r="T528" s="325"/>
      <c r="U528" s="290"/>
      <c r="V528" s="290"/>
      <c r="W528" s="290"/>
      <c r="X528" s="290"/>
      <c r="Y528" s="290"/>
      <c r="Z528" s="290"/>
      <c r="AA528" s="290"/>
      <c r="AB528" s="290"/>
    </row>
    <row r="529" spans="1:28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325"/>
      <c r="S529" s="325"/>
      <c r="T529" s="325"/>
      <c r="U529" s="290"/>
      <c r="V529" s="290"/>
      <c r="W529" s="290"/>
      <c r="X529" s="290"/>
      <c r="Y529" s="290"/>
      <c r="Z529" s="290"/>
      <c r="AA529" s="290"/>
      <c r="AB529" s="290"/>
    </row>
    <row r="530" spans="1:28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325"/>
      <c r="S530" s="325"/>
      <c r="T530" s="325"/>
      <c r="U530" s="290"/>
      <c r="V530" s="290"/>
      <c r="W530" s="290"/>
      <c r="X530" s="290"/>
      <c r="Y530" s="290"/>
      <c r="Z530" s="290"/>
      <c r="AA530" s="290"/>
      <c r="AB530" s="290"/>
    </row>
    <row r="531" spans="1:28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325"/>
      <c r="S531" s="325"/>
      <c r="T531" s="325"/>
      <c r="U531" s="290"/>
      <c r="V531" s="290"/>
      <c r="W531" s="290"/>
      <c r="X531" s="290"/>
      <c r="Y531" s="290"/>
      <c r="Z531" s="290"/>
      <c r="AA531" s="290"/>
      <c r="AB531" s="290"/>
    </row>
    <row r="532" spans="1:28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325"/>
      <c r="S532" s="325"/>
      <c r="T532" s="325"/>
      <c r="U532" s="290"/>
      <c r="V532" s="290"/>
      <c r="W532" s="290"/>
      <c r="X532" s="290"/>
      <c r="Y532" s="290"/>
      <c r="Z532" s="290"/>
      <c r="AA532" s="290"/>
      <c r="AB532" s="290"/>
    </row>
    <row r="533" spans="1:28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325"/>
      <c r="S533" s="325"/>
      <c r="T533" s="325"/>
      <c r="U533" s="290"/>
      <c r="V533" s="290"/>
      <c r="W533" s="290"/>
      <c r="X533" s="290"/>
      <c r="Y533" s="290"/>
      <c r="Z533" s="290"/>
      <c r="AA533" s="290"/>
      <c r="AB533" s="290"/>
    </row>
    <row r="534" spans="1:28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325"/>
      <c r="S534" s="325"/>
      <c r="T534" s="325"/>
      <c r="U534" s="290"/>
      <c r="V534" s="290"/>
      <c r="W534" s="290"/>
      <c r="X534" s="290"/>
      <c r="Y534" s="290"/>
      <c r="Z534" s="290"/>
      <c r="AA534" s="290"/>
      <c r="AB534" s="290"/>
    </row>
    <row r="535" spans="1:28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325"/>
      <c r="S535" s="325"/>
      <c r="T535" s="325"/>
      <c r="U535" s="290"/>
      <c r="V535" s="290"/>
      <c r="W535" s="290"/>
      <c r="X535" s="290"/>
      <c r="Y535" s="290"/>
      <c r="Z535" s="290"/>
      <c r="AA535" s="290"/>
      <c r="AB535" s="290"/>
    </row>
    <row r="536" spans="1:28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325"/>
      <c r="S536" s="325"/>
      <c r="T536" s="325"/>
      <c r="U536" s="290"/>
      <c r="V536" s="290"/>
      <c r="W536" s="290"/>
      <c r="X536" s="290"/>
      <c r="Y536" s="290"/>
      <c r="Z536" s="290"/>
      <c r="AA536" s="290"/>
      <c r="AB536" s="290"/>
    </row>
    <row r="537" spans="1:28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325"/>
      <c r="S537" s="325"/>
      <c r="T537" s="325"/>
      <c r="U537" s="290"/>
      <c r="V537" s="290"/>
      <c r="W537" s="290"/>
      <c r="X537" s="290"/>
      <c r="Y537" s="290"/>
      <c r="Z537" s="290"/>
      <c r="AA537" s="290"/>
      <c r="AB537" s="290"/>
    </row>
    <row r="538" spans="1:28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325"/>
      <c r="S538" s="325"/>
      <c r="T538" s="325"/>
      <c r="U538" s="290"/>
      <c r="V538" s="290"/>
      <c r="W538" s="290"/>
      <c r="X538" s="290"/>
      <c r="Y538" s="290"/>
      <c r="Z538" s="290"/>
      <c r="AA538" s="290"/>
      <c r="AB538" s="290"/>
    </row>
    <row r="539" spans="1:28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325"/>
      <c r="S539" s="325"/>
      <c r="T539" s="325"/>
      <c r="U539" s="290"/>
      <c r="V539" s="290"/>
      <c r="W539" s="290"/>
      <c r="X539" s="290"/>
      <c r="Y539" s="290"/>
      <c r="Z539" s="290"/>
      <c r="AA539" s="290"/>
      <c r="AB539" s="290"/>
    </row>
    <row r="540" spans="1:28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325"/>
      <c r="S540" s="325"/>
      <c r="T540" s="325"/>
      <c r="U540" s="290"/>
      <c r="V540" s="290"/>
      <c r="W540" s="290"/>
      <c r="X540" s="290"/>
      <c r="Y540" s="290"/>
      <c r="Z540" s="290"/>
      <c r="AA540" s="290"/>
      <c r="AB540" s="290"/>
    </row>
    <row r="541" spans="1:28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325"/>
      <c r="S541" s="325"/>
      <c r="T541" s="325"/>
      <c r="U541" s="290"/>
      <c r="V541" s="290"/>
      <c r="W541" s="290"/>
      <c r="X541" s="290"/>
      <c r="Y541" s="290"/>
      <c r="Z541" s="290"/>
      <c r="AA541" s="290"/>
      <c r="AB541" s="290"/>
    </row>
    <row r="542" spans="1:28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325"/>
      <c r="S542" s="325"/>
      <c r="T542" s="325"/>
      <c r="U542" s="290"/>
      <c r="V542" s="290"/>
      <c r="W542" s="290"/>
      <c r="X542" s="290"/>
      <c r="Y542" s="290"/>
      <c r="Z542" s="290"/>
      <c r="AA542" s="290"/>
      <c r="AB542" s="290"/>
    </row>
    <row r="543" spans="1:28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325"/>
      <c r="S543" s="325"/>
      <c r="T543" s="325"/>
      <c r="U543" s="290"/>
      <c r="V543" s="290"/>
      <c r="W543" s="290"/>
      <c r="X543" s="290"/>
      <c r="Y543" s="290"/>
      <c r="Z543" s="290"/>
      <c r="AA543" s="290"/>
      <c r="AB543" s="290"/>
    </row>
    <row r="544" spans="1:28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325"/>
      <c r="S544" s="325"/>
      <c r="T544" s="325"/>
      <c r="U544" s="290"/>
      <c r="V544" s="290"/>
      <c r="W544" s="290"/>
      <c r="X544" s="290"/>
      <c r="Y544" s="290"/>
      <c r="Z544" s="290"/>
      <c r="AA544" s="290"/>
      <c r="AB544" s="290"/>
    </row>
    <row r="545" spans="1:28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325"/>
      <c r="S545" s="325"/>
      <c r="T545" s="325"/>
      <c r="U545" s="290"/>
      <c r="V545" s="290"/>
      <c r="W545" s="290"/>
      <c r="X545" s="290"/>
      <c r="Y545" s="290"/>
      <c r="Z545" s="290"/>
      <c r="AA545" s="290"/>
      <c r="AB545" s="290"/>
    </row>
    <row r="546" spans="1:28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325"/>
      <c r="S546" s="325"/>
      <c r="T546" s="325"/>
      <c r="U546" s="290"/>
      <c r="V546" s="290"/>
      <c r="W546" s="290"/>
      <c r="X546" s="290"/>
      <c r="Y546" s="290"/>
      <c r="Z546" s="290"/>
      <c r="AA546" s="290"/>
      <c r="AB546" s="290"/>
    </row>
    <row r="547" spans="1:28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325"/>
      <c r="S547" s="325"/>
      <c r="T547" s="325"/>
      <c r="U547" s="290"/>
      <c r="V547" s="290"/>
      <c r="W547" s="290"/>
      <c r="X547" s="290"/>
      <c r="Y547" s="290"/>
      <c r="Z547" s="290"/>
      <c r="AA547" s="290"/>
      <c r="AB547" s="290"/>
    </row>
    <row r="548" spans="1:28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325"/>
      <c r="S548" s="325"/>
      <c r="T548" s="325"/>
      <c r="U548" s="290"/>
      <c r="V548" s="290"/>
      <c r="W548" s="290"/>
      <c r="X548" s="290"/>
      <c r="Y548" s="290"/>
      <c r="Z548" s="290"/>
      <c r="AA548" s="290"/>
      <c r="AB548" s="290"/>
    </row>
    <row r="549" spans="1:28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325"/>
      <c r="S549" s="325"/>
      <c r="T549" s="325"/>
      <c r="U549" s="290"/>
      <c r="V549" s="290"/>
      <c r="W549" s="290"/>
      <c r="X549" s="290"/>
      <c r="Y549" s="290"/>
      <c r="Z549" s="290"/>
      <c r="AA549" s="290"/>
      <c r="AB549" s="290"/>
    </row>
    <row r="550" spans="1:28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325"/>
      <c r="S550" s="325"/>
      <c r="T550" s="325"/>
      <c r="U550" s="290"/>
      <c r="V550" s="290"/>
      <c r="W550" s="290"/>
      <c r="X550" s="290"/>
      <c r="Y550" s="290"/>
      <c r="Z550" s="290"/>
      <c r="AA550" s="290"/>
      <c r="AB550" s="290"/>
    </row>
    <row r="551" spans="1:28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325"/>
      <c r="S551" s="325"/>
      <c r="T551" s="325"/>
      <c r="U551" s="290"/>
      <c r="V551" s="290"/>
      <c r="W551" s="290"/>
      <c r="X551" s="290"/>
      <c r="Y551" s="290"/>
      <c r="Z551" s="290"/>
      <c r="AA551" s="290"/>
      <c r="AB551" s="290"/>
    </row>
    <row r="552" spans="1:28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325"/>
      <c r="S552" s="325"/>
      <c r="T552" s="325"/>
      <c r="U552" s="290"/>
      <c r="V552" s="290"/>
      <c r="W552" s="290"/>
      <c r="X552" s="290"/>
      <c r="Y552" s="290"/>
      <c r="Z552" s="290"/>
      <c r="AA552" s="290"/>
      <c r="AB552" s="290"/>
    </row>
    <row r="553" spans="1:28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325"/>
      <c r="S553" s="325"/>
      <c r="T553" s="325"/>
      <c r="U553" s="290"/>
      <c r="V553" s="290"/>
      <c r="W553" s="290"/>
      <c r="X553" s="290"/>
      <c r="Y553" s="290"/>
      <c r="Z553" s="290"/>
      <c r="AA553" s="290"/>
      <c r="AB553" s="290"/>
    </row>
    <row r="554" spans="1:28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325"/>
      <c r="S554" s="325"/>
      <c r="T554" s="325"/>
      <c r="U554" s="290"/>
      <c r="V554" s="290"/>
      <c r="W554" s="290"/>
      <c r="X554" s="290"/>
      <c r="Y554" s="290"/>
      <c r="Z554" s="290"/>
      <c r="AA554" s="290"/>
      <c r="AB554" s="290"/>
    </row>
    <row r="555" spans="1:28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325"/>
      <c r="S555" s="325"/>
      <c r="T555" s="325"/>
      <c r="U555" s="290"/>
      <c r="V555" s="290"/>
      <c r="W555" s="290"/>
      <c r="X555" s="290"/>
      <c r="Y555" s="290"/>
      <c r="Z555" s="290"/>
      <c r="AA555" s="290"/>
      <c r="AB555" s="290"/>
    </row>
    <row r="556" spans="1:28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325"/>
      <c r="S556" s="325"/>
      <c r="T556" s="325"/>
      <c r="U556" s="290"/>
      <c r="V556" s="290"/>
      <c r="W556" s="290"/>
      <c r="X556" s="290"/>
      <c r="Y556" s="290"/>
      <c r="Z556" s="290"/>
      <c r="AA556" s="290"/>
      <c r="AB556" s="290"/>
    </row>
    <row r="557" spans="1:28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325"/>
      <c r="S557" s="325"/>
      <c r="T557" s="325"/>
      <c r="U557" s="290"/>
      <c r="V557" s="290"/>
      <c r="W557" s="290"/>
      <c r="X557" s="290"/>
      <c r="Y557" s="290"/>
      <c r="Z557" s="290"/>
      <c r="AA557" s="290"/>
      <c r="AB557" s="290"/>
    </row>
    <row r="558" spans="1:28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325"/>
      <c r="S558" s="325"/>
      <c r="T558" s="325"/>
      <c r="U558" s="290"/>
      <c r="V558" s="290"/>
      <c r="W558" s="290"/>
      <c r="X558" s="290"/>
      <c r="Y558" s="290"/>
      <c r="Z558" s="290"/>
      <c r="AA558" s="290"/>
      <c r="AB558" s="290"/>
    </row>
    <row r="559" spans="1:28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325"/>
      <c r="S559" s="325"/>
      <c r="T559" s="325"/>
      <c r="U559" s="290"/>
      <c r="V559" s="290"/>
      <c r="W559" s="290"/>
      <c r="X559" s="290"/>
      <c r="Y559" s="290"/>
      <c r="Z559" s="290"/>
      <c r="AA559" s="290"/>
      <c r="AB559" s="290"/>
    </row>
    <row r="560" spans="1:28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325"/>
      <c r="S560" s="325"/>
      <c r="T560" s="325"/>
      <c r="U560" s="290"/>
      <c r="V560" s="290"/>
      <c r="W560" s="290"/>
      <c r="X560" s="290"/>
      <c r="Y560" s="290"/>
      <c r="Z560" s="290"/>
      <c r="AA560" s="290"/>
      <c r="AB560" s="290"/>
    </row>
    <row r="561" spans="1:28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325"/>
      <c r="S561" s="325"/>
      <c r="T561" s="325"/>
      <c r="U561" s="290"/>
      <c r="V561" s="290"/>
      <c r="W561" s="290"/>
      <c r="X561" s="290"/>
      <c r="Y561" s="290"/>
      <c r="Z561" s="290"/>
      <c r="AA561" s="290"/>
      <c r="AB561" s="290"/>
    </row>
    <row r="562" spans="1:28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325"/>
      <c r="S562" s="325"/>
      <c r="T562" s="325"/>
      <c r="U562" s="290"/>
      <c r="V562" s="290"/>
      <c r="W562" s="290"/>
      <c r="X562" s="290"/>
      <c r="Y562" s="290"/>
      <c r="Z562" s="290"/>
      <c r="AA562" s="290"/>
      <c r="AB562" s="290"/>
    </row>
    <row r="563" spans="1:28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325"/>
      <c r="S563" s="325"/>
      <c r="T563" s="325"/>
      <c r="U563" s="290"/>
      <c r="V563" s="290"/>
      <c r="W563" s="290"/>
      <c r="X563" s="290"/>
      <c r="Y563" s="290"/>
      <c r="Z563" s="290"/>
      <c r="AA563" s="290"/>
      <c r="AB563" s="290"/>
    </row>
    <row r="564" spans="1:28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325"/>
      <c r="S564" s="325"/>
      <c r="T564" s="325"/>
      <c r="U564" s="290"/>
      <c r="V564" s="290"/>
      <c r="W564" s="290"/>
      <c r="X564" s="290"/>
      <c r="Y564" s="290"/>
      <c r="Z564" s="290"/>
      <c r="AA564" s="290"/>
      <c r="AB564" s="290"/>
    </row>
    <row r="565" spans="1:28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325"/>
      <c r="S565" s="325"/>
      <c r="T565" s="325"/>
      <c r="U565" s="290"/>
      <c r="V565" s="290"/>
      <c r="W565" s="290"/>
      <c r="X565" s="290"/>
      <c r="Y565" s="290"/>
      <c r="Z565" s="290"/>
      <c r="AA565" s="290"/>
      <c r="AB565" s="290"/>
    </row>
    <row r="566" spans="1:28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325"/>
      <c r="S566" s="325"/>
      <c r="T566" s="325"/>
      <c r="U566" s="290"/>
      <c r="V566" s="290"/>
      <c r="W566" s="290"/>
      <c r="X566" s="290"/>
      <c r="Y566" s="290"/>
      <c r="Z566" s="290"/>
      <c r="AA566" s="290"/>
      <c r="AB566" s="290"/>
    </row>
    <row r="567" spans="1:28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325"/>
      <c r="S567" s="325"/>
      <c r="T567" s="325"/>
      <c r="U567" s="290"/>
      <c r="V567" s="290"/>
      <c r="W567" s="290"/>
      <c r="X567" s="290"/>
      <c r="Y567" s="290"/>
      <c r="Z567" s="290"/>
      <c r="AA567" s="290"/>
      <c r="AB567" s="290"/>
    </row>
    <row r="568" spans="1:28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325"/>
      <c r="S568" s="325"/>
      <c r="T568" s="325"/>
      <c r="U568" s="290"/>
      <c r="V568" s="290"/>
      <c r="W568" s="290"/>
      <c r="X568" s="290"/>
      <c r="Y568" s="290"/>
      <c r="Z568" s="290"/>
      <c r="AA568" s="290"/>
      <c r="AB568" s="290"/>
    </row>
    <row r="569" spans="1:28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325"/>
      <c r="S569" s="325"/>
      <c r="T569" s="325"/>
      <c r="U569" s="290"/>
      <c r="V569" s="290"/>
      <c r="W569" s="290"/>
      <c r="X569" s="290"/>
      <c r="Y569" s="290"/>
      <c r="Z569" s="290"/>
      <c r="AA569" s="290"/>
      <c r="AB569" s="290"/>
    </row>
    <row r="570" spans="1:28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325"/>
      <c r="S570" s="325"/>
      <c r="T570" s="325"/>
      <c r="U570" s="290"/>
      <c r="V570" s="290"/>
      <c r="W570" s="290"/>
      <c r="X570" s="290"/>
      <c r="Y570" s="290"/>
      <c r="Z570" s="290"/>
      <c r="AA570" s="290"/>
      <c r="AB570" s="290"/>
    </row>
    <row r="571" spans="1:28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325"/>
      <c r="S571" s="325"/>
      <c r="T571" s="325"/>
      <c r="U571" s="290"/>
      <c r="V571" s="290"/>
      <c r="W571" s="290"/>
      <c r="X571" s="290"/>
      <c r="Y571" s="290"/>
      <c r="Z571" s="290"/>
      <c r="AA571" s="290"/>
      <c r="AB571" s="290"/>
    </row>
    <row r="572" spans="1:28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325"/>
      <c r="S572" s="325"/>
      <c r="T572" s="325"/>
      <c r="U572" s="290"/>
      <c r="V572" s="290"/>
      <c r="W572" s="290"/>
      <c r="X572" s="290"/>
      <c r="Y572" s="290"/>
      <c r="Z572" s="290"/>
      <c r="AA572" s="290"/>
      <c r="AB572" s="290"/>
    </row>
    <row r="573" spans="1:28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325"/>
      <c r="S573" s="325"/>
      <c r="T573" s="325"/>
      <c r="U573" s="290"/>
      <c r="V573" s="290"/>
      <c r="W573" s="290"/>
      <c r="X573" s="290"/>
      <c r="Y573" s="290"/>
      <c r="Z573" s="290"/>
      <c r="AA573" s="290"/>
      <c r="AB573" s="290"/>
    </row>
    <row r="574" spans="1:28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325"/>
      <c r="S574" s="325"/>
      <c r="T574" s="325"/>
      <c r="U574" s="290"/>
      <c r="V574" s="290"/>
      <c r="W574" s="290"/>
      <c r="X574" s="290"/>
      <c r="Y574" s="290"/>
      <c r="Z574" s="290"/>
      <c r="AA574" s="290"/>
      <c r="AB574" s="290"/>
    </row>
    <row r="575" spans="1:28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325"/>
      <c r="S575" s="325"/>
      <c r="T575" s="325"/>
      <c r="U575" s="290"/>
      <c r="V575" s="290"/>
      <c r="W575" s="290"/>
      <c r="X575" s="290"/>
      <c r="Y575" s="290"/>
      <c r="Z575" s="290"/>
      <c r="AA575" s="290"/>
      <c r="AB575" s="290"/>
    </row>
    <row r="576" spans="1:28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325"/>
      <c r="S576" s="325"/>
      <c r="T576" s="325"/>
      <c r="U576" s="290"/>
      <c r="V576" s="290"/>
      <c r="W576" s="290"/>
      <c r="X576" s="290"/>
      <c r="Y576" s="290"/>
      <c r="Z576" s="290"/>
      <c r="AA576" s="290"/>
      <c r="AB576" s="290"/>
    </row>
    <row r="577" spans="1:28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325"/>
      <c r="S577" s="325"/>
      <c r="T577" s="325"/>
      <c r="U577" s="290"/>
      <c r="V577" s="290"/>
      <c r="W577" s="290"/>
      <c r="X577" s="290"/>
      <c r="Y577" s="290"/>
      <c r="Z577" s="290"/>
      <c r="AA577" s="290"/>
      <c r="AB577" s="290"/>
    </row>
    <row r="578" spans="1:28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325"/>
      <c r="S578" s="325"/>
      <c r="T578" s="325"/>
      <c r="U578" s="290"/>
      <c r="V578" s="290"/>
      <c r="W578" s="290"/>
      <c r="X578" s="290"/>
      <c r="Y578" s="290"/>
      <c r="Z578" s="290"/>
      <c r="AA578" s="290"/>
      <c r="AB578" s="290"/>
    </row>
    <row r="579" spans="1:28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325"/>
      <c r="S579" s="325"/>
      <c r="T579" s="325"/>
      <c r="U579" s="290"/>
      <c r="V579" s="290"/>
      <c r="W579" s="290"/>
      <c r="X579" s="290"/>
      <c r="Y579" s="290"/>
      <c r="Z579" s="290"/>
      <c r="AA579" s="290"/>
      <c r="AB579" s="290"/>
    </row>
    <row r="580" spans="1:28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325"/>
      <c r="S580" s="325"/>
      <c r="T580" s="325"/>
      <c r="U580" s="290"/>
      <c r="V580" s="290"/>
      <c r="W580" s="290"/>
      <c r="X580" s="290"/>
      <c r="Y580" s="290"/>
      <c r="Z580" s="290"/>
      <c r="AA580" s="290"/>
      <c r="AB580" s="290"/>
    </row>
    <row r="581" spans="1:28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325"/>
      <c r="S581" s="325"/>
      <c r="T581" s="325"/>
      <c r="U581" s="290"/>
      <c r="V581" s="290"/>
      <c r="W581" s="290"/>
      <c r="X581" s="290"/>
      <c r="Y581" s="290"/>
      <c r="Z581" s="290"/>
      <c r="AA581" s="290"/>
      <c r="AB581" s="290"/>
    </row>
    <row r="582" spans="1:28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325"/>
      <c r="S582" s="325"/>
      <c r="T582" s="325"/>
      <c r="U582" s="290"/>
      <c r="V582" s="290"/>
      <c r="W582" s="290"/>
      <c r="X582" s="290"/>
      <c r="Y582" s="290"/>
      <c r="Z582" s="290"/>
      <c r="AA582" s="290"/>
      <c r="AB582" s="290"/>
    </row>
    <row r="583" spans="1:28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325"/>
      <c r="S583" s="325"/>
      <c r="T583" s="325"/>
      <c r="U583" s="290"/>
      <c r="V583" s="290"/>
      <c r="W583" s="290"/>
      <c r="X583" s="290"/>
      <c r="Y583" s="290"/>
      <c r="Z583" s="290"/>
      <c r="AA583" s="290"/>
      <c r="AB583" s="290"/>
    </row>
    <row r="584" spans="1:28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325"/>
      <c r="S584" s="325"/>
      <c r="T584" s="325"/>
      <c r="U584" s="290"/>
      <c r="V584" s="290"/>
      <c r="W584" s="290"/>
      <c r="X584" s="290"/>
      <c r="Y584" s="290"/>
      <c r="Z584" s="290"/>
      <c r="AA584" s="290"/>
      <c r="AB584" s="290"/>
    </row>
    <row r="585" spans="1:28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325"/>
      <c r="S585" s="325"/>
      <c r="T585" s="325"/>
      <c r="U585" s="290"/>
      <c r="V585" s="290"/>
      <c r="W585" s="290"/>
      <c r="X585" s="290"/>
      <c r="Y585" s="290"/>
      <c r="Z585" s="290"/>
      <c r="AA585" s="290"/>
      <c r="AB585" s="290"/>
    </row>
    <row r="586" spans="1:28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325"/>
      <c r="S586" s="325"/>
      <c r="T586" s="325"/>
      <c r="U586" s="290"/>
      <c r="V586" s="290"/>
      <c r="W586" s="290"/>
      <c r="X586" s="290"/>
      <c r="Y586" s="290"/>
      <c r="Z586" s="290"/>
      <c r="AA586" s="290"/>
      <c r="AB586" s="290"/>
    </row>
    <row r="587" spans="1:28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325"/>
      <c r="S587" s="325"/>
      <c r="T587" s="325"/>
      <c r="U587" s="290"/>
      <c r="V587" s="290"/>
      <c r="W587" s="290"/>
      <c r="X587" s="290"/>
      <c r="Y587" s="290"/>
      <c r="Z587" s="290"/>
      <c r="AA587" s="290"/>
      <c r="AB587" s="290"/>
    </row>
    <row r="588" spans="1:28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325"/>
      <c r="S588" s="325"/>
      <c r="T588" s="325"/>
      <c r="U588" s="290"/>
      <c r="V588" s="290"/>
      <c r="W588" s="290"/>
      <c r="X588" s="290"/>
      <c r="Y588" s="290"/>
      <c r="Z588" s="290"/>
      <c r="AA588" s="290"/>
      <c r="AB588" s="290"/>
    </row>
    <row r="589" spans="1:28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325"/>
      <c r="S589" s="325"/>
      <c r="T589" s="325"/>
      <c r="U589" s="290"/>
      <c r="V589" s="290"/>
      <c r="W589" s="290"/>
      <c r="X589" s="290"/>
      <c r="Y589" s="290"/>
      <c r="Z589" s="290"/>
      <c r="AA589" s="290"/>
      <c r="AB589" s="290"/>
    </row>
    <row r="590" spans="1:28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325"/>
      <c r="S590" s="325"/>
      <c r="T590" s="325"/>
      <c r="U590" s="290"/>
      <c r="V590" s="290"/>
      <c r="W590" s="290"/>
      <c r="X590" s="290"/>
      <c r="Y590" s="290"/>
      <c r="Z590" s="290"/>
      <c r="AA590" s="290"/>
      <c r="AB590" s="290"/>
    </row>
    <row r="591" spans="1:28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325"/>
      <c r="S591" s="325"/>
      <c r="T591" s="325"/>
      <c r="U591" s="290"/>
      <c r="V591" s="290"/>
      <c r="W591" s="290"/>
      <c r="X591" s="290"/>
      <c r="Y591" s="290"/>
      <c r="Z591" s="290"/>
      <c r="AA591" s="290"/>
      <c r="AB591" s="290"/>
    </row>
    <row r="592" spans="1:28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325"/>
      <c r="S592" s="325"/>
      <c r="T592" s="325"/>
      <c r="U592" s="290"/>
      <c r="V592" s="290"/>
      <c r="W592" s="290"/>
      <c r="X592" s="290"/>
      <c r="Y592" s="290"/>
      <c r="Z592" s="290"/>
      <c r="AA592" s="290"/>
      <c r="AB592" s="290"/>
    </row>
    <row r="593" spans="1:28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325"/>
      <c r="S593" s="325"/>
      <c r="T593" s="325"/>
      <c r="U593" s="290"/>
      <c r="V593" s="290"/>
      <c r="W593" s="290"/>
      <c r="X593" s="290"/>
      <c r="Y593" s="290"/>
      <c r="Z593" s="290"/>
      <c r="AA593" s="290"/>
      <c r="AB593" s="290"/>
    </row>
    <row r="594" spans="1:28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325"/>
      <c r="S594" s="325"/>
      <c r="T594" s="325"/>
      <c r="U594" s="290"/>
      <c r="V594" s="290"/>
      <c r="W594" s="290"/>
      <c r="X594" s="290"/>
      <c r="Y594" s="290"/>
      <c r="Z594" s="290"/>
      <c r="AA594" s="290"/>
      <c r="AB594" s="290"/>
    </row>
    <row r="595" spans="1:28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325"/>
      <c r="S595" s="325"/>
      <c r="T595" s="325"/>
      <c r="U595" s="290"/>
      <c r="V595" s="290"/>
      <c r="W595" s="290"/>
      <c r="X595" s="290"/>
      <c r="Y595" s="290"/>
      <c r="Z595" s="290"/>
      <c r="AA595" s="290"/>
      <c r="AB595" s="290"/>
    </row>
    <row r="596" spans="1:28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325"/>
      <c r="S596" s="325"/>
      <c r="T596" s="325"/>
      <c r="U596" s="290"/>
      <c r="V596" s="290"/>
      <c r="W596" s="290"/>
      <c r="X596" s="290"/>
      <c r="Y596" s="290"/>
      <c r="Z596" s="290"/>
      <c r="AA596" s="290"/>
      <c r="AB596" s="290"/>
    </row>
    <row r="597" spans="1:28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325"/>
      <c r="S597" s="325"/>
      <c r="T597" s="325"/>
      <c r="U597" s="290"/>
      <c r="V597" s="290"/>
      <c r="W597" s="290"/>
      <c r="X597" s="290"/>
      <c r="Y597" s="290"/>
      <c r="Z597" s="290"/>
      <c r="AA597" s="290"/>
      <c r="AB597" s="290"/>
    </row>
    <row r="598" spans="1:28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325"/>
      <c r="S598" s="325"/>
      <c r="T598" s="325"/>
      <c r="U598" s="290"/>
      <c r="V598" s="290"/>
      <c r="W598" s="290"/>
      <c r="X598" s="290"/>
      <c r="Y598" s="290"/>
      <c r="Z598" s="290"/>
      <c r="AA598" s="290"/>
      <c r="AB598" s="290"/>
    </row>
    <row r="599" spans="1:28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325"/>
      <c r="S599" s="325"/>
      <c r="T599" s="325"/>
      <c r="U599" s="290"/>
      <c r="V599" s="290"/>
      <c r="W599" s="290"/>
      <c r="X599" s="290"/>
      <c r="Y599" s="290"/>
      <c r="Z599" s="290"/>
      <c r="AA599" s="290"/>
      <c r="AB599" s="290"/>
    </row>
    <row r="600" spans="1:28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325"/>
      <c r="S600" s="325"/>
      <c r="T600" s="325"/>
      <c r="U600" s="290"/>
      <c r="V600" s="290"/>
      <c r="W600" s="290"/>
      <c r="X600" s="290"/>
      <c r="Y600" s="290"/>
      <c r="Z600" s="290"/>
      <c r="AA600" s="290"/>
      <c r="AB600" s="290"/>
    </row>
    <row r="601" spans="1:28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325"/>
      <c r="S601" s="325"/>
      <c r="T601" s="325"/>
      <c r="U601" s="290"/>
      <c r="V601" s="290"/>
      <c r="W601" s="290"/>
      <c r="X601" s="290"/>
      <c r="Y601" s="290"/>
      <c r="Z601" s="290"/>
      <c r="AA601" s="290"/>
      <c r="AB601" s="290"/>
    </row>
    <row r="602" spans="1:28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325"/>
      <c r="S602" s="325"/>
      <c r="T602" s="325"/>
      <c r="U602" s="290"/>
      <c r="V602" s="290"/>
      <c r="W602" s="290"/>
      <c r="X602" s="290"/>
      <c r="Y602" s="290"/>
      <c r="Z602" s="290"/>
      <c r="AA602" s="290"/>
      <c r="AB602" s="290"/>
    </row>
    <row r="603" spans="1:28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325"/>
      <c r="S603" s="325"/>
      <c r="T603" s="325"/>
      <c r="U603" s="290"/>
      <c r="V603" s="290"/>
      <c r="W603" s="290"/>
      <c r="X603" s="290"/>
      <c r="Y603" s="290"/>
      <c r="Z603" s="290"/>
      <c r="AA603" s="290"/>
      <c r="AB603" s="290"/>
    </row>
    <row r="604" spans="1:28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325"/>
      <c r="S604" s="325"/>
      <c r="T604" s="325"/>
      <c r="U604" s="290"/>
      <c r="V604" s="290"/>
      <c r="W604" s="290"/>
      <c r="X604" s="290"/>
      <c r="Y604" s="290"/>
      <c r="Z604" s="290"/>
      <c r="AA604" s="290"/>
      <c r="AB604" s="290"/>
    </row>
    <row r="605" spans="1:28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325"/>
      <c r="S605" s="325"/>
      <c r="T605" s="325"/>
      <c r="U605" s="290"/>
      <c r="V605" s="290"/>
      <c r="W605" s="290"/>
      <c r="X605" s="290"/>
      <c r="Y605" s="290"/>
      <c r="Z605" s="290"/>
      <c r="AA605" s="290"/>
      <c r="AB605" s="290"/>
    </row>
    <row r="606" spans="1:28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325"/>
      <c r="S606" s="325"/>
      <c r="T606" s="325"/>
      <c r="U606" s="290"/>
      <c r="V606" s="290"/>
      <c r="W606" s="290"/>
      <c r="X606" s="290"/>
      <c r="Y606" s="290"/>
      <c r="Z606" s="290"/>
      <c r="AA606" s="290"/>
      <c r="AB606" s="290"/>
    </row>
    <row r="607" spans="1:28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325"/>
      <c r="S607" s="325"/>
      <c r="T607" s="325"/>
      <c r="U607" s="290"/>
      <c r="V607" s="290"/>
      <c r="W607" s="290"/>
      <c r="X607" s="290"/>
      <c r="Y607" s="290"/>
      <c r="Z607" s="290"/>
      <c r="AA607" s="290"/>
      <c r="AB607" s="290"/>
    </row>
    <row r="608" spans="1:28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325"/>
      <c r="S608" s="325"/>
      <c r="T608" s="325"/>
      <c r="U608" s="290"/>
      <c r="V608" s="290"/>
      <c r="W608" s="290"/>
      <c r="X608" s="290"/>
      <c r="Y608" s="290"/>
      <c r="Z608" s="290"/>
      <c r="AA608" s="290"/>
      <c r="AB608" s="290"/>
    </row>
    <row r="609" spans="1:28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325"/>
      <c r="S609" s="325"/>
      <c r="T609" s="325"/>
      <c r="U609" s="290"/>
      <c r="V609" s="290"/>
      <c r="W609" s="290"/>
      <c r="X609" s="290"/>
      <c r="Y609" s="290"/>
      <c r="Z609" s="290"/>
      <c r="AA609" s="290"/>
      <c r="AB609" s="290"/>
    </row>
    <row r="610" spans="1:28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325"/>
      <c r="S610" s="325"/>
      <c r="T610" s="325"/>
      <c r="U610" s="290"/>
      <c r="V610" s="290"/>
      <c r="W610" s="290"/>
      <c r="X610" s="290"/>
      <c r="Y610" s="290"/>
      <c r="Z610" s="290"/>
      <c r="AA610" s="290"/>
      <c r="AB610" s="290"/>
    </row>
    <row r="611" spans="1:28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325"/>
      <c r="S611" s="325"/>
      <c r="T611" s="325"/>
      <c r="U611" s="290"/>
      <c r="V611" s="290"/>
      <c r="W611" s="290"/>
      <c r="X611" s="290"/>
      <c r="Y611" s="290"/>
      <c r="Z611" s="290"/>
      <c r="AA611" s="290"/>
      <c r="AB611" s="290"/>
    </row>
    <row r="612" spans="1:28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325"/>
      <c r="S612" s="325"/>
      <c r="T612" s="325"/>
      <c r="U612" s="290"/>
      <c r="V612" s="290"/>
      <c r="W612" s="290"/>
      <c r="X612" s="290"/>
      <c r="Y612" s="290"/>
      <c r="Z612" s="290"/>
      <c r="AA612" s="290"/>
      <c r="AB612" s="290"/>
    </row>
    <row r="613" spans="1:28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325"/>
      <c r="S613" s="325"/>
      <c r="T613" s="325"/>
      <c r="U613" s="290"/>
      <c r="V613" s="290"/>
      <c r="W613" s="290"/>
      <c r="X613" s="290"/>
      <c r="Y613" s="290"/>
      <c r="Z613" s="290"/>
      <c r="AA613" s="290"/>
      <c r="AB613" s="290"/>
    </row>
    <row r="614" spans="1:28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325"/>
      <c r="S614" s="325"/>
      <c r="T614" s="325"/>
      <c r="U614" s="290"/>
      <c r="V614" s="290"/>
      <c r="W614" s="290"/>
      <c r="X614" s="290"/>
      <c r="Y614" s="290"/>
      <c r="Z614" s="290"/>
      <c r="AA614" s="290"/>
      <c r="AB614" s="290"/>
    </row>
    <row r="615" spans="1:28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325"/>
      <c r="S615" s="325"/>
      <c r="T615" s="325"/>
      <c r="U615" s="290"/>
      <c r="V615" s="290"/>
      <c r="W615" s="290"/>
      <c r="X615" s="290"/>
      <c r="Y615" s="290"/>
      <c r="Z615" s="290"/>
      <c r="AA615" s="290"/>
      <c r="AB615" s="290"/>
    </row>
    <row r="616" spans="1:28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325"/>
      <c r="S616" s="325"/>
      <c r="T616" s="325"/>
      <c r="U616" s="290"/>
      <c r="V616" s="290"/>
      <c r="W616" s="290"/>
      <c r="X616" s="290"/>
      <c r="Y616" s="290"/>
      <c r="Z616" s="290"/>
      <c r="AA616" s="290"/>
      <c r="AB616" s="290"/>
    </row>
    <row r="617" spans="1:28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325"/>
      <c r="S617" s="325"/>
      <c r="T617" s="325"/>
      <c r="U617" s="290"/>
      <c r="V617" s="290"/>
      <c r="W617" s="290"/>
      <c r="X617" s="290"/>
      <c r="Y617" s="290"/>
      <c r="Z617" s="290"/>
      <c r="AA617" s="290"/>
      <c r="AB617" s="290"/>
    </row>
    <row r="618" spans="1:28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325"/>
      <c r="S618" s="325"/>
      <c r="T618" s="325"/>
      <c r="U618" s="290"/>
      <c r="V618" s="290"/>
      <c r="W618" s="290"/>
      <c r="X618" s="290"/>
      <c r="Y618" s="290"/>
      <c r="Z618" s="290"/>
      <c r="AA618" s="290"/>
      <c r="AB618" s="290"/>
    </row>
    <row r="619" spans="1:28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325"/>
      <c r="S619" s="325"/>
      <c r="T619" s="325"/>
      <c r="U619" s="290"/>
      <c r="V619" s="290"/>
      <c r="W619" s="290"/>
      <c r="X619" s="290"/>
      <c r="Y619" s="290"/>
      <c r="Z619" s="290"/>
      <c r="AA619" s="290"/>
      <c r="AB619" s="290"/>
    </row>
    <row r="620" spans="1:28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325"/>
      <c r="S620" s="325"/>
      <c r="T620" s="325"/>
      <c r="U620" s="290"/>
      <c r="V620" s="290"/>
      <c r="W620" s="290"/>
      <c r="X620" s="290"/>
      <c r="Y620" s="290"/>
      <c r="Z620" s="290"/>
      <c r="AA620" s="290"/>
      <c r="AB620" s="290"/>
    </row>
    <row r="621" spans="1:28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325"/>
      <c r="S621" s="325"/>
      <c r="T621" s="325"/>
      <c r="U621" s="290"/>
      <c r="V621" s="290"/>
      <c r="W621" s="290"/>
      <c r="X621" s="290"/>
      <c r="Y621" s="290"/>
      <c r="Z621" s="290"/>
      <c r="AA621" s="290"/>
      <c r="AB621" s="290"/>
    </row>
    <row r="622" spans="1:28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325"/>
      <c r="S622" s="325"/>
      <c r="T622" s="325"/>
      <c r="U622" s="290"/>
      <c r="V622" s="290"/>
      <c r="W622" s="290"/>
      <c r="X622" s="290"/>
      <c r="Y622" s="290"/>
      <c r="Z622" s="290"/>
      <c r="AA622" s="290"/>
      <c r="AB622" s="290"/>
    </row>
    <row r="623" spans="1:28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325"/>
      <c r="S623" s="325"/>
      <c r="T623" s="325"/>
      <c r="U623" s="290"/>
      <c r="V623" s="290"/>
      <c r="W623" s="290"/>
      <c r="X623" s="290"/>
      <c r="Y623" s="290"/>
      <c r="Z623" s="290"/>
      <c r="AA623" s="290"/>
      <c r="AB623" s="290"/>
    </row>
    <row r="624" spans="1:28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325"/>
      <c r="S624" s="325"/>
      <c r="T624" s="325"/>
      <c r="U624" s="290"/>
      <c r="V624" s="290"/>
      <c r="W624" s="290"/>
      <c r="X624" s="290"/>
      <c r="Y624" s="290"/>
      <c r="Z624" s="290"/>
      <c r="AA624" s="290"/>
      <c r="AB624" s="290"/>
    </row>
    <row r="625" spans="1:28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325"/>
      <c r="S625" s="325"/>
      <c r="T625" s="325"/>
      <c r="U625" s="290"/>
      <c r="V625" s="290"/>
      <c r="W625" s="290"/>
      <c r="X625" s="290"/>
      <c r="Y625" s="290"/>
      <c r="Z625" s="290"/>
      <c r="AA625" s="290"/>
      <c r="AB625" s="290"/>
    </row>
    <row r="626" spans="1:28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325"/>
      <c r="S626" s="325"/>
      <c r="T626" s="325"/>
      <c r="U626" s="290"/>
      <c r="V626" s="290"/>
      <c r="W626" s="290"/>
      <c r="X626" s="290"/>
      <c r="Y626" s="290"/>
      <c r="Z626" s="290"/>
      <c r="AA626" s="290"/>
      <c r="AB626" s="290"/>
    </row>
    <row r="627" spans="1:28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325"/>
      <c r="S627" s="325"/>
      <c r="T627" s="325"/>
      <c r="U627" s="290"/>
      <c r="V627" s="290"/>
      <c r="W627" s="290"/>
      <c r="X627" s="290"/>
      <c r="Y627" s="290"/>
      <c r="Z627" s="290"/>
      <c r="AA627" s="290"/>
      <c r="AB627" s="290"/>
    </row>
    <row r="628" spans="1:28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325"/>
      <c r="S628" s="325"/>
      <c r="T628" s="325"/>
      <c r="U628" s="290"/>
      <c r="V628" s="290"/>
      <c r="W628" s="290"/>
      <c r="X628" s="290"/>
      <c r="Y628" s="290"/>
      <c r="Z628" s="290"/>
      <c r="AA628" s="290"/>
      <c r="AB628" s="290"/>
    </row>
    <row r="629" spans="1:28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325"/>
      <c r="S629" s="325"/>
      <c r="T629" s="325"/>
      <c r="U629" s="290"/>
      <c r="V629" s="290"/>
      <c r="W629" s="290"/>
      <c r="X629" s="290"/>
      <c r="Y629" s="290"/>
      <c r="Z629" s="290"/>
      <c r="AA629" s="290"/>
      <c r="AB629" s="290"/>
    </row>
    <row r="630" spans="1:28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325"/>
      <c r="S630" s="325"/>
      <c r="T630" s="325"/>
      <c r="U630" s="290"/>
      <c r="V630" s="290"/>
      <c r="W630" s="290"/>
      <c r="X630" s="290"/>
      <c r="Y630" s="290"/>
      <c r="Z630" s="290"/>
      <c r="AA630" s="290"/>
      <c r="AB630" s="290"/>
    </row>
    <row r="631" spans="1:28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325"/>
      <c r="S631" s="325"/>
      <c r="T631" s="325"/>
      <c r="U631" s="290"/>
      <c r="V631" s="290"/>
      <c r="W631" s="290"/>
      <c r="X631" s="290"/>
      <c r="Y631" s="290"/>
      <c r="Z631" s="290"/>
      <c r="AA631" s="290"/>
      <c r="AB631" s="290"/>
    </row>
    <row r="632" spans="1:28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325"/>
      <c r="S632" s="325"/>
      <c r="T632" s="325"/>
      <c r="U632" s="290"/>
      <c r="V632" s="290"/>
      <c r="W632" s="290"/>
      <c r="X632" s="290"/>
      <c r="Y632" s="290"/>
      <c r="Z632" s="290"/>
      <c r="AA632" s="290"/>
      <c r="AB632" s="290"/>
    </row>
    <row r="633" spans="1:28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325"/>
      <c r="S633" s="325"/>
      <c r="T633" s="325"/>
      <c r="U633" s="290"/>
      <c r="V633" s="290"/>
      <c r="W633" s="290"/>
      <c r="X633" s="290"/>
      <c r="Y633" s="290"/>
      <c r="Z633" s="290"/>
      <c r="AA633" s="290"/>
      <c r="AB633" s="290"/>
    </row>
    <row r="634" spans="1:28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325"/>
      <c r="S634" s="325"/>
      <c r="T634" s="325"/>
      <c r="U634" s="290"/>
      <c r="V634" s="290"/>
      <c r="W634" s="290"/>
      <c r="X634" s="290"/>
      <c r="Y634" s="290"/>
      <c r="Z634" s="290"/>
      <c r="AA634" s="290"/>
      <c r="AB634" s="290"/>
    </row>
    <row r="635" spans="1:28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325"/>
      <c r="S635" s="325"/>
      <c r="T635" s="325"/>
      <c r="U635" s="290"/>
      <c r="V635" s="290"/>
      <c r="W635" s="290"/>
      <c r="X635" s="290"/>
      <c r="Y635" s="290"/>
      <c r="Z635" s="290"/>
      <c r="AA635" s="290"/>
      <c r="AB635" s="290"/>
    </row>
    <row r="636" spans="1:28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325"/>
      <c r="S636" s="325"/>
      <c r="T636" s="325"/>
      <c r="U636" s="290"/>
      <c r="V636" s="290"/>
      <c r="W636" s="290"/>
      <c r="X636" s="290"/>
      <c r="Y636" s="290"/>
      <c r="Z636" s="290"/>
      <c r="AA636" s="290"/>
      <c r="AB636" s="290"/>
    </row>
    <row r="637" spans="1:28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325"/>
      <c r="S637" s="325"/>
      <c r="T637" s="325"/>
      <c r="U637" s="290"/>
      <c r="V637" s="290"/>
      <c r="W637" s="290"/>
      <c r="X637" s="290"/>
      <c r="Y637" s="290"/>
      <c r="Z637" s="290"/>
      <c r="AA637" s="290"/>
      <c r="AB637" s="290"/>
    </row>
    <row r="638" spans="1:28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325"/>
      <c r="S638" s="325"/>
      <c r="T638" s="325"/>
      <c r="U638" s="290"/>
      <c r="V638" s="290"/>
      <c r="W638" s="290"/>
      <c r="X638" s="290"/>
      <c r="Y638" s="290"/>
      <c r="Z638" s="290"/>
      <c r="AA638" s="290"/>
      <c r="AB638" s="290"/>
    </row>
    <row r="639" spans="1:28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325"/>
      <c r="S639" s="325"/>
      <c r="T639" s="325"/>
      <c r="U639" s="290"/>
      <c r="V639" s="290"/>
      <c r="W639" s="290"/>
      <c r="X639" s="290"/>
      <c r="Y639" s="290"/>
      <c r="Z639" s="290"/>
      <c r="AA639" s="290"/>
      <c r="AB639" s="290"/>
    </row>
    <row r="640" spans="1:28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325"/>
      <c r="S640" s="325"/>
      <c r="T640" s="325"/>
      <c r="U640" s="290"/>
      <c r="V640" s="290"/>
      <c r="W640" s="290"/>
      <c r="X640" s="290"/>
      <c r="Y640" s="290"/>
      <c r="Z640" s="290"/>
      <c r="AA640" s="290"/>
      <c r="AB640" s="290"/>
    </row>
    <row r="641" spans="1:28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325"/>
      <c r="S641" s="325"/>
      <c r="T641" s="325"/>
      <c r="U641" s="290"/>
      <c r="V641" s="290"/>
      <c r="W641" s="290"/>
      <c r="X641" s="290"/>
      <c r="Y641" s="290"/>
      <c r="Z641" s="290"/>
      <c r="AA641" s="290"/>
      <c r="AB641" s="290"/>
    </row>
    <row r="642" spans="1:28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325"/>
      <c r="S642" s="325"/>
      <c r="T642" s="325"/>
      <c r="U642" s="290"/>
      <c r="V642" s="290"/>
      <c r="W642" s="290"/>
      <c r="X642" s="290"/>
      <c r="Y642" s="290"/>
      <c r="Z642" s="290"/>
      <c r="AA642" s="290"/>
      <c r="AB642" s="290"/>
    </row>
    <row r="643" spans="1:28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325"/>
      <c r="S643" s="325"/>
      <c r="T643" s="325"/>
      <c r="U643" s="290"/>
      <c r="V643" s="290"/>
      <c r="W643" s="290"/>
      <c r="X643" s="290"/>
      <c r="Y643" s="290"/>
      <c r="Z643" s="290"/>
      <c r="AA643" s="290"/>
      <c r="AB643" s="290"/>
    </row>
    <row r="644" spans="1:28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325"/>
      <c r="S644" s="325"/>
      <c r="T644" s="325"/>
      <c r="U644" s="290"/>
      <c r="V644" s="290"/>
      <c r="W644" s="290"/>
      <c r="X644" s="290"/>
      <c r="Y644" s="290"/>
      <c r="Z644" s="290"/>
      <c r="AA644" s="290"/>
      <c r="AB644" s="290"/>
    </row>
    <row r="645" spans="1:28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325"/>
      <c r="S645" s="325"/>
      <c r="T645" s="325"/>
      <c r="U645" s="290"/>
      <c r="V645" s="290"/>
      <c r="W645" s="290"/>
      <c r="X645" s="290"/>
      <c r="Y645" s="290"/>
      <c r="Z645" s="290"/>
      <c r="AA645" s="290"/>
      <c r="AB645" s="290"/>
    </row>
    <row r="646" spans="1:28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325"/>
      <c r="S646" s="325"/>
      <c r="T646" s="325"/>
      <c r="U646" s="290"/>
      <c r="V646" s="290"/>
      <c r="W646" s="290"/>
      <c r="X646" s="290"/>
      <c r="Y646" s="290"/>
      <c r="Z646" s="290"/>
      <c r="AA646" s="290"/>
      <c r="AB646" s="290"/>
    </row>
    <row r="647" spans="1:28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325"/>
      <c r="S647" s="325"/>
      <c r="T647" s="325"/>
      <c r="U647" s="290"/>
      <c r="V647" s="290"/>
      <c r="W647" s="290"/>
      <c r="X647" s="290"/>
      <c r="Y647" s="290"/>
      <c r="Z647" s="290"/>
      <c r="AA647" s="290"/>
      <c r="AB647" s="290"/>
    </row>
    <row r="648" spans="1:28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325"/>
      <c r="S648" s="325"/>
      <c r="T648" s="325"/>
      <c r="U648" s="290"/>
      <c r="V648" s="290"/>
      <c r="W648" s="290"/>
      <c r="X648" s="290"/>
      <c r="Y648" s="290"/>
      <c r="Z648" s="290"/>
      <c r="AA648" s="290"/>
      <c r="AB648" s="290"/>
    </row>
    <row r="649" spans="1:28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325"/>
      <c r="S649" s="325"/>
      <c r="T649" s="325"/>
      <c r="U649" s="290"/>
      <c r="V649" s="290"/>
      <c r="W649" s="290"/>
      <c r="X649" s="290"/>
      <c r="Y649" s="290"/>
      <c r="Z649" s="290"/>
      <c r="AA649" s="290"/>
      <c r="AB649" s="290"/>
    </row>
    <row r="650" spans="1:28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325"/>
      <c r="S650" s="325"/>
      <c r="T650" s="325"/>
      <c r="U650" s="290"/>
      <c r="V650" s="290"/>
      <c r="W650" s="290"/>
      <c r="X650" s="290"/>
      <c r="Y650" s="290"/>
      <c r="Z650" s="290"/>
      <c r="AA650" s="290"/>
      <c r="AB650" s="290"/>
    </row>
    <row r="651" spans="1:28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325"/>
      <c r="S651" s="325"/>
      <c r="T651" s="325"/>
      <c r="U651" s="290"/>
      <c r="V651" s="290"/>
      <c r="W651" s="290"/>
      <c r="X651" s="290"/>
      <c r="Y651" s="290"/>
      <c r="Z651" s="290"/>
      <c r="AA651" s="290"/>
      <c r="AB651" s="290"/>
    </row>
    <row r="652" spans="1:28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325"/>
      <c r="S652" s="325"/>
      <c r="T652" s="325"/>
      <c r="U652" s="290"/>
      <c r="V652" s="290"/>
      <c r="W652" s="290"/>
      <c r="X652" s="290"/>
      <c r="Y652" s="290"/>
      <c r="Z652" s="290"/>
      <c r="AA652" s="290"/>
      <c r="AB652" s="290"/>
    </row>
    <row r="653" spans="1:28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325"/>
      <c r="S653" s="325"/>
      <c r="T653" s="325"/>
      <c r="U653" s="290"/>
      <c r="V653" s="290"/>
      <c r="W653" s="290"/>
      <c r="X653" s="290"/>
      <c r="Y653" s="290"/>
      <c r="Z653" s="290"/>
      <c r="AA653" s="290"/>
      <c r="AB653" s="290"/>
    </row>
    <row r="654" spans="1:28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325"/>
      <c r="S654" s="325"/>
      <c r="T654" s="325"/>
      <c r="U654" s="290"/>
      <c r="V654" s="290"/>
      <c r="W654" s="290"/>
      <c r="X654" s="290"/>
      <c r="Y654" s="290"/>
      <c r="Z654" s="290"/>
      <c r="AA654" s="290"/>
      <c r="AB654" s="290"/>
    </row>
    <row r="655" spans="1:28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325"/>
      <c r="S655" s="325"/>
      <c r="T655" s="325"/>
      <c r="U655" s="290"/>
      <c r="V655" s="290"/>
      <c r="W655" s="290"/>
      <c r="X655" s="290"/>
      <c r="Y655" s="290"/>
      <c r="Z655" s="290"/>
      <c r="AA655" s="290"/>
      <c r="AB655" s="290"/>
    </row>
    <row r="656" spans="1:28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325"/>
      <c r="S656" s="325"/>
      <c r="T656" s="325"/>
      <c r="U656" s="290"/>
      <c r="V656" s="290"/>
      <c r="W656" s="290"/>
      <c r="X656" s="290"/>
      <c r="Y656" s="290"/>
      <c r="Z656" s="290"/>
      <c r="AA656" s="290"/>
      <c r="AB656" s="290"/>
    </row>
    <row r="657" spans="1:28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325"/>
      <c r="S657" s="325"/>
      <c r="T657" s="325"/>
      <c r="U657" s="290"/>
      <c r="V657" s="290"/>
      <c r="W657" s="290"/>
      <c r="X657" s="290"/>
      <c r="Y657" s="290"/>
      <c r="Z657" s="290"/>
      <c r="AA657" s="290"/>
      <c r="AB657" s="290"/>
    </row>
    <row r="658" spans="1:28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325"/>
      <c r="S658" s="325"/>
      <c r="T658" s="325"/>
      <c r="U658" s="290"/>
      <c r="V658" s="290"/>
      <c r="W658" s="290"/>
      <c r="X658" s="290"/>
      <c r="Y658" s="290"/>
      <c r="Z658" s="290"/>
      <c r="AA658" s="290"/>
      <c r="AB658" s="290"/>
    </row>
    <row r="659" spans="1:28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325"/>
      <c r="S659" s="325"/>
      <c r="T659" s="325"/>
      <c r="U659" s="290"/>
      <c r="V659" s="290"/>
      <c r="W659" s="290"/>
      <c r="X659" s="290"/>
      <c r="Y659" s="290"/>
      <c r="Z659" s="290"/>
      <c r="AA659" s="290"/>
      <c r="AB659" s="290"/>
    </row>
    <row r="660" spans="1:28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325"/>
      <c r="S660" s="325"/>
      <c r="T660" s="325"/>
      <c r="U660" s="290"/>
      <c r="V660" s="290"/>
      <c r="W660" s="290"/>
      <c r="X660" s="290"/>
      <c r="Y660" s="290"/>
      <c r="Z660" s="290"/>
      <c r="AA660" s="290"/>
      <c r="AB660" s="290"/>
    </row>
    <row r="661" spans="1:28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325"/>
      <c r="S661" s="325"/>
      <c r="T661" s="325"/>
      <c r="U661" s="290"/>
      <c r="V661" s="290"/>
      <c r="W661" s="290"/>
      <c r="X661" s="290"/>
      <c r="Y661" s="290"/>
      <c r="Z661" s="290"/>
      <c r="AA661" s="290"/>
      <c r="AB661" s="290"/>
    </row>
    <row r="662" spans="1:28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325"/>
      <c r="S662" s="325"/>
      <c r="T662" s="325"/>
      <c r="U662" s="290"/>
      <c r="V662" s="290"/>
      <c r="W662" s="290"/>
      <c r="X662" s="290"/>
      <c r="Y662" s="290"/>
      <c r="Z662" s="290"/>
      <c r="AA662" s="290"/>
      <c r="AB662" s="290"/>
    </row>
    <row r="663" spans="1:28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325"/>
      <c r="S663" s="325"/>
      <c r="T663" s="325"/>
      <c r="U663" s="290"/>
      <c r="V663" s="290"/>
      <c r="W663" s="290"/>
      <c r="X663" s="290"/>
      <c r="Y663" s="290"/>
      <c r="Z663" s="290"/>
      <c r="AA663" s="290"/>
      <c r="AB663" s="290"/>
    </row>
    <row r="664" spans="1:28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325"/>
      <c r="S664" s="325"/>
      <c r="T664" s="325"/>
      <c r="U664" s="290"/>
      <c r="V664" s="290"/>
      <c r="W664" s="290"/>
      <c r="X664" s="290"/>
      <c r="Y664" s="290"/>
      <c r="Z664" s="290"/>
      <c r="AA664" s="290"/>
      <c r="AB664" s="290"/>
    </row>
    <row r="665" spans="1:28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325"/>
      <c r="S665" s="325"/>
      <c r="T665" s="325"/>
      <c r="U665" s="290"/>
      <c r="V665" s="290"/>
      <c r="W665" s="290"/>
      <c r="X665" s="290"/>
      <c r="Y665" s="290"/>
      <c r="Z665" s="290"/>
      <c r="AA665" s="290"/>
      <c r="AB665" s="290"/>
    </row>
    <row r="666" spans="1:28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325"/>
      <c r="S666" s="325"/>
      <c r="T666" s="325"/>
      <c r="U666" s="290"/>
      <c r="V666" s="290"/>
      <c r="W666" s="290"/>
      <c r="X666" s="290"/>
      <c r="Y666" s="290"/>
      <c r="Z666" s="290"/>
      <c r="AA666" s="290"/>
      <c r="AB666" s="290"/>
    </row>
    <row r="667" spans="1:28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325"/>
      <c r="S667" s="325"/>
      <c r="T667" s="325"/>
      <c r="U667" s="290"/>
      <c r="V667" s="290"/>
      <c r="W667" s="290"/>
      <c r="X667" s="290"/>
      <c r="Y667" s="290"/>
      <c r="Z667" s="290"/>
      <c r="AA667" s="290"/>
      <c r="AB667" s="290"/>
    </row>
    <row r="668" spans="1:28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325"/>
      <c r="S668" s="325"/>
      <c r="T668" s="325"/>
      <c r="U668" s="290"/>
      <c r="V668" s="290"/>
      <c r="W668" s="290"/>
      <c r="X668" s="290"/>
      <c r="Y668" s="290"/>
      <c r="Z668" s="290"/>
      <c r="AA668" s="290"/>
      <c r="AB668" s="290"/>
    </row>
    <row r="669" spans="1:28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325"/>
      <c r="S669" s="325"/>
      <c r="T669" s="325"/>
      <c r="U669" s="290"/>
      <c r="V669" s="290"/>
      <c r="W669" s="290"/>
      <c r="X669" s="290"/>
      <c r="Y669" s="290"/>
      <c r="Z669" s="290"/>
      <c r="AA669" s="290"/>
      <c r="AB669" s="290"/>
    </row>
    <row r="670" spans="1:28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325"/>
      <c r="S670" s="325"/>
      <c r="T670" s="325"/>
      <c r="U670" s="290"/>
      <c r="V670" s="290"/>
      <c r="W670" s="290"/>
      <c r="X670" s="290"/>
      <c r="Y670" s="290"/>
      <c r="Z670" s="290"/>
      <c r="AA670" s="290"/>
      <c r="AB670" s="290"/>
    </row>
    <row r="671" spans="1:28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325"/>
      <c r="S671" s="325"/>
      <c r="T671" s="325"/>
      <c r="U671" s="290"/>
      <c r="V671" s="290"/>
      <c r="W671" s="290"/>
      <c r="X671" s="290"/>
      <c r="Y671" s="290"/>
      <c r="Z671" s="290"/>
      <c r="AA671" s="290"/>
      <c r="AB671" s="290"/>
    </row>
    <row r="672" spans="1:28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325"/>
      <c r="S672" s="325"/>
      <c r="T672" s="325"/>
      <c r="U672" s="290"/>
      <c r="V672" s="290"/>
      <c r="W672" s="290"/>
      <c r="X672" s="290"/>
      <c r="Y672" s="290"/>
      <c r="Z672" s="290"/>
      <c r="AA672" s="290"/>
      <c r="AB672" s="290"/>
    </row>
    <row r="673" spans="1:28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325"/>
      <c r="S673" s="325"/>
      <c r="T673" s="325"/>
      <c r="U673" s="290"/>
      <c r="V673" s="290"/>
      <c r="W673" s="290"/>
      <c r="X673" s="290"/>
      <c r="Y673" s="290"/>
      <c r="Z673" s="290"/>
      <c r="AA673" s="290"/>
      <c r="AB673" s="290"/>
    </row>
    <row r="674" spans="1:28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325"/>
      <c r="S674" s="325"/>
      <c r="T674" s="325"/>
      <c r="U674" s="290"/>
      <c r="V674" s="290"/>
      <c r="W674" s="290"/>
      <c r="X674" s="290"/>
      <c r="Y674" s="290"/>
      <c r="Z674" s="290"/>
      <c r="AA674" s="290"/>
      <c r="AB674" s="290"/>
    </row>
    <row r="675" spans="1:28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325"/>
      <c r="S675" s="325"/>
      <c r="T675" s="325"/>
      <c r="U675" s="290"/>
      <c r="V675" s="290"/>
      <c r="W675" s="290"/>
      <c r="X675" s="290"/>
      <c r="Y675" s="290"/>
      <c r="Z675" s="290"/>
      <c r="AA675" s="290"/>
      <c r="AB675" s="290"/>
    </row>
    <row r="676" spans="1:28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325"/>
      <c r="S676" s="325"/>
      <c r="T676" s="325"/>
      <c r="U676" s="290"/>
      <c r="V676" s="290"/>
      <c r="W676" s="290"/>
      <c r="X676" s="290"/>
      <c r="Y676" s="290"/>
      <c r="Z676" s="290"/>
      <c r="AA676" s="290"/>
      <c r="AB676" s="290"/>
    </row>
    <row r="677" spans="1:28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325"/>
      <c r="S677" s="325"/>
      <c r="T677" s="325"/>
      <c r="U677" s="290"/>
      <c r="V677" s="290"/>
      <c r="W677" s="290"/>
      <c r="X677" s="290"/>
      <c r="Y677" s="290"/>
      <c r="Z677" s="290"/>
      <c r="AA677" s="290"/>
      <c r="AB677" s="290"/>
    </row>
    <row r="678" spans="1:28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325"/>
      <c r="S678" s="325"/>
      <c r="T678" s="325"/>
      <c r="U678" s="290"/>
      <c r="V678" s="290"/>
      <c r="W678" s="290"/>
      <c r="X678" s="290"/>
      <c r="Y678" s="290"/>
      <c r="Z678" s="290"/>
      <c r="AA678" s="290"/>
      <c r="AB678" s="290"/>
    </row>
    <row r="679" spans="1:28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325"/>
      <c r="S679" s="325"/>
      <c r="T679" s="325"/>
      <c r="U679" s="290"/>
      <c r="V679" s="290"/>
      <c r="W679" s="290"/>
      <c r="X679" s="290"/>
      <c r="Y679" s="290"/>
      <c r="Z679" s="290"/>
      <c r="AA679" s="290"/>
      <c r="AB679" s="290"/>
    </row>
    <row r="680" spans="1:28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325"/>
      <c r="S680" s="325"/>
      <c r="T680" s="325"/>
      <c r="U680" s="290"/>
      <c r="V680" s="290"/>
      <c r="W680" s="290"/>
      <c r="X680" s="290"/>
      <c r="Y680" s="290"/>
      <c r="Z680" s="290"/>
      <c r="AA680" s="290"/>
      <c r="AB680" s="290"/>
    </row>
    <row r="681" spans="1:28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325"/>
      <c r="S681" s="325"/>
      <c r="T681" s="325"/>
      <c r="U681" s="290"/>
      <c r="V681" s="290"/>
      <c r="W681" s="290"/>
      <c r="X681" s="290"/>
      <c r="Y681" s="290"/>
      <c r="Z681" s="290"/>
      <c r="AA681" s="290"/>
      <c r="AB681" s="290"/>
    </row>
    <row r="682" spans="1:28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325"/>
      <c r="S682" s="325"/>
      <c r="T682" s="325"/>
      <c r="U682" s="290"/>
      <c r="V682" s="290"/>
      <c r="W682" s="290"/>
      <c r="X682" s="290"/>
      <c r="Y682" s="290"/>
      <c r="Z682" s="290"/>
      <c r="AA682" s="290"/>
      <c r="AB682" s="290"/>
    </row>
    <row r="683" spans="1:28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325"/>
      <c r="S683" s="325"/>
      <c r="T683" s="325"/>
      <c r="U683" s="290"/>
      <c r="V683" s="290"/>
      <c r="W683" s="290"/>
      <c r="X683" s="290"/>
      <c r="Y683" s="290"/>
      <c r="Z683" s="290"/>
      <c r="AA683" s="290"/>
      <c r="AB683" s="290"/>
    </row>
    <row r="684" spans="1:28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325"/>
      <c r="S684" s="325"/>
      <c r="T684" s="325"/>
      <c r="U684" s="290"/>
      <c r="V684" s="290"/>
      <c r="W684" s="290"/>
      <c r="X684" s="290"/>
      <c r="Y684" s="290"/>
      <c r="Z684" s="290"/>
      <c r="AA684" s="290"/>
      <c r="AB684" s="290"/>
    </row>
    <row r="685" spans="1:28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325"/>
      <c r="S685" s="325"/>
      <c r="T685" s="325"/>
      <c r="U685" s="290"/>
      <c r="V685" s="290"/>
      <c r="W685" s="290"/>
      <c r="X685" s="290"/>
      <c r="Y685" s="290"/>
      <c r="Z685" s="290"/>
      <c r="AA685" s="290"/>
      <c r="AB685" s="290"/>
    </row>
    <row r="686" spans="1:28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325"/>
      <c r="S686" s="325"/>
      <c r="T686" s="325"/>
      <c r="U686" s="290"/>
      <c r="V686" s="290"/>
      <c r="W686" s="290"/>
      <c r="X686" s="290"/>
      <c r="Y686" s="290"/>
      <c r="Z686" s="290"/>
      <c r="AA686" s="290"/>
      <c r="AB686" s="290"/>
    </row>
    <row r="687" spans="1:28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325"/>
      <c r="S687" s="325"/>
      <c r="T687" s="325"/>
      <c r="U687" s="290"/>
      <c r="V687" s="290"/>
      <c r="W687" s="290"/>
      <c r="X687" s="290"/>
      <c r="Y687" s="290"/>
      <c r="Z687" s="290"/>
      <c r="AA687" s="290"/>
      <c r="AB687" s="290"/>
    </row>
    <row r="688" spans="1:28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325"/>
      <c r="S688" s="325"/>
      <c r="T688" s="325"/>
      <c r="U688" s="290"/>
      <c r="V688" s="290"/>
      <c r="W688" s="290"/>
      <c r="X688" s="290"/>
      <c r="Y688" s="290"/>
      <c r="Z688" s="290"/>
      <c r="AA688" s="290"/>
      <c r="AB688" s="290"/>
    </row>
    <row r="689" spans="1:28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325"/>
      <c r="S689" s="325"/>
      <c r="T689" s="325"/>
      <c r="U689" s="290"/>
      <c r="V689" s="290"/>
      <c r="W689" s="290"/>
      <c r="X689" s="290"/>
      <c r="Y689" s="290"/>
      <c r="Z689" s="290"/>
      <c r="AA689" s="290"/>
      <c r="AB689" s="290"/>
    </row>
    <row r="690" spans="1:28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325"/>
      <c r="S690" s="325"/>
      <c r="T690" s="325"/>
      <c r="U690" s="290"/>
      <c r="V690" s="290"/>
      <c r="W690" s="290"/>
      <c r="X690" s="290"/>
      <c r="Y690" s="290"/>
      <c r="Z690" s="290"/>
      <c r="AA690" s="290"/>
      <c r="AB690" s="290"/>
    </row>
    <row r="691" spans="1:28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325"/>
      <c r="S691" s="325"/>
      <c r="T691" s="325"/>
      <c r="U691" s="290"/>
      <c r="V691" s="290"/>
      <c r="W691" s="290"/>
      <c r="X691" s="290"/>
      <c r="Y691" s="290"/>
      <c r="Z691" s="290"/>
      <c r="AA691" s="290"/>
      <c r="AB691" s="290"/>
    </row>
    <row r="692" spans="1:28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325"/>
      <c r="S692" s="325"/>
      <c r="T692" s="325"/>
      <c r="U692" s="290"/>
      <c r="V692" s="290"/>
      <c r="W692" s="290"/>
      <c r="X692" s="290"/>
      <c r="Y692" s="290"/>
      <c r="Z692" s="290"/>
      <c r="AA692" s="290"/>
      <c r="AB692" s="290"/>
    </row>
    <row r="693" spans="1:28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325"/>
      <c r="S693" s="325"/>
      <c r="T693" s="325"/>
      <c r="U693" s="290"/>
      <c r="V693" s="290"/>
      <c r="W693" s="290"/>
      <c r="X693" s="290"/>
      <c r="Y693" s="290"/>
      <c r="Z693" s="290"/>
      <c r="AA693" s="290"/>
      <c r="AB693" s="290"/>
    </row>
    <row r="694" spans="1:28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325"/>
      <c r="S694" s="325"/>
      <c r="T694" s="325"/>
      <c r="U694" s="290"/>
      <c r="V694" s="290"/>
      <c r="W694" s="290"/>
      <c r="X694" s="290"/>
      <c r="Y694" s="290"/>
      <c r="Z694" s="290"/>
      <c r="AA694" s="290"/>
      <c r="AB694" s="290"/>
    </row>
    <row r="695" spans="1:28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325"/>
      <c r="S695" s="325"/>
      <c r="T695" s="325"/>
      <c r="U695" s="290"/>
      <c r="V695" s="290"/>
      <c r="W695" s="290"/>
      <c r="X695" s="290"/>
      <c r="Y695" s="290"/>
      <c r="Z695" s="290"/>
      <c r="AA695" s="290"/>
      <c r="AB695" s="290"/>
    </row>
    <row r="696" spans="1:28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325"/>
      <c r="S696" s="325"/>
      <c r="T696" s="325"/>
      <c r="U696" s="290"/>
      <c r="V696" s="290"/>
      <c r="W696" s="290"/>
      <c r="X696" s="290"/>
      <c r="Y696" s="290"/>
      <c r="Z696" s="290"/>
      <c r="AA696" s="290"/>
      <c r="AB696" s="290"/>
    </row>
    <row r="697" spans="1:28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325"/>
      <c r="S697" s="325"/>
      <c r="T697" s="325"/>
      <c r="U697" s="290"/>
      <c r="V697" s="290"/>
      <c r="W697" s="290"/>
      <c r="X697" s="290"/>
      <c r="Y697" s="290"/>
      <c r="Z697" s="290"/>
      <c r="AA697" s="290"/>
      <c r="AB697" s="290"/>
    </row>
    <row r="698" spans="1:28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325"/>
      <c r="S698" s="325"/>
      <c r="T698" s="325"/>
      <c r="U698" s="290"/>
      <c r="V698" s="290"/>
      <c r="W698" s="290"/>
      <c r="X698" s="290"/>
      <c r="Y698" s="290"/>
      <c r="Z698" s="290"/>
      <c r="AA698" s="290"/>
      <c r="AB698" s="290"/>
    </row>
    <row r="699" spans="1:28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325"/>
      <c r="S699" s="325"/>
      <c r="T699" s="325"/>
      <c r="U699" s="290"/>
      <c r="V699" s="290"/>
      <c r="W699" s="290"/>
      <c r="X699" s="290"/>
      <c r="Y699" s="290"/>
      <c r="Z699" s="290"/>
      <c r="AA699" s="290"/>
      <c r="AB699" s="290"/>
    </row>
    <row r="700" spans="1:28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325"/>
      <c r="S700" s="325"/>
      <c r="T700" s="325"/>
      <c r="U700" s="290"/>
      <c r="V700" s="290"/>
      <c r="W700" s="290"/>
      <c r="X700" s="290"/>
      <c r="Y700" s="290"/>
      <c r="Z700" s="290"/>
      <c r="AA700" s="290"/>
      <c r="AB700" s="290"/>
    </row>
    <row r="701" spans="1:28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325"/>
      <c r="S701" s="325"/>
      <c r="T701" s="325"/>
      <c r="U701" s="290"/>
      <c r="V701" s="290"/>
      <c r="W701" s="290"/>
      <c r="X701" s="290"/>
      <c r="Y701" s="290"/>
      <c r="Z701" s="290"/>
      <c r="AA701" s="290"/>
      <c r="AB701" s="290"/>
    </row>
    <row r="702" spans="1:28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325"/>
      <c r="S702" s="325"/>
      <c r="T702" s="325"/>
      <c r="U702" s="290"/>
      <c r="V702" s="290"/>
      <c r="W702" s="290"/>
      <c r="X702" s="290"/>
      <c r="Y702" s="290"/>
      <c r="Z702" s="290"/>
      <c r="AA702" s="290"/>
      <c r="AB702" s="290"/>
    </row>
    <row r="703" spans="1:28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325"/>
      <c r="S703" s="325"/>
      <c r="T703" s="325"/>
      <c r="U703" s="290"/>
      <c r="V703" s="290"/>
      <c r="W703" s="290"/>
      <c r="X703" s="290"/>
      <c r="Y703" s="290"/>
      <c r="Z703" s="290"/>
      <c r="AA703" s="290"/>
      <c r="AB703" s="290"/>
    </row>
    <row r="704" spans="1:28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325"/>
      <c r="S704" s="325"/>
      <c r="T704" s="325"/>
      <c r="U704" s="290"/>
      <c r="V704" s="290"/>
      <c r="W704" s="290"/>
      <c r="X704" s="290"/>
      <c r="Y704" s="290"/>
      <c r="Z704" s="290"/>
      <c r="AA704" s="290"/>
      <c r="AB704" s="290"/>
    </row>
    <row r="705" spans="1:28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325"/>
      <c r="S705" s="325"/>
      <c r="T705" s="325"/>
      <c r="U705" s="290"/>
      <c r="V705" s="290"/>
      <c r="W705" s="290"/>
      <c r="X705" s="290"/>
      <c r="Y705" s="290"/>
      <c r="Z705" s="290"/>
      <c r="AA705" s="290"/>
      <c r="AB705" s="290"/>
    </row>
    <row r="706" spans="1:28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325"/>
      <c r="S706" s="325"/>
      <c r="T706" s="325"/>
      <c r="U706" s="290"/>
      <c r="V706" s="290"/>
      <c r="W706" s="290"/>
      <c r="X706" s="290"/>
      <c r="Y706" s="290"/>
      <c r="Z706" s="290"/>
      <c r="AA706" s="290"/>
      <c r="AB706" s="290"/>
    </row>
    <row r="707" spans="1:28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325"/>
      <c r="S707" s="325"/>
      <c r="T707" s="325"/>
      <c r="U707" s="290"/>
      <c r="V707" s="290"/>
      <c r="W707" s="290"/>
      <c r="X707" s="290"/>
      <c r="Y707" s="290"/>
      <c r="Z707" s="290"/>
      <c r="AA707" s="290"/>
      <c r="AB707" s="290"/>
    </row>
    <row r="708" spans="1:28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325"/>
      <c r="S708" s="325"/>
      <c r="T708" s="325"/>
      <c r="U708" s="290"/>
      <c r="V708" s="290"/>
      <c r="W708" s="290"/>
      <c r="X708" s="290"/>
      <c r="Y708" s="290"/>
      <c r="Z708" s="290"/>
      <c r="AA708" s="290"/>
      <c r="AB708" s="290"/>
    </row>
    <row r="709" spans="1:28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325"/>
      <c r="S709" s="325"/>
      <c r="T709" s="325"/>
      <c r="U709" s="290"/>
      <c r="V709" s="290"/>
      <c r="W709" s="290"/>
      <c r="X709" s="290"/>
      <c r="Y709" s="290"/>
      <c r="Z709" s="290"/>
      <c r="AA709" s="290"/>
      <c r="AB709" s="290"/>
    </row>
    <row r="710" spans="1:28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325"/>
      <c r="S710" s="325"/>
      <c r="T710" s="325"/>
      <c r="U710" s="290"/>
      <c r="V710" s="290"/>
      <c r="W710" s="290"/>
      <c r="X710" s="290"/>
      <c r="Y710" s="290"/>
      <c r="Z710" s="290"/>
      <c r="AA710" s="290"/>
      <c r="AB710" s="290"/>
    </row>
    <row r="711" spans="1:28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325"/>
      <c r="S711" s="325"/>
      <c r="T711" s="325"/>
      <c r="U711" s="290"/>
      <c r="V711" s="290"/>
      <c r="W711" s="290"/>
      <c r="X711" s="290"/>
      <c r="Y711" s="290"/>
      <c r="Z711" s="290"/>
      <c r="AA711" s="290"/>
      <c r="AB711" s="290"/>
    </row>
    <row r="712" spans="1:28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325"/>
      <c r="S712" s="325"/>
      <c r="T712" s="325"/>
      <c r="U712" s="290"/>
      <c r="V712" s="290"/>
      <c r="W712" s="290"/>
      <c r="X712" s="290"/>
      <c r="Y712" s="290"/>
      <c r="Z712" s="290"/>
      <c r="AA712" s="290"/>
      <c r="AB712" s="290"/>
    </row>
    <row r="713" spans="1:28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325"/>
      <c r="S713" s="325"/>
      <c r="T713" s="325"/>
      <c r="U713" s="290"/>
      <c r="V713" s="290"/>
      <c r="W713" s="290"/>
      <c r="X713" s="290"/>
      <c r="Y713" s="290"/>
      <c r="Z713" s="290"/>
      <c r="AA713" s="290"/>
      <c r="AB713" s="290"/>
    </row>
    <row r="714" spans="1:28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325"/>
      <c r="S714" s="325"/>
      <c r="T714" s="325"/>
      <c r="U714" s="290"/>
      <c r="V714" s="290"/>
      <c r="W714" s="290"/>
      <c r="X714" s="290"/>
      <c r="Y714" s="290"/>
      <c r="Z714" s="290"/>
      <c r="AA714" s="290"/>
      <c r="AB714" s="290"/>
    </row>
    <row r="715" spans="1:28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325"/>
      <c r="S715" s="325"/>
      <c r="T715" s="325"/>
      <c r="U715" s="290"/>
      <c r="V715" s="290"/>
      <c r="W715" s="290"/>
      <c r="X715" s="290"/>
      <c r="Y715" s="290"/>
      <c r="Z715" s="290"/>
      <c r="AA715" s="290"/>
      <c r="AB715" s="290"/>
    </row>
    <row r="716" spans="1:28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325"/>
      <c r="S716" s="325"/>
      <c r="T716" s="325"/>
      <c r="U716" s="290"/>
      <c r="V716" s="290"/>
      <c r="W716" s="290"/>
      <c r="X716" s="290"/>
      <c r="Y716" s="290"/>
      <c r="Z716" s="290"/>
      <c r="AA716" s="290"/>
      <c r="AB716" s="290"/>
    </row>
    <row r="717" spans="1:28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325"/>
      <c r="S717" s="325"/>
      <c r="T717" s="325"/>
      <c r="U717" s="290"/>
      <c r="V717" s="290"/>
      <c r="W717" s="290"/>
      <c r="X717" s="290"/>
      <c r="Y717" s="290"/>
      <c r="Z717" s="290"/>
      <c r="AA717" s="290"/>
      <c r="AB717" s="290"/>
    </row>
    <row r="718" spans="1:28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325"/>
      <c r="S718" s="325"/>
      <c r="T718" s="325"/>
      <c r="U718" s="290"/>
      <c r="V718" s="290"/>
      <c r="W718" s="290"/>
      <c r="X718" s="290"/>
      <c r="Y718" s="290"/>
      <c r="Z718" s="290"/>
      <c r="AA718" s="290"/>
      <c r="AB718" s="290"/>
    </row>
    <row r="719" spans="1:28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325"/>
      <c r="S719" s="325"/>
      <c r="T719" s="325"/>
      <c r="U719" s="290"/>
      <c r="V719" s="290"/>
      <c r="W719" s="290"/>
      <c r="X719" s="290"/>
      <c r="Y719" s="290"/>
      <c r="Z719" s="290"/>
      <c r="AA719" s="290"/>
      <c r="AB719" s="290"/>
    </row>
    <row r="720" spans="1:28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325"/>
      <c r="S720" s="325"/>
      <c r="T720" s="325"/>
      <c r="U720" s="290"/>
      <c r="V720" s="290"/>
      <c r="W720" s="290"/>
      <c r="X720" s="290"/>
      <c r="Y720" s="290"/>
      <c r="Z720" s="290"/>
      <c r="AA720" s="290"/>
      <c r="AB720" s="290"/>
    </row>
    <row r="721" spans="1:28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325"/>
      <c r="S721" s="325"/>
      <c r="T721" s="325"/>
      <c r="U721" s="290"/>
      <c r="V721" s="290"/>
      <c r="W721" s="290"/>
      <c r="X721" s="290"/>
      <c r="Y721" s="290"/>
      <c r="Z721" s="290"/>
      <c r="AA721" s="290"/>
      <c r="AB721" s="290"/>
    </row>
    <row r="722" spans="1:28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325"/>
      <c r="S722" s="325"/>
      <c r="T722" s="325"/>
      <c r="U722" s="290"/>
      <c r="V722" s="290"/>
      <c r="W722" s="290"/>
      <c r="X722" s="290"/>
      <c r="Y722" s="290"/>
      <c r="Z722" s="290"/>
      <c r="AA722" s="290"/>
      <c r="AB722" s="290"/>
    </row>
    <row r="723" spans="1:28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325"/>
      <c r="S723" s="325"/>
      <c r="T723" s="325"/>
      <c r="U723" s="290"/>
      <c r="V723" s="290"/>
      <c r="W723" s="290"/>
      <c r="X723" s="290"/>
      <c r="Y723" s="290"/>
      <c r="Z723" s="290"/>
      <c r="AA723" s="290"/>
      <c r="AB723" s="290"/>
    </row>
    <row r="724" spans="1:28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325"/>
      <c r="S724" s="325"/>
      <c r="T724" s="325"/>
      <c r="U724" s="290"/>
      <c r="V724" s="290"/>
      <c r="W724" s="290"/>
      <c r="X724" s="290"/>
      <c r="Y724" s="290"/>
      <c r="Z724" s="290"/>
      <c r="AA724" s="290"/>
      <c r="AB724" s="290"/>
    </row>
    <row r="725" spans="1:28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325"/>
      <c r="S725" s="325"/>
      <c r="T725" s="325"/>
      <c r="U725" s="290"/>
      <c r="V725" s="290"/>
      <c r="W725" s="290"/>
      <c r="X725" s="290"/>
      <c r="Y725" s="290"/>
      <c r="Z725" s="290"/>
      <c r="AA725" s="290"/>
      <c r="AB725" s="290"/>
    </row>
    <row r="726" spans="1:28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325"/>
      <c r="S726" s="325"/>
      <c r="T726" s="325"/>
      <c r="U726" s="290"/>
      <c r="V726" s="290"/>
      <c r="W726" s="290"/>
      <c r="X726" s="290"/>
      <c r="Y726" s="290"/>
      <c r="Z726" s="290"/>
      <c r="AA726" s="290"/>
      <c r="AB726" s="290"/>
    </row>
    <row r="727" spans="1:28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325"/>
      <c r="S727" s="325"/>
      <c r="T727" s="325"/>
      <c r="U727" s="290"/>
      <c r="V727" s="290"/>
      <c r="W727" s="290"/>
      <c r="X727" s="290"/>
      <c r="Y727" s="290"/>
      <c r="Z727" s="290"/>
      <c r="AA727" s="290"/>
      <c r="AB727" s="290"/>
    </row>
    <row r="728" spans="1:28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325"/>
      <c r="S728" s="325"/>
      <c r="T728" s="325"/>
      <c r="U728" s="290"/>
      <c r="V728" s="290"/>
      <c r="W728" s="290"/>
      <c r="X728" s="290"/>
      <c r="Y728" s="290"/>
      <c r="Z728" s="290"/>
      <c r="AA728" s="290"/>
      <c r="AB728" s="290"/>
    </row>
    <row r="729" spans="1:28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325"/>
      <c r="S729" s="325"/>
      <c r="T729" s="325"/>
      <c r="U729" s="290"/>
      <c r="V729" s="290"/>
      <c r="W729" s="290"/>
      <c r="X729" s="290"/>
      <c r="Y729" s="290"/>
      <c r="Z729" s="290"/>
      <c r="AA729" s="290"/>
      <c r="AB729" s="290"/>
    </row>
    <row r="730" spans="1:28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325"/>
      <c r="S730" s="325"/>
      <c r="T730" s="325"/>
      <c r="U730" s="290"/>
      <c r="V730" s="290"/>
      <c r="W730" s="290"/>
      <c r="X730" s="290"/>
      <c r="Y730" s="290"/>
      <c r="Z730" s="290"/>
      <c r="AA730" s="290"/>
      <c r="AB730" s="290"/>
    </row>
    <row r="731" spans="1:28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325"/>
      <c r="S731" s="325"/>
      <c r="T731" s="325"/>
      <c r="U731" s="290"/>
      <c r="V731" s="290"/>
      <c r="W731" s="290"/>
      <c r="X731" s="290"/>
      <c r="Y731" s="290"/>
      <c r="Z731" s="290"/>
      <c r="AA731" s="290"/>
      <c r="AB731" s="290"/>
    </row>
    <row r="732" spans="1:28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325"/>
      <c r="S732" s="325"/>
      <c r="T732" s="325"/>
      <c r="U732" s="290"/>
      <c r="V732" s="290"/>
      <c r="W732" s="290"/>
      <c r="X732" s="290"/>
      <c r="Y732" s="290"/>
      <c r="Z732" s="290"/>
      <c r="AA732" s="290"/>
      <c r="AB732" s="290"/>
    </row>
    <row r="733" spans="1:28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325"/>
      <c r="S733" s="325"/>
      <c r="T733" s="325"/>
      <c r="U733" s="290"/>
      <c r="V733" s="290"/>
      <c r="W733" s="290"/>
      <c r="X733" s="290"/>
      <c r="Y733" s="290"/>
      <c r="Z733" s="290"/>
      <c r="AA733" s="290"/>
      <c r="AB733" s="290"/>
    </row>
    <row r="734" spans="1:28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325"/>
      <c r="S734" s="325"/>
      <c r="T734" s="325"/>
      <c r="U734" s="290"/>
      <c r="V734" s="290"/>
      <c r="W734" s="290"/>
      <c r="X734" s="290"/>
      <c r="Y734" s="290"/>
      <c r="Z734" s="290"/>
      <c r="AA734" s="290"/>
      <c r="AB734" s="290"/>
    </row>
    <row r="735" spans="1:28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325"/>
      <c r="S735" s="325"/>
      <c r="T735" s="325"/>
      <c r="U735" s="290"/>
      <c r="V735" s="290"/>
      <c r="W735" s="290"/>
      <c r="X735" s="290"/>
      <c r="Y735" s="290"/>
      <c r="Z735" s="290"/>
      <c r="AA735" s="290"/>
      <c r="AB735" s="290"/>
    </row>
    <row r="736" spans="1:28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325"/>
      <c r="S736" s="325"/>
      <c r="T736" s="325"/>
      <c r="U736" s="290"/>
      <c r="V736" s="290"/>
      <c r="W736" s="290"/>
      <c r="X736" s="290"/>
      <c r="Y736" s="290"/>
      <c r="Z736" s="290"/>
      <c r="AA736" s="290"/>
      <c r="AB736" s="290"/>
    </row>
    <row r="737" spans="1:28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325"/>
      <c r="S737" s="325"/>
      <c r="T737" s="325"/>
      <c r="U737" s="290"/>
      <c r="V737" s="290"/>
      <c r="W737" s="290"/>
      <c r="X737" s="290"/>
      <c r="Y737" s="290"/>
      <c r="Z737" s="290"/>
      <c r="AA737" s="290"/>
      <c r="AB737" s="290"/>
    </row>
    <row r="738" spans="1:28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325"/>
      <c r="S738" s="325"/>
      <c r="T738" s="325"/>
      <c r="U738" s="290"/>
      <c r="V738" s="290"/>
      <c r="W738" s="290"/>
      <c r="X738" s="290"/>
      <c r="Y738" s="290"/>
      <c r="Z738" s="290"/>
      <c r="AA738" s="290"/>
      <c r="AB738" s="290"/>
    </row>
    <row r="739" spans="1:28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325"/>
      <c r="S739" s="325"/>
      <c r="T739" s="325"/>
      <c r="U739" s="290"/>
      <c r="V739" s="290"/>
      <c r="W739" s="290"/>
      <c r="X739" s="290"/>
      <c r="Y739" s="290"/>
      <c r="Z739" s="290"/>
      <c r="AA739" s="290"/>
      <c r="AB739" s="290"/>
    </row>
    <row r="740" spans="1:28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325"/>
      <c r="S740" s="325"/>
      <c r="T740" s="325"/>
      <c r="U740" s="290"/>
      <c r="V740" s="290"/>
      <c r="W740" s="290"/>
      <c r="X740" s="290"/>
      <c r="Y740" s="290"/>
      <c r="Z740" s="290"/>
      <c r="AA740" s="290"/>
      <c r="AB740" s="290"/>
    </row>
    <row r="741" spans="1:28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325"/>
      <c r="S741" s="325"/>
      <c r="T741" s="325"/>
      <c r="U741" s="290"/>
      <c r="V741" s="290"/>
      <c r="W741" s="290"/>
      <c r="X741" s="290"/>
      <c r="Y741" s="290"/>
      <c r="Z741" s="290"/>
      <c r="AA741" s="290"/>
      <c r="AB741" s="290"/>
    </row>
    <row r="742" spans="1:28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325"/>
      <c r="S742" s="325"/>
      <c r="T742" s="325"/>
      <c r="U742" s="290"/>
      <c r="V742" s="290"/>
      <c r="W742" s="290"/>
      <c r="X742" s="290"/>
      <c r="Y742" s="290"/>
      <c r="Z742" s="290"/>
      <c r="AA742" s="290"/>
      <c r="AB742" s="290"/>
    </row>
    <row r="743" spans="1:28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325"/>
      <c r="S743" s="325"/>
      <c r="T743" s="325"/>
      <c r="U743" s="290"/>
      <c r="V743" s="290"/>
      <c r="W743" s="290"/>
      <c r="X743" s="290"/>
      <c r="Y743" s="290"/>
      <c r="Z743" s="290"/>
      <c r="AA743" s="290"/>
      <c r="AB743" s="290"/>
    </row>
    <row r="744" spans="1:28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325"/>
      <c r="S744" s="325"/>
      <c r="T744" s="325"/>
      <c r="U744" s="290"/>
      <c r="V744" s="290"/>
      <c r="W744" s="290"/>
      <c r="X744" s="290"/>
      <c r="Y744" s="290"/>
      <c r="Z744" s="290"/>
      <c r="AA744" s="290"/>
      <c r="AB744" s="290"/>
    </row>
    <row r="745" spans="1:28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325"/>
      <c r="S745" s="325"/>
      <c r="T745" s="325"/>
      <c r="U745" s="290"/>
      <c r="V745" s="290"/>
      <c r="W745" s="290"/>
      <c r="X745" s="290"/>
      <c r="Y745" s="290"/>
      <c r="Z745" s="290"/>
      <c r="AA745" s="290"/>
      <c r="AB745" s="290"/>
    </row>
    <row r="746" spans="1:28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325"/>
      <c r="S746" s="325"/>
      <c r="T746" s="325"/>
      <c r="U746" s="290"/>
      <c r="V746" s="290"/>
      <c r="W746" s="290"/>
      <c r="X746" s="290"/>
      <c r="Y746" s="290"/>
      <c r="Z746" s="290"/>
      <c r="AA746" s="290"/>
      <c r="AB746" s="290"/>
    </row>
    <row r="747" spans="1:28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325"/>
      <c r="S747" s="325"/>
      <c r="T747" s="325"/>
      <c r="U747" s="290"/>
      <c r="V747" s="290"/>
      <c r="W747" s="290"/>
      <c r="X747" s="290"/>
      <c r="Y747" s="290"/>
      <c r="Z747" s="290"/>
      <c r="AA747" s="290"/>
      <c r="AB747" s="290"/>
    </row>
    <row r="748" spans="1:28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325"/>
      <c r="S748" s="325"/>
      <c r="T748" s="325"/>
      <c r="U748" s="290"/>
      <c r="V748" s="290"/>
      <c r="W748" s="290"/>
      <c r="X748" s="290"/>
      <c r="Y748" s="290"/>
      <c r="Z748" s="290"/>
      <c r="AA748" s="290"/>
      <c r="AB748" s="290"/>
    </row>
    <row r="749" spans="1:28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325"/>
      <c r="S749" s="325"/>
      <c r="T749" s="325"/>
      <c r="U749" s="290"/>
      <c r="V749" s="290"/>
      <c r="W749" s="290"/>
      <c r="X749" s="290"/>
      <c r="Y749" s="290"/>
      <c r="Z749" s="290"/>
      <c r="AA749" s="290"/>
      <c r="AB749" s="290"/>
    </row>
    <row r="750" spans="1:28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325"/>
      <c r="S750" s="325"/>
      <c r="T750" s="325"/>
      <c r="U750" s="290"/>
      <c r="V750" s="290"/>
      <c r="W750" s="290"/>
      <c r="X750" s="290"/>
      <c r="Y750" s="290"/>
      <c r="Z750" s="290"/>
      <c r="AA750" s="290"/>
      <c r="AB750" s="290"/>
    </row>
    <row r="751" spans="1:28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325"/>
      <c r="S751" s="325"/>
      <c r="T751" s="325"/>
      <c r="U751" s="290"/>
      <c r="V751" s="290"/>
      <c r="W751" s="290"/>
      <c r="X751" s="290"/>
      <c r="Y751" s="290"/>
      <c r="Z751" s="290"/>
      <c r="AA751" s="290"/>
      <c r="AB751" s="290"/>
    </row>
    <row r="752" spans="1:28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325"/>
      <c r="S752" s="325"/>
      <c r="T752" s="325"/>
      <c r="U752" s="290"/>
      <c r="V752" s="290"/>
      <c r="W752" s="290"/>
      <c r="X752" s="290"/>
      <c r="Y752" s="290"/>
      <c r="Z752" s="290"/>
      <c r="AA752" s="290"/>
      <c r="AB752" s="290"/>
    </row>
    <row r="753" spans="1:28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325"/>
      <c r="S753" s="325"/>
      <c r="T753" s="325"/>
      <c r="U753" s="290"/>
      <c r="V753" s="290"/>
      <c r="W753" s="290"/>
      <c r="X753" s="290"/>
      <c r="Y753" s="290"/>
      <c r="Z753" s="290"/>
      <c r="AA753" s="290"/>
      <c r="AB753" s="290"/>
    </row>
    <row r="754" spans="1:28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325"/>
      <c r="S754" s="325"/>
      <c r="T754" s="325"/>
      <c r="U754" s="290"/>
      <c r="V754" s="290"/>
      <c r="W754" s="290"/>
      <c r="X754" s="290"/>
      <c r="Y754" s="290"/>
      <c r="Z754" s="290"/>
      <c r="AA754" s="290"/>
      <c r="AB754" s="290"/>
    </row>
    <row r="755" spans="1:28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325"/>
      <c r="S755" s="325"/>
      <c r="T755" s="325"/>
      <c r="U755" s="290"/>
      <c r="V755" s="290"/>
      <c r="W755" s="290"/>
      <c r="X755" s="290"/>
      <c r="Y755" s="290"/>
      <c r="Z755" s="290"/>
      <c r="AA755" s="290"/>
      <c r="AB755" s="290"/>
    </row>
    <row r="756" spans="1:28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325"/>
      <c r="S756" s="325"/>
      <c r="T756" s="325"/>
      <c r="U756" s="290"/>
      <c r="V756" s="290"/>
      <c r="W756" s="290"/>
      <c r="X756" s="290"/>
      <c r="Y756" s="290"/>
      <c r="Z756" s="290"/>
      <c r="AA756" s="290"/>
      <c r="AB756" s="290"/>
    </row>
    <row r="757" spans="1:28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325"/>
      <c r="S757" s="325"/>
      <c r="T757" s="325"/>
      <c r="U757" s="290"/>
      <c r="V757" s="290"/>
      <c r="W757" s="290"/>
      <c r="X757" s="290"/>
      <c r="Y757" s="290"/>
      <c r="Z757" s="290"/>
      <c r="AA757" s="290"/>
      <c r="AB757" s="290"/>
    </row>
    <row r="758" spans="1:28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325"/>
      <c r="S758" s="325"/>
      <c r="T758" s="325"/>
      <c r="U758" s="290"/>
      <c r="V758" s="290"/>
      <c r="W758" s="290"/>
      <c r="X758" s="290"/>
      <c r="Y758" s="290"/>
      <c r="Z758" s="290"/>
      <c r="AA758" s="290"/>
      <c r="AB758" s="290"/>
    </row>
    <row r="759" spans="1:28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325"/>
      <c r="S759" s="325"/>
      <c r="T759" s="325"/>
      <c r="U759" s="290"/>
      <c r="V759" s="290"/>
      <c r="W759" s="290"/>
      <c r="X759" s="290"/>
      <c r="Y759" s="290"/>
      <c r="Z759" s="290"/>
      <c r="AA759" s="290"/>
      <c r="AB759" s="290"/>
    </row>
    <row r="760" spans="1:28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325"/>
      <c r="S760" s="325"/>
      <c r="T760" s="325"/>
      <c r="U760" s="290"/>
      <c r="V760" s="290"/>
      <c r="W760" s="290"/>
      <c r="X760" s="290"/>
      <c r="Y760" s="290"/>
      <c r="Z760" s="290"/>
      <c r="AA760" s="290"/>
      <c r="AB760" s="290"/>
    </row>
    <row r="761" spans="1:28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325"/>
      <c r="S761" s="325"/>
      <c r="T761" s="325"/>
      <c r="U761" s="290"/>
      <c r="V761" s="290"/>
      <c r="W761" s="290"/>
      <c r="X761" s="290"/>
      <c r="Y761" s="290"/>
      <c r="Z761" s="290"/>
      <c r="AA761" s="290"/>
      <c r="AB761" s="290"/>
    </row>
    <row r="762" spans="1:28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325"/>
      <c r="S762" s="325"/>
      <c r="T762" s="325"/>
      <c r="U762" s="290"/>
      <c r="V762" s="290"/>
      <c r="W762" s="290"/>
      <c r="X762" s="290"/>
      <c r="Y762" s="290"/>
      <c r="Z762" s="290"/>
      <c r="AA762" s="290"/>
      <c r="AB762" s="290"/>
    </row>
    <row r="763" spans="1:28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325"/>
      <c r="S763" s="325"/>
      <c r="T763" s="325"/>
      <c r="U763" s="290"/>
      <c r="V763" s="290"/>
      <c r="W763" s="290"/>
      <c r="X763" s="290"/>
      <c r="Y763" s="290"/>
      <c r="Z763" s="290"/>
      <c r="AA763" s="290"/>
      <c r="AB763" s="290"/>
    </row>
    <row r="764" spans="1:28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325"/>
      <c r="S764" s="325"/>
      <c r="T764" s="325"/>
      <c r="U764" s="290"/>
      <c r="V764" s="290"/>
      <c r="W764" s="290"/>
      <c r="X764" s="290"/>
      <c r="Y764" s="290"/>
      <c r="Z764" s="290"/>
      <c r="AA764" s="290"/>
      <c r="AB764" s="290"/>
    </row>
    <row r="765" spans="1:28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325"/>
      <c r="S765" s="325"/>
      <c r="T765" s="325"/>
      <c r="U765" s="290"/>
      <c r="V765" s="290"/>
      <c r="W765" s="290"/>
      <c r="X765" s="290"/>
      <c r="Y765" s="290"/>
      <c r="Z765" s="290"/>
      <c r="AA765" s="290"/>
      <c r="AB765" s="290"/>
    </row>
    <row r="766" spans="1:28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325"/>
      <c r="S766" s="325"/>
      <c r="T766" s="325"/>
      <c r="U766" s="290"/>
      <c r="V766" s="290"/>
      <c r="W766" s="290"/>
      <c r="X766" s="290"/>
      <c r="Y766" s="290"/>
      <c r="Z766" s="290"/>
      <c r="AA766" s="290"/>
      <c r="AB766" s="290"/>
    </row>
    <row r="767" spans="1:28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325"/>
      <c r="S767" s="325"/>
      <c r="T767" s="325"/>
      <c r="U767" s="290"/>
      <c r="V767" s="290"/>
      <c r="W767" s="290"/>
      <c r="X767" s="290"/>
      <c r="Y767" s="290"/>
      <c r="Z767" s="290"/>
      <c r="AA767" s="290"/>
      <c r="AB767" s="290"/>
    </row>
    <row r="768" spans="1:28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325"/>
      <c r="S768" s="325"/>
      <c r="T768" s="325"/>
      <c r="U768" s="290"/>
      <c r="V768" s="290"/>
      <c r="W768" s="290"/>
      <c r="X768" s="290"/>
      <c r="Y768" s="290"/>
      <c r="Z768" s="290"/>
      <c r="AA768" s="290"/>
      <c r="AB768" s="290"/>
    </row>
    <row r="769" spans="1:28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325"/>
      <c r="S769" s="325"/>
      <c r="T769" s="325"/>
      <c r="U769" s="290"/>
      <c r="V769" s="290"/>
      <c r="W769" s="290"/>
      <c r="X769" s="290"/>
      <c r="Y769" s="290"/>
      <c r="Z769" s="290"/>
      <c r="AA769" s="290"/>
      <c r="AB769" s="290"/>
    </row>
    <row r="770" spans="1:28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325"/>
      <c r="S770" s="325"/>
      <c r="T770" s="325"/>
      <c r="U770" s="290"/>
      <c r="V770" s="290"/>
      <c r="W770" s="290"/>
      <c r="X770" s="290"/>
      <c r="Y770" s="290"/>
      <c r="Z770" s="290"/>
      <c r="AA770" s="290"/>
      <c r="AB770" s="290"/>
    </row>
    <row r="771" spans="1:28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325"/>
      <c r="S771" s="325"/>
      <c r="T771" s="325"/>
      <c r="U771" s="290"/>
      <c r="V771" s="290"/>
      <c r="W771" s="290"/>
      <c r="X771" s="290"/>
      <c r="Y771" s="290"/>
      <c r="Z771" s="290"/>
      <c r="AA771" s="290"/>
      <c r="AB771" s="290"/>
    </row>
    <row r="772" spans="1:28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325"/>
      <c r="S772" s="325"/>
      <c r="T772" s="325"/>
      <c r="U772" s="290"/>
      <c r="V772" s="290"/>
      <c r="W772" s="290"/>
      <c r="X772" s="290"/>
      <c r="Y772" s="290"/>
      <c r="Z772" s="290"/>
      <c r="AA772" s="290"/>
      <c r="AB772" s="290"/>
    </row>
    <row r="773" spans="1:28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325"/>
      <c r="S773" s="325"/>
      <c r="T773" s="325"/>
      <c r="U773" s="290"/>
      <c r="V773" s="290"/>
      <c r="W773" s="290"/>
      <c r="X773" s="290"/>
      <c r="Y773" s="290"/>
      <c r="Z773" s="290"/>
      <c r="AA773" s="290"/>
      <c r="AB773" s="290"/>
    </row>
    <row r="774" spans="1:28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325"/>
      <c r="S774" s="325"/>
      <c r="T774" s="325"/>
      <c r="U774" s="290"/>
      <c r="V774" s="290"/>
      <c r="W774" s="290"/>
      <c r="X774" s="290"/>
      <c r="Y774" s="290"/>
      <c r="Z774" s="290"/>
      <c r="AA774" s="290"/>
      <c r="AB774" s="290"/>
    </row>
    <row r="775" spans="1:28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325"/>
      <c r="S775" s="325"/>
      <c r="T775" s="325"/>
      <c r="U775" s="290"/>
      <c r="V775" s="290"/>
      <c r="W775" s="290"/>
      <c r="X775" s="290"/>
      <c r="Y775" s="290"/>
      <c r="Z775" s="290"/>
      <c r="AA775" s="290"/>
      <c r="AB775" s="290"/>
    </row>
    <row r="776" spans="1:28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325"/>
      <c r="S776" s="325"/>
      <c r="T776" s="325"/>
      <c r="U776" s="290"/>
      <c r="V776" s="290"/>
      <c r="W776" s="290"/>
      <c r="X776" s="290"/>
      <c r="Y776" s="290"/>
      <c r="Z776" s="290"/>
      <c r="AA776" s="290"/>
      <c r="AB776" s="290"/>
    </row>
    <row r="777" spans="1:28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325"/>
      <c r="S777" s="325"/>
      <c r="T777" s="325"/>
      <c r="U777" s="290"/>
      <c r="V777" s="290"/>
      <c r="W777" s="290"/>
      <c r="X777" s="290"/>
      <c r="Y777" s="290"/>
      <c r="Z777" s="290"/>
      <c r="AA777" s="290"/>
      <c r="AB777" s="290"/>
    </row>
    <row r="778" spans="1:28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325"/>
      <c r="S778" s="325"/>
      <c r="T778" s="325"/>
      <c r="U778" s="290"/>
      <c r="V778" s="290"/>
      <c r="W778" s="290"/>
      <c r="X778" s="290"/>
      <c r="Y778" s="290"/>
      <c r="Z778" s="290"/>
      <c r="AA778" s="290"/>
      <c r="AB778" s="290"/>
    </row>
    <row r="779" spans="1:28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325"/>
      <c r="S779" s="325"/>
      <c r="T779" s="325"/>
      <c r="U779" s="290"/>
      <c r="V779" s="290"/>
      <c r="W779" s="290"/>
      <c r="X779" s="290"/>
      <c r="Y779" s="290"/>
      <c r="Z779" s="290"/>
      <c r="AA779" s="290"/>
      <c r="AB779" s="290"/>
    </row>
    <row r="780" spans="1:28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325"/>
      <c r="S780" s="325"/>
      <c r="T780" s="325"/>
      <c r="U780" s="290"/>
      <c r="V780" s="290"/>
      <c r="W780" s="290"/>
      <c r="X780" s="290"/>
      <c r="Y780" s="290"/>
      <c r="Z780" s="290"/>
      <c r="AA780" s="290"/>
      <c r="AB780" s="290"/>
    </row>
    <row r="781" spans="1:28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325"/>
      <c r="S781" s="325"/>
      <c r="T781" s="325"/>
      <c r="U781" s="290"/>
      <c r="V781" s="290"/>
      <c r="W781" s="290"/>
      <c r="X781" s="290"/>
      <c r="Y781" s="290"/>
      <c r="Z781" s="290"/>
      <c r="AA781" s="290"/>
      <c r="AB781" s="290"/>
    </row>
    <row r="782" spans="1:28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325"/>
      <c r="S782" s="325"/>
      <c r="T782" s="325"/>
      <c r="U782" s="290"/>
      <c r="V782" s="290"/>
      <c r="W782" s="290"/>
      <c r="X782" s="290"/>
      <c r="Y782" s="290"/>
      <c r="Z782" s="290"/>
      <c r="AA782" s="290"/>
      <c r="AB782" s="290"/>
    </row>
    <row r="783" spans="1:28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325"/>
      <c r="S783" s="325"/>
      <c r="T783" s="325"/>
      <c r="U783" s="290"/>
      <c r="V783" s="290"/>
      <c r="W783" s="290"/>
      <c r="X783" s="290"/>
      <c r="Y783" s="290"/>
      <c r="Z783" s="290"/>
      <c r="AA783" s="290"/>
      <c r="AB783" s="290"/>
    </row>
    <row r="784" spans="1:28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325"/>
      <c r="S784" s="325"/>
      <c r="T784" s="325"/>
      <c r="U784" s="290"/>
      <c r="V784" s="290"/>
      <c r="W784" s="290"/>
      <c r="X784" s="290"/>
      <c r="Y784" s="290"/>
      <c r="Z784" s="290"/>
      <c r="AA784" s="290"/>
      <c r="AB784" s="290"/>
    </row>
    <row r="785" spans="1:28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325"/>
      <c r="S785" s="325"/>
      <c r="T785" s="325"/>
      <c r="U785" s="290"/>
      <c r="V785" s="290"/>
      <c r="W785" s="290"/>
      <c r="X785" s="290"/>
      <c r="Y785" s="290"/>
      <c r="Z785" s="290"/>
      <c r="AA785" s="290"/>
      <c r="AB785" s="290"/>
    </row>
    <row r="786" spans="1:28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325"/>
      <c r="S786" s="325"/>
      <c r="T786" s="325"/>
      <c r="U786" s="290"/>
      <c r="V786" s="290"/>
      <c r="W786" s="290"/>
      <c r="X786" s="290"/>
      <c r="Y786" s="290"/>
      <c r="Z786" s="290"/>
      <c r="AA786" s="290"/>
      <c r="AB786" s="290"/>
    </row>
    <row r="787" spans="1:28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325"/>
      <c r="S787" s="325"/>
      <c r="T787" s="325"/>
      <c r="U787" s="290"/>
      <c r="V787" s="290"/>
      <c r="W787" s="290"/>
      <c r="X787" s="290"/>
      <c r="Y787" s="290"/>
      <c r="Z787" s="290"/>
      <c r="AA787" s="290"/>
      <c r="AB787" s="290"/>
    </row>
    <row r="788" spans="1:28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325"/>
      <c r="S788" s="325"/>
      <c r="T788" s="325"/>
      <c r="U788" s="290"/>
      <c r="V788" s="290"/>
      <c r="W788" s="290"/>
      <c r="X788" s="290"/>
      <c r="Y788" s="290"/>
      <c r="Z788" s="290"/>
      <c r="AA788" s="290"/>
      <c r="AB788" s="290"/>
    </row>
    <row r="789" spans="1:28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325"/>
      <c r="S789" s="325"/>
      <c r="T789" s="325"/>
      <c r="U789" s="290"/>
      <c r="V789" s="290"/>
      <c r="W789" s="290"/>
      <c r="X789" s="290"/>
      <c r="Y789" s="290"/>
      <c r="Z789" s="290"/>
      <c r="AA789" s="290"/>
      <c r="AB789" s="290"/>
    </row>
    <row r="790" spans="1:28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325"/>
      <c r="S790" s="325"/>
      <c r="T790" s="325"/>
      <c r="U790" s="290"/>
      <c r="V790" s="290"/>
      <c r="W790" s="290"/>
      <c r="X790" s="290"/>
      <c r="Y790" s="290"/>
      <c r="Z790" s="290"/>
      <c r="AA790" s="290"/>
      <c r="AB790" s="290"/>
    </row>
    <row r="791" spans="1:28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325"/>
      <c r="S791" s="325"/>
      <c r="T791" s="325"/>
      <c r="U791" s="290"/>
      <c r="V791" s="290"/>
      <c r="W791" s="290"/>
      <c r="X791" s="290"/>
      <c r="Y791" s="290"/>
      <c r="Z791" s="290"/>
      <c r="AA791" s="290"/>
      <c r="AB791" s="290"/>
    </row>
    <row r="792" spans="1:28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325"/>
      <c r="S792" s="325"/>
      <c r="T792" s="325"/>
      <c r="U792" s="290"/>
      <c r="V792" s="290"/>
      <c r="W792" s="290"/>
      <c r="X792" s="290"/>
      <c r="Y792" s="290"/>
      <c r="Z792" s="290"/>
      <c r="AA792" s="290"/>
      <c r="AB792" s="290"/>
    </row>
    <row r="793" spans="1:28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325"/>
      <c r="S793" s="325"/>
      <c r="T793" s="325"/>
      <c r="U793" s="290"/>
      <c r="V793" s="290"/>
      <c r="W793" s="290"/>
      <c r="X793" s="290"/>
      <c r="Y793" s="290"/>
      <c r="Z793" s="290"/>
      <c r="AA793" s="290"/>
      <c r="AB793" s="290"/>
    </row>
    <row r="794" spans="1:28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325"/>
      <c r="S794" s="325"/>
      <c r="T794" s="325"/>
      <c r="U794" s="290"/>
      <c r="V794" s="290"/>
      <c r="W794" s="290"/>
      <c r="X794" s="290"/>
      <c r="Y794" s="290"/>
      <c r="Z794" s="290"/>
      <c r="AA794" s="290"/>
      <c r="AB794" s="290"/>
    </row>
    <row r="795" spans="1:28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325"/>
      <c r="S795" s="325"/>
      <c r="T795" s="325"/>
      <c r="U795" s="290"/>
      <c r="V795" s="290"/>
      <c r="W795" s="290"/>
      <c r="X795" s="290"/>
      <c r="Y795" s="290"/>
      <c r="Z795" s="290"/>
      <c r="AA795" s="290"/>
      <c r="AB795" s="290"/>
    </row>
    <row r="796" spans="1:28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325"/>
      <c r="S796" s="325"/>
      <c r="T796" s="325"/>
      <c r="U796" s="290"/>
      <c r="V796" s="290"/>
      <c r="W796" s="290"/>
      <c r="X796" s="290"/>
      <c r="Y796" s="290"/>
      <c r="Z796" s="290"/>
      <c r="AA796" s="290"/>
      <c r="AB796" s="290"/>
    </row>
    <row r="797" spans="1:28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325"/>
      <c r="S797" s="325"/>
      <c r="T797" s="325"/>
      <c r="U797" s="290"/>
      <c r="V797" s="290"/>
      <c r="W797" s="290"/>
      <c r="X797" s="290"/>
      <c r="Y797" s="290"/>
      <c r="Z797" s="290"/>
      <c r="AA797" s="290"/>
      <c r="AB797" s="290"/>
    </row>
    <row r="798" spans="1:28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325"/>
      <c r="S798" s="325"/>
      <c r="T798" s="325"/>
      <c r="U798" s="290"/>
      <c r="V798" s="290"/>
      <c r="W798" s="290"/>
      <c r="X798" s="290"/>
      <c r="Y798" s="290"/>
      <c r="Z798" s="290"/>
      <c r="AA798" s="290"/>
      <c r="AB798" s="290"/>
    </row>
    <row r="799" spans="1:28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325"/>
      <c r="S799" s="325"/>
      <c r="T799" s="325"/>
      <c r="U799" s="290"/>
      <c r="V799" s="290"/>
      <c r="W799" s="290"/>
      <c r="X799" s="290"/>
      <c r="Y799" s="290"/>
      <c r="Z799" s="290"/>
      <c r="AA799" s="290"/>
      <c r="AB799" s="290"/>
    </row>
    <row r="800" spans="1:28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325"/>
      <c r="S800" s="325"/>
      <c r="T800" s="325"/>
      <c r="U800" s="290"/>
      <c r="V800" s="290"/>
      <c r="W800" s="290"/>
      <c r="X800" s="290"/>
      <c r="Y800" s="290"/>
      <c r="Z800" s="290"/>
      <c r="AA800" s="290"/>
      <c r="AB800" s="290"/>
    </row>
    <row r="801" spans="1:28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325"/>
      <c r="S801" s="325"/>
      <c r="T801" s="325"/>
      <c r="U801" s="290"/>
      <c r="V801" s="290"/>
      <c r="W801" s="290"/>
      <c r="X801" s="290"/>
      <c r="Y801" s="290"/>
      <c r="Z801" s="290"/>
      <c r="AA801" s="290"/>
      <c r="AB801" s="290"/>
    </row>
    <row r="802" spans="1:28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325"/>
      <c r="S802" s="325"/>
      <c r="T802" s="325"/>
      <c r="U802" s="290"/>
      <c r="V802" s="290"/>
      <c r="W802" s="290"/>
      <c r="X802" s="290"/>
      <c r="Y802" s="290"/>
      <c r="Z802" s="290"/>
      <c r="AA802" s="290"/>
      <c r="AB802" s="290"/>
    </row>
    <row r="803" spans="1:28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325"/>
      <c r="S803" s="325"/>
      <c r="T803" s="325"/>
      <c r="U803" s="290"/>
      <c r="V803" s="290"/>
      <c r="W803" s="290"/>
      <c r="X803" s="290"/>
      <c r="Y803" s="290"/>
      <c r="Z803" s="290"/>
      <c r="AA803" s="290"/>
      <c r="AB803" s="290"/>
    </row>
    <row r="804" spans="1:28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325"/>
      <c r="S804" s="325"/>
      <c r="T804" s="325"/>
      <c r="U804" s="290"/>
      <c r="V804" s="290"/>
      <c r="W804" s="290"/>
      <c r="X804" s="290"/>
      <c r="Y804" s="290"/>
      <c r="Z804" s="290"/>
      <c r="AA804" s="290"/>
      <c r="AB804" s="290"/>
    </row>
    <row r="805" spans="1:28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325"/>
      <c r="S805" s="325"/>
      <c r="T805" s="325"/>
      <c r="U805" s="290"/>
      <c r="V805" s="290"/>
      <c r="W805" s="290"/>
      <c r="X805" s="290"/>
      <c r="Y805" s="290"/>
      <c r="Z805" s="290"/>
      <c r="AA805" s="290"/>
      <c r="AB805" s="290"/>
    </row>
    <row r="806" spans="1:28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325"/>
      <c r="S806" s="325"/>
      <c r="T806" s="325"/>
      <c r="U806" s="290"/>
      <c r="V806" s="290"/>
      <c r="W806" s="290"/>
      <c r="X806" s="290"/>
      <c r="Y806" s="290"/>
      <c r="Z806" s="290"/>
      <c r="AA806" s="290"/>
      <c r="AB806" s="290"/>
    </row>
    <row r="807" spans="1:28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325"/>
      <c r="S807" s="325"/>
      <c r="T807" s="325"/>
      <c r="U807" s="290"/>
      <c r="V807" s="290"/>
      <c r="W807" s="290"/>
      <c r="X807" s="290"/>
      <c r="Y807" s="290"/>
      <c r="Z807" s="290"/>
      <c r="AA807" s="290"/>
      <c r="AB807" s="290"/>
    </row>
    <row r="808" spans="1:28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325"/>
      <c r="S808" s="325"/>
      <c r="T808" s="325"/>
      <c r="U808" s="290"/>
      <c r="V808" s="290"/>
      <c r="W808" s="290"/>
      <c r="X808" s="290"/>
      <c r="Y808" s="290"/>
      <c r="Z808" s="290"/>
      <c r="AA808" s="290"/>
      <c r="AB808" s="290"/>
    </row>
    <row r="809" spans="1:28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325"/>
      <c r="S809" s="325"/>
      <c r="T809" s="325"/>
      <c r="U809" s="290"/>
      <c r="V809" s="290"/>
      <c r="W809" s="290"/>
      <c r="X809" s="290"/>
      <c r="Y809" s="290"/>
      <c r="Z809" s="290"/>
      <c r="AA809" s="290"/>
      <c r="AB809" s="290"/>
    </row>
    <row r="810" spans="1:28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325"/>
      <c r="S810" s="325"/>
      <c r="T810" s="325"/>
      <c r="U810" s="290"/>
      <c r="V810" s="290"/>
      <c r="W810" s="290"/>
      <c r="X810" s="290"/>
      <c r="Y810" s="290"/>
      <c r="Z810" s="290"/>
      <c r="AA810" s="290"/>
      <c r="AB810" s="290"/>
    </row>
    <row r="811" spans="1:28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325"/>
      <c r="S811" s="325"/>
      <c r="T811" s="325"/>
      <c r="U811" s="290"/>
      <c r="V811" s="290"/>
      <c r="W811" s="290"/>
      <c r="X811" s="290"/>
      <c r="Y811" s="290"/>
      <c r="Z811" s="290"/>
      <c r="AA811" s="290"/>
      <c r="AB811" s="290"/>
    </row>
    <row r="812" spans="1:28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325"/>
      <c r="S812" s="325"/>
      <c r="T812" s="325"/>
      <c r="U812" s="290"/>
      <c r="V812" s="290"/>
      <c r="W812" s="290"/>
      <c r="X812" s="290"/>
      <c r="Y812" s="290"/>
      <c r="Z812" s="290"/>
      <c r="AA812" s="290"/>
      <c r="AB812" s="290"/>
    </row>
    <row r="813" spans="1:28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325"/>
      <c r="S813" s="325"/>
      <c r="T813" s="325"/>
      <c r="U813" s="290"/>
      <c r="V813" s="290"/>
      <c r="W813" s="290"/>
      <c r="X813" s="290"/>
      <c r="Y813" s="290"/>
      <c r="Z813" s="290"/>
      <c r="AA813" s="290"/>
      <c r="AB813" s="290"/>
    </row>
    <row r="814" spans="1:28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325"/>
      <c r="S814" s="325"/>
      <c r="T814" s="325"/>
      <c r="U814" s="290"/>
      <c r="V814" s="290"/>
      <c r="W814" s="290"/>
      <c r="X814" s="290"/>
      <c r="Y814" s="290"/>
      <c r="Z814" s="290"/>
      <c r="AA814" s="290"/>
      <c r="AB814" s="290"/>
    </row>
    <row r="815" spans="1:28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325"/>
      <c r="S815" s="325"/>
      <c r="T815" s="325"/>
      <c r="U815" s="290"/>
      <c r="V815" s="290"/>
      <c r="W815" s="290"/>
      <c r="X815" s="290"/>
      <c r="Y815" s="290"/>
      <c r="Z815" s="290"/>
      <c r="AA815" s="290"/>
      <c r="AB815" s="290"/>
    </row>
    <row r="816" spans="1:28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325"/>
      <c r="S816" s="325"/>
      <c r="T816" s="325"/>
      <c r="U816" s="290"/>
      <c r="V816" s="290"/>
      <c r="W816" s="290"/>
      <c r="X816" s="290"/>
      <c r="Y816" s="290"/>
      <c r="Z816" s="290"/>
      <c r="AA816" s="290"/>
      <c r="AB816" s="290"/>
    </row>
    <row r="817" spans="1:28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325"/>
      <c r="S817" s="325"/>
      <c r="T817" s="325"/>
      <c r="U817" s="290"/>
      <c r="V817" s="290"/>
      <c r="W817" s="290"/>
      <c r="X817" s="290"/>
      <c r="Y817" s="290"/>
      <c r="Z817" s="290"/>
      <c r="AA817" s="290"/>
      <c r="AB817" s="290"/>
    </row>
    <row r="818" spans="1:28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325"/>
      <c r="S818" s="325"/>
      <c r="T818" s="325"/>
      <c r="U818" s="290"/>
      <c r="V818" s="290"/>
      <c r="W818" s="290"/>
      <c r="X818" s="290"/>
      <c r="Y818" s="290"/>
      <c r="Z818" s="290"/>
      <c r="AA818" s="290"/>
      <c r="AB818" s="290"/>
    </row>
    <row r="819" spans="1:28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325"/>
      <c r="S819" s="325"/>
      <c r="T819" s="325"/>
      <c r="U819" s="290"/>
      <c r="V819" s="290"/>
      <c r="W819" s="290"/>
      <c r="X819" s="290"/>
      <c r="Y819" s="290"/>
      <c r="Z819" s="290"/>
      <c r="AA819" s="290"/>
      <c r="AB819" s="290"/>
    </row>
    <row r="820" spans="1:28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325"/>
      <c r="S820" s="325"/>
      <c r="T820" s="325"/>
      <c r="U820" s="290"/>
      <c r="V820" s="290"/>
      <c r="W820" s="290"/>
      <c r="X820" s="290"/>
      <c r="Y820" s="290"/>
      <c r="Z820" s="290"/>
      <c r="AA820" s="290"/>
      <c r="AB820" s="290"/>
    </row>
    <row r="821" spans="1:28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325"/>
      <c r="S821" s="325"/>
      <c r="T821" s="325"/>
      <c r="U821" s="290"/>
      <c r="V821" s="290"/>
      <c r="W821" s="290"/>
      <c r="X821" s="290"/>
      <c r="Y821" s="290"/>
      <c r="Z821" s="290"/>
      <c r="AA821" s="290"/>
      <c r="AB821" s="290"/>
    </row>
    <row r="822" spans="1:28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325"/>
      <c r="S822" s="325"/>
      <c r="T822" s="325"/>
      <c r="U822" s="290"/>
      <c r="V822" s="290"/>
      <c r="W822" s="290"/>
      <c r="X822" s="290"/>
      <c r="Y822" s="290"/>
      <c r="Z822" s="290"/>
      <c r="AA822" s="290"/>
      <c r="AB822" s="290"/>
    </row>
    <row r="823" spans="1:28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325"/>
      <c r="S823" s="325"/>
      <c r="T823" s="325"/>
      <c r="U823" s="290"/>
      <c r="V823" s="290"/>
      <c r="W823" s="290"/>
      <c r="X823" s="290"/>
      <c r="Y823" s="290"/>
      <c r="Z823" s="290"/>
      <c r="AA823" s="290"/>
      <c r="AB823" s="290"/>
    </row>
    <row r="824" spans="1:28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325"/>
      <c r="S824" s="325"/>
      <c r="T824" s="325"/>
      <c r="U824" s="290"/>
      <c r="V824" s="290"/>
      <c r="W824" s="290"/>
      <c r="X824" s="290"/>
      <c r="Y824" s="290"/>
      <c r="Z824" s="290"/>
      <c r="AA824" s="290"/>
      <c r="AB824" s="290"/>
    </row>
    <row r="825" spans="1:28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325"/>
      <c r="S825" s="325"/>
      <c r="T825" s="325"/>
      <c r="U825" s="290"/>
      <c r="V825" s="290"/>
      <c r="W825" s="290"/>
      <c r="X825" s="290"/>
      <c r="Y825" s="290"/>
      <c r="Z825" s="290"/>
      <c r="AA825" s="290"/>
      <c r="AB825" s="290"/>
    </row>
    <row r="826" spans="1:28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325"/>
      <c r="S826" s="325"/>
      <c r="T826" s="325"/>
      <c r="U826" s="290"/>
      <c r="V826" s="290"/>
      <c r="W826" s="290"/>
      <c r="X826" s="290"/>
      <c r="Y826" s="290"/>
      <c r="Z826" s="290"/>
      <c r="AA826" s="290"/>
      <c r="AB826" s="290"/>
    </row>
    <row r="827" spans="1:28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325"/>
      <c r="S827" s="325"/>
      <c r="T827" s="325"/>
      <c r="U827" s="290"/>
      <c r="V827" s="290"/>
      <c r="W827" s="290"/>
      <c r="X827" s="290"/>
      <c r="Y827" s="290"/>
      <c r="Z827" s="290"/>
      <c r="AA827" s="290"/>
      <c r="AB827" s="290"/>
    </row>
    <row r="828" spans="1:28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325"/>
      <c r="S828" s="325"/>
      <c r="T828" s="325"/>
      <c r="U828" s="290"/>
      <c r="V828" s="290"/>
      <c r="W828" s="290"/>
      <c r="X828" s="290"/>
      <c r="Y828" s="290"/>
      <c r="Z828" s="290"/>
      <c r="AA828" s="290"/>
      <c r="AB828" s="290"/>
    </row>
    <row r="829" spans="1:28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325"/>
      <c r="S829" s="325"/>
      <c r="T829" s="325"/>
      <c r="U829" s="290"/>
      <c r="V829" s="290"/>
      <c r="W829" s="290"/>
      <c r="X829" s="290"/>
      <c r="Y829" s="290"/>
      <c r="Z829" s="290"/>
      <c r="AA829" s="290"/>
      <c r="AB829" s="290"/>
    </row>
    <row r="830" spans="1:28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325"/>
      <c r="S830" s="325"/>
      <c r="T830" s="325"/>
      <c r="U830" s="290"/>
      <c r="V830" s="290"/>
      <c r="W830" s="290"/>
      <c r="X830" s="290"/>
      <c r="Y830" s="290"/>
      <c r="Z830" s="290"/>
      <c r="AA830" s="290"/>
      <c r="AB830" s="290"/>
    </row>
    <row r="831" spans="1:28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325"/>
      <c r="S831" s="325"/>
      <c r="T831" s="325"/>
      <c r="U831" s="290"/>
      <c r="V831" s="290"/>
      <c r="W831" s="290"/>
      <c r="X831" s="290"/>
      <c r="Y831" s="290"/>
      <c r="Z831" s="290"/>
      <c r="AA831" s="290"/>
      <c r="AB831" s="290"/>
    </row>
    <row r="832" spans="1:28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325"/>
      <c r="S832" s="325"/>
      <c r="T832" s="325"/>
      <c r="U832" s="290"/>
      <c r="V832" s="290"/>
      <c r="W832" s="290"/>
      <c r="X832" s="290"/>
      <c r="Y832" s="290"/>
      <c r="Z832" s="290"/>
      <c r="AA832" s="290"/>
      <c r="AB832" s="290"/>
    </row>
    <row r="833" spans="1:28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325"/>
      <c r="S833" s="325"/>
      <c r="T833" s="325"/>
      <c r="U833" s="290"/>
      <c r="V833" s="290"/>
      <c r="W833" s="290"/>
      <c r="X833" s="290"/>
      <c r="Y833" s="290"/>
      <c r="Z833" s="290"/>
      <c r="AA833" s="290"/>
      <c r="AB833" s="290"/>
    </row>
    <row r="834" spans="1:28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325"/>
      <c r="S834" s="325"/>
      <c r="T834" s="325"/>
      <c r="U834" s="290"/>
      <c r="V834" s="290"/>
      <c r="W834" s="290"/>
      <c r="X834" s="290"/>
      <c r="Y834" s="290"/>
      <c r="Z834" s="290"/>
      <c r="AA834" s="290"/>
      <c r="AB834" s="290"/>
    </row>
    <row r="835" spans="1:28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325"/>
      <c r="S835" s="325"/>
      <c r="T835" s="325"/>
      <c r="U835" s="290"/>
      <c r="V835" s="290"/>
      <c r="W835" s="290"/>
      <c r="X835" s="290"/>
      <c r="Y835" s="290"/>
      <c r="Z835" s="290"/>
      <c r="AA835" s="290"/>
      <c r="AB835" s="290"/>
    </row>
    <row r="836" spans="1:28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325"/>
      <c r="S836" s="325"/>
      <c r="T836" s="325"/>
      <c r="U836" s="290"/>
      <c r="V836" s="290"/>
      <c r="W836" s="290"/>
      <c r="X836" s="290"/>
      <c r="Y836" s="290"/>
      <c r="Z836" s="290"/>
      <c r="AA836" s="290"/>
      <c r="AB836" s="290"/>
    </row>
    <row r="837" spans="1:28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325"/>
      <c r="S837" s="325"/>
      <c r="T837" s="325"/>
      <c r="U837" s="290"/>
      <c r="V837" s="290"/>
      <c r="W837" s="290"/>
      <c r="X837" s="290"/>
      <c r="Y837" s="290"/>
      <c r="Z837" s="290"/>
      <c r="AA837" s="290"/>
      <c r="AB837" s="290"/>
    </row>
    <row r="838" spans="1:28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325"/>
      <c r="S838" s="325"/>
      <c r="T838" s="325"/>
      <c r="U838" s="290"/>
      <c r="V838" s="290"/>
      <c r="W838" s="290"/>
      <c r="X838" s="290"/>
      <c r="Y838" s="290"/>
      <c r="Z838" s="290"/>
      <c r="AA838" s="290"/>
      <c r="AB838" s="290"/>
    </row>
    <row r="839" spans="1:28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325"/>
      <c r="S839" s="325"/>
      <c r="T839" s="325"/>
      <c r="U839" s="290"/>
      <c r="V839" s="290"/>
      <c r="W839" s="290"/>
      <c r="X839" s="290"/>
      <c r="Y839" s="290"/>
      <c r="Z839" s="290"/>
      <c r="AA839" s="290"/>
      <c r="AB839" s="290"/>
    </row>
    <row r="840" spans="1:28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325"/>
      <c r="S840" s="325"/>
      <c r="T840" s="325"/>
      <c r="U840" s="290"/>
      <c r="V840" s="290"/>
      <c r="W840" s="290"/>
      <c r="X840" s="290"/>
      <c r="Y840" s="290"/>
      <c r="Z840" s="290"/>
      <c r="AA840" s="290"/>
      <c r="AB840" s="290"/>
    </row>
    <row r="841" spans="1:28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325"/>
      <c r="S841" s="325"/>
      <c r="T841" s="325"/>
      <c r="U841" s="290"/>
      <c r="V841" s="290"/>
      <c r="W841" s="290"/>
      <c r="X841" s="290"/>
      <c r="Y841" s="290"/>
      <c r="Z841" s="290"/>
      <c r="AA841" s="290"/>
      <c r="AB841" s="290"/>
    </row>
    <row r="842" spans="1:28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325"/>
      <c r="S842" s="325"/>
      <c r="T842" s="325"/>
      <c r="U842" s="290"/>
      <c r="V842" s="290"/>
      <c r="W842" s="290"/>
      <c r="X842" s="290"/>
      <c r="Y842" s="290"/>
      <c r="Z842" s="290"/>
      <c r="AA842" s="290"/>
      <c r="AB842" s="290"/>
    </row>
    <row r="843" spans="1:28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325"/>
      <c r="S843" s="325"/>
      <c r="T843" s="325"/>
      <c r="U843" s="290"/>
      <c r="V843" s="290"/>
      <c r="W843" s="290"/>
      <c r="X843" s="290"/>
      <c r="Y843" s="290"/>
      <c r="Z843" s="290"/>
      <c r="AA843" s="290"/>
      <c r="AB843" s="290"/>
    </row>
    <row r="844" spans="1:28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325"/>
      <c r="S844" s="325"/>
      <c r="T844" s="325"/>
      <c r="U844" s="290"/>
      <c r="V844" s="290"/>
      <c r="W844" s="290"/>
      <c r="X844" s="290"/>
      <c r="Y844" s="290"/>
      <c r="Z844" s="290"/>
      <c r="AA844" s="290"/>
      <c r="AB844" s="290"/>
    </row>
    <row r="845" spans="1:28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325"/>
      <c r="S845" s="325"/>
      <c r="T845" s="325"/>
      <c r="U845" s="290"/>
      <c r="V845" s="290"/>
      <c r="W845" s="290"/>
      <c r="X845" s="290"/>
      <c r="Y845" s="290"/>
      <c r="Z845" s="290"/>
      <c r="AA845" s="290"/>
      <c r="AB845" s="290"/>
    </row>
    <row r="846" spans="1:28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325"/>
      <c r="S846" s="325"/>
      <c r="T846" s="325"/>
      <c r="U846" s="290"/>
      <c r="V846" s="290"/>
      <c r="W846" s="290"/>
      <c r="X846" s="290"/>
      <c r="Y846" s="290"/>
      <c r="Z846" s="290"/>
      <c r="AA846" s="290"/>
      <c r="AB846" s="290"/>
    </row>
    <row r="847" spans="1:28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325"/>
      <c r="S847" s="325"/>
      <c r="T847" s="325"/>
      <c r="U847" s="290"/>
      <c r="V847" s="290"/>
      <c r="W847" s="290"/>
      <c r="X847" s="290"/>
      <c r="Y847" s="290"/>
      <c r="Z847" s="290"/>
      <c r="AA847" s="290"/>
      <c r="AB847" s="290"/>
    </row>
    <row r="848" spans="1:28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325"/>
      <c r="S848" s="325"/>
      <c r="T848" s="325"/>
      <c r="U848" s="290"/>
      <c r="V848" s="290"/>
      <c r="W848" s="290"/>
      <c r="X848" s="290"/>
      <c r="Y848" s="290"/>
      <c r="Z848" s="290"/>
      <c r="AA848" s="290"/>
      <c r="AB848" s="290"/>
    </row>
    <row r="849" spans="1:28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325"/>
      <c r="S849" s="325"/>
      <c r="T849" s="325"/>
      <c r="U849" s="290"/>
      <c r="V849" s="290"/>
      <c r="W849" s="290"/>
      <c r="X849" s="290"/>
      <c r="Y849" s="290"/>
      <c r="Z849" s="290"/>
      <c r="AA849" s="290"/>
      <c r="AB849" s="290"/>
    </row>
    <row r="850" spans="1:28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325"/>
      <c r="S850" s="325"/>
      <c r="T850" s="325"/>
      <c r="U850" s="290"/>
      <c r="V850" s="290"/>
      <c r="W850" s="290"/>
      <c r="X850" s="290"/>
      <c r="Y850" s="290"/>
      <c r="Z850" s="290"/>
      <c r="AA850" s="290"/>
      <c r="AB850" s="290"/>
    </row>
    <row r="851" spans="1:28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325"/>
      <c r="S851" s="325"/>
      <c r="T851" s="325"/>
      <c r="U851" s="290"/>
      <c r="V851" s="290"/>
      <c r="W851" s="290"/>
      <c r="X851" s="290"/>
      <c r="Y851" s="290"/>
      <c r="Z851" s="290"/>
      <c r="AA851" s="290"/>
      <c r="AB851" s="290"/>
    </row>
    <row r="852" spans="1:28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325"/>
      <c r="S852" s="325"/>
      <c r="T852" s="325"/>
      <c r="U852" s="290"/>
      <c r="V852" s="290"/>
      <c r="W852" s="290"/>
      <c r="X852" s="290"/>
      <c r="Y852" s="290"/>
      <c r="Z852" s="290"/>
      <c r="AA852" s="290"/>
      <c r="AB852" s="290"/>
    </row>
    <row r="853" spans="1:28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325"/>
      <c r="S853" s="325"/>
      <c r="T853" s="325"/>
      <c r="U853" s="290"/>
      <c r="V853" s="290"/>
      <c r="W853" s="290"/>
      <c r="X853" s="290"/>
      <c r="Y853" s="290"/>
      <c r="Z853" s="290"/>
      <c r="AA853" s="290"/>
      <c r="AB853" s="290"/>
    </row>
    <row r="854" spans="1:28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325"/>
      <c r="S854" s="325"/>
      <c r="T854" s="325"/>
      <c r="U854" s="290"/>
      <c r="V854" s="290"/>
      <c r="W854" s="290"/>
      <c r="X854" s="290"/>
      <c r="Y854" s="290"/>
      <c r="Z854" s="290"/>
      <c r="AA854" s="290"/>
      <c r="AB854" s="290"/>
    </row>
    <row r="855" spans="1:28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325"/>
      <c r="S855" s="325"/>
      <c r="T855" s="325"/>
      <c r="U855" s="290"/>
      <c r="V855" s="290"/>
      <c r="W855" s="290"/>
      <c r="X855" s="290"/>
      <c r="Y855" s="290"/>
      <c r="Z855" s="290"/>
      <c r="AA855" s="290"/>
      <c r="AB855" s="290"/>
    </row>
    <row r="856" spans="1:28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325"/>
      <c r="S856" s="325"/>
      <c r="T856" s="325"/>
      <c r="U856" s="290"/>
      <c r="V856" s="290"/>
      <c r="W856" s="290"/>
      <c r="X856" s="290"/>
      <c r="Y856" s="290"/>
      <c r="Z856" s="290"/>
      <c r="AA856" s="290"/>
      <c r="AB856" s="290"/>
    </row>
    <row r="857" spans="1:28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325"/>
      <c r="S857" s="325"/>
      <c r="T857" s="325"/>
      <c r="U857" s="290"/>
      <c r="V857" s="290"/>
      <c r="W857" s="290"/>
      <c r="X857" s="290"/>
      <c r="Y857" s="290"/>
      <c r="Z857" s="290"/>
      <c r="AA857" s="290"/>
      <c r="AB857" s="290"/>
    </row>
    <row r="858" spans="1:28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325"/>
      <c r="S858" s="325"/>
      <c r="T858" s="325"/>
      <c r="U858" s="290"/>
      <c r="V858" s="290"/>
      <c r="W858" s="290"/>
      <c r="X858" s="290"/>
      <c r="Y858" s="290"/>
      <c r="Z858" s="290"/>
      <c r="AA858" s="290"/>
      <c r="AB858" s="290"/>
    </row>
    <row r="859" spans="1:28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325"/>
      <c r="S859" s="325"/>
      <c r="T859" s="325"/>
      <c r="U859" s="290"/>
      <c r="V859" s="290"/>
      <c r="W859" s="290"/>
      <c r="X859" s="290"/>
      <c r="Y859" s="290"/>
      <c r="Z859" s="290"/>
      <c r="AA859" s="290"/>
      <c r="AB859" s="290"/>
    </row>
    <row r="860" spans="1:28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325"/>
      <c r="S860" s="325"/>
      <c r="T860" s="325"/>
      <c r="U860" s="290"/>
      <c r="V860" s="290"/>
      <c r="W860" s="290"/>
      <c r="X860" s="290"/>
      <c r="Y860" s="290"/>
      <c r="Z860" s="290"/>
      <c r="AA860" s="290"/>
      <c r="AB860" s="290"/>
    </row>
    <row r="861" spans="1:28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325"/>
      <c r="S861" s="325"/>
      <c r="T861" s="325"/>
      <c r="U861" s="290"/>
      <c r="V861" s="290"/>
      <c r="W861" s="290"/>
      <c r="X861" s="290"/>
      <c r="Y861" s="290"/>
      <c r="Z861" s="290"/>
      <c r="AA861" s="290"/>
      <c r="AB861" s="290"/>
    </row>
    <row r="862" spans="1:28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325"/>
      <c r="S862" s="325"/>
      <c r="T862" s="325"/>
      <c r="U862" s="290"/>
      <c r="V862" s="290"/>
      <c r="W862" s="290"/>
      <c r="X862" s="290"/>
      <c r="Y862" s="290"/>
      <c r="Z862" s="290"/>
      <c r="AA862" s="290"/>
      <c r="AB862" s="290"/>
    </row>
    <row r="863" spans="1:28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325"/>
      <c r="S863" s="325"/>
      <c r="T863" s="325"/>
      <c r="U863" s="290"/>
      <c r="V863" s="290"/>
      <c r="W863" s="290"/>
      <c r="X863" s="290"/>
      <c r="Y863" s="290"/>
      <c r="Z863" s="290"/>
      <c r="AA863" s="290"/>
      <c r="AB863" s="290"/>
    </row>
    <row r="864" spans="1:28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325"/>
      <c r="S864" s="325"/>
      <c r="T864" s="325"/>
      <c r="U864" s="290"/>
      <c r="V864" s="290"/>
      <c r="W864" s="290"/>
      <c r="X864" s="290"/>
      <c r="Y864" s="290"/>
      <c r="Z864" s="290"/>
      <c r="AA864" s="290"/>
      <c r="AB864" s="290"/>
    </row>
    <row r="865" spans="1:28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325"/>
      <c r="S865" s="325"/>
      <c r="T865" s="325"/>
      <c r="U865" s="290"/>
      <c r="V865" s="290"/>
      <c r="W865" s="290"/>
      <c r="X865" s="290"/>
      <c r="Y865" s="290"/>
      <c r="Z865" s="290"/>
      <c r="AA865" s="290"/>
      <c r="AB865" s="290"/>
    </row>
    <row r="866" spans="1:28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325"/>
      <c r="S866" s="325"/>
      <c r="T866" s="325"/>
      <c r="U866" s="290"/>
      <c r="V866" s="290"/>
      <c r="W866" s="290"/>
      <c r="X866" s="290"/>
      <c r="Y866" s="290"/>
      <c r="Z866" s="290"/>
      <c r="AA866" s="290"/>
      <c r="AB866" s="290"/>
    </row>
    <row r="867" spans="1:28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325"/>
      <c r="S867" s="325"/>
      <c r="T867" s="325"/>
      <c r="U867" s="290"/>
      <c r="V867" s="290"/>
      <c r="W867" s="290"/>
      <c r="X867" s="290"/>
      <c r="Y867" s="290"/>
      <c r="Z867" s="290"/>
      <c r="AA867" s="290"/>
      <c r="AB867" s="290"/>
    </row>
    <row r="868" spans="1:28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325"/>
      <c r="S868" s="325"/>
      <c r="T868" s="325"/>
      <c r="U868" s="290"/>
      <c r="V868" s="290"/>
      <c r="W868" s="290"/>
      <c r="X868" s="290"/>
      <c r="Y868" s="290"/>
      <c r="Z868" s="290"/>
      <c r="AA868" s="290"/>
      <c r="AB868" s="290"/>
    </row>
    <row r="869" spans="1:28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325"/>
      <c r="S869" s="325"/>
      <c r="T869" s="325"/>
      <c r="U869" s="290"/>
      <c r="V869" s="290"/>
      <c r="W869" s="290"/>
      <c r="X869" s="290"/>
      <c r="Y869" s="290"/>
      <c r="Z869" s="290"/>
      <c r="AA869" s="290"/>
      <c r="AB869" s="290"/>
    </row>
    <row r="870" spans="1:28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325"/>
      <c r="S870" s="325"/>
      <c r="T870" s="325"/>
      <c r="U870" s="290"/>
      <c r="V870" s="290"/>
      <c r="W870" s="290"/>
      <c r="X870" s="290"/>
      <c r="Y870" s="290"/>
      <c r="Z870" s="290"/>
      <c r="AA870" s="290"/>
      <c r="AB870" s="290"/>
    </row>
    <row r="871" spans="1:28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325"/>
      <c r="S871" s="325"/>
      <c r="T871" s="325"/>
      <c r="U871" s="290"/>
      <c r="V871" s="290"/>
      <c r="W871" s="290"/>
      <c r="X871" s="290"/>
      <c r="Y871" s="290"/>
      <c r="Z871" s="290"/>
      <c r="AA871" s="290"/>
      <c r="AB871" s="290"/>
    </row>
    <row r="872" spans="1:28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325"/>
      <c r="S872" s="325"/>
      <c r="T872" s="325"/>
      <c r="U872" s="290"/>
      <c r="V872" s="290"/>
      <c r="W872" s="290"/>
      <c r="X872" s="290"/>
      <c r="Y872" s="290"/>
      <c r="Z872" s="290"/>
      <c r="AA872" s="290"/>
      <c r="AB872" s="290"/>
    </row>
    <row r="873" spans="1:28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325"/>
      <c r="S873" s="325"/>
      <c r="T873" s="325"/>
      <c r="U873" s="290"/>
      <c r="V873" s="290"/>
      <c r="W873" s="290"/>
      <c r="X873" s="290"/>
      <c r="Y873" s="290"/>
      <c r="Z873" s="290"/>
      <c r="AA873" s="290"/>
      <c r="AB873" s="290"/>
    </row>
    <row r="874" spans="1:28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325"/>
      <c r="S874" s="325"/>
      <c r="T874" s="325"/>
      <c r="U874" s="290"/>
      <c r="V874" s="290"/>
      <c r="W874" s="290"/>
      <c r="X874" s="290"/>
      <c r="Y874" s="290"/>
      <c r="Z874" s="290"/>
      <c r="AA874" s="290"/>
      <c r="AB874" s="290"/>
    </row>
    <row r="875" spans="1:28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325"/>
      <c r="S875" s="325"/>
      <c r="T875" s="325"/>
      <c r="U875" s="290"/>
      <c r="V875" s="290"/>
      <c r="W875" s="290"/>
      <c r="X875" s="290"/>
      <c r="Y875" s="290"/>
      <c r="Z875" s="290"/>
      <c r="AA875" s="290"/>
      <c r="AB875" s="290"/>
    </row>
    <row r="876" spans="1:28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325"/>
      <c r="S876" s="325"/>
      <c r="T876" s="325"/>
      <c r="U876" s="290"/>
      <c r="V876" s="290"/>
      <c r="W876" s="290"/>
      <c r="X876" s="290"/>
      <c r="Y876" s="290"/>
      <c r="Z876" s="290"/>
      <c r="AA876" s="290"/>
      <c r="AB876" s="290"/>
    </row>
    <row r="877" spans="1:28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325"/>
      <c r="S877" s="325"/>
      <c r="T877" s="325"/>
      <c r="U877" s="290"/>
      <c r="V877" s="290"/>
      <c r="W877" s="290"/>
      <c r="X877" s="290"/>
      <c r="Y877" s="290"/>
      <c r="Z877" s="290"/>
      <c r="AA877" s="290"/>
      <c r="AB877" s="290"/>
    </row>
    <row r="878" spans="1:28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325"/>
      <c r="S878" s="325"/>
      <c r="T878" s="325"/>
      <c r="U878" s="290"/>
      <c r="V878" s="290"/>
      <c r="W878" s="290"/>
      <c r="X878" s="290"/>
      <c r="Y878" s="290"/>
      <c r="Z878" s="290"/>
      <c r="AA878" s="290"/>
      <c r="AB878" s="290"/>
    </row>
    <row r="879" spans="1:28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325"/>
      <c r="S879" s="325"/>
      <c r="T879" s="325"/>
      <c r="U879" s="290"/>
      <c r="V879" s="290"/>
      <c r="W879" s="290"/>
      <c r="X879" s="290"/>
      <c r="Y879" s="290"/>
      <c r="Z879" s="290"/>
      <c r="AA879" s="290"/>
      <c r="AB879" s="290"/>
    </row>
    <row r="880" spans="1:28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325"/>
      <c r="S880" s="325"/>
      <c r="T880" s="325"/>
      <c r="U880" s="290"/>
      <c r="V880" s="290"/>
      <c r="W880" s="290"/>
      <c r="X880" s="290"/>
      <c r="Y880" s="290"/>
      <c r="Z880" s="290"/>
      <c r="AA880" s="290"/>
      <c r="AB880" s="290"/>
    </row>
    <row r="881" spans="1:28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325"/>
      <c r="S881" s="325"/>
      <c r="T881" s="325"/>
      <c r="U881" s="290"/>
      <c r="V881" s="290"/>
      <c r="W881" s="290"/>
      <c r="X881" s="290"/>
      <c r="Y881" s="290"/>
      <c r="Z881" s="290"/>
      <c r="AA881" s="290"/>
      <c r="AB881" s="290"/>
    </row>
    <row r="882" spans="1:28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325"/>
      <c r="S882" s="325"/>
      <c r="T882" s="325"/>
      <c r="U882" s="290"/>
      <c r="V882" s="290"/>
      <c r="W882" s="290"/>
      <c r="X882" s="290"/>
      <c r="Y882" s="290"/>
      <c r="Z882" s="290"/>
      <c r="AA882" s="290"/>
      <c r="AB882" s="290"/>
    </row>
    <row r="883" spans="1:28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325"/>
      <c r="S883" s="325"/>
      <c r="T883" s="325"/>
      <c r="U883" s="290"/>
      <c r="V883" s="290"/>
      <c r="W883" s="290"/>
      <c r="X883" s="290"/>
      <c r="Y883" s="290"/>
      <c r="Z883" s="290"/>
      <c r="AA883" s="290"/>
      <c r="AB883" s="290"/>
    </row>
    <row r="884" spans="1:28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325"/>
      <c r="S884" s="325"/>
      <c r="T884" s="325"/>
      <c r="U884" s="290"/>
      <c r="V884" s="290"/>
      <c r="W884" s="290"/>
      <c r="X884" s="290"/>
      <c r="Y884" s="290"/>
      <c r="Z884" s="290"/>
      <c r="AA884" s="290"/>
      <c r="AB884" s="290"/>
    </row>
    <row r="885" spans="1:28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325"/>
      <c r="S885" s="325"/>
      <c r="T885" s="325"/>
      <c r="U885" s="290"/>
      <c r="V885" s="290"/>
      <c r="W885" s="290"/>
      <c r="X885" s="290"/>
      <c r="Y885" s="290"/>
      <c r="Z885" s="290"/>
      <c r="AA885" s="290"/>
      <c r="AB885" s="290"/>
    </row>
    <row r="886" spans="1:28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325"/>
      <c r="S886" s="325"/>
      <c r="T886" s="325"/>
      <c r="U886" s="290"/>
      <c r="V886" s="290"/>
      <c r="W886" s="290"/>
      <c r="X886" s="290"/>
      <c r="Y886" s="290"/>
      <c r="Z886" s="290"/>
      <c r="AA886" s="290"/>
      <c r="AB886" s="290"/>
    </row>
    <row r="887" spans="1:28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325"/>
      <c r="S887" s="325"/>
      <c r="T887" s="325"/>
      <c r="U887" s="290"/>
      <c r="V887" s="290"/>
      <c r="W887" s="290"/>
      <c r="X887" s="290"/>
      <c r="Y887" s="290"/>
      <c r="Z887" s="290"/>
      <c r="AA887" s="290"/>
      <c r="AB887" s="290"/>
    </row>
    <row r="888" spans="1:28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325"/>
      <c r="S888" s="325"/>
      <c r="T888" s="325"/>
      <c r="U888" s="290"/>
      <c r="V888" s="290"/>
      <c r="W888" s="290"/>
      <c r="X888" s="290"/>
      <c r="Y888" s="290"/>
      <c r="Z888" s="290"/>
      <c r="AA888" s="290"/>
      <c r="AB888" s="290"/>
    </row>
    <row r="889" spans="1:28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325"/>
      <c r="S889" s="325"/>
      <c r="T889" s="325"/>
      <c r="U889" s="290"/>
      <c r="V889" s="290"/>
      <c r="W889" s="290"/>
      <c r="X889" s="290"/>
      <c r="Y889" s="290"/>
      <c r="Z889" s="290"/>
      <c r="AA889" s="290"/>
      <c r="AB889" s="290"/>
    </row>
    <row r="890" spans="1:28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325"/>
      <c r="S890" s="325"/>
      <c r="T890" s="325"/>
      <c r="U890" s="290"/>
      <c r="V890" s="290"/>
      <c r="W890" s="290"/>
      <c r="X890" s="290"/>
      <c r="Y890" s="290"/>
      <c r="Z890" s="290"/>
      <c r="AA890" s="290"/>
      <c r="AB890" s="290"/>
    </row>
    <row r="891" spans="1:28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325"/>
      <c r="S891" s="325"/>
      <c r="T891" s="325"/>
      <c r="U891" s="290"/>
      <c r="V891" s="290"/>
      <c r="W891" s="290"/>
      <c r="X891" s="290"/>
      <c r="Y891" s="290"/>
      <c r="Z891" s="290"/>
      <c r="AA891" s="290"/>
      <c r="AB891" s="290"/>
    </row>
    <row r="892" spans="1:28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325"/>
      <c r="S892" s="325"/>
      <c r="T892" s="325"/>
      <c r="U892" s="290"/>
      <c r="V892" s="290"/>
      <c r="W892" s="290"/>
      <c r="X892" s="290"/>
      <c r="Y892" s="290"/>
      <c r="Z892" s="290"/>
      <c r="AA892" s="290"/>
      <c r="AB892" s="290"/>
    </row>
    <row r="893" spans="1:28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325"/>
      <c r="S893" s="325"/>
      <c r="T893" s="325"/>
      <c r="U893" s="290"/>
      <c r="V893" s="290"/>
      <c r="W893" s="290"/>
      <c r="X893" s="290"/>
      <c r="Y893" s="290"/>
      <c r="Z893" s="290"/>
      <c r="AA893" s="290"/>
      <c r="AB893" s="290"/>
    </row>
    <row r="894" spans="1:28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325"/>
      <c r="S894" s="325"/>
      <c r="T894" s="325"/>
      <c r="U894" s="290"/>
      <c r="V894" s="290"/>
      <c r="W894" s="290"/>
      <c r="X894" s="290"/>
      <c r="Y894" s="290"/>
      <c r="Z894" s="290"/>
      <c r="AA894" s="290"/>
      <c r="AB894" s="290"/>
    </row>
    <row r="895" spans="1:28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325"/>
      <c r="S895" s="325"/>
      <c r="T895" s="325"/>
      <c r="U895" s="290"/>
      <c r="V895" s="290"/>
      <c r="W895" s="290"/>
      <c r="X895" s="290"/>
      <c r="Y895" s="290"/>
      <c r="Z895" s="290"/>
      <c r="AA895" s="290"/>
      <c r="AB895" s="290"/>
    </row>
    <row r="896" spans="1:28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325"/>
      <c r="S896" s="325"/>
      <c r="T896" s="325"/>
      <c r="U896" s="290"/>
      <c r="V896" s="290"/>
      <c r="W896" s="290"/>
      <c r="X896" s="290"/>
      <c r="Y896" s="290"/>
      <c r="Z896" s="290"/>
      <c r="AA896" s="290"/>
      <c r="AB896" s="290"/>
    </row>
    <row r="897" spans="1:28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325"/>
      <c r="S897" s="325"/>
      <c r="T897" s="325"/>
      <c r="U897" s="290"/>
      <c r="V897" s="290"/>
      <c r="W897" s="290"/>
      <c r="X897" s="290"/>
      <c r="Y897" s="290"/>
      <c r="Z897" s="290"/>
      <c r="AA897" s="290"/>
      <c r="AB897" s="290"/>
    </row>
    <row r="898" spans="1:28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325"/>
      <c r="S898" s="325"/>
      <c r="T898" s="325"/>
      <c r="U898" s="290"/>
      <c r="V898" s="290"/>
      <c r="W898" s="290"/>
      <c r="X898" s="290"/>
      <c r="Y898" s="290"/>
      <c r="Z898" s="290"/>
      <c r="AA898" s="290"/>
      <c r="AB898" s="290"/>
    </row>
    <row r="899" spans="1:28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325"/>
      <c r="S899" s="325"/>
      <c r="T899" s="325"/>
      <c r="U899" s="290"/>
      <c r="V899" s="290"/>
      <c r="W899" s="290"/>
      <c r="X899" s="290"/>
      <c r="Y899" s="290"/>
      <c r="Z899" s="290"/>
      <c r="AA899" s="290"/>
      <c r="AB899" s="290"/>
    </row>
    <row r="900" spans="1:28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325"/>
      <c r="S900" s="325"/>
      <c r="T900" s="325"/>
      <c r="U900" s="290"/>
      <c r="V900" s="290"/>
      <c r="W900" s="290"/>
      <c r="X900" s="290"/>
      <c r="Y900" s="290"/>
      <c r="Z900" s="290"/>
      <c r="AA900" s="290"/>
      <c r="AB900" s="290"/>
    </row>
    <row r="901" spans="1:28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325"/>
      <c r="S901" s="325"/>
      <c r="T901" s="325"/>
      <c r="U901" s="290"/>
      <c r="V901" s="290"/>
      <c r="W901" s="290"/>
      <c r="X901" s="290"/>
      <c r="Y901" s="290"/>
      <c r="Z901" s="290"/>
      <c r="AA901" s="290"/>
      <c r="AB901" s="290"/>
    </row>
    <row r="902" spans="1:28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325"/>
      <c r="S902" s="325"/>
      <c r="T902" s="325"/>
      <c r="U902" s="290"/>
      <c r="V902" s="290"/>
      <c r="W902" s="290"/>
      <c r="X902" s="290"/>
      <c r="Y902" s="290"/>
      <c r="Z902" s="290"/>
      <c r="AA902" s="290"/>
      <c r="AB902" s="290"/>
    </row>
    <row r="903" spans="1:28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325"/>
      <c r="S903" s="325"/>
      <c r="T903" s="325"/>
      <c r="U903" s="290"/>
      <c r="V903" s="290"/>
      <c r="W903" s="290"/>
      <c r="X903" s="290"/>
      <c r="Y903" s="290"/>
      <c r="Z903" s="290"/>
      <c r="AA903" s="290"/>
      <c r="AB903" s="290"/>
    </row>
    <row r="904" spans="1:28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325"/>
      <c r="S904" s="325"/>
      <c r="T904" s="325"/>
      <c r="U904" s="290"/>
      <c r="V904" s="290"/>
      <c r="W904" s="290"/>
      <c r="X904" s="290"/>
      <c r="Y904" s="290"/>
      <c r="Z904" s="290"/>
      <c r="AA904" s="290"/>
      <c r="AB904" s="290"/>
    </row>
    <row r="905" spans="1:28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325"/>
      <c r="S905" s="325"/>
      <c r="T905" s="325"/>
      <c r="U905" s="290"/>
      <c r="V905" s="290"/>
      <c r="W905" s="290"/>
      <c r="X905" s="290"/>
      <c r="Y905" s="290"/>
      <c r="Z905" s="290"/>
      <c r="AA905" s="290"/>
      <c r="AB905" s="290"/>
    </row>
    <row r="906" spans="1:28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325"/>
      <c r="S906" s="325"/>
      <c r="T906" s="325"/>
      <c r="U906" s="290"/>
      <c r="V906" s="290"/>
      <c r="W906" s="290"/>
      <c r="X906" s="290"/>
      <c r="Y906" s="290"/>
      <c r="Z906" s="290"/>
      <c r="AA906" s="290"/>
      <c r="AB906" s="290"/>
    </row>
    <row r="907" spans="1:28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325"/>
      <c r="S907" s="325"/>
      <c r="T907" s="325"/>
      <c r="U907" s="290"/>
      <c r="V907" s="290"/>
      <c r="W907" s="290"/>
      <c r="X907" s="290"/>
      <c r="Y907" s="290"/>
      <c r="Z907" s="290"/>
      <c r="AA907" s="290"/>
      <c r="AB907" s="290"/>
    </row>
    <row r="908" spans="1:28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325"/>
      <c r="S908" s="325"/>
      <c r="T908" s="325"/>
      <c r="U908" s="290"/>
      <c r="V908" s="290"/>
      <c r="W908" s="290"/>
      <c r="X908" s="290"/>
      <c r="Y908" s="290"/>
      <c r="Z908" s="290"/>
      <c r="AA908" s="290"/>
      <c r="AB908" s="290"/>
    </row>
    <row r="909" spans="1:28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325"/>
      <c r="S909" s="325"/>
      <c r="T909" s="325"/>
      <c r="U909" s="290"/>
      <c r="V909" s="290"/>
      <c r="W909" s="290"/>
      <c r="X909" s="290"/>
      <c r="Y909" s="290"/>
      <c r="Z909" s="290"/>
      <c r="AA909" s="290"/>
      <c r="AB909" s="290"/>
    </row>
    <row r="910" spans="1:28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325"/>
      <c r="S910" s="325"/>
      <c r="T910" s="325"/>
      <c r="U910" s="290"/>
      <c r="V910" s="290"/>
      <c r="W910" s="290"/>
      <c r="X910" s="290"/>
      <c r="Y910" s="290"/>
      <c r="Z910" s="290"/>
      <c r="AA910" s="290"/>
      <c r="AB910" s="290"/>
    </row>
    <row r="911" spans="1:28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325"/>
      <c r="S911" s="325"/>
      <c r="T911" s="325"/>
      <c r="U911" s="290"/>
      <c r="V911" s="290"/>
      <c r="W911" s="290"/>
      <c r="X911" s="290"/>
      <c r="Y911" s="290"/>
      <c r="Z911" s="290"/>
      <c r="AA911" s="290"/>
      <c r="AB911" s="290"/>
    </row>
    <row r="912" spans="1:28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325"/>
      <c r="S912" s="325"/>
      <c r="T912" s="325"/>
      <c r="U912" s="290"/>
      <c r="V912" s="290"/>
      <c r="W912" s="290"/>
      <c r="X912" s="290"/>
      <c r="Y912" s="290"/>
      <c r="Z912" s="290"/>
      <c r="AA912" s="290"/>
      <c r="AB912" s="290"/>
    </row>
    <row r="913" spans="1:28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325"/>
      <c r="S913" s="325"/>
      <c r="T913" s="325"/>
      <c r="U913" s="290"/>
      <c r="V913" s="290"/>
      <c r="W913" s="290"/>
      <c r="X913" s="290"/>
      <c r="Y913" s="290"/>
      <c r="Z913" s="290"/>
      <c r="AA913" s="290"/>
      <c r="AB913" s="290"/>
    </row>
    <row r="914" spans="1:28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325"/>
      <c r="S914" s="325"/>
      <c r="T914" s="325"/>
      <c r="U914" s="290"/>
      <c r="V914" s="290"/>
      <c r="W914" s="290"/>
      <c r="X914" s="290"/>
      <c r="Y914" s="290"/>
      <c r="Z914" s="290"/>
      <c r="AA914" s="290"/>
      <c r="AB914" s="290"/>
    </row>
    <row r="915" spans="1:28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325"/>
      <c r="S915" s="325"/>
      <c r="T915" s="325"/>
      <c r="U915" s="290"/>
      <c r="V915" s="290"/>
      <c r="W915" s="290"/>
      <c r="X915" s="290"/>
      <c r="Y915" s="290"/>
      <c r="Z915" s="290"/>
      <c r="AA915" s="290"/>
      <c r="AB915" s="290"/>
    </row>
    <row r="916" spans="1:28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325"/>
      <c r="S916" s="325"/>
      <c r="T916" s="325"/>
      <c r="U916" s="290"/>
      <c r="V916" s="290"/>
      <c r="W916" s="290"/>
      <c r="X916" s="290"/>
      <c r="Y916" s="290"/>
      <c r="Z916" s="290"/>
      <c r="AA916" s="290"/>
      <c r="AB916" s="290"/>
    </row>
    <row r="917" spans="1:28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325"/>
      <c r="S917" s="325"/>
      <c r="T917" s="325"/>
      <c r="U917" s="290"/>
      <c r="V917" s="290"/>
      <c r="W917" s="290"/>
      <c r="X917" s="290"/>
      <c r="Y917" s="290"/>
      <c r="Z917" s="290"/>
      <c r="AA917" s="290"/>
      <c r="AB917" s="290"/>
    </row>
    <row r="918" spans="1:28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325"/>
      <c r="S918" s="325"/>
      <c r="T918" s="325"/>
      <c r="U918" s="290"/>
      <c r="V918" s="290"/>
      <c r="W918" s="290"/>
      <c r="X918" s="290"/>
      <c r="Y918" s="290"/>
      <c r="Z918" s="290"/>
      <c r="AA918" s="290"/>
      <c r="AB918" s="290"/>
    </row>
    <row r="919" spans="1:28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325"/>
      <c r="S919" s="325"/>
      <c r="T919" s="325"/>
      <c r="U919" s="290"/>
      <c r="V919" s="290"/>
      <c r="W919" s="290"/>
      <c r="X919" s="290"/>
      <c r="Y919" s="290"/>
      <c r="Z919" s="290"/>
      <c r="AA919" s="290"/>
      <c r="AB919" s="290"/>
    </row>
    <row r="920" spans="1:28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325"/>
      <c r="S920" s="325"/>
      <c r="T920" s="325"/>
      <c r="U920" s="290"/>
      <c r="V920" s="290"/>
      <c r="W920" s="290"/>
      <c r="X920" s="290"/>
      <c r="Y920" s="290"/>
      <c r="Z920" s="290"/>
      <c r="AA920" s="290"/>
      <c r="AB920" s="290"/>
    </row>
    <row r="921" spans="1:28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325"/>
      <c r="S921" s="325"/>
      <c r="T921" s="325"/>
      <c r="U921" s="290"/>
      <c r="V921" s="290"/>
      <c r="W921" s="290"/>
      <c r="X921" s="290"/>
      <c r="Y921" s="290"/>
      <c r="Z921" s="290"/>
      <c r="AA921" s="290"/>
      <c r="AB921" s="290"/>
    </row>
    <row r="922" spans="1:28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325"/>
      <c r="S922" s="325"/>
      <c r="T922" s="325"/>
      <c r="U922" s="290"/>
      <c r="V922" s="290"/>
      <c r="W922" s="290"/>
      <c r="X922" s="290"/>
      <c r="Y922" s="290"/>
      <c r="Z922" s="290"/>
      <c r="AA922" s="290"/>
      <c r="AB922" s="290"/>
    </row>
    <row r="923" spans="1:28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325"/>
      <c r="S923" s="325"/>
      <c r="T923" s="325"/>
      <c r="U923" s="290"/>
      <c r="V923" s="290"/>
      <c r="W923" s="290"/>
      <c r="X923" s="290"/>
      <c r="Y923" s="290"/>
      <c r="Z923" s="290"/>
      <c r="AA923" s="290"/>
      <c r="AB923" s="290"/>
    </row>
    <row r="924" spans="1:28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325"/>
      <c r="S924" s="325"/>
      <c r="T924" s="325"/>
      <c r="U924" s="290"/>
      <c r="V924" s="290"/>
      <c r="W924" s="290"/>
      <c r="X924" s="290"/>
      <c r="Y924" s="290"/>
      <c r="Z924" s="290"/>
      <c r="AA924" s="290"/>
      <c r="AB924" s="290"/>
    </row>
    <row r="925" spans="1:28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325"/>
      <c r="S925" s="325"/>
      <c r="T925" s="325"/>
      <c r="U925" s="290"/>
      <c r="V925" s="290"/>
      <c r="W925" s="290"/>
      <c r="X925" s="290"/>
      <c r="Y925" s="290"/>
      <c r="Z925" s="290"/>
      <c r="AA925" s="290"/>
      <c r="AB925" s="290"/>
    </row>
    <row r="926" spans="1:28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325"/>
      <c r="S926" s="325"/>
      <c r="T926" s="325"/>
      <c r="U926" s="290"/>
      <c r="V926" s="290"/>
      <c r="W926" s="290"/>
      <c r="X926" s="290"/>
      <c r="Y926" s="290"/>
      <c r="Z926" s="290"/>
      <c r="AA926" s="290"/>
      <c r="AB926" s="290"/>
    </row>
    <row r="927" spans="1:28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325"/>
      <c r="S927" s="325"/>
      <c r="T927" s="325"/>
      <c r="U927" s="290"/>
      <c r="V927" s="290"/>
      <c r="W927" s="290"/>
      <c r="X927" s="290"/>
      <c r="Y927" s="290"/>
      <c r="Z927" s="290"/>
      <c r="AA927" s="290"/>
      <c r="AB927" s="290"/>
    </row>
    <row r="928" spans="1:28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325"/>
      <c r="S928" s="325"/>
      <c r="T928" s="325"/>
      <c r="U928" s="290"/>
      <c r="V928" s="290"/>
      <c r="W928" s="290"/>
      <c r="X928" s="290"/>
      <c r="Y928" s="290"/>
      <c r="Z928" s="290"/>
      <c r="AA928" s="290"/>
      <c r="AB928" s="290"/>
    </row>
    <row r="929" spans="1:28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325"/>
      <c r="S929" s="325"/>
      <c r="T929" s="325"/>
      <c r="U929" s="290"/>
      <c r="V929" s="290"/>
      <c r="W929" s="290"/>
      <c r="X929" s="290"/>
      <c r="Y929" s="290"/>
      <c r="Z929" s="290"/>
      <c r="AA929" s="290"/>
      <c r="AB929" s="290"/>
    </row>
    <row r="930" spans="1:28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325"/>
      <c r="S930" s="325"/>
      <c r="T930" s="325"/>
      <c r="U930" s="290"/>
      <c r="V930" s="290"/>
      <c r="W930" s="290"/>
      <c r="X930" s="290"/>
      <c r="Y930" s="290"/>
      <c r="Z930" s="290"/>
      <c r="AA930" s="290"/>
      <c r="AB930" s="290"/>
    </row>
    <row r="931" spans="1:28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325"/>
      <c r="S931" s="325"/>
      <c r="T931" s="325"/>
      <c r="U931" s="290"/>
      <c r="V931" s="290"/>
      <c r="W931" s="290"/>
      <c r="X931" s="290"/>
      <c r="Y931" s="290"/>
      <c r="Z931" s="290"/>
      <c r="AA931" s="290"/>
      <c r="AB931" s="290"/>
    </row>
    <row r="932" spans="1:28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325"/>
      <c r="S932" s="325"/>
      <c r="T932" s="325"/>
      <c r="U932" s="290"/>
      <c r="V932" s="290"/>
      <c r="W932" s="290"/>
      <c r="X932" s="290"/>
      <c r="Y932" s="290"/>
      <c r="Z932" s="290"/>
      <c r="AA932" s="290"/>
      <c r="AB932" s="290"/>
    </row>
    <row r="933" spans="1:28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325"/>
      <c r="S933" s="325"/>
      <c r="T933" s="325"/>
      <c r="U933" s="290"/>
      <c r="V933" s="290"/>
      <c r="W933" s="290"/>
      <c r="X933" s="290"/>
      <c r="Y933" s="290"/>
      <c r="Z933" s="290"/>
      <c r="AA933" s="290"/>
      <c r="AB933" s="290"/>
    </row>
    <row r="934" spans="1:28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325"/>
      <c r="S934" s="325"/>
      <c r="T934" s="325"/>
      <c r="U934" s="290"/>
      <c r="V934" s="290"/>
      <c r="W934" s="290"/>
      <c r="X934" s="290"/>
      <c r="Y934" s="290"/>
      <c r="Z934" s="290"/>
      <c r="AA934" s="290"/>
      <c r="AB934" s="290"/>
    </row>
    <row r="935" spans="1:28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325"/>
      <c r="S935" s="325"/>
      <c r="T935" s="325"/>
      <c r="U935" s="290"/>
      <c r="V935" s="290"/>
      <c r="W935" s="290"/>
      <c r="X935" s="290"/>
      <c r="Y935" s="290"/>
      <c r="Z935" s="290"/>
      <c r="AA935" s="290"/>
      <c r="AB935" s="290"/>
    </row>
    <row r="936" spans="1:28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325"/>
      <c r="S936" s="325"/>
      <c r="T936" s="325"/>
      <c r="U936" s="290"/>
      <c r="V936" s="290"/>
      <c r="W936" s="290"/>
      <c r="X936" s="290"/>
      <c r="Y936" s="290"/>
      <c r="Z936" s="290"/>
      <c r="AA936" s="290"/>
      <c r="AB936" s="290"/>
    </row>
    <row r="937" spans="1:28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325"/>
      <c r="S937" s="325"/>
      <c r="T937" s="325"/>
      <c r="U937" s="290"/>
      <c r="V937" s="290"/>
      <c r="W937" s="290"/>
      <c r="X937" s="290"/>
      <c r="Y937" s="290"/>
      <c r="Z937" s="290"/>
      <c r="AA937" s="290"/>
      <c r="AB937" s="290"/>
    </row>
    <row r="938" spans="1:28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325"/>
      <c r="S938" s="325"/>
      <c r="T938" s="325"/>
      <c r="U938" s="290"/>
      <c r="V938" s="290"/>
      <c r="W938" s="290"/>
      <c r="X938" s="290"/>
      <c r="Y938" s="290"/>
      <c r="Z938" s="290"/>
      <c r="AA938" s="290"/>
      <c r="AB938" s="290"/>
    </row>
    <row r="939" spans="1:28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325"/>
      <c r="S939" s="325"/>
      <c r="T939" s="325"/>
      <c r="U939" s="290"/>
      <c r="V939" s="290"/>
      <c r="W939" s="290"/>
      <c r="X939" s="290"/>
      <c r="Y939" s="290"/>
      <c r="Z939" s="290"/>
      <c r="AA939" s="290"/>
      <c r="AB939" s="290"/>
    </row>
    <row r="940" spans="1:28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325"/>
      <c r="S940" s="325"/>
      <c r="T940" s="325"/>
      <c r="U940" s="290"/>
      <c r="V940" s="290"/>
      <c r="W940" s="290"/>
      <c r="X940" s="290"/>
      <c r="Y940" s="290"/>
      <c r="Z940" s="290"/>
      <c r="AA940" s="290"/>
      <c r="AB940" s="290"/>
    </row>
    <row r="941" spans="1:28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325"/>
      <c r="S941" s="325"/>
      <c r="T941" s="325"/>
      <c r="U941" s="290"/>
      <c r="V941" s="290"/>
      <c r="W941" s="290"/>
      <c r="X941" s="290"/>
      <c r="Y941" s="290"/>
      <c r="Z941" s="290"/>
      <c r="AA941" s="290"/>
      <c r="AB941" s="290"/>
    </row>
    <row r="942" spans="1:28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325"/>
      <c r="S942" s="325"/>
      <c r="T942" s="325"/>
      <c r="U942" s="290"/>
      <c r="V942" s="290"/>
      <c r="W942" s="290"/>
      <c r="X942" s="290"/>
      <c r="Y942" s="290"/>
      <c r="Z942" s="290"/>
      <c r="AA942" s="290"/>
      <c r="AB942" s="290"/>
    </row>
    <row r="943" spans="1:28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325"/>
      <c r="S943" s="325"/>
      <c r="T943" s="325"/>
      <c r="U943" s="290"/>
      <c r="V943" s="290"/>
      <c r="W943" s="290"/>
      <c r="X943" s="290"/>
      <c r="Y943" s="290"/>
      <c r="Z943" s="290"/>
      <c r="AA943" s="290"/>
      <c r="AB943" s="290"/>
    </row>
    <row r="944" spans="1:28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325"/>
      <c r="S944" s="325"/>
      <c r="T944" s="325"/>
      <c r="U944" s="290"/>
      <c r="V944" s="290"/>
      <c r="W944" s="290"/>
      <c r="X944" s="290"/>
      <c r="Y944" s="290"/>
      <c r="Z944" s="290"/>
      <c r="AA944" s="290"/>
      <c r="AB944" s="290"/>
    </row>
    <row r="945" spans="1:28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325"/>
      <c r="S945" s="325"/>
      <c r="T945" s="325"/>
      <c r="U945" s="290"/>
      <c r="V945" s="290"/>
      <c r="W945" s="290"/>
      <c r="X945" s="290"/>
      <c r="Y945" s="290"/>
      <c r="Z945" s="290"/>
      <c r="AA945" s="290"/>
      <c r="AB945" s="290"/>
    </row>
    <row r="946" spans="1:28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325"/>
      <c r="S946" s="325"/>
      <c r="T946" s="325"/>
      <c r="U946" s="290"/>
      <c r="V946" s="290"/>
      <c r="W946" s="290"/>
      <c r="X946" s="290"/>
      <c r="Y946" s="290"/>
      <c r="Z946" s="290"/>
      <c r="AA946" s="290"/>
      <c r="AB946" s="290"/>
    </row>
    <row r="947" spans="1:28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325"/>
      <c r="S947" s="325"/>
      <c r="T947" s="325"/>
      <c r="U947" s="290"/>
      <c r="V947" s="290"/>
      <c r="W947" s="290"/>
      <c r="X947" s="290"/>
      <c r="Y947" s="290"/>
      <c r="Z947" s="290"/>
      <c r="AA947" s="290"/>
      <c r="AB947" s="290"/>
    </row>
    <row r="948" spans="1:28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325"/>
      <c r="S948" s="325"/>
      <c r="T948" s="325"/>
      <c r="U948" s="290"/>
      <c r="V948" s="290"/>
      <c r="W948" s="290"/>
      <c r="X948" s="290"/>
      <c r="Y948" s="290"/>
      <c r="Z948" s="290"/>
      <c r="AA948" s="290"/>
      <c r="AB948" s="290"/>
    </row>
    <row r="949" spans="1:28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325"/>
      <c r="S949" s="325"/>
      <c r="T949" s="325"/>
      <c r="U949" s="290"/>
      <c r="V949" s="290"/>
      <c r="W949" s="290"/>
      <c r="X949" s="290"/>
      <c r="Y949" s="290"/>
      <c r="Z949" s="290"/>
      <c r="AA949" s="290"/>
      <c r="AB949" s="290"/>
    </row>
    <row r="950" spans="1:28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325"/>
      <c r="S950" s="325"/>
      <c r="T950" s="325"/>
      <c r="U950" s="290"/>
      <c r="V950" s="290"/>
      <c r="W950" s="290"/>
      <c r="X950" s="290"/>
      <c r="Y950" s="290"/>
      <c r="Z950" s="290"/>
      <c r="AA950" s="290"/>
      <c r="AB950" s="290"/>
    </row>
    <row r="951" spans="1:28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325"/>
      <c r="S951" s="325"/>
      <c r="T951" s="325"/>
      <c r="U951" s="290"/>
      <c r="V951" s="290"/>
      <c r="W951" s="290"/>
      <c r="X951" s="290"/>
      <c r="Y951" s="290"/>
      <c r="Z951" s="290"/>
      <c r="AA951" s="290"/>
      <c r="AB951" s="290"/>
    </row>
    <row r="952" spans="1:28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325"/>
      <c r="S952" s="325"/>
      <c r="T952" s="325"/>
      <c r="U952" s="290"/>
      <c r="V952" s="290"/>
      <c r="W952" s="290"/>
      <c r="X952" s="290"/>
      <c r="Y952" s="290"/>
      <c r="Z952" s="290"/>
      <c r="AA952" s="290"/>
      <c r="AB952" s="290"/>
    </row>
    <row r="953" spans="1:28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325"/>
      <c r="S953" s="325"/>
      <c r="T953" s="325"/>
      <c r="U953" s="290"/>
      <c r="V953" s="290"/>
      <c r="W953" s="290"/>
      <c r="X953" s="290"/>
      <c r="Y953" s="290"/>
      <c r="Z953" s="290"/>
      <c r="AA953" s="290"/>
      <c r="AB953" s="290"/>
    </row>
    <row r="954" spans="1:28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325"/>
      <c r="S954" s="325"/>
      <c r="T954" s="325"/>
      <c r="U954" s="290"/>
      <c r="V954" s="290"/>
      <c r="W954" s="290"/>
      <c r="X954" s="290"/>
      <c r="Y954" s="290"/>
      <c r="Z954" s="290"/>
      <c r="AA954" s="290"/>
      <c r="AB954" s="290"/>
    </row>
    <row r="955" spans="1:28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325"/>
      <c r="S955" s="325"/>
      <c r="T955" s="325"/>
      <c r="U955" s="290"/>
      <c r="V955" s="290"/>
      <c r="W955" s="290"/>
      <c r="X955" s="290"/>
      <c r="Y955" s="290"/>
      <c r="Z955" s="290"/>
      <c r="AA955" s="290"/>
      <c r="AB955" s="290"/>
    </row>
    <row r="956" spans="1:28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325"/>
      <c r="S956" s="325"/>
      <c r="T956" s="325"/>
      <c r="U956" s="290"/>
      <c r="V956" s="290"/>
      <c r="W956" s="290"/>
      <c r="X956" s="290"/>
      <c r="Y956" s="290"/>
      <c r="Z956" s="290"/>
      <c r="AA956" s="290"/>
      <c r="AB956" s="290"/>
    </row>
    <row r="957" spans="1:28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325"/>
      <c r="S957" s="325"/>
      <c r="T957" s="325"/>
      <c r="U957" s="290"/>
      <c r="V957" s="290"/>
      <c r="W957" s="290"/>
      <c r="X957" s="290"/>
      <c r="Y957" s="290"/>
      <c r="Z957" s="290"/>
      <c r="AA957" s="290"/>
      <c r="AB957" s="290"/>
    </row>
    <row r="958" spans="1:28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325"/>
      <c r="S958" s="325"/>
      <c r="T958" s="325"/>
      <c r="U958" s="290"/>
      <c r="V958" s="290"/>
      <c r="W958" s="290"/>
      <c r="X958" s="290"/>
      <c r="Y958" s="290"/>
      <c r="Z958" s="290"/>
      <c r="AA958" s="290"/>
      <c r="AB958" s="290"/>
    </row>
    <row r="959" spans="1:28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325"/>
      <c r="S959" s="325"/>
      <c r="T959" s="325"/>
      <c r="U959" s="290"/>
      <c r="V959" s="290"/>
      <c r="W959" s="290"/>
      <c r="X959" s="290"/>
      <c r="Y959" s="290"/>
      <c r="Z959" s="290"/>
      <c r="AA959" s="290"/>
      <c r="AB959" s="290"/>
    </row>
    <row r="960" spans="1:28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325"/>
      <c r="S960" s="325"/>
      <c r="T960" s="325"/>
      <c r="U960" s="290"/>
      <c r="V960" s="290"/>
      <c r="W960" s="290"/>
      <c r="X960" s="290"/>
      <c r="Y960" s="290"/>
      <c r="Z960" s="290"/>
      <c r="AA960" s="290"/>
      <c r="AB960" s="290"/>
    </row>
    <row r="961" spans="1:28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325"/>
      <c r="S961" s="325"/>
      <c r="T961" s="325"/>
      <c r="U961" s="290"/>
      <c r="V961" s="290"/>
      <c r="W961" s="290"/>
      <c r="X961" s="290"/>
      <c r="Y961" s="290"/>
      <c r="Z961" s="290"/>
      <c r="AA961" s="290"/>
      <c r="AB961" s="290"/>
    </row>
    <row r="962" spans="1:28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325"/>
      <c r="S962" s="325"/>
      <c r="T962" s="325"/>
      <c r="U962" s="290"/>
      <c r="V962" s="290"/>
      <c r="W962" s="290"/>
      <c r="X962" s="290"/>
      <c r="Y962" s="290"/>
      <c r="Z962" s="290"/>
      <c r="AA962" s="290"/>
      <c r="AB962" s="290"/>
    </row>
    <row r="963" spans="1:28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325"/>
      <c r="S963" s="325"/>
      <c r="T963" s="325"/>
      <c r="U963" s="290"/>
      <c r="V963" s="290"/>
      <c r="W963" s="290"/>
      <c r="X963" s="290"/>
      <c r="Y963" s="290"/>
      <c r="Z963" s="290"/>
      <c r="AA963" s="290"/>
      <c r="AB963" s="290"/>
    </row>
    <row r="964" spans="1:28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325"/>
      <c r="S964" s="325"/>
      <c r="T964" s="325"/>
      <c r="U964" s="290"/>
      <c r="V964" s="290"/>
      <c r="W964" s="290"/>
      <c r="X964" s="290"/>
      <c r="Y964" s="290"/>
      <c r="Z964" s="290"/>
      <c r="AA964" s="290"/>
      <c r="AB964" s="290"/>
    </row>
    <row r="965" spans="1:28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325"/>
      <c r="S965" s="325"/>
      <c r="T965" s="325"/>
      <c r="U965" s="290"/>
      <c r="V965" s="290"/>
      <c r="W965" s="290"/>
      <c r="X965" s="290"/>
      <c r="Y965" s="290"/>
      <c r="Z965" s="290"/>
      <c r="AA965" s="290"/>
      <c r="AB965" s="290"/>
    </row>
    <row r="966" spans="1:28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325"/>
      <c r="S966" s="325"/>
      <c r="T966" s="325"/>
      <c r="U966" s="290"/>
      <c r="V966" s="290"/>
      <c r="W966" s="290"/>
      <c r="X966" s="290"/>
      <c r="Y966" s="290"/>
      <c r="Z966" s="290"/>
      <c r="AA966" s="290"/>
      <c r="AB966" s="290"/>
    </row>
    <row r="967" spans="1:28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325"/>
      <c r="S967" s="325"/>
      <c r="T967" s="325"/>
      <c r="U967" s="290"/>
      <c r="V967" s="290"/>
      <c r="W967" s="290"/>
      <c r="X967" s="290"/>
      <c r="Y967" s="290"/>
      <c r="Z967" s="290"/>
      <c r="AA967" s="290"/>
      <c r="AB967" s="290"/>
    </row>
    <row r="968" spans="1:28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325"/>
      <c r="S968" s="325"/>
      <c r="T968" s="325"/>
      <c r="U968" s="290"/>
      <c r="V968" s="290"/>
      <c r="W968" s="290"/>
      <c r="X968" s="290"/>
      <c r="Y968" s="290"/>
      <c r="Z968" s="290"/>
      <c r="AA968" s="290"/>
      <c r="AB968" s="290"/>
    </row>
    <row r="969" spans="1:28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325"/>
      <c r="S969" s="325"/>
      <c r="T969" s="325"/>
      <c r="U969" s="290"/>
      <c r="V969" s="290"/>
      <c r="W969" s="290"/>
      <c r="X969" s="290"/>
      <c r="Y969" s="290"/>
      <c r="Z969" s="290"/>
      <c r="AA969" s="290"/>
      <c r="AB969" s="290"/>
    </row>
    <row r="970" spans="1:28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325"/>
      <c r="S970" s="325"/>
      <c r="T970" s="325"/>
      <c r="U970" s="290"/>
      <c r="V970" s="290"/>
      <c r="W970" s="290"/>
      <c r="X970" s="290"/>
      <c r="Y970" s="290"/>
      <c r="Z970" s="290"/>
      <c r="AA970" s="290"/>
      <c r="AB970" s="290"/>
    </row>
    <row r="971" spans="1:28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325"/>
      <c r="S971" s="325"/>
      <c r="T971" s="325"/>
      <c r="U971" s="290"/>
      <c r="V971" s="290"/>
      <c r="W971" s="290"/>
      <c r="X971" s="290"/>
      <c r="Y971" s="290"/>
      <c r="Z971" s="290"/>
      <c r="AA971" s="290"/>
      <c r="AB971" s="290"/>
    </row>
    <row r="972" spans="1:28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325"/>
      <c r="S972" s="325"/>
      <c r="T972" s="325"/>
      <c r="U972" s="290"/>
      <c r="V972" s="290"/>
      <c r="W972" s="290"/>
      <c r="X972" s="290"/>
      <c r="Y972" s="290"/>
      <c r="Z972" s="290"/>
      <c r="AA972" s="290"/>
      <c r="AB972" s="290"/>
    </row>
    <row r="973" spans="1:28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325"/>
      <c r="S973" s="325"/>
      <c r="T973" s="325"/>
      <c r="U973" s="290"/>
      <c r="V973" s="290"/>
      <c r="W973" s="290"/>
      <c r="X973" s="290"/>
      <c r="Y973" s="290"/>
      <c r="Z973" s="290"/>
      <c r="AA973" s="290"/>
      <c r="AB973" s="290"/>
    </row>
    <row r="974" spans="1:28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325"/>
      <c r="S974" s="325"/>
      <c r="T974" s="325"/>
      <c r="U974" s="290"/>
      <c r="V974" s="290"/>
      <c r="W974" s="290"/>
      <c r="X974" s="290"/>
      <c r="Y974" s="290"/>
      <c r="Z974" s="290"/>
      <c r="AA974" s="290"/>
      <c r="AB974" s="290"/>
    </row>
    <row r="975" spans="1:28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325"/>
      <c r="S975" s="325"/>
      <c r="T975" s="325"/>
      <c r="U975" s="290"/>
      <c r="V975" s="290"/>
      <c r="W975" s="290"/>
      <c r="X975" s="290"/>
      <c r="Y975" s="290"/>
      <c r="Z975" s="290"/>
      <c r="AA975" s="290"/>
      <c r="AB975" s="290"/>
    </row>
    <row r="976" spans="1:28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325"/>
      <c r="S976" s="325"/>
      <c r="T976" s="325"/>
      <c r="U976" s="290"/>
      <c r="V976" s="290"/>
      <c r="W976" s="290"/>
      <c r="X976" s="290"/>
      <c r="Y976" s="290"/>
      <c r="Z976" s="290"/>
      <c r="AA976" s="290"/>
      <c r="AB976" s="290"/>
    </row>
    <row r="977" spans="1:28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325"/>
      <c r="S977" s="325"/>
      <c r="T977" s="325"/>
      <c r="U977" s="290"/>
      <c r="V977" s="290"/>
      <c r="W977" s="290"/>
      <c r="X977" s="290"/>
      <c r="Y977" s="290"/>
      <c r="Z977" s="290"/>
      <c r="AA977" s="290"/>
      <c r="AB977" s="290"/>
    </row>
    <row r="978" spans="1:28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325"/>
      <c r="S978" s="325"/>
      <c r="T978" s="325"/>
      <c r="U978" s="290"/>
      <c r="V978" s="290"/>
      <c r="W978" s="290"/>
      <c r="X978" s="290"/>
      <c r="Y978" s="290"/>
      <c r="Z978" s="290"/>
      <c r="AA978" s="290"/>
      <c r="AB978" s="290"/>
    </row>
    <row r="979" spans="1:28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325"/>
      <c r="S979" s="325"/>
      <c r="T979" s="325"/>
      <c r="U979" s="290"/>
      <c r="V979" s="290"/>
      <c r="W979" s="290"/>
      <c r="X979" s="290"/>
      <c r="Y979" s="290"/>
      <c r="Z979" s="290"/>
      <c r="AA979" s="290"/>
      <c r="AB979" s="290"/>
    </row>
    <row r="980" spans="1:28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325"/>
      <c r="S980" s="325"/>
      <c r="T980" s="325"/>
      <c r="U980" s="290"/>
      <c r="V980" s="290"/>
      <c r="W980" s="290"/>
      <c r="X980" s="290"/>
      <c r="Y980" s="290"/>
      <c r="Z980" s="290"/>
      <c r="AA980" s="290"/>
      <c r="AB980" s="290"/>
    </row>
    <row r="981" spans="1:28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325"/>
      <c r="S981" s="325"/>
      <c r="T981" s="325"/>
      <c r="U981" s="290"/>
      <c r="V981" s="290"/>
      <c r="W981" s="290"/>
      <c r="X981" s="290"/>
      <c r="Y981" s="290"/>
      <c r="Z981" s="290"/>
      <c r="AA981" s="290"/>
      <c r="AB981" s="290"/>
    </row>
    <row r="982" spans="1:28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325"/>
      <c r="S982" s="325"/>
      <c r="T982" s="325"/>
      <c r="U982" s="290"/>
      <c r="V982" s="290"/>
      <c r="W982" s="290"/>
      <c r="X982" s="290"/>
      <c r="Y982" s="290"/>
      <c r="Z982" s="290"/>
      <c r="AA982" s="290"/>
      <c r="AB982" s="290"/>
    </row>
    <row r="983" spans="1:28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325"/>
      <c r="S983" s="325"/>
      <c r="T983" s="325"/>
      <c r="U983" s="290"/>
      <c r="V983" s="290"/>
      <c r="W983" s="290"/>
      <c r="X983" s="290"/>
      <c r="Y983" s="290"/>
      <c r="Z983" s="290"/>
      <c r="AA983" s="290"/>
      <c r="AB983" s="290"/>
    </row>
    <row r="984" spans="1:28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325"/>
      <c r="S984" s="325"/>
      <c r="T984" s="325"/>
      <c r="U984" s="290"/>
      <c r="V984" s="290"/>
      <c r="W984" s="290"/>
      <c r="X984" s="290"/>
      <c r="Y984" s="290"/>
      <c r="Z984" s="290"/>
      <c r="AA984" s="290"/>
      <c r="AB984" s="290"/>
    </row>
    <row r="985" spans="1:28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325"/>
      <c r="S985" s="325"/>
      <c r="T985" s="325"/>
      <c r="U985" s="290"/>
      <c r="V985" s="290"/>
      <c r="W985" s="290"/>
      <c r="X985" s="290"/>
      <c r="Y985" s="290"/>
      <c r="Z985" s="290"/>
      <c r="AA985" s="290"/>
      <c r="AB985" s="290"/>
    </row>
    <row r="986" spans="1:28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325"/>
      <c r="S986" s="325"/>
      <c r="T986" s="325"/>
      <c r="U986" s="290"/>
      <c r="V986" s="290"/>
      <c r="W986" s="290"/>
      <c r="X986" s="290"/>
      <c r="Y986" s="290"/>
      <c r="Z986" s="290"/>
      <c r="AA986" s="290"/>
      <c r="AB986" s="290"/>
    </row>
    <row r="987" spans="1:28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325"/>
      <c r="S987" s="325"/>
      <c r="T987" s="325"/>
      <c r="U987" s="290"/>
      <c r="V987" s="290"/>
      <c r="W987" s="290"/>
      <c r="X987" s="290"/>
      <c r="Y987" s="290"/>
      <c r="Z987" s="290"/>
      <c r="AA987" s="290"/>
      <c r="AB987" s="290"/>
    </row>
    <row r="988" spans="1:28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325"/>
      <c r="S988" s="325"/>
      <c r="T988" s="325"/>
      <c r="U988" s="290"/>
      <c r="V988" s="290"/>
      <c r="W988" s="290"/>
      <c r="X988" s="290"/>
      <c r="Y988" s="290"/>
      <c r="Z988" s="290"/>
      <c r="AA988" s="290"/>
      <c r="AB988" s="290"/>
    </row>
    <row r="989" spans="1:28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325"/>
      <c r="S989" s="325"/>
      <c r="T989" s="325"/>
      <c r="U989" s="290"/>
      <c r="V989" s="290"/>
      <c r="W989" s="290"/>
      <c r="X989" s="290"/>
      <c r="Y989" s="290"/>
      <c r="Z989" s="290"/>
      <c r="AA989" s="290"/>
      <c r="AB989" s="290"/>
    </row>
    <row r="990" spans="1:28" ht="12.75" x14ac:dyDescent="0.2">
      <c r="R990" s="290"/>
      <c r="S990" s="290"/>
      <c r="T990" s="290"/>
      <c r="U990" s="290"/>
      <c r="V990" s="290"/>
      <c r="W990" s="290"/>
      <c r="X990" s="290"/>
      <c r="Y990" s="290"/>
      <c r="Z990" s="290"/>
      <c r="AA990" s="290"/>
      <c r="AB990" s="290"/>
    </row>
  </sheetData>
  <mergeCells count="27">
    <mergeCell ref="S5:T5"/>
    <mergeCell ref="V5:W5"/>
    <mergeCell ref="Y5:Z5"/>
    <mergeCell ref="AA5:AB5"/>
    <mergeCell ref="A2:B6"/>
    <mergeCell ref="C2:AB2"/>
    <mergeCell ref="C3:Q3"/>
    <mergeCell ref="R3:T4"/>
    <mergeCell ref="U3:W4"/>
    <mergeCell ref="X3:AB4"/>
    <mergeCell ref="C4:G4"/>
    <mergeCell ref="A13:B13"/>
    <mergeCell ref="A31:B31"/>
    <mergeCell ref="A52:B52"/>
    <mergeCell ref="A74:B74"/>
    <mergeCell ref="A89:B89"/>
    <mergeCell ref="H4:I4"/>
    <mergeCell ref="J4:Q4"/>
    <mergeCell ref="C5:C6"/>
    <mergeCell ref="D5:D6"/>
    <mergeCell ref="A7:B7"/>
    <mergeCell ref="E5:E6"/>
    <mergeCell ref="F5:F6"/>
    <mergeCell ref="G5:G6"/>
    <mergeCell ref="J5:K5"/>
    <mergeCell ref="L5:N5"/>
    <mergeCell ref="O5:Q5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AD990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57031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326"/>
      <c r="T1" s="326"/>
      <c r="U1" s="128"/>
      <c r="V1" s="326"/>
      <c r="W1" s="326"/>
      <c r="X1" s="128"/>
      <c r="Y1" s="326"/>
      <c r="Z1" s="326"/>
      <c r="AA1" s="128"/>
      <c r="AB1" s="326"/>
      <c r="AC1" s="326"/>
      <c r="AD1" s="128"/>
    </row>
    <row r="2" spans="1:30" ht="24" customHeight="1" x14ac:dyDescent="0.2">
      <c r="A2" s="399" t="s">
        <v>1</v>
      </c>
      <c r="B2" s="400"/>
      <c r="C2" s="369" t="s">
        <v>183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1"/>
    </row>
    <row r="3" spans="1:30" ht="30" customHeight="1" x14ac:dyDescent="0.2">
      <c r="A3" s="401"/>
      <c r="B3" s="402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59" t="s">
        <v>184</v>
      </c>
      <c r="S3" s="436" t="s">
        <v>4</v>
      </c>
      <c r="T3" s="378"/>
      <c r="U3" s="379"/>
      <c r="V3" s="461" t="s">
        <v>185</v>
      </c>
      <c r="W3" s="378"/>
      <c r="X3" s="379"/>
      <c r="Y3" s="461" t="s">
        <v>5</v>
      </c>
      <c r="Z3" s="378"/>
      <c r="AA3" s="379"/>
      <c r="AB3" s="462" t="s">
        <v>186</v>
      </c>
      <c r="AC3" s="378"/>
      <c r="AD3" s="379"/>
    </row>
    <row r="4" spans="1:30" ht="30" customHeight="1" x14ac:dyDescent="0.2">
      <c r="A4" s="401"/>
      <c r="B4" s="402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460"/>
      <c r="S4" s="433"/>
      <c r="T4" s="381"/>
      <c r="U4" s="382"/>
      <c r="V4" s="433"/>
      <c r="W4" s="381"/>
      <c r="X4" s="382"/>
      <c r="Y4" s="433"/>
      <c r="Z4" s="381"/>
      <c r="AA4" s="382"/>
      <c r="AB4" s="433"/>
      <c r="AC4" s="381"/>
      <c r="AD4" s="382"/>
    </row>
    <row r="5" spans="1:30" ht="24" customHeight="1" x14ac:dyDescent="0.3">
      <c r="A5" s="401"/>
      <c r="B5" s="402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327" t="s">
        <v>22</v>
      </c>
      <c r="S5" s="328" t="s">
        <v>21</v>
      </c>
      <c r="T5" s="447" t="s">
        <v>22</v>
      </c>
      <c r="U5" s="382"/>
      <c r="V5" s="328" t="s">
        <v>21</v>
      </c>
      <c r="W5" s="447" t="s">
        <v>22</v>
      </c>
      <c r="X5" s="382"/>
      <c r="Y5" s="329"/>
      <c r="Z5" s="447" t="s">
        <v>22</v>
      </c>
      <c r="AA5" s="382"/>
      <c r="AB5" s="328" t="s">
        <v>21</v>
      </c>
      <c r="AC5" s="447" t="s">
        <v>22</v>
      </c>
      <c r="AD5" s="382"/>
    </row>
    <row r="6" spans="1:30" ht="30" customHeight="1" x14ac:dyDescent="0.3">
      <c r="A6" s="403"/>
      <c r="B6" s="404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7" t="s">
        <v>28</v>
      </c>
      <c r="S6" s="330" t="s">
        <v>28</v>
      </c>
      <c r="T6" s="331" t="s">
        <v>28</v>
      </c>
      <c r="U6" s="332" t="s">
        <v>24</v>
      </c>
      <c r="V6" s="330" t="s">
        <v>28</v>
      </c>
      <c r="W6" s="331" t="s">
        <v>28</v>
      </c>
      <c r="X6" s="332" t="s">
        <v>24</v>
      </c>
      <c r="Y6" s="331"/>
      <c r="Z6" s="331" t="s">
        <v>28</v>
      </c>
      <c r="AA6" s="332" t="s">
        <v>24</v>
      </c>
      <c r="AB6" s="330" t="s">
        <v>28</v>
      </c>
      <c r="AC6" s="331" t="s">
        <v>28</v>
      </c>
      <c r="AD6" s="332" t="s">
        <v>24</v>
      </c>
    </row>
    <row r="7" spans="1:30" ht="24" customHeight="1" x14ac:dyDescent="0.3">
      <c r="A7" s="442" t="s">
        <v>31</v>
      </c>
      <c r="B7" s="417"/>
      <c r="C7" s="141">
        <f t="shared" ref="C7:C10" ca="1" si="0">D7+G7</f>
        <v>5557300</v>
      </c>
      <c r="D7" s="142">
        <f t="shared" ref="D7:E7" ca="1" si="1">D8+D9+D12</f>
        <v>5557300</v>
      </c>
      <c r="E7" s="143">
        <f t="shared" ca="1" si="1"/>
        <v>2500800</v>
      </c>
      <c r="F7" s="144">
        <f ca="1">F8+F9</f>
        <v>3056500</v>
      </c>
      <c r="G7" s="145">
        <f t="shared" ref="G7:I7" ca="1" si="2">G8+G9+G12</f>
        <v>0</v>
      </c>
      <c r="H7" s="211">
        <f t="shared" ca="1" si="2"/>
        <v>4385900</v>
      </c>
      <c r="I7" s="211">
        <f t="shared" ca="1" si="2"/>
        <v>0</v>
      </c>
      <c r="J7" s="147">
        <f t="shared" ref="J7:J10" ca="1" si="3">L7+O7</f>
        <v>977595.18</v>
      </c>
      <c r="K7" s="148">
        <f t="shared" ref="K7:K10" ca="1" si="4">IF(C7&gt;0,J7*100/C7,0)</f>
        <v>17.591189606463569</v>
      </c>
      <c r="L7" s="147">
        <f ca="1">L8+L9+L12</f>
        <v>977595.18</v>
      </c>
      <c r="M7" s="149">
        <f t="shared" ref="M7:M10" ca="1" si="5">IF(D7&gt;0,L7*100/D7,0)</f>
        <v>17.591189606463569</v>
      </c>
      <c r="N7" s="149">
        <f t="shared" ref="N7:N10" ca="1" si="6">IF(H7&gt;0,L7*100/H7,0)</f>
        <v>22.289499988599832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33">
        <f t="shared" ref="R7:T7" ca="1" si="9">R8</f>
        <v>2</v>
      </c>
      <c r="S7" s="334">
        <f t="shared" ca="1" si="9"/>
        <v>530</v>
      </c>
      <c r="T7" s="335">
        <f t="shared" ca="1" si="9"/>
        <v>65</v>
      </c>
      <c r="U7" s="336">
        <f t="shared" ref="U7:U8" ca="1" si="10">IF(S7&gt;0,T7*100/S7,0)</f>
        <v>12.264150943396226</v>
      </c>
      <c r="V7" s="334">
        <f t="shared" ref="V7:W7" ca="1" si="11">V8</f>
        <v>106</v>
      </c>
      <c r="W7" s="151">
        <f t="shared" ca="1" si="11"/>
        <v>5</v>
      </c>
      <c r="X7" s="337">
        <f t="shared" ref="X7:X8" ca="1" si="12">IF(S7&gt;0,W7*100/S7,0)</f>
        <v>0.94339622641509435</v>
      </c>
      <c r="Y7" s="334">
        <f t="shared" ref="Y7:Z7" ca="1" si="13">Y8</f>
        <v>530</v>
      </c>
      <c r="Z7" s="151">
        <f t="shared" ca="1" si="13"/>
        <v>0</v>
      </c>
      <c r="AA7" s="337">
        <f t="shared" ref="AA7:AA8" ca="1" si="14">IF(V7&gt;0,Z7*100/V7,0)</f>
        <v>0</v>
      </c>
      <c r="AB7" s="334">
        <f t="shared" ref="AB7:AC7" ca="1" si="15">AB8</f>
        <v>106</v>
      </c>
      <c r="AC7" s="151">
        <f t="shared" ca="1" si="15"/>
        <v>0</v>
      </c>
      <c r="AD7" s="337">
        <f t="shared" ref="AD7:AD8" ca="1" si="16">IF(Y7&gt;0,AC7*100/Y7,0)</f>
        <v>0</v>
      </c>
    </row>
    <row r="8" spans="1:30" ht="28.5" customHeight="1" x14ac:dyDescent="0.3">
      <c r="A8" s="34" t="s">
        <v>32</v>
      </c>
      <c r="B8" s="35"/>
      <c r="C8" s="154">
        <f t="shared" ca="1" si="0"/>
        <v>4428000</v>
      </c>
      <c r="D8" s="154">
        <f t="shared" ref="D8:I8" ca="1" si="17">+D13+D31+D52+D74</f>
        <v>4428000</v>
      </c>
      <c r="E8" s="154">
        <f t="shared" ca="1" si="17"/>
        <v>2248400</v>
      </c>
      <c r="F8" s="154">
        <f t="shared" ca="1" si="17"/>
        <v>2179600</v>
      </c>
      <c r="G8" s="154">
        <f t="shared" ca="1" si="17"/>
        <v>0</v>
      </c>
      <c r="H8" s="154">
        <f t="shared" ca="1" si="17"/>
        <v>3308600</v>
      </c>
      <c r="I8" s="154">
        <f t="shared" ca="1" si="17"/>
        <v>0</v>
      </c>
      <c r="J8" s="154">
        <f t="shared" ca="1" si="3"/>
        <v>864921.18</v>
      </c>
      <c r="K8" s="155">
        <f t="shared" ca="1" si="4"/>
        <v>19.532998644986449</v>
      </c>
      <c r="L8" s="154">
        <f ca="1">+L13+L31+L52+L74</f>
        <v>864921.18</v>
      </c>
      <c r="M8" s="156">
        <f t="shared" ca="1" si="5"/>
        <v>19.532998644986449</v>
      </c>
      <c r="N8" s="156">
        <f t="shared" ca="1" si="6"/>
        <v>26.141606117391042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38">
        <f t="shared" ref="R8:T8" ca="1" si="18">+R13+R31+R52+R74</f>
        <v>2</v>
      </c>
      <c r="S8" s="339">
        <f t="shared" ca="1" si="18"/>
        <v>530</v>
      </c>
      <c r="T8" s="154">
        <f t="shared" ca="1" si="18"/>
        <v>65</v>
      </c>
      <c r="U8" s="156">
        <f t="shared" ca="1" si="10"/>
        <v>12.264150943396226</v>
      </c>
      <c r="V8" s="339">
        <f t="shared" ref="V8:W8" ca="1" si="19">+V13+V31+V52+V74</f>
        <v>106</v>
      </c>
      <c r="W8" s="154">
        <f t="shared" ca="1" si="19"/>
        <v>5</v>
      </c>
      <c r="X8" s="156">
        <f t="shared" ca="1" si="12"/>
        <v>0.94339622641509435</v>
      </c>
      <c r="Y8" s="339">
        <f t="shared" ref="Y8:Z8" ca="1" si="20">+Y13+Y31+Y52+Y74</f>
        <v>530</v>
      </c>
      <c r="Z8" s="154">
        <f t="shared" ca="1" si="20"/>
        <v>0</v>
      </c>
      <c r="AA8" s="156">
        <f t="shared" ca="1" si="14"/>
        <v>0</v>
      </c>
      <c r="AB8" s="339">
        <f t="shared" ref="AB8:AC8" ca="1" si="21">+AB13+AB31+AB52+AB74</f>
        <v>106</v>
      </c>
      <c r="AC8" s="154">
        <f t="shared" ca="1" si="21"/>
        <v>0</v>
      </c>
      <c r="AD8" s="156">
        <f t="shared" ca="1" si="16"/>
        <v>0</v>
      </c>
    </row>
    <row r="9" spans="1:30" ht="28.5" customHeight="1" x14ac:dyDescent="0.3">
      <c r="A9" s="44" t="s">
        <v>33</v>
      </c>
      <c r="B9" s="45"/>
      <c r="C9" s="160">
        <f t="shared" ca="1" si="0"/>
        <v>1129300</v>
      </c>
      <c r="D9" s="160">
        <f t="shared" ref="D9:I9" ca="1" si="22">+D10+D11</f>
        <v>1129300</v>
      </c>
      <c r="E9" s="160">
        <f t="shared" ca="1" si="22"/>
        <v>252400</v>
      </c>
      <c r="F9" s="160">
        <f t="shared" ca="1" si="22"/>
        <v>876900</v>
      </c>
      <c r="G9" s="160">
        <f t="shared" ca="1" si="22"/>
        <v>0</v>
      </c>
      <c r="H9" s="160">
        <f t="shared" ca="1" si="22"/>
        <v>1077300</v>
      </c>
      <c r="I9" s="160">
        <f t="shared" ca="1" si="22"/>
        <v>0</v>
      </c>
      <c r="J9" s="160">
        <f t="shared" ca="1" si="3"/>
        <v>112674</v>
      </c>
      <c r="K9" s="161">
        <f t="shared" ca="1" si="4"/>
        <v>9.9773310900557863</v>
      </c>
      <c r="L9" s="160">
        <f ca="1">+L10+L11</f>
        <v>112674</v>
      </c>
      <c r="M9" s="162">
        <f t="shared" ca="1" si="5"/>
        <v>9.9773310900557863</v>
      </c>
      <c r="N9" s="162">
        <f t="shared" ca="1" si="6"/>
        <v>10.458925090504039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284"/>
      <c r="S9" s="284"/>
      <c r="T9" s="191"/>
      <c r="U9" s="340"/>
      <c r="V9" s="284"/>
      <c r="W9" s="191"/>
      <c r="X9" s="49"/>
      <c r="Y9" s="284"/>
      <c r="Z9" s="191"/>
      <c r="AA9" s="49"/>
      <c r="AB9" s="284"/>
      <c r="AC9" s="191"/>
      <c r="AD9" s="49"/>
    </row>
    <row r="10" spans="1:30" ht="28.5" customHeight="1" x14ac:dyDescent="0.3">
      <c r="A10" s="44" t="s">
        <v>34</v>
      </c>
      <c r="B10" s="45"/>
      <c r="C10" s="160">
        <f t="shared" ca="1" si="0"/>
        <v>1129300</v>
      </c>
      <c r="D10" s="160">
        <f t="shared" ref="D10:I10" ca="1" si="23">+D89</f>
        <v>1129300</v>
      </c>
      <c r="E10" s="160">
        <f t="shared" ca="1" si="23"/>
        <v>252400</v>
      </c>
      <c r="F10" s="160">
        <f t="shared" ca="1" si="23"/>
        <v>876900</v>
      </c>
      <c r="G10" s="160">
        <f t="shared" ca="1" si="23"/>
        <v>0</v>
      </c>
      <c r="H10" s="160">
        <f t="shared" ca="1" si="23"/>
        <v>1077300</v>
      </c>
      <c r="I10" s="160">
        <f t="shared" ca="1" si="23"/>
        <v>0</v>
      </c>
      <c r="J10" s="160">
        <f t="shared" ca="1" si="3"/>
        <v>112674</v>
      </c>
      <c r="K10" s="161">
        <f t="shared" ca="1" si="4"/>
        <v>9.9773310900557863</v>
      </c>
      <c r="L10" s="160">
        <f ca="1">+L89</f>
        <v>112674</v>
      </c>
      <c r="M10" s="162">
        <f t="shared" ca="1" si="5"/>
        <v>9.9773310900557863</v>
      </c>
      <c r="N10" s="162">
        <f t="shared" ca="1" si="6"/>
        <v>10.458925090504039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284"/>
      <c r="S10" s="284"/>
      <c r="T10" s="191"/>
      <c r="U10" s="340"/>
      <c r="V10" s="284"/>
      <c r="W10" s="191"/>
      <c r="X10" s="49"/>
      <c r="Y10" s="284"/>
      <c r="Z10" s="191"/>
      <c r="AA10" s="49"/>
      <c r="AB10" s="284"/>
      <c r="AC10" s="191"/>
      <c r="AD10" s="49"/>
    </row>
    <row r="11" spans="1:30" ht="28.5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341"/>
      <c r="S11" s="341"/>
      <c r="T11" s="342"/>
      <c r="U11" s="343"/>
      <c r="V11" s="341"/>
      <c r="W11" s="342"/>
      <c r="X11" s="219"/>
      <c r="Y11" s="341"/>
      <c r="Z11" s="342"/>
      <c r="AA11" s="219"/>
      <c r="AB11" s="341"/>
      <c r="AC11" s="342"/>
      <c r="AD11" s="219"/>
    </row>
    <row r="12" spans="1:30" ht="28.5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341"/>
      <c r="S12" s="341"/>
      <c r="T12" s="342"/>
      <c r="U12" s="343"/>
      <c r="V12" s="341"/>
      <c r="W12" s="214"/>
      <c r="X12" s="216"/>
      <c r="Y12" s="341"/>
      <c r="Z12" s="214"/>
      <c r="AA12" s="216"/>
      <c r="AB12" s="341"/>
      <c r="AC12" s="214"/>
      <c r="AD12" s="216"/>
    </row>
    <row r="13" spans="1:30" ht="28.5" customHeight="1" x14ac:dyDescent="0.3">
      <c r="A13" s="394" t="s">
        <v>35</v>
      </c>
      <c r="B13" s="376"/>
      <c r="C13" s="154">
        <f t="shared" ref="C13:C88" ca="1" si="24">D13+G13</f>
        <v>1749700</v>
      </c>
      <c r="D13" s="154">
        <f t="shared" ref="D13:I13" ca="1" si="25">SUM(D14:D30)</f>
        <v>1749700</v>
      </c>
      <c r="E13" s="154">
        <f t="shared" ca="1" si="25"/>
        <v>970900</v>
      </c>
      <c r="F13" s="154">
        <f t="shared" ca="1" si="25"/>
        <v>778800</v>
      </c>
      <c r="G13" s="154">
        <f t="shared" ca="1" si="25"/>
        <v>0</v>
      </c>
      <c r="H13" s="154">
        <f t="shared" ca="1" si="25"/>
        <v>1301300</v>
      </c>
      <c r="I13" s="154">
        <f t="shared" ca="1" si="25"/>
        <v>0</v>
      </c>
      <c r="J13" s="154">
        <f t="shared" ref="J13:J88" ca="1" si="26">L13+O13</f>
        <v>383717.8</v>
      </c>
      <c r="K13" s="155">
        <f t="shared" ref="K13:K88" ca="1" si="27">IF(C13&gt;0,J13*100/C13,0)</f>
        <v>21.930490941304225</v>
      </c>
      <c r="L13" s="154">
        <f ca="1">SUM(L14:L30)</f>
        <v>383717.8</v>
      </c>
      <c r="M13" s="156">
        <f t="shared" ref="M13:M88" ca="1" si="28">IF(D13&gt;0,L13*100/D13,0)</f>
        <v>21.930490941304225</v>
      </c>
      <c r="N13" s="156">
        <f t="shared" ref="N13:N88" ca="1" si="29">IF(H13&gt;0,L13*100/H13,0)</f>
        <v>29.487266579574271</v>
      </c>
      <c r="O13" s="157">
        <f ca="1">SUM(O14:O30)</f>
        <v>0</v>
      </c>
      <c r="P13" s="157">
        <f t="shared" ref="P13:P88" ca="1" si="30">IF(G13&gt;0,O13*100/G13,0)</f>
        <v>0</v>
      </c>
      <c r="Q13" s="156">
        <f t="shared" ref="Q13:Q88" ca="1" si="31">IF(I13&gt;0,O13*100/I13,0)</f>
        <v>0</v>
      </c>
      <c r="R13" s="338">
        <f t="shared" ref="R13:T13" ca="1" si="32">SUM(R14:R30)</f>
        <v>2</v>
      </c>
      <c r="S13" s="339">
        <f t="shared" ca="1" si="32"/>
        <v>190</v>
      </c>
      <c r="T13" s="154">
        <f t="shared" ca="1" si="32"/>
        <v>65</v>
      </c>
      <c r="U13" s="156">
        <f t="shared" ref="U13:U88" ca="1" si="33">IF(S13&gt;0,T13*100/S13,0)</f>
        <v>34.210526315789473</v>
      </c>
      <c r="V13" s="339">
        <f t="shared" ref="V13:W13" ca="1" si="34">SUM(V14:V30)</f>
        <v>38</v>
      </c>
      <c r="W13" s="154">
        <f t="shared" ca="1" si="34"/>
        <v>5</v>
      </c>
      <c r="X13" s="156">
        <f t="shared" ref="X13:X88" ca="1" si="35">IF(S13&gt;0,W13*100/S13,0)</f>
        <v>2.6315789473684212</v>
      </c>
      <c r="Y13" s="339">
        <f t="shared" ref="Y13:Z13" ca="1" si="36">SUM(Y14:Y30)</f>
        <v>190</v>
      </c>
      <c r="Z13" s="154">
        <f t="shared" ca="1" si="36"/>
        <v>0</v>
      </c>
      <c r="AA13" s="156">
        <f t="shared" ref="AA13:AA88" ca="1" si="37">IF(V13&gt;0,Z13*100/V13,0)</f>
        <v>0</v>
      </c>
      <c r="AB13" s="339">
        <f t="shared" ref="AB13:AC13" ca="1" si="38">SUM(AB14:AB30)</f>
        <v>38</v>
      </c>
      <c r="AC13" s="154">
        <f t="shared" ca="1" si="38"/>
        <v>0</v>
      </c>
      <c r="AD13" s="156">
        <f t="shared" ref="AD13:AD88" ca="1" si="39">IF(Y13&gt;0,AC13*100/Y13,0)</f>
        <v>0</v>
      </c>
    </row>
    <row r="14" spans="1:30" ht="24" customHeight="1" x14ac:dyDescent="0.3">
      <c r="A14" s="74">
        <v>1</v>
      </c>
      <c r="B14" s="75" t="s">
        <v>36</v>
      </c>
      <c r="C14" s="174">
        <f t="shared" ca="1" si="24"/>
        <v>184600</v>
      </c>
      <c r="D14" s="175">
        <f t="shared" ref="D14:D30" ca="1" si="40">+E14+F14</f>
        <v>184600</v>
      </c>
      <c r="E14" s="176">
        <f ca="1">IFERROR(__xludf.DUMMYFUNCTION("IMPORTRANGE(""https://docs.google.com/spreadsheets/d/1-uDff_7J0KD5mKrp0Vvzr7lt3OU09vwQwhkpOPPYv2Y/edit?usp=sharing"",""งบพรบ!DZ14"")"),102200)</f>
        <v>102200</v>
      </c>
      <c r="F14" s="176">
        <f ca="1">IFERROR(__xludf.DUMMYFUNCTION("IMPORTRANGE(""https://docs.google.com/spreadsheets/d/1-uDff_7J0KD5mKrp0Vvzr7lt3OU09vwQwhkpOPPYv2Y/edit?usp=sharing"",""งบพรบ!EA14"")"),82400)</f>
        <v>82400</v>
      </c>
      <c r="G14" s="177">
        <f ca="1">IFERROR(__xludf.DUMMYFUNCTION("IMPORTRANGE(""https://docs.google.com/spreadsheets/d/1-uDff_7J0KD5mKrp0Vvzr7lt3OU09vwQwhkpOPPYv2Y/edit?usp=sharing"",""งบพรบ!EB14"")"),0)</f>
        <v>0</v>
      </c>
      <c r="H14" s="177">
        <f ca="1">IFERROR(__xludf.DUMMYFUNCTION("IMPORTRANGE(""https://docs.google.com/spreadsheets/d/1-uDff_7J0KD5mKrp0Vvzr7lt3OU09vwQwhkpOPPYv2Y/edit?usp=sharing"",""งบพรบ!ED14"")"),137400)</f>
        <v>137400</v>
      </c>
      <c r="I14" s="177">
        <f ca="1">IFERROR(__xludf.DUMMYFUNCTION("IMPORTRANGE(""https://docs.google.com/spreadsheets/d/1-uDff_7J0KD5mKrp0Vvzr7lt3OU09vwQwhkpOPPYv2Y/edit?usp=sharing"",""งบพรบ!EE14"")"),0)</f>
        <v>0</v>
      </c>
      <c r="J14" s="177">
        <f t="shared" ca="1" si="26"/>
        <v>14600</v>
      </c>
      <c r="K14" s="178">
        <f t="shared" ca="1" si="27"/>
        <v>7.9089924160346694</v>
      </c>
      <c r="L14" s="177">
        <f ca="1">IFERROR(__xludf.DUMMYFUNCTION("IMPORTRANGE(""https://docs.google.com/spreadsheets/d/1-uDff_7J0KD5mKrp0Vvzr7lt3OU09vwQwhkpOPPYv2Y/edit?usp=sharing"",""งบพรบ!EF14"")"),14600)</f>
        <v>14600</v>
      </c>
      <c r="M14" s="179">
        <f t="shared" ca="1" si="28"/>
        <v>7.9089924160346694</v>
      </c>
      <c r="N14" s="179">
        <f t="shared" ca="1" si="29"/>
        <v>10.625909752547306</v>
      </c>
      <c r="O14" s="180">
        <f ca="1">IFERROR(__xludf.DUMMYFUNCTION("IMPORTRANGE(""https://docs.google.com/spreadsheets/d/1-uDff_7J0KD5mKrp0Vvzr7lt3OU09vwQwhkpOPPYv2Y/edit?usp=sharing"",""งบพรบ!EG14"")"),0)</f>
        <v>0</v>
      </c>
      <c r="P14" s="180">
        <f t="shared" ca="1" si="30"/>
        <v>0</v>
      </c>
      <c r="Q14" s="179">
        <f t="shared" ca="1" si="31"/>
        <v>0</v>
      </c>
      <c r="R14" s="344">
        <f ca="1">IFERROR(__xludf.DUMMYFUNCTION("IMPORTRANGE(""https://docs.google.com/spreadsheets/d/1jTcq05yEiRwXcBMLjiodW9e4biSGYWAHcDj22rKWQ3s/edit?usp=sharing"",""กำแพงเพชร!J313"")"),0)</f>
        <v>0</v>
      </c>
      <c r="S14" s="344">
        <f ca="1">IFERROR(__xludf.DUMMYFUNCTION("IMPORTRANGE(""https://docs.google.com/spreadsheets/d/1jTcq05yEiRwXcBMLjiodW9e4biSGYWAHcDj22rKWQ3s/edit?usp=sharing"",""กำแพงเพชร!I314"")"),20)</f>
        <v>20</v>
      </c>
      <c r="T14" s="177">
        <f ca="1">IFERROR(__xludf.DUMMYFUNCTION("IMPORTRANGE(""https://docs.google.com/spreadsheets/d/1jTcq05yEiRwXcBMLjiodW9e4biSGYWAHcDj22rKWQ3s/edit?usp=sharing"",""กำแพงเพชร!J314"")"),0)</f>
        <v>0</v>
      </c>
      <c r="U14" s="345">
        <f t="shared" ca="1" si="33"/>
        <v>0</v>
      </c>
      <c r="V14" s="344">
        <f ca="1">IFERROR(__xludf.DUMMYFUNCTION("IMPORTRANGE(""https://docs.google.com/spreadsheets/d/1jTcq05yEiRwXcBMLjiodW9e4biSGYWAHcDj22rKWQ3s/edit?usp=sharing"",""กำแพงเพชร!I315"")"),4)</f>
        <v>4</v>
      </c>
      <c r="W14" s="177">
        <f ca="1">IFERROR(__xludf.DUMMYFUNCTION("IMPORTRANGE(""https://docs.google.com/spreadsheets/d/1jTcq05yEiRwXcBMLjiodW9e4biSGYWAHcDj22rKWQ3s/edit?usp=sharing"",""กำแพงเพชร!J315"")"),0)</f>
        <v>0</v>
      </c>
      <c r="X14" s="345">
        <f t="shared" ca="1" si="35"/>
        <v>0</v>
      </c>
      <c r="Y14" s="344">
        <f ca="1">IFERROR(__xludf.DUMMYFUNCTION("IMPORTRANGE(""https://docs.google.com/spreadsheets/d/1jTcq05yEiRwXcBMLjiodW9e4biSGYWAHcDj22rKWQ3s/edit?usp=sharing"",""กำแพงเพชร!I316"")"),20)</f>
        <v>20</v>
      </c>
      <c r="Z14" s="177">
        <f ca="1">IFERROR(__xludf.DUMMYFUNCTION("IMPORTRANGE(""https://docs.google.com/spreadsheets/d/1jTcq05yEiRwXcBMLjiodW9e4biSGYWAHcDj22rKWQ3s/edit?usp=sharing"",""กำแพงเพชร!J316"")"),0)</f>
        <v>0</v>
      </c>
      <c r="AA14" s="345">
        <f t="shared" ca="1" si="37"/>
        <v>0</v>
      </c>
      <c r="AB14" s="344">
        <f ca="1">IFERROR(__xludf.DUMMYFUNCTION("IMPORTRANGE(""https://docs.google.com/spreadsheets/d/1jTcq05yEiRwXcBMLjiodW9e4biSGYWAHcDj22rKWQ3s/edit?usp=sharing"",""กำแพงเพชร!I317"")"),4)</f>
        <v>4</v>
      </c>
      <c r="AC14" s="177">
        <f ca="1">IFERROR(__xludf.DUMMYFUNCTION("IMPORTRANGE(""https://docs.google.com/spreadsheets/d/1jTcq05yEiRwXcBMLjiodW9e4biSGYWAHcDj22rKWQ3s/edit?usp=sharing"",""กำแพงเพชร!J317"")"),0)</f>
        <v>0</v>
      </c>
      <c r="AD14" s="345">
        <f t="shared" ca="1" si="39"/>
        <v>0</v>
      </c>
    </row>
    <row r="15" spans="1:30" ht="24" customHeight="1" x14ac:dyDescent="0.3">
      <c r="A15" s="84">
        <v>2</v>
      </c>
      <c r="B15" s="85" t="s">
        <v>37</v>
      </c>
      <c r="C15" s="174">
        <f t="shared" ca="1" si="24"/>
        <v>389000</v>
      </c>
      <c r="D15" s="175">
        <f t="shared" ca="1" si="40"/>
        <v>389000</v>
      </c>
      <c r="E15" s="176">
        <f ca="1">IFERROR(__xludf.DUMMYFUNCTION("IMPORTRANGE(""https://docs.google.com/spreadsheets/d/1-uDff_7J0KD5mKrp0Vvzr7lt3OU09vwQwhkpOPPYv2Y/edit?usp=sharing"",""งบพรบ!DZ15"")"),306600)</f>
        <v>306600</v>
      </c>
      <c r="F15" s="176">
        <f ca="1">IFERROR(__xludf.DUMMYFUNCTION("IMPORTRANGE(""https://docs.google.com/spreadsheets/d/1-uDff_7J0KD5mKrp0Vvzr7lt3OU09vwQwhkpOPPYv2Y/edit?usp=sharing"",""งบพรบ!EA15"")"),82400)</f>
        <v>82400</v>
      </c>
      <c r="G15" s="176">
        <f ca="1">IFERROR(__xludf.DUMMYFUNCTION("IMPORTRANGE(""https://docs.google.com/spreadsheets/d/1-uDff_7J0KD5mKrp0Vvzr7lt3OU09vwQwhkpOPPYv2Y/edit?usp=sharing"",""งบพรบ!EB15"")"),0)</f>
        <v>0</v>
      </c>
      <c r="H15" s="176">
        <f ca="1">IFERROR(__xludf.DUMMYFUNCTION("IMPORTRANGE(""https://docs.google.com/spreadsheets/d/1-uDff_7J0KD5mKrp0Vvzr7lt3OU09vwQwhkpOPPYv2Y/edit?usp=sharing"",""งบพรบ!ED15"")"),283400)</f>
        <v>283400</v>
      </c>
      <c r="I15" s="176">
        <f ca="1">IFERROR(__xludf.DUMMYFUNCTION("IMPORTRANGE(""https://docs.google.com/spreadsheets/d/1-uDff_7J0KD5mKrp0Vvzr7lt3OU09vwQwhkpOPPYv2Y/edit?usp=sharing"",""งบพรบ!EE15"")"),0)</f>
        <v>0</v>
      </c>
      <c r="J15" s="176">
        <f t="shared" ca="1" si="26"/>
        <v>67857.8</v>
      </c>
      <c r="K15" s="181">
        <f t="shared" ca="1" si="27"/>
        <v>17.444164524421595</v>
      </c>
      <c r="L15" s="176">
        <f ca="1">IFERROR(__xludf.DUMMYFUNCTION("IMPORTRANGE(""https://docs.google.com/spreadsheets/d/1-uDff_7J0KD5mKrp0Vvzr7lt3OU09vwQwhkpOPPYv2Y/edit?usp=sharing"",""งบพรบ!EF15"")"),67857.8)</f>
        <v>67857.8</v>
      </c>
      <c r="M15" s="179">
        <f t="shared" ca="1" si="28"/>
        <v>17.444164524421595</v>
      </c>
      <c r="N15" s="179">
        <f t="shared" ca="1" si="29"/>
        <v>23.944177840508114</v>
      </c>
      <c r="O15" s="180">
        <f ca="1">IFERROR(__xludf.DUMMYFUNCTION("IMPORTRANGE(""https://docs.google.com/spreadsheets/d/1-uDff_7J0KD5mKrp0Vvzr7lt3OU09vwQwhkpOPPYv2Y/edit?usp=sharing"",""งบพรบ!EG15"")"),0)</f>
        <v>0</v>
      </c>
      <c r="P15" s="180">
        <f t="shared" ca="1" si="30"/>
        <v>0</v>
      </c>
      <c r="Q15" s="179">
        <f t="shared" ca="1" si="31"/>
        <v>0</v>
      </c>
      <c r="R15" s="344">
        <f ca="1">IFERROR(__xludf.DUMMYFUNCTION("IMPORTRANGE(""https://docs.google.com/spreadsheets/d/1KS0zmDSZPk8KnTAbGN-Xk6MtX1YRZD0ldgdt20K4CRk/edit?usp=sharing"",""เชียงราย!J313"")"),1)</f>
        <v>1</v>
      </c>
      <c r="S15" s="344">
        <f ca="1">IFERROR(__xludf.DUMMYFUNCTION("IMPORTRANGE(""https://docs.google.com/spreadsheets/d/1KS0zmDSZPk8KnTAbGN-Xk6MtX1YRZD0ldgdt20K4CRk/edit?usp=sharing"",""เชียงราย!I314"")"),20)</f>
        <v>20</v>
      </c>
      <c r="T15" s="177">
        <f ca="1">IFERROR(__xludf.DUMMYFUNCTION("IMPORTRANGE(""https://docs.google.com/spreadsheets/d/1KS0zmDSZPk8KnTAbGN-Xk6MtX1YRZD0ldgdt20K4CRk/edit?usp=sharing"",""เชียงราย!J314"")"),20)</f>
        <v>20</v>
      </c>
      <c r="U15" s="345">
        <f t="shared" ca="1" si="33"/>
        <v>100</v>
      </c>
      <c r="V15" s="344">
        <f ca="1">IFERROR(__xludf.DUMMYFUNCTION("IMPORTRANGE(""https://docs.google.com/spreadsheets/d/1KS0zmDSZPk8KnTAbGN-Xk6MtX1YRZD0ldgdt20K4CRk/edit?usp=sharing"",""เชียงราย!I315"")"),4)</f>
        <v>4</v>
      </c>
      <c r="W15" s="177">
        <f ca="1">IFERROR(__xludf.DUMMYFUNCTION("IMPORTRANGE(""https://docs.google.com/spreadsheets/d/1KS0zmDSZPk8KnTAbGN-Xk6MtX1YRZD0ldgdt20K4CRk/edit?usp=sharing"",""เชียงราย!J315"")"),0)</f>
        <v>0</v>
      </c>
      <c r="X15" s="345">
        <f t="shared" ca="1" si="35"/>
        <v>0</v>
      </c>
      <c r="Y15" s="344">
        <f ca="1">IFERROR(__xludf.DUMMYFUNCTION("IMPORTRANGE(""https://docs.google.com/spreadsheets/d/1KS0zmDSZPk8KnTAbGN-Xk6MtX1YRZD0ldgdt20K4CRk/edit?usp=sharing"",""เชียงราย!I316"")"),20)</f>
        <v>20</v>
      </c>
      <c r="Z15" s="177">
        <f ca="1">IFERROR(__xludf.DUMMYFUNCTION("IMPORTRANGE(""https://docs.google.com/spreadsheets/d/1KS0zmDSZPk8KnTAbGN-Xk6MtX1YRZD0ldgdt20K4CRk/edit?usp=sharing"",""เชียงราย!J316"")"),0)</f>
        <v>0</v>
      </c>
      <c r="AA15" s="345">
        <f t="shared" ca="1" si="37"/>
        <v>0</v>
      </c>
      <c r="AB15" s="344">
        <f ca="1">IFERROR(__xludf.DUMMYFUNCTION("IMPORTRANGE(""https://docs.google.com/spreadsheets/d/1KS0zmDSZPk8KnTAbGN-Xk6MtX1YRZD0ldgdt20K4CRk/edit?usp=sharing"",""เชียงราย!I317"")"),4)</f>
        <v>4</v>
      </c>
      <c r="AC15" s="177">
        <f ca="1">IFERROR(__xludf.DUMMYFUNCTION("IMPORTRANGE(""https://docs.google.com/spreadsheets/d/1KS0zmDSZPk8KnTAbGN-Xk6MtX1YRZD0ldgdt20K4CRk/edit?usp=sharing"",""เชียงราย!J317"")"),0)</f>
        <v>0</v>
      </c>
      <c r="AD15" s="345">
        <f t="shared" ca="1" si="39"/>
        <v>0</v>
      </c>
    </row>
    <row r="16" spans="1:30" ht="24" customHeight="1" x14ac:dyDescent="0.3">
      <c r="A16" s="84">
        <v>3</v>
      </c>
      <c r="B16" s="85" t="s">
        <v>38</v>
      </c>
      <c r="C16" s="174">
        <f t="shared" ca="1" si="24"/>
        <v>235700</v>
      </c>
      <c r="D16" s="175">
        <f t="shared" ca="1" si="40"/>
        <v>235700</v>
      </c>
      <c r="E16" s="176">
        <f ca="1">IFERROR(__xludf.DUMMYFUNCTION("IMPORTRANGE(""https://docs.google.com/spreadsheets/d/1-uDff_7J0KD5mKrp0Vvzr7lt3OU09vwQwhkpOPPYv2Y/edit?usp=sharing"",""งบพรบ!DZ16"")"),153300)</f>
        <v>153300</v>
      </c>
      <c r="F16" s="176">
        <f ca="1">IFERROR(__xludf.DUMMYFUNCTION("IMPORTRANGE(""https://docs.google.com/spreadsheets/d/1-uDff_7J0KD5mKrp0Vvzr7lt3OU09vwQwhkpOPPYv2Y/edit?usp=sharing"",""งบพรบ!EA16"")"),82400)</f>
        <v>82400</v>
      </c>
      <c r="G16" s="176">
        <f ca="1">IFERROR(__xludf.DUMMYFUNCTION("IMPORTRANGE(""https://docs.google.com/spreadsheets/d/1-uDff_7J0KD5mKrp0Vvzr7lt3OU09vwQwhkpOPPYv2Y/edit?usp=sharing"",""งบพรบ!EB16"")"),0)</f>
        <v>0</v>
      </c>
      <c r="H16" s="176">
        <f ca="1">IFERROR(__xludf.DUMMYFUNCTION("IMPORTRANGE(""https://docs.google.com/spreadsheets/d/1-uDff_7J0KD5mKrp0Vvzr7lt3OU09vwQwhkpOPPYv2Y/edit?usp=sharing"",""งบพรบ!ED16"")"),173900)</f>
        <v>173900</v>
      </c>
      <c r="I16" s="176">
        <f ca="1">IFERROR(__xludf.DUMMYFUNCTION("IMPORTRANGE(""https://docs.google.com/spreadsheets/d/1-uDff_7J0KD5mKrp0Vvzr7lt3OU09vwQwhkpOPPYv2Y/edit?usp=sharing"",""งบพรบ!EE16"")"),0)</f>
        <v>0</v>
      </c>
      <c r="J16" s="176">
        <f t="shared" ca="1" si="26"/>
        <v>85840</v>
      </c>
      <c r="K16" s="181">
        <f t="shared" ca="1" si="27"/>
        <v>36.419176919813324</v>
      </c>
      <c r="L16" s="176">
        <f ca="1">IFERROR(__xludf.DUMMYFUNCTION("IMPORTRANGE(""https://docs.google.com/spreadsheets/d/1-uDff_7J0KD5mKrp0Vvzr7lt3OU09vwQwhkpOPPYv2Y/edit?usp=sharing"",""งบพรบ!EF16"")"),85840)</f>
        <v>85840</v>
      </c>
      <c r="M16" s="179">
        <f t="shared" ca="1" si="28"/>
        <v>36.419176919813324</v>
      </c>
      <c r="N16" s="179">
        <f t="shared" ca="1" si="29"/>
        <v>49.361702127659576</v>
      </c>
      <c r="O16" s="180">
        <f ca="1">IFERROR(__xludf.DUMMYFUNCTION("IMPORTRANGE(""https://docs.google.com/spreadsheets/d/1-uDff_7J0KD5mKrp0Vvzr7lt3OU09vwQwhkpOPPYv2Y/edit?usp=sharing"",""งบพรบ!EG16"")"),0)</f>
        <v>0</v>
      </c>
      <c r="P16" s="180">
        <f t="shared" ca="1" si="30"/>
        <v>0</v>
      </c>
      <c r="Q16" s="179">
        <f t="shared" ca="1" si="31"/>
        <v>0</v>
      </c>
      <c r="R16" s="344">
        <f ca="1">IFERROR(__xludf.DUMMYFUNCTION("IMPORTRANGE(""https://docs.google.com/spreadsheets/d/1rEDxBtusbi64tE0zunoIbsTVV16HeL0oJ6trHQeQ7K8/edit?usp=sharing"",""เชียงใหม่!J313"")"),0)</f>
        <v>0</v>
      </c>
      <c r="S16" s="344">
        <f ca="1">IFERROR(__xludf.DUMMYFUNCTION("IMPORTRANGE(""https://docs.google.com/spreadsheets/d/1rEDxBtusbi64tE0zunoIbsTVV16HeL0oJ6trHQeQ7K8/edit?usp=sharing"",""เชียงใหม่!I314"")"),20)</f>
        <v>20</v>
      </c>
      <c r="T16" s="177">
        <f ca="1">IFERROR(__xludf.DUMMYFUNCTION("IMPORTRANGE(""https://docs.google.com/spreadsheets/d/1rEDxBtusbi64tE0zunoIbsTVV16HeL0oJ6trHQeQ7K8/edit?usp=sharing"",""เชียงใหม่!J314"")"),0)</f>
        <v>0</v>
      </c>
      <c r="U16" s="345">
        <f t="shared" ca="1" si="33"/>
        <v>0</v>
      </c>
      <c r="V16" s="344">
        <f ca="1">IFERROR(__xludf.DUMMYFUNCTION("IMPORTRANGE(""https://docs.google.com/spreadsheets/d/1rEDxBtusbi64tE0zunoIbsTVV16HeL0oJ6trHQeQ7K8/edit?usp=sharing"",""เชียงใหม่!I315"")"),4)</f>
        <v>4</v>
      </c>
      <c r="W16" s="177">
        <f ca="1">IFERROR(__xludf.DUMMYFUNCTION("IMPORTRANGE(""https://docs.google.com/spreadsheets/d/1rEDxBtusbi64tE0zunoIbsTVV16HeL0oJ6trHQeQ7K8/edit?usp=sharing"",""เชียงใหม่!J315"")"),0)</f>
        <v>0</v>
      </c>
      <c r="X16" s="345">
        <f t="shared" ca="1" si="35"/>
        <v>0</v>
      </c>
      <c r="Y16" s="344">
        <f ca="1">IFERROR(__xludf.DUMMYFUNCTION("IMPORTRANGE(""https://docs.google.com/spreadsheets/d/1rEDxBtusbi64tE0zunoIbsTVV16HeL0oJ6trHQeQ7K8/edit?usp=sharing"",""เชียงใหม่!I316"")"),20)</f>
        <v>20</v>
      </c>
      <c r="Z16" s="177">
        <f ca="1">IFERROR(__xludf.DUMMYFUNCTION("IMPORTRANGE(""https://docs.google.com/spreadsheets/d/1rEDxBtusbi64tE0zunoIbsTVV16HeL0oJ6trHQeQ7K8/edit?usp=sharing"",""เชียงใหม่!J316"")"),0)</f>
        <v>0</v>
      </c>
      <c r="AA16" s="345">
        <f t="shared" ca="1" si="37"/>
        <v>0</v>
      </c>
      <c r="AB16" s="344">
        <f ca="1">IFERROR(__xludf.DUMMYFUNCTION("IMPORTRANGE(""https://docs.google.com/spreadsheets/d/1rEDxBtusbi64tE0zunoIbsTVV16HeL0oJ6trHQeQ7K8/edit?usp=sharing"",""เชียงใหม่!I317"")"),4)</f>
        <v>4</v>
      </c>
      <c r="AC16" s="177">
        <f ca="1">IFERROR(__xludf.DUMMYFUNCTION("IMPORTRANGE(""https://docs.google.com/spreadsheets/d/1rEDxBtusbi64tE0zunoIbsTVV16HeL0oJ6trHQeQ7K8/edit?usp=sharing"",""เชียงใหม่!J317"")"),0)</f>
        <v>0</v>
      </c>
      <c r="AD16" s="345">
        <f t="shared" ca="1" si="39"/>
        <v>0</v>
      </c>
    </row>
    <row r="17" spans="1:30" ht="24" customHeight="1" x14ac:dyDescent="0.3">
      <c r="A17" s="84">
        <v>4</v>
      </c>
      <c r="B17" s="85" t="s">
        <v>39</v>
      </c>
      <c r="C17" s="174">
        <f t="shared" ca="1" si="24"/>
        <v>133500</v>
      </c>
      <c r="D17" s="175">
        <f t="shared" ca="1" si="40"/>
        <v>133500</v>
      </c>
      <c r="E17" s="176">
        <f ca="1">IFERROR(__xludf.DUMMYFUNCTION("IMPORTRANGE(""https://docs.google.com/spreadsheets/d/1-uDff_7J0KD5mKrp0Vvzr7lt3OU09vwQwhkpOPPYv2Y/edit?usp=sharing"",""งบพรบ!DZ17"")"),51100)</f>
        <v>51100</v>
      </c>
      <c r="F17" s="176">
        <f ca="1">IFERROR(__xludf.DUMMYFUNCTION("IMPORTRANGE(""https://docs.google.com/spreadsheets/d/1-uDff_7J0KD5mKrp0Vvzr7lt3OU09vwQwhkpOPPYv2Y/edit?usp=sharing"",""งบพรบ!EA17"")"),82400)</f>
        <v>82400</v>
      </c>
      <c r="G17" s="176">
        <f ca="1">IFERROR(__xludf.DUMMYFUNCTION("IMPORTRANGE(""https://docs.google.com/spreadsheets/d/1-uDff_7J0KD5mKrp0Vvzr7lt3OU09vwQwhkpOPPYv2Y/edit?usp=sharing"",""งบพรบ!EB17"")"),0)</f>
        <v>0</v>
      </c>
      <c r="H17" s="176">
        <f ca="1">IFERROR(__xludf.DUMMYFUNCTION("IMPORTRANGE(""https://docs.google.com/spreadsheets/d/1-uDff_7J0KD5mKrp0Vvzr7lt3OU09vwQwhkpOPPYv2Y/edit?usp=sharing"",""งบพรบ!ED17"")"),100900)</f>
        <v>100900</v>
      </c>
      <c r="I17" s="176">
        <f ca="1">IFERROR(__xludf.DUMMYFUNCTION("IMPORTRANGE(""https://docs.google.com/spreadsheets/d/1-uDff_7J0KD5mKrp0Vvzr7lt3OU09vwQwhkpOPPYv2Y/edit?usp=sharing"",""งบพรบ!EE17"")"),0)</f>
        <v>0</v>
      </c>
      <c r="J17" s="176">
        <f t="shared" ca="1" si="26"/>
        <v>33693</v>
      </c>
      <c r="K17" s="181">
        <f t="shared" ca="1" si="27"/>
        <v>25.238202247191012</v>
      </c>
      <c r="L17" s="176">
        <f ca="1">IFERROR(__xludf.DUMMYFUNCTION("IMPORTRANGE(""https://docs.google.com/spreadsheets/d/1-uDff_7J0KD5mKrp0Vvzr7lt3OU09vwQwhkpOPPYv2Y/edit?usp=sharing"",""งบพรบ!EF17"")"),33693)</f>
        <v>33693</v>
      </c>
      <c r="M17" s="179">
        <f t="shared" ca="1" si="28"/>
        <v>25.238202247191012</v>
      </c>
      <c r="N17" s="179">
        <f t="shared" ca="1" si="29"/>
        <v>33.392467789890979</v>
      </c>
      <c r="O17" s="180">
        <f ca="1">IFERROR(__xludf.DUMMYFUNCTION("IMPORTRANGE(""https://docs.google.com/spreadsheets/d/1-uDff_7J0KD5mKrp0Vvzr7lt3OU09vwQwhkpOPPYv2Y/edit?usp=sharing"",""งบพรบ!EG17"")"),0)</f>
        <v>0</v>
      </c>
      <c r="P17" s="180">
        <f t="shared" ca="1" si="30"/>
        <v>0</v>
      </c>
      <c r="Q17" s="179">
        <f t="shared" ca="1" si="31"/>
        <v>0</v>
      </c>
      <c r="R17" s="344">
        <f ca="1">IFERROR(__xludf.DUMMYFUNCTION("IMPORTRANGE(""https://docs.google.com/spreadsheets/d/1W6MnUbDkMi6xHnHko_XkFDO9kkuL6Wqyc-6OCDFjW9I/edit?usp=sharing"",""ตาก!J313"")"),0)</f>
        <v>0</v>
      </c>
      <c r="S17" s="344">
        <f ca="1">IFERROR(__xludf.DUMMYFUNCTION("IMPORTRANGE(""https://docs.google.com/spreadsheets/d/1W6MnUbDkMi6xHnHko_XkFDO9kkuL6Wqyc-6OCDFjW9I/edit?usp=sharing"",""ตาก!I314"")"),20)</f>
        <v>20</v>
      </c>
      <c r="T17" s="177">
        <f ca="1">IFERROR(__xludf.DUMMYFUNCTION("IMPORTRANGE(""https://docs.google.com/spreadsheets/d/1W6MnUbDkMi6xHnHko_XkFDO9kkuL6Wqyc-6OCDFjW9I/edit?usp=sharing"",""ตาก!J314"")"),20)</f>
        <v>20</v>
      </c>
      <c r="U17" s="345">
        <f t="shared" ca="1" si="33"/>
        <v>100</v>
      </c>
      <c r="V17" s="344">
        <f ca="1">IFERROR(__xludf.DUMMYFUNCTION("IMPORTRANGE(""https://docs.google.com/spreadsheets/d/1W6MnUbDkMi6xHnHko_XkFDO9kkuL6Wqyc-6OCDFjW9I/edit?usp=sharing"",""ตาก!I315"")"),4)</f>
        <v>4</v>
      </c>
      <c r="W17" s="177">
        <f ca="1">IFERROR(__xludf.DUMMYFUNCTION("IMPORTRANGE(""https://docs.google.com/spreadsheets/d/1W6MnUbDkMi6xHnHko_XkFDO9kkuL6Wqyc-6OCDFjW9I/edit?usp=sharing"",""ตาก!J315"")"),0)</f>
        <v>0</v>
      </c>
      <c r="X17" s="345">
        <f t="shared" ca="1" si="35"/>
        <v>0</v>
      </c>
      <c r="Y17" s="344">
        <f ca="1">IFERROR(__xludf.DUMMYFUNCTION("IMPORTRANGE(""https://docs.google.com/spreadsheets/d/1W6MnUbDkMi6xHnHko_XkFDO9kkuL6Wqyc-6OCDFjW9I/edit?usp=sharing"",""ตาก!I316"")"),20)</f>
        <v>20</v>
      </c>
      <c r="Z17" s="177">
        <f ca="1">IFERROR(__xludf.DUMMYFUNCTION("IMPORTRANGE(""https://docs.google.com/spreadsheets/d/1W6MnUbDkMi6xHnHko_XkFDO9kkuL6Wqyc-6OCDFjW9I/edit?usp=sharing"",""ตาก!J316"")"),0)</f>
        <v>0</v>
      </c>
      <c r="AA17" s="345">
        <f t="shared" ca="1" si="37"/>
        <v>0</v>
      </c>
      <c r="AB17" s="344">
        <f ca="1">IFERROR(__xludf.DUMMYFUNCTION("IMPORTRANGE(""https://docs.google.com/spreadsheets/d/1W6MnUbDkMi6xHnHko_XkFDO9kkuL6Wqyc-6OCDFjW9I/edit?usp=sharing"",""ตาก!I317"")"),4)</f>
        <v>4</v>
      </c>
      <c r="AC17" s="177">
        <f ca="1">IFERROR(__xludf.DUMMYFUNCTION("IMPORTRANGE(""https://docs.google.com/spreadsheets/d/1W6MnUbDkMi6xHnHko_XkFDO9kkuL6Wqyc-6OCDFjW9I/edit?usp=sharing"",""ตาก!J317"")"),0)</f>
        <v>0</v>
      </c>
      <c r="AD17" s="345">
        <f t="shared" ca="1" si="39"/>
        <v>0</v>
      </c>
    </row>
    <row r="18" spans="1:30" ht="24" customHeight="1" x14ac:dyDescent="0.3">
      <c r="A18" s="84">
        <v>5</v>
      </c>
      <c r="B18" s="85" t="s">
        <v>40</v>
      </c>
      <c r="C18" s="174">
        <f t="shared" ca="1" si="24"/>
        <v>152100</v>
      </c>
      <c r="D18" s="175">
        <f t="shared" ca="1" si="40"/>
        <v>152100</v>
      </c>
      <c r="E18" s="176">
        <f ca="1">IFERROR(__xludf.DUMMYFUNCTION("IMPORTRANGE(""https://docs.google.com/spreadsheets/d/1-uDff_7J0KD5mKrp0Vvzr7lt3OU09vwQwhkpOPPYv2Y/edit?usp=sharing"",""งบพรบ!DZ18"")"),51100)</f>
        <v>51100</v>
      </c>
      <c r="F18" s="176">
        <f ca="1">IFERROR(__xludf.DUMMYFUNCTION("IMPORTRANGE(""https://docs.google.com/spreadsheets/d/1-uDff_7J0KD5mKrp0Vvzr7lt3OU09vwQwhkpOPPYv2Y/edit?usp=sharing"",""งบพรบ!EA18"")"),101000)</f>
        <v>101000</v>
      </c>
      <c r="G18" s="176">
        <f ca="1">IFERROR(__xludf.DUMMYFUNCTION("IMPORTRANGE(""https://docs.google.com/spreadsheets/d/1-uDff_7J0KD5mKrp0Vvzr7lt3OU09vwQwhkpOPPYv2Y/edit?usp=sharing"",""งบพรบ!EB18"")"),0)</f>
        <v>0</v>
      </c>
      <c r="H18" s="176">
        <f ca="1">IFERROR(__xludf.DUMMYFUNCTION("IMPORTRANGE(""https://docs.google.com/spreadsheets/d/1-uDff_7J0KD5mKrp0Vvzr7lt3OU09vwQwhkpOPPYv2Y/edit?usp=sharing"",""งบพรบ!ED18"")"),115000)</f>
        <v>115000</v>
      </c>
      <c r="I18" s="176">
        <f ca="1">IFERROR(__xludf.DUMMYFUNCTION("IMPORTRANGE(""https://docs.google.com/spreadsheets/d/1-uDff_7J0KD5mKrp0Vvzr7lt3OU09vwQwhkpOPPYv2Y/edit?usp=sharing"",""งบพรบ!EE18"")"),0)</f>
        <v>0</v>
      </c>
      <c r="J18" s="176">
        <f t="shared" ca="1" si="26"/>
        <v>7300</v>
      </c>
      <c r="K18" s="181">
        <f t="shared" ca="1" si="27"/>
        <v>4.7994740302432612</v>
      </c>
      <c r="L18" s="176">
        <f ca="1">IFERROR(__xludf.DUMMYFUNCTION("IMPORTRANGE(""https://docs.google.com/spreadsheets/d/1-uDff_7J0KD5mKrp0Vvzr7lt3OU09vwQwhkpOPPYv2Y/edit?usp=sharing"",""งบพรบ!EF18"")"),7300)</f>
        <v>7300</v>
      </c>
      <c r="M18" s="179">
        <f t="shared" ca="1" si="28"/>
        <v>4.7994740302432612</v>
      </c>
      <c r="N18" s="179">
        <f t="shared" ca="1" si="29"/>
        <v>6.3478260869565215</v>
      </c>
      <c r="O18" s="180">
        <f ca="1">IFERROR(__xludf.DUMMYFUNCTION("IMPORTRANGE(""https://docs.google.com/spreadsheets/d/1-uDff_7J0KD5mKrp0Vvzr7lt3OU09vwQwhkpOPPYv2Y/edit?usp=sharing"",""งบพรบ!EG18"")"),0)</f>
        <v>0</v>
      </c>
      <c r="P18" s="180">
        <f t="shared" ca="1" si="30"/>
        <v>0</v>
      </c>
      <c r="Q18" s="179">
        <f t="shared" ca="1" si="31"/>
        <v>0</v>
      </c>
      <c r="R18" s="344">
        <f ca="1">IFERROR(__xludf.DUMMYFUNCTION("IMPORTRANGE(""https://docs.google.com/spreadsheets/d/1IQAWArduLkta9LpYo4a_ULsyqdta6-6aDDiwpUnQT6c/edit?usp=sharing"",""นครสวรรค์!J313"")"),0)</f>
        <v>0</v>
      </c>
      <c r="S18" s="344">
        <f ca="1">IFERROR(__xludf.DUMMYFUNCTION("IMPORTRANGE(""https://docs.google.com/spreadsheets/d/1IQAWArduLkta9LpYo4a_ULsyqdta6-6aDDiwpUnQT6c/edit?usp=sharing"",""นครสวรรค์!I314"")"),25)</f>
        <v>25</v>
      </c>
      <c r="T18" s="177">
        <f ca="1">IFERROR(__xludf.DUMMYFUNCTION("IMPORTRANGE(""https://docs.google.com/spreadsheets/d/1IQAWArduLkta9LpYo4a_ULsyqdta6-6aDDiwpUnQT6c/edit?usp=sharing"",""นครสวรรค์!J314"")"),0)</f>
        <v>0</v>
      </c>
      <c r="U18" s="345">
        <f t="shared" ca="1" si="33"/>
        <v>0</v>
      </c>
      <c r="V18" s="344">
        <f ca="1">IFERROR(__xludf.DUMMYFUNCTION("IMPORTRANGE(""https://docs.google.com/spreadsheets/d/1IQAWArduLkta9LpYo4a_ULsyqdta6-6aDDiwpUnQT6c/edit?usp=sharing"",""นครสวรรค์!I315"")"),5)</f>
        <v>5</v>
      </c>
      <c r="W18" s="177">
        <f ca="1">IFERROR(__xludf.DUMMYFUNCTION("IMPORTRANGE(""https://docs.google.com/spreadsheets/d/1IQAWArduLkta9LpYo4a_ULsyqdta6-6aDDiwpUnQT6c/edit?usp=sharing"",""นครสวรรค์!J315"")"),0)</f>
        <v>0</v>
      </c>
      <c r="X18" s="345">
        <f t="shared" ca="1" si="35"/>
        <v>0</v>
      </c>
      <c r="Y18" s="344">
        <f ca="1">IFERROR(__xludf.DUMMYFUNCTION("IMPORTRANGE(""https://docs.google.com/spreadsheets/d/1IQAWArduLkta9LpYo4a_ULsyqdta6-6aDDiwpUnQT6c/edit?usp=sharing"",""นครสวรรค์!I316"")"),25)</f>
        <v>25</v>
      </c>
      <c r="Z18" s="177">
        <f ca="1">IFERROR(__xludf.DUMMYFUNCTION("IMPORTRANGE(""https://docs.google.com/spreadsheets/d/1IQAWArduLkta9LpYo4a_ULsyqdta6-6aDDiwpUnQT6c/edit?usp=sharing"",""นครสวรรค์!J316"")"),0)</f>
        <v>0</v>
      </c>
      <c r="AA18" s="345">
        <f t="shared" ca="1" si="37"/>
        <v>0</v>
      </c>
      <c r="AB18" s="344">
        <f ca="1">IFERROR(__xludf.DUMMYFUNCTION("IMPORTRANGE(""https://docs.google.com/spreadsheets/d/1IQAWArduLkta9LpYo4a_ULsyqdta6-6aDDiwpUnQT6c/edit?usp=sharing"",""นครสวรรค์!I317"")"),5)</f>
        <v>5</v>
      </c>
      <c r="AC18" s="177">
        <f ca="1">IFERROR(__xludf.DUMMYFUNCTION("IMPORTRANGE(""https://docs.google.com/spreadsheets/d/1IQAWArduLkta9LpYo4a_ULsyqdta6-6aDDiwpUnQT6c/edit?usp=sharing"",""นครสวรรค์!J317"")"),0)</f>
        <v>0</v>
      </c>
      <c r="AD18" s="345">
        <f t="shared" ca="1" si="39"/>
        <v>0</v>
      </c>
    </row>
    <row r="19" spans="1:30" ht="24" customHeight="1" x14ac:dyDescent="0.3">
      <c r="A19" s="84">
        <v>6</v>
      </c>
      <c r="B19" s="85" t="s">
        <v>41</v>
      </c>
      <c r="C19" s="174">
        <f t="shared" ca="1" si="24"/>
        <v>0</v>
      </c>
      <c r="D19" s="175">
        <f t="shared" ca="1" si="40"/>
        <v>0</v>
      </c>
      <c r="E19" s="176">
        <f ca="1">IFERROR(__xludf.DUMMYFUNCTION("IMPORTRANGE(""https://docs.google.com/spreadsheets/d/1-uDff_7J0KD5mKrp0Vvzr7lt3OU09vwQwhkpOPPYv2Y/edit?usp=sharing"",""งบพรบ!DZ19"")"),0)</f>
        <v>0</v>
      </c>
      <c r="F19" s="176">
        <f ca="1">IFERROR(__xludf.DUMMYFUNCTION("IMPORTRANGE(""https://docs.google.com/spreadsheets/d/1-uDff_7J0KD5mKrp0Vvzr7lt3OU09vwQwhkpOPPYv2Y/edit?usp=sharing"",""งบพรบ!EA19"")"),0)</f>
        <v>0</v>
      </c>
      <c r="G19" s="176">
        <f ca="1">IFERROR(__xludf.DUMMYFUNCTION("IMPORTRANGE(""https://docs.google.com/spreadsheets/d/1-uDff_7J0KD5mKrp0Vvzr7lt3OU09vwQwhkpOPPYv2Y/edit?usp=sharing"",""งบพรบ!EB19"")"),0)</f>
        <v>0</v>
      </c>
      <c r="H19" s="176">
        <f ca="1">IFERROR(__xludf.DUMMYFUNCTION("IMPORTRANGE(""https://docs.google.com/spreadsheets/d/1-uDff_7J0KD5mKrp0Vvzr7lt3OU09vwQwhkpOPPYv2Y/edit?usp=sharing"",""งบพรบ!ED19"")"),0)</f>
        <v>0</v>
      </c>
      <c r="I19" s="176">
        <f ca="1">IFERROR(__xludf.DUMMYFUNCTION("IMPORTRANGE(""https://docs.google.com/spreadsheets/d/1-uDff_7J0KD5mKrp0Vvzr7lt3OU09vwQwhkpOPPYv2Y/edit?usp=sharing"",""งบพรบ!EE19"")"),0)</f>
        <v>0</v>
      </c>
      <c r="J19" s="176">
        <f t="shared" ca="1" si="26"/>
        <v>0</v>
      </c>
      <c r="K19" s="181">
        <f t="shared" ca="1" si="27"/>
        <v>0</v>
      </c>
      <c r="L19" s="176">
        <f ca="1">IFERROR(__xludf.DUMMYFUNCTION("IMPORTRANGE(""https://docs.google.com/spreadsheets/d/1-uDff_7J0KD5mKrp0Vvzr7lt3OU09vwQwhkpOPPYv2Y/edit?usp=sharing"",""งบพรบ!EF19"")"),0)</f>
        <v>0</v>
      </c>
      <c r="M19" s="179">
        <f t="shared" ca="1" si="28"/>
        <v>0</v>
      </c>
      <c r="N19" s="179">
        <f t="shared" ca="1" si="29"/>
        <v>0</v>
      </c>
      <c r="O19" s="180">
        <f ca="1">IFERROR(__xludf.DUMMYFUNCTION("IMPORTRANGE(""https://docs.google.com/spreadsheets/d/1-uDff_7J0KD5mKrp0Vvzr7lt3OU09vwQwhkpOPPYv2Y/edit?usp=sharing"",""งบพรบ!EG19"")"),0)</f>
        <v>0</v>
      </c>
      <c r="P19" s="180">
        <f t="shared" ca="1" si="30"/>
        <v>0</v>
      </c>
      <c r="Q19" s="179">
        <f t="shared" ca="1" si="31"/>
        <v>0</v>
      </c>
      <c r="R19" s="344">
        <f ca="1">IFERROR(__xludf.DUMMYFUNCTION("IMPORTRANGE(""https://docs.google.com/spreadsheets/d/10s13Sk5xrltsiR-Zkbmk5DwIaDIKO8XlbJAfqyT7Gvg/edit?usp=sharing"",""น่าน!J313"")"),0)</f>
        <v>0</v>
      </c>
      <c r="S19" s="344">
        <f ca="1">IFERROR(__xludf.DUMMYFUNCTION("IMPORTRANGE(""https://docs.google.com/spreadsheets/d/10s13Sk5xrltsiR-Zkbmk5DwIaDIKO8XlbJAfqyT7Gvg/edit?usp=sharing"",""น่าน!I314"")"),0)</f>
        <v>0</v>
      </c>
      <c r="T19" s="177">
        <f ca="1">IFERROR(__xludf.DUMMYFUNCTION("IMPORTRANGE(""https://docs.google.com/spreadsheets/d/10s13Sk5xrltsiR-Zkbmk5DwIaDIKO8XlbJAfqyT7Gvg/edit?usp=sharing"",""น่าน!J314"")"),0)</f>
        <v>0</v>
      </c>
      <c r="U19" s="345">
        <f t="shared" ca="1" si="33"/>
        <v>0</v>
      </c>
      <c r="V19" s="344">
        <f ca="1">IFERROR(__xludf.DUMMYFUNCTION("IMPORTRANGE(""https://docs.google.com/spreadsheets/d/10s13Sk5xrltsiR-Zkbmk5DwIaDIKO8XlbJAfqyT7Gvg/edit?usp=sharing"",""น่าน!I315"")"),0)</f>
        <v>0</v>
      </c>
      <c r="W19" s="177">
        <f ca="1">IFERROR(__xludf.DUMMYFUNCTION("IMPORTRANGE(""https://docs.google.com/spreadsheets/d/10s13Sk5xrltsiR-Zkbmk5DwIaDIKO8XlbJAfqyT7Gvg/edit?usp=sharing"",""น่าน!J315"")"),0)</f>
        <v>0</v>
      </c>
      <c r="X19" s="345">
        <f t="shared" ca="1" si="35"/>
        <v>0</v>
      </c>
      <c r="Y19" s="344">
        <f ca="1">IFERROR(__xludf.DUMMYFUNCTION("IMPORTRANGE(""https://docs.google.com/spreadsheets/d/10s13Sk5xrltsiR-Zkbmk5DwIaDIKO8XlbJAfqyT7Gvg/edit?usp=sharing"",""น่าน!I316"")"),0)</f>
        <v>0</v>
      </c>
      <c r="Z19" s="177">
        <f ca="1">IFERROR(__xludf.DUMMYFUNCTION("IMPORTRANGE(""https://docs.google.com/spreadsheets/d/10s13Sk5xrltsiR-Zkbmk5DwIaDIKO8XlbJAfqyT7Gvg/edit?usp=sharing"",""น่าน!J316"")"),0)</f>
        <v>0</v>
      </c>
      <c r="AA19" s="345">
        <f t="shared" ca="1" si="37"/>
        <v>0</v>
      </c>
      <c r="AB19" s="344">
        <f ca="1">IFERROR(__xludf.DUMMYFUNCTION("IMPORTRANGE(""https://docs.google.com/spreadsheets/d/10s13Sk5xrltsiR-Zkbmk5DwIaDIKO8XlbJAfqyT7Gvg/edit?usp=sharing"",""น่าน!I317"")"),0)</f>
        <v>0</v>
      </c>
      <c r="AC19" s="177">
        <f ca="1">IFERROR(__xludf.DUMMYFUNCTION("IMPORTRANGE(""https://docs.google.com/spreadsheets/d/10s13Sk5xrltsiR-Zkbmk5DwIaDIKO8XlbJAfqyT7Gvg/edit?usp=sharing"",""น่าน!J317"")"),0)</f>
        <v>0</v>
      </c>
      <c r="AD19" s="345">
        <f t="shared" ca="1" si="39"/>
        <v>0</v>
      </c>
    </row>
    <row r="20" spans="1:30" ht="24" customHeight="1" x14ac:dyDescent="0.3">
      <c r="A20" s="84">
        <v>7</v>
      </c>
      <c r="B20" s="85" t="s">
        <v>42</v>
      </c>
      <c r="C20" s="174">
        <f t="shared" ca="1" si="24"/>
        <v>133500</v>
      </c>
      <c r="D20" s="175">
        <f t="shared" ca="1" si="40"/>
        <v>133500</v>
      </c>
      <c r="E20" s="176">
        <f ca="1">IFERROR(__xludf.DUMMYFUNCTION("IMPORTRANGE(""https://docs.google.com/spreadsheets/d/1-uDff_7J0KD5mKrp0Vvzr7lt3OU09vwQwhkpOPPYv2Y/edit?usp=sharing"",""งบพรบ!DZ20"")"),51100)</f>
        <v>51100</v>
      </c>
      <c r="F20" s="176">
        <f ca="1">IFERROR(__xludf.DUMMYFUNCTION("IMPORTRANGE(""https://docs.google.com/spreadsheets/d/1-uDff_7J0KD5mKrp0Vvzr7lt3OU09vwQwhkpOPPYv2Y/edit?usp=sharing"",""งบพรบ!EA20"")"),82400)</f>
        <v>82400</v>
      </c>
      <c r="G20" s="176">
        <f ca="1">IFERROR(__xludf.DUMMYFUNCTION("IMPORTRANGE(""https://docs.google.com/spreadsheets/d/1-uDff_7J0KD5mKrp0Vvzr7lt3OU09vwQwhkpOPPYv2Y/edit?usp=sharing"",""งบพรบ!EB20"")"),0)</f>
        <v>0</v>
      </c>
      <c r="H20" s="176">
        <f ca="1">IFERROR(__xludf.DUMMYFUNCTION("IMPORTRANGE(""https://docs.google.com/spreadsheets/d/1-uDff_7J0KD5mKrp0Vvzr7lt3OU09vwQwhkpOPPYv2Y/edit?usp=sharing"",""งบพรบ!ED20"")"),100900)</f>
        <v>100900</v>
      </c>
      <c r="I20" s="176">
        <f ca="1">IFERROR(__xludf.DUMMYFUNCTION("IMPORTRANGE(""https://docs.google.com/spreadsheets/d/1-uDff_7J0KD5mKrp0Vvzr7lt3OU09vwQwhkpOPPYv2Y/edit?usp=sharing"",""งบพรบ!EE20"")"),0)</f>
        <v>0</v>
      </c>
      <c r="J20" s="176">
        <f t="shared" ca="1" si="26"/>
        <v>14600</v>
      </c>
      <c r="K20" s="181">
        <f t="shared" ca="1" si="27"/>
        <v>10.936329588014981</v>
      </c>
      <c r="L20" s="176">
        <f ca="1">IFERROR(__xludf.DUMMYFUNCTION("IMPORTRANGE(""https://docs.google.com/spreadsheets/d/1-uDff_7J0KD5mKrp0Vvzr7lt3OU09vwQwhkpOPPYv2Y/edit?usp=sharing"",""งบพรบ!EF20"")"),14600)</f>
        <v>14600</v>
      </c>
      <c r="M20" s="179">
        <f t="shared" ca="1" si="28"/>
        <v>10.936329588014981</v>
      </c>
      <c r="N20" s="179">
        <f t="shared" ca="1" si="29"/>
        <v>14.469772051536175</v>
      </c>
      <c r="O20" s="180">
        <f ca="1">IFERROR(__xludf.DUMMYFUNCTION("IMPORTRANGE(""https://docs.google.com/spreadsheets/d/1-uDff_7J0KD5mKrp0Vvzr7lt3OU09vwQwhkpOPPYv2Y/edit?usp=sharing"",""งบพรบ!EG20"")"),0)</f>
        <v>0</v>
      </c>
      <c r="P20" s="180">
        <f t="shared" ca="1" si="30"/>
        <v>0</v>
      </c>
      <c r="Q20" s="179">
        <f t="shared" ca="1" si="31"/>
        <v>0</v>
      </c>
      <c r="R20" s="344">
        <f ca="1">IFERROR(__xludf.DUMMYFUNCTION("IMPORTRANGE(""https://docs.google.com/spreadsheets/d/1uu4nAn4Dbi1XREnLKKotUANlKXa7yCgRcgq8HEzQYW8/edit?usp=sharing"",""พะเยา!J313"")"),0)</f>
        <v>0</v>
      </c>
      <c r="S20" s="344">
        <f ca="1">IFERROR(__xludf.DUMMYFUNCTION("IMPORTRANGE(""https://docs.google.com/spreadsheets/d/1uu4nAn4Dbi1XREnLKKotUANlKXa7yCgRcgq8HEzQYW8/edit?usp=sharing"",""พะเยา!I314"")"),20)</f>
        <v>20</v>
      </c>
      <c r="T20" s="177">
        <f ca="1">IFERROR(__xludf.DUMMYFUNCTION("IMPORTRANGE(""https://docs.google.com/spreadsheets/d/1uu4nAn4Dbi1XREnLKKotUANlKXa7yCgRcgq8HEzQYW8/edit?usp=sharing"",""พะเยา!J314"")"),0)</f>
        <v>0</v>
      </c>
      <c r="U20" s="345">
        <f t="shared" ca="1" si="33"/>
        <v>0</v>
      </c>
      <c r="V20" s="344">
        <f ca="1">IFERROR(__xludf.DUMMYFUNCTION("IMPORTRANGE(""https://docs.google.com/spreadsheets/d/1uu4nAn4Dbi1XREnLKKotUANlKXa7yCgRcgq8HEzQYW8/edit?usp=sharing"",""พะเยา!I315"")"),4)</f>
        <v>4</v>
      </c>
      <c r="W20" s="177">
        <f ca="1">IFERROR(__xludf.DUMMYFUNCTION("IMPORTRANGE(""https://docs.google.com/spreadsheets/d/1uu4nAn4Dbi1XREnLKKotUANlKXa7yCgRcgq8HEzQYW8/edit?usp=sharing"",""พะเยา!J315"")"),0)</f>
        <v>0</v>
      </c>
      <c r="X20" s="345">
        <f t="shared" ca="1" si="35"/>
        <v>0</v>
      </c>
      <c r="Y20" s="344">
        <f ca="1">IFERROR(__xludf.DUMMYFUNCTION("IMPORTRANGE(""https://docs.google.com/spreadsheets/d/1uu4nAn4Dbi1XREnLKKotUANlKXa7yCgRcgq8HEzQYW8/edit?usp=sharing"",""พะเยา!I316"")"),20)</f>
        <v>20</v>
      </c>
      <c r="Z20" s="177">
        <f ca="1">IFERROR(__xludf.DUMMYFUNCTION("IMPORTRANGE(""https://docs.google.com/spreadsheets/d/1uu4nAn4Dbi1XREnLKKotUANlKXa7yCgRcgq8HEzQYW8/edit?usp=sharing"",""พะเยา!J316"")"),0)</f>
        <v>0</v>
      </c>
      <c r="AA20" s="345">
        <f t="shared" ca="1" si="37"/>
        <v>0</v>
      </c>
      <c r="AB20" s="344">
        <f ca="1">IFERROR(__xludf.DUMMYFUNCTION("IMPORTRANGE(""https://docs.google.com/spreadsheets/d/1uu4nAn4Dbi1XREnLKKotUANlKXa7yCgRcgq8HEzQYW8/edit?usp=sharing"",""พะเยา!I317"")"),4)</f>
        <v>4</v>
      </c>
      <c r="AC20" s="177">
        <f ca="1">IFERROR(__xludf.DUMMYFUNCTION("IMPORTRANGE(""https://docs.google.com/spreadsheets/d/1uu4nAn4Dbi1XREnLKKotUANlKXa7yCgRcgq8HEzQYW8/edit?usp=sharing"",""พะเยา!J317"")"),0)</f>
        <v>0</v>
      </c>
      <c r="AD20" s="345">
        <f t="shared" ca="1" si="39"/>
        <v>0</v>
      </c>
    </row>
    <row r="21" spans="1:30" ht="24" customHeight="1" x14ac:dyDescent="0.3">
      <c r="A21" s="84">
        <v>8</v>
      </c>
      <c r="B21" s="85" t="s">
        <v>43</v>
      </c>
      <c r="C21" s="174">
        <f t="shared" ca="1" si="24"/>
        <v>0</v>
      </c>
      <c r="D21" s="175">
        <f t="shared" ca="1" si="40"/>
        <v>0</v>
      </c>
      <c r="E21" s="176">
        <f ca="1">IFERROR(__xludf.DUMMYFUNCTION("IMPORTRANGE(""https://docs.google.com/spreadsheets/d/1-uDff_7J0KD5mKrp0Vvzr7lt3OU09vwQwhkpOPPYv2Y/edit?usp=sharing"",""งบพรบ!DZ21"")"),0)</f>
        <v>0</v>
      </c>
      <c r="F21" s="176">
        <f ca="1">IFERROR(__xludf.DUMMYFUNCTION("IMPORTRANGE(""https://docs.google.com/spreadsheets/d/1-uDff_7J0KD5mKrp0Vvzr7lt3OU09vwQwhkpOPPYv2Y/edit?usp=sharing"",""งบพรบ!EA21"")"),0)</f>
        <v>0</v>
      </c>
      <c r="G21" s="176">
        <f ca="1">IFERROR(__xludf.DUMMYFUNCTION("IMPORTRANGE(""https://docs.google.com/spreadsheets/d/1-uDff_7J0KD5mKrp0Vvzr7lt3OU09vwQwhkpOPPYv2Y/edit?usp=sharing"",""งบพรบ!EB21"")"),0)</f>
        <v>0</v>
      </c>
      <c r="H21" s="176">
        <f ca="1">IFERROR(__xludf.DUMMYFUNCTION("IMPORTRANGE(""https://docs.google.com/spreadsheets/d/1-uDff_7J0KD5mKrp0Vvzr7lt3OU09vwQwhkpOPPYv2Y/edit?usp=sharing"",""งบพรบ!ED21"")"),0)</f>
        <v>0</v>
      </c>
      <c r="I21" s="176">
        <f ca="1">IFERROR(__xludf.DUMMYFUNCTION("IMPORTRANGE(""https://docs.google.com/spreadsheets/d/1-uDff_7J0KD5mKrp0Vvzr7lt3OU09vwQwhkpOPPYv2Y/edit?usp=sharing"",""งบพรบ!EE21"")"),0)</f>
        <v>0</v>
      </c>
      <c r="J21" s="176">
        <f t="shared" ca="1" si="26"/>
        <v>0</v>
      </c>
      <c r="K21" s="181">
        <f t="shared" ca="1" si="27"/>
        <v>0</v>
      </c>
      <c r="L21" s="176">
        <f ca="1">IFERROR(__xludf.DUMMYFUNCTION("IMPORTRANGE(""https://docs.google.com/spreadsheets/d/1-uDff_7J0KD5mKrp0Vvzr7lt3OU09vwQwhkpOPPYv2Y/edit?usp=sharing"",""งบพรบ!EF21"")"),0)</f>
        <v>0</v>
      </c>
      <c r="M21" s="179">
        <f t="shared" ca="1" si="28"/>
        <v>0</v>
      </c>
      <c r="N21" s="179">
        <f t="shared" ca="1" si="29"/>
        <v>0</v>
      </c>
      <c r="O21" s="180">
        <f ca="1">IFERROR(__xludf.DUMMYFUNCTION("IMPORTRANGE(""https://docs.google.com/spreadsheets/d/1-uDff_7J0KD5mKrp0Vvzr7lt3OU09vwQwhkpOPPYv2Y/edit?usp=sharing"",""งบพรบ!EG21"")"),0)</f>
        <v>0</v>
      </c>
      <c r="P21" s="180">
        <f t="shared" ca="1" si="30"/>
        <v>0</v>
      </c>
      <c r="Q21" s="179">
        <f t="shared" ca="1" si="31"/>
        <v>0</v>
      </c>
      <c r="R21" s="344">
        <f ca="1">IFERROR(__xludf.DUMMYFUNCTION("IMPORTRANGE(""https://docs.google.com/spreadsheets/d/1xfJKIQxVOaPDIICqsflNlLu3JacTDk1FP9RH4phX7mI/edit?usp=sharing"",""พิจิตร!J313"")"),0)</f>
        <v>0</v>
      </c>
      <c r="S21" s="344">
        <f ca="1">IFERROR(__xludf.DUMMYFUNCTION("IMPORTRANGE(""https://docs.google.com/spreadsheets/d/1xfJKIQxVOaPDIICqsflNlLu3JacTDk1FP9RH4phX7mI/edit?usp=sharing"",""พิจิตร!I314"")"),0)</f>
        <v>0</v>
      </c>
      <c r="T21" s="177">
        <f ca="1">IFERROR(__xludf.DUMMYFUNCTION("IMPORTRANGE(""https://docs.google.com/spreadsheets/d/1xfJKIQxVOaPDIICqsflNlLu3JacTDk1FP9RH4phX7mI/edit?usp=sharing"",""พิจิตร!J314"")"),0)</f>
        <v>0</v>
      </c>
      <c r="U21" s="345">
        <f t="shared" ca="1" si="33"/>
        <v>0</v>
      </c>
      <c r="V21" s="344">
        <f ca="1">IFERROR(__xludf.DUMMYFUNCTION("IMPORTRANGE(""https://docs.google.com/spreadsheets/d/1xfJKIQxVOaPDIICqsflNlLu3JacTDk1FP9RH4phX7mI/edit?usp=sharing"",""พิจิตร!I315"")"),0)</f>
        <v>0</v>
      </c>
      <c r="W21" s="177">
        <f ca="1">IFERROR(__xludf.DUMMYFUNCTION("IMPORTRANGE(""https://docs.google.com/spreadsheets/d/1xfJKIQxVOaPDIICqsflNlLu3JacTDk1FP9RH4phX7mI/edit?usp=sharing"",""พิจิตร!J315"")"),0)</f>
        <v>0</v>
      </c>
      <c r="X21" s="345">
        <f t="shared" ca="1" si="35"/>
        <v>0</v>
      </c>
      <c r="Y21" s="344">
        <f ca="1">IFERROR(__xludf.DUMMYFUNCTION("IMPORTRANGE(""https://docs.google.com/spreadsheets/d/1xfJKIQxVOaPDIICqsflNlLu3JacTDk1FP9RH4phX7mI/edit?usp=sharing"",""พิจิตร!I316"")"),0)</f>
        <v>0</v>
      </c>
      <c r="Z21" s="177">
        <f ca="1">IFERROR(__xludf.DUMMYFUNCTION("IMPORTRANGE(""https://docs.google.com/spreadsheets/d/1xfJKIQxVOaPDIICqsflNlLu3JacTDk1FP9RH4phX7mI/edit?usp=sharing"",""พิจิตร!J316"")"),0)</f>
        <v>0</v>
      </c>
      <c r="AA21" s="345">
        <f t="shared" ca="1" si="37"/>
        <v>0</v>
      </c>
      <c r="AB21" s="344">
        <f ca="1">IFERROR(__xludf.DUMMYFUNCTION("IMPORTRANGE(""https://docs.google.com/spreadsheets/d/1xfJKIQxVOaPDIICqsflNlLu3JacTDk1FP9RH4phX7mI/edit?usp=sharing"",""พิจิตร!I317"")"),0)</f>
        <v>0</v>
      </c>
      <c r="AC21" s="177">
        <f ca="1">IFERROR(__xludf.DUMMYFUNCTION("IMPORTRANGE(""https://docs.google.com/spreadsheets/d/1xfJKIQxVOaPDIICqsflNlLu3JacTDk1FP9RH4phX7mI/edit?usp=sharing"",""พิจิตร!J317"")"),0)</f>
        <v>0</v>
      </c>
      <c r="AD21" s="345">
        <f t="shared" ca="1" si="39"/>
        <v>0</v>
      </c>
    </row>
    <row r="22" spans="1:30" ht="24" customHeight="1" x14ac:dyDescent="0.3">
      <c r="A22" s="84">
        <v>9</v>
      </c>
      <c r="B22" s="85" t="s">
        <v>44</v>
      </c>
      <c r="C22" s="174">
        <f t="shared" ca="1" si="24"/>
        <v>0</v>
      </c>
      <c r="D22" s="175">
        <f t="shared" ca="1" si="40"/>
        <v>0</v>
      </c>
      <c r="E22" s="176">
        <f ca="1">IFERROR(__xludf.DUMMYFUNCTION("IMPORTRANGE(""https://docs.google.com/spreadsheets/d/1-uDff_7J0KD5mKrp0Vvzr7lt3OU09vwQwhkpOPPYv2Y/edit?usp=sharing"",""งบพรบ!DZ22"")"),0)</f>
        <v>0</v>
      </c>
      <c r="F22" s="176">
        <f ca="1">IFERROR(__xludf.DUMMYFUNCTION("IMPORTRANGE(""https://docs.google.com/spreadsheets/d/1-uDff_7J0KD5mKrp0Vvzr7lt3OU09vwQwhkpOPPYv2Y/edit?usp=sharing"",""งบพรบ!EA22"")"),0)</f>
        <v>0</v>
      </c>
      <c r="G22" s="176">
        <f ca="1">IFERROR(__xludf.DUMMYFUNCTION("IMPORTRANGE(""https://docs.google.com/spreadsheets/d/1-uDff_7J0KD5mKrp0Vvzr7lt3OU09vwQwhkpOPPYv2Y/edit?usp=sharing"",""งบพรบ!EB22"")"),0)</f>
        <v>0</v>
      </c>
      <c r="H22" s="176">
        <f ca="1">IFERROR(__xludf.DUMMYFUNCTION("IMPORTRANGE(""https://docs.google.com/spreadsheets/d/1-uDff_7J0KD5mKrp0Vvzr7lt3OU09vwQwhkpOPPYv2Y/edit?usp=sharing"",""งบพรบ!ED22"")"),0)</f>
        <v>0</v>
      </c>
      <c r="I22" s="176">
        <f ca="1">IFERROR(__xludf.DUMMYFUNCTION("IMPORTRANGE(""https://docs.google.com/spreadsheets/d/1-uDff_7J0KD5mKrp0Vvzr7lt3OU09vwQwhkpOPPYv2Y/edit?usp=sharing"",""งบพรบ!EE22"")"),0)</f>
        <v>0</v>
      </c>
      <c r="J22" s="176">
        <f t="shared" ca="1" si="26"/>
        <v>0</v>
      </c>
      <c r="K22" s="181">
        <f t="shared" ca="1" si="27"/>
        <v>0</v>
      </c>
      <c r="L22" s="176">
        <f ca="1">IFERROR(__xludf.DUMMYFUNCTION("IMPORTRANGE(""https://docs.google.com/spreadsheets/d/1-uDff_7J0KD5mKrp0Vvzr7lt3OU09vwQwhkpOPPYv2Y/edit?usp=sharing"",""งบพรบ!EF22"")"),0)</f>
        <v>0</v>
      </c>
      <c r="M22" s="179">
        <f t="shared" ca="1" si="28"/>
        <v>0</v>
      </c>
      <c r="N22" s="179">
        <f t="shared" ca="1" si="29"/>
        <v>0</v>
      </c>
      <c r="O22" s="180">
        <f ca="1">IFERROR(__xludf.DUMMYFUNCTION("IMPORTRANGE(""https://docs.google.com/spreadsheets/d/1-uDff_7J0KD5mKrp0Vvzr7lt3OU09vwQwhkpOPPYv2Y/edit?usp=sharing"",""งบพรบ!EG22"")"),0)</f>
        <v>0</v>
      </c>
      <c r="P22" s="180">
        <f t="shared" ca="1" si="30"/>
        <v>0</v>
      </c>
      <c r="Q22" s="179">
        <f t="shared" ca="1" si="31"/>
        <v>0</v>
      </c>
      <c r="R22" s="344">
        <f ca="1">IFERROR(__xludf.DUMMYFUNCTION("IMPORTRANGE(""https://docs.google.com/spreadsheets/d/1JtRfZkJMHtEhI5RdRHxYUG4FIZHqKDpNyIuN7A1Q0_k/edit?usp=sharing"",""พิษณุโลก!J313"")"),0)</f>
        <v>0</v>
      </c>
      <c r="S22" s="344">
        <f ca="1">IFERROR(__xludf.DUMMYFUNCTION("IMPORTRANGE(""https://docs.google.com/spreadsheets/d/1JtRfZkJMHtEhI5RdRHxYUG4FIZHqKDpNyIuN7A1Q0_k/edit?usp=sharing"",""พิษณุโลก!I314"")"),0)</f>
        <v>0</v>
      </c>
      <c r="T22" s="177">
        <f ca="1">IFERROR(__xludf.DUMMYFUNCTION("IMPORTRANGE(""https://docs.google.com/spreadsheets/d/1JtRfZkJMHtEhI5RdRHxYUG4FIZHqKDpNyIuN7A1Q0_k/edit?usp=sharing"",""พิษณุโลก!J314"")"),0)</f>
        <v>0</v>
      </c>
      <c r="U22" s="345">
        <f t="shared" ca="1" si="33"/>
        <v>0</v>
      </c>
      <c r="V22" s="344">
        <f ca="1">IFERROR(__xludf.DUMMYFUNCTION("IMPORTRANGE(""https://docs.google.com/spreadsheets/d/1JtRfZkJMHtEhI5RdRHxYUG4FIZHqKDpNyIuN7A1Q0_k/edit?usp=sharing"",""พิษณุโลก!I315"")"),0)</f>
        <v>0</v>
      </c>
      <c r="W22" s="177">
        <f ca="1">IFERROR(__xludf.DUMMYFUNCTION("IMPORTRANGE(""https://docs.google.com/spreadsheets/d/1JtRfZkJMHtEhI5RdRHxYUG4FIZHqKDpNyIuN7A1Q0_k/edit?usp=sharing"",""พิษณุโลก!J315"")"),0)</f>
        <v>0</v>
      </c>
      <c r="X22" s="345">
        <f t="shared" ca="1" si="35"/>
        <v>0</v>
      </c>
      <c r="Y22" s="344">
        <f ca="1">IFERROR(__xludf.DUMMYFUNCTION("IMPORTRANGE(""https://docs.google.com/spreadsheets/d/1JtRfZkJMHtEhI5RdRHxYUG4FIZHqKDpNyIuN7A1Q0_k/edit?usp=sharing"",""พิษณุโลก!I316"")"),0)</f>
        <v>0</v>
      </c>
      <c r="Z22" s="177">
        <f ca="1">IFERROR(__xludf.DUMMYFUNCTION("IMPORTRANGE(""https://docs.google.com/spreadsheets/d/1JtRfZkJMHtEhI5RdRHxYUG4FIZHqKDpNyIuN7A1Q0_k/edit?usp=sharing"",""พิษณุโลก!J316"")"),0)</f>
        <v>0</v>
      </c>
      <c r="AA22" s="345">
        <f t="shared" ca="1" si="37"/>
        <v>0</v>
      </c>
      <c r="AB22" s="344">
        <f ca="1">IFERROR(__xludf.DUMMYFUNCTION("IMPORTRANGE(""https://docs.google.com/spreadsheets/d/1JtRfZkJMHtEhI5RdRHxYUG4FIZHqKDpNyIuN7A1Q0_k/edit?usp=sharing"",""พิษณุโลก!I317"")"),0)</f>
        <v>0</v>
      </c>
      <c r="AC22" s="177">
        <f ca="1">IFERROR(__xludf.DUMMYFUNCTION("IMPORTRANGE(""https://docs.google.com/spreadsheets/d/1JtRfZkJMHtEhI5RdRHxYUG4FIZHqKDpNyIuN7A1Q0_k/edit?usp=sharing"",""พิษณุโลก!J317"")"),0)</f>
        <v>0</v>
      </c>
      <c r="AD22" s="345">
        <f t="shared" ca="1" si="39"/>
        <v>0</v>
      </c>
    </row>
    <row r="23" spans="1:30" ht="24" customHeight="1" x14ac:dyDescent="0.3">
      <c r="A23" s="84">
        <v>10</v>
      </c>
      <c r="B23" s="85" t="s">
        <v>45</v>
      </c>
      <c r="C23" s="174">
        <f t="shared" ca="1" si="24"/>
        <v>152100</v>
      </c>
      <c r="D23" s="175">
        <f t="shared" ca="1" si="40"/>
        <v>152100</v>
      </c>
      <c r="E23" s="176">
        <f ca="1">IFERROR(__xludf.DUMMYFUNCTION("IMPORTRANGE(""https://docs.google.com/spreadsheets/d/1-uDff_7J0KD5mKrp0Vvzr7lt3OU09vwQwhkpOPPYv2Y/edit?usp=sharing"",""งบพรบ!DZ23"")"),51100)</f>
        <v>51100</v>
      </c>
      <c r="F23" s="176">
        <f ca="1">IFERROR(__xludf.DUMMYFUNCTION("IMPORTRANGE(""https://docs.google.com/spreadsheets/d/1-uDff_7J0KD5mKrp0Vvzr7lt3OU09vwQwhkpOPPYv2Y/edit?usp=sharing"",""งบพรบ!EA23"")"),101000)</f>
        <v>101000</v>
      </c>
      <c r="G23" s="176">
        <f ca="1">IFERROR(__xludf.DUMMYFUNCTION("IMPORTRANGE(""https://docs.google.com/spreadsheets/d/1-uDff_7J0KD5mKrp0Vvzr7lt3OU09vwQwhkpOPPYv2Y/edit?usp=sharing"",""งบพรบ!EB23"")"),0)</f>
        <v>0</v>
      </c>
      <c r="H23" s="176">
        <f ca="1">IFERROR(__xludf.DUMMYFUNCTION("IMPORTRANGE(""https://docs.google.com/spreadsheets/d/1-uDff_7J0KD5mKrp0Vvzr7lt3OU09vwQwhkpOPPYv2Y/edit?usp=sharing"",""งบพรบ!ED23"")"),115000)</f>
        <v>115000</v>
      </c>
      <c r="I23" s="176">
        <f ca="1">IFERROR(__xludf.DUMMYFUNCTION("IMPORTRANGE(""https://docs.google.com/spreadsheets/d/1-uDff_7J0KD5mKrp0Vvzr7lt3OU09vwQwhkpOPPYv2Y/edit?usp=sharing"",""งบพรบ!EE23"")"),0)</f>
        <v>0</v>
      </c>
      <c r="J23" s="176">
        <f t="shared" ca="1" si="26"/>
        <v>90147</v>
      </c>
      <c r="K23" s="181">
        <f t="shared" ca="1" si="27"/>
        <v>59.268244575936883</v>
      </c>
      <c r="L23" s="176">
        <f ca="1">IFERROR(__xludf.DUMMYFUNCTION("IMPORTRANGE(""https://docs.google.com/spreadsheets/d/1-uDff_7J0KD5mKrp0Vvzr7lt3OU09vwQwhkpOPPYv2Y/edit?usp=sharing"",""งบพรบ!EF23"")"),90147)</f>
        <v>90147</v>
      </c>
      <c r="M23" s="179">
        <f t="shared" ca="1" si="28"/>
        <v>59.268244575936883</v>
      </c>
      <c r="N23" s="179">
        <f t="shared" ca="1" si="29"/>
        <v>78.388695652173908</v>
      </c>
      <c r="O23" s="180">
        <f ca="1">IFERROR(__xludf.DUMMYFUNCTION("IMPORTRANGE(""https://docs.google.com/spreadsheets/d/1-uDff_7J0KD5mKrp0Vvzr7lt3OU09vwQwhkpOPPYv2Y/edit?usp=sharing"",""งบพรบ!EG23"")"),0)</f>
        <v>0</v>
      </c>
      <c r="P23" s="180">
        <f t="shared" ca="1" si="30"/>
        <v>0</v>
      </c>
      <c r="Q23" s="179">
        <f t="shared" ca="1" si="31"/>
        <v>0</v>
      </c>
      <c r="R23" s="344">
        <f ca="1">IFERROR(__xludf.DUMMYFUNCTION("IMPORTRANGE(""https://docs.google.com/spreadsheets/d/1xlcVZWUNn6SuWm0c307h32SiGkd9BaeQWlAktfD3KO8/edit?usp=sharing"",""เพชรบูรณ์!J313"")"),1)</f>
        <v>1</v>
      </c>
      <c r="S23" s="344">
        <f ca="1">IFERROR(__xludf.DUMMYFUNCTION("IMPORTRANGE(""https://docs.google.com/spreadsheets/d/1xlcVZWUNn6SuWm0c307h32SiGkd9BaeQWlAktfD3KO8/edit?usp=sharing"",""เพชรบูรณ์!I314"")"),25)</f>
        <v>25</v>
      </c>
      <c r="T23" s="177">
        <f ca="1">IFERROR(__xludf.DUMMYFUNCTION("IMPORTRANGE(""https://docs.google.com/spreadsheets/d/1xlcVZWUNn6SuWm0c307h32SiGkd9BaeQWlAktfD3KO8/edit?usp=sharing"",""เพชรบูรณ์!J314"")"),25)</f>
        <v>25</v>
      </c>
      <c r="U23" s="345">
        <f t="shared" ca="1" si="33"/>
        <v>100</v>
      </c>
      <c r="V23" s="344">
        <f ca="1">IFERROR(__xludf.DUMMYFUNCTION("IMPORTRANGE(""https://docs.google.com/spreadsheets/d/1xlcVZWUNn6SuWm0c307h32SiGkd9BaeQWlAktfD3KO8/edit?usp=sharing"",""เพชรบูรณ์!I315"")"),5)</f>
        <v>5</v>
      </c>
      <c r="W23" s="177">
        <f ca="1">IFERROR(__xludf.DUMMYFUNCTION("IMPORTRANGE(""https://docs.google.com/spreadsheets/d/1xlcVZWUNn6SuWm0c307h32SiGkd9BaeQWlAktfD3KO8/edit?usp=sharing"",""เพชรบูรณ์!J315"")"),5)</f>
        <v>5</v>
      </c>
      <c r="X23" s="345">
        <f t="shared" ca="1" si="35"/>
        <v>20</v>
      </c>
      <c r="Y23" s="344">
        <f ca="1">IFERROR(__xludf.DUMMYFUNCTION("IMPORTRANGE(""https://docs.google.com/spreadsheets/d/1xlcVZWUNn6SuWm0c307h32SiGkd9BaeQWlAktfD3KO8/edit?usp=sharing"",""เพชรบูรณ์!I316"")"),25)</f>
        <v>25</v>
      </c>
      <c r="Z23" s="177">
        <f ca="1">IFERROR(__xludf.DUMMYFUNCTION("IMPORTRANGE(""https://docs.google.com/spreadsheets/d/1xlcVZWUNn6SuWm0c307h32SiGkd9BaeQWlAktfD3KO8/edit?usp=sharing"",""เพชรบูรณ์!J316"")"),0)</f>
        <v>0</v>
      </c>
      <c r="AA23" s="345">
        <f t="shared" ca="1" si="37"/>
        <v>0</v>
      </c>
      <c r="AB23" s="344">
        <f ca="1">IFERROR(__xludf.DUMMYFUNCTION("IMPORTRANGE(""https://docs.google.com/spreadsheets/d/1xlcVZWUNn6SuWm0c307h32SiGkd9BaeQWlAktfD3KO8/edit?usp=sharing"",""เพชรบูรณ์!I317"")"),5)</f>
        <v>5</v>
      </c>
      <c r="AC23" s="177">
        <f ca="1">IFERROR(__xludf.DUMMYFUNCTION("IMPORTRANGE(""https://docs.google.com/spreadsheets/d/1xlcVZWUNn6SuWm0c307h32SiGkd9BaeQWlAktfD3KO8/edit?usp=sharing"",""เพชรบูรณ์!J317"")"),0)</f>
        <v>0</v>
      </c>
      <c r="AD23" s="345">
        <f t="shared" ca="1" si="39"/>
        <v>0</v>
      </c>
    </row>
    <row r="24" spans="1:30" ht="24" customHeight="1" x14ac:dyDescent="0.3">
      <c r="A24" s="84">
        <v>11</v>
      </c>
      <c r="B24" s="85" t="s">
        <v>46</v>
      </c>
      <c r="C24" s="174">
        <f t="shared" ca="1" si="24"/>
        <v>0</v>
      </c>
      <c r="D24" s="175">
        <f t="shared" ca="1" si="40"/>
        <v>0</v>
      </c>
      <c r="E24" s="176">
        <f ca="1">IFERROR(__xludf.DUMMYFUNCTION("IMPORTRANGE(""https://docs.google.com/spreadsheets/d/1-uDff_7J0KD5mKrp0Vvzr7lt3OU09vwQwhkpOPPYv2Y/edit?usp=sharing"",""งบพรบ!DZ24"")"),0)</f>
        <v>0</v>
      </c>
      <c r="F24" s="176">
        <f ca="1">IFERROR(__xludf.DUMMYFUNCTION("IMPORTRANGE(""https://docs.google.com/spreadsheets/d/1-uDff_7J0KD5mKrp0Vvzr7lt3OU09vwQwhkpOPPYv2Y/edit?usp=sharing"",""งบพรบ!EA24"")"),0)</f>
        <v>0</v>
      </c>
      <c r="G24" s="176">
        <f ca="1">IFERROR(__xludf.DUMMYFUNCTION("IMPORTRANGE(""https://docs.google.com/spreadsheets/d/1-uDff_7J0KD5mKrp0Vvzr7lt3OU09vwQwhkpOPPYv2Y/edit?usp=sharing"",""งบพรบ!EB24"")"),0)</f>
        <v>0</v>
      </c>
      <c r="H24" s="176">
        <f ca="1">IFERROR(__xludf.DUMMYFUNCTION("IMPORTRANGE(""https://docs.google.com/spreadsheets/d/1-uDff_7J0KD5mKrp0Vvzr7lt3OU09vwQwhkpOPPYv2Y/edit?usp=sharing"",""งบพรบ!ED24"")"),0)</f>
        <v>0</v>
      </c>
      <c r="I24" s="176">
        <f ca="1">IFERROR(__xludf.DUMMYFUNCTION("IMPORTRANGE(""https://docs.google.com/spreadsheets/d/1-uDff_7J0KD5mKrp0Vvzr7lt3OU09vwQwhkpOPPYv2Y/edit?usp=sharing"",""งบพรบ!EE24"")"),0)</f>
        <v>0</v>
      </c>
      <c r="J24" s="176">
        <f t="shared" ca="1" si="26"/>
        <v>0</v>
      </c>
      <c r="K24" s="181">
        <f t="shared" ca="1" si="27"/>
        <v>0</v>
      </c>
      <c r="L24" s="176">
        <f ca="1">IFERROR(__xludf.DUMMYFUNCTION("IMPORTRANGE(""https://docs.google.com/spreadsheets/d/1-uDff_7J0KD5mKrp0Vvzr7lt3OU09vwQwhkpOPPYv2Y/edit?usp=sharing"",""งบพรบ!EF24"")"),0)</f>
        <v>0</v>
      </c>
      <c r="M24" s="179">
        <f t="shared" ca="1" si="28"/>
        <v>0</v>
      </c>
      <c r="N24" s="179">
        <f t="shared" ca="1" si="29"/>
        <v>0</v>
      </c>
      <c r="O24" s="180">
        <f ca="1">IFERROR(__xludf.DUMMYFUNCTION("IMPORTRANGE(""https://docs.google.com/spreadsheets/d/1-uDff_7J0KD5mKrp0Vvzr7lt3OU09vwQwhkpOPPYv2Y/edit?usp=sharing"",""งบพรบ!EG24"")"),0)</f>
        <v>0</v>
      </c>
      <c r="P24" s="180">
        <f t="shared" ca="1" si="30"/>
        <v>0</v>
      </c>
      <c r="Q24" s="179">
        <f t="shared" ca="1" si="31"/>
        <v>0</v>
      </c>
      <c r="R24" s="344">
        <f ca="1">IFERROR(__xludf.DUMMYFUNCTION("IMPORTRANGE(""https://docs.google.com/spreadsheets/d/1lOVebEIsI9qjGXl6EX66luk7wiuP2tBaryw-wKvv4e0/edit?usp=sharing"",""แพร่!J313"")"),0)</f>
        <v>0</v>
      </c>
      <c r="S24" s="344">
        <f ca="1">IFERROR(__xludf.DUMMYFUNCTION("IMPORTRANGE(""https://docs.google.com/spreadsheets/d/1lOVebEIsI9qjGXl6EX66luk7wiuP2tBaryw-wKvv4e0/edit?usp=sharing"",""แพร่!I314"")"),0)</f>
        <v>0</v>
      </c>
      <c r="T24" s="177">
        <f ca="1">IFERROR(__xludf.DUMMYFUNCTION("IMPORTRANGE(""https://docs.google.com/spreadsheets/d/1lOVebEIsI9qjGXl6EX66luk7wiuP2tBaryw-wKvv4e0/edit?usp=sharing"",""แพร่!J314"")"),0)</f>
        <v>0</v>
      </c>
      <c r="U24" s="345">
        <f t="shared" ca="1" si="33"/>
        <v>0</v>
      </c>
      <c r="V24" s="344">
        <f ca="1">IFERROR(__xludf.DUMMYFUNCTION("IMPORTRANGE(""https://docs.google.com/spreadsheets/d/1lOVebEIsI9qjGXl6EX66luk7wiuP2tBaryw-wKvv4e0/edit?usp=sharing"",""แพร่!I315"")"),0)</f>
        <v>0</v>
      </c>
      <c r="W24" s="177">
        <f ca="1">IFERROR(__xludf.DUMMYFUNCTION("IMPORTRANGE(""https://docs.google.com/spreadsheets/d/1lOVebEIsI9qjGXl6EX66luk7wiuP2tBaryw-wKvv4e0/edit?usp=sharing"",""แพร่!J315"")"),0)</f>
        <v>0</v>
      </c>
      <c r="X24" s="345">
        <f t="shared" ca="1" si="35"/>
        <v>0</v>
      </c>
      <c r="Y24" s="344">
        <f ca="1">IFERROR(__xludf.DUMMYFUNCTION("IMPORTRANGE(""https://docs.google.com/spreadsheets/d/1lOVebEIsI9qjGXl6EX66luk7wiuP2tBaryw-wKvv4e0/edit?usp=sharing"",""แพร่!I316"")"),0)</f>
        <v>0</v>
      </c>
      <c r="Z24" s="177">
        <f ca="1">IFERROR(__xludf.DUMMYFUNCTION("IMPORTRANGE(""https://docs.google.com/spreadsheets/d/1lOVebEIsI9qjGXl6EX66luk7wiuP2tBaryw-wKvv4e0/edit?usp=sharing"",""แพร่!J316"")"),0)</f>
        <v>0</v>
      </c>
      <c r="AA24" s="345">
        <f t="shared" ca="1" si="37"/>
        <v>0</v>
      </c>
      <c r="AB24" s="344">
        <f ca="1">IFERROR(__xludf.DUMMYFUNCTION("IMPORTRANGE(""https://docs.google.com/spreadsheets/d/1lOVebEIsI9qjGXl6EX66luk7wiuP2tBaryw-wKvv4e0/edit?usp=sharing"",""แพร่!I317"")"),0)</f>
        <v>0</v>
      </c>
      <c r="AC24" s="177">
        <f ca="1">IFERROR(__xludf.DUMMYFUNCTION("IMPORTRANGE(""https://docs.google.com/spreadsheets/d/1lOVebEIsI9qjGXl6EX66luk7wiuP2tBaryw-wKvv4e0/edit?usp=sharing"",""แพร่!J317"")"),0)</f>
        <v>0</v>
      </c>
      <c r="AD24" s="345">
        <f t="shared" ca="1" si="39"/>
        <v>0</v>
      </c>
    </row>
    <row r="25" spans="1:30" ht="24" customHeight="1" x14ac:dyDescent="0.3">
      <c r="A25" s="84">
        <v>12</v>
      </c>
      <c r="B25" s="85" t="s">
        <v>47</v>
      </c>
      <c r="C25" s="174">
        <f t="shared" ca="1" si="24"/>
        <v>0</v>
      </c>
      <c r="D25" s="175">
        <f t="shared" ca="1" si="40"/>
        <v>0</v>
      </c>
      <c r="E25" s="176">
        <f ca="1">IFERROR(__xludf.DUMMYFUNCTION("IMPORTRANGE(""https://docs.google.com/spreadsheets/d/1-uDff_7J0KD5mKrp0Vvzr7lt3OU09vwQwhkpOPPYv2Y/edit?usp=sharing"",""งบพรบ!DZ25"")"),0)</f>
        <v>0</v>
      </c>
      <c r="F25" s="176">
        <f ca="1">IFERROR(__xludf.DUMMYFUNCTION("IMPORTRANGE(""https://docs.google.com/spreadsheets/d/1-uDff_7J0KD5mKrp0Vvzr7lt3OU09vwQwhkpOPPYv2Y/edit?usp=sharing"",""งบพรบ!EA25"")"),0)</f>
        <v>0</v>
      </c>
      <c r="G25" s="176">
        <f ca="1">IFERROR(__xludf.DUMMYFUNCTION("IMPORTRANGE(""https://docs.google.com/spreadsheets/d/1-uDff_7J0KD5mKrp0Vvzr7lt3OU09vwQwhkpOPPYv2Y/edit?usp=sharing"",""งบพรบ!EB25"")"),0)</f>
        <v>0</v>
      </c>
      <c r="H25" s="176">
        <f ca="1">IFERROR(__xludf.DUMMYFUNCTION("IMPORTRANGE(""https://docs.google.com/spreadsheets/d/1-uDff_7J0KD5mKrp0Vvzr7lt3OU09vwQwhkpOPPYv2Y/edit?usp=sharing"",""งบพรบ!ED25"")"),0)</f>
        <v>0</v>
      </c>
      <c r="I25" s="176">
        <f ca="1">IFERROR(__xludf.DUMMYFUNCTION("IMPORTRANGE(""https://docs.google.com/spreadsheets/d/1-uDff_7J0KD5mKrp0Vvzr7lt3OU09vwQwhkpOPPYv2Y/edit?usp=sharing"",""งบพรบ!EE25"")"),0)</f>
        <v>0</v>
      </c>
      <c r="J25" s="176">
        <f t="shared" ca="1" si="26"/>
        <v>0</v>
      </c>
      <c r="K25" s="181">
        <f t="shared" ca="1" si="27"/>
        <v>0</v>
      </c>
      <c r="L25" s="176">
        <f ca="1">IFERROR(__xludf.DUMMYFUNCTION("IMPORTRANGE(""https://docs.google.com/spreadsheets/d/1-uDff_7J0KD5mKrp0Vvzr7lt3OU09vwQwhkpOPPYv2Y/edit?usp=sharing"",""งบพรบ!EF25"")"),0)</f>
        <v>0</v>
      </c>
      <c r="M25" s="179">
        <f t="shared" ca="1" si="28"/>
        <v>0</v>
      </c>
      <c r="N25" s="179">
        <f t="shared" ca="1" si="29"/>
        <v>0</v>
      </c>
      <c r="O25" s="180">
        <f ca="1">IFERROR(__xludf.DUMMYFUNCTION("IMPORTRANGE(""https://docs.google.com/spreadsheets/d/1-uDff_7J0KD5mKrp0Vvzr7lt3OU09vwQwhkpOPPYv2Y/edit?usp=sharing"",""งบพรบ!EG25"")"),0)</f>
        <v>0</v>
      </c>
      <c r="P25" s="180">
        <f t="shared" ca="1" si="30"/>
        <v>0</v>
      </c>
      <c r="Q25" s="179">
        <f t="shared" ca="1" si="31"/>
        <v>0</v>
      </c>
      <c r="R25" s="344">
        <f ca="1">IFERROR(__xludf.DUMMYFUNCTION("IMPORTRANGE(""https://docs.google.com/spreadsheets/d/1dQrvX0vEcN7Gu0fnZ0B5S90AeR19zth4XlExFBeExMY/edit?usp=sharing"",""แม่ฮ่องสอน!J313"")"),0)</f>
        <v>0</v>
      </c>
      <c r="S25" s="344">
        <f ca="1">IFERROR(__xludf.DUMMYFUNCTION("IMPORTRANGE(""https://docs.google.com/spreadsheets/d/1dQrvX0vEcN7Gu0fnZ0B5S90AeR19zth4XlExFBeExMY/edit?usp=sharing"",""แม่ฮ่องสอน!I314"")"),0)</f>
        <v>0</v>
      </c>
      <c r="T25" s="177">
        <f ca="1">IFERROR(__xludf.DUMMYFUNCTION("IMPORTRANGE(""https://docs.google.com/spreadsheets/d/1dQrvX0vEcN7Gu0fnZ0B5S90AeR19zth4XlExFBeExMY/edit?usp=sharing"",""แม่ฮ่องสอน!J314"")"),0)</f>
        <v>0</v>
      </c>
      <c r="U25" s="345">
        <f t="shared" ca="1" si="33"/>
        <v>0</v>
      </c>
      <c r="V25" s="344">
        <f ca="1">IFERROR(__xludf.DUMMYFUNCTION("IMPORTRANGE(""https://docs.google.com/spreadsheets/d/1dQrvX0vEcN7Gu0fnZ0B5S90AeR19zth4XlExFBeExMY/edit?usp=sharing"",""แม่ฮ่องสอน!I315"")"),0)</f>
        <v>0</v>
      </c>
      <c r="W25" s="177">
        <f ca="1">IFERROR(__xludf.DUMMYFUNCTION("IMPORTRANGE(""https://docs.google.com/spreadsheets/d/1dQrvX0vEcN7Gu0fnZ0B5S90AeR19zth4XlExFBeExMY/edit?usp=sharing"",""แม่ฮ่องสอน!J315"")"),0)</f>
        <v>0</v>
      </c>
      <c r="X25" s="345">
        <f t="shared" ca="1" si="35"/>
        <v>0</v>
      </c>
      <c r="Y25" s="344">
        <f ca="1">IFERROR(__xludf.DUMMYFUNCTION("IMPORTRANGE(""https://docs.google.com/spreadsheets/d/1dQrvX0vEcN7Gu0fnZ0B5S90AeR19zth4XlExFBeExMY/edit?usp=sharing"",""แม่ฮ่องสอน!I316"")"),0)</f>
        <v>0</v>
      </c>
      <c r="Z25" s="177">
        <f ca="1">IFERROR(__xludf.DUMMYFUNCTION("IMPORTRANGE(""https://docs.google.com/spreadsheets/d/1dQrvX0vEcN7Gu0fnZ0B5S90AeR19zth4XlExFBeExMY/edit?usp=sharing"",""แม่ฮ่องสอน!J316"")"),0)</f>
        <v>0</v>
      </c>
      <c r="AA25" s="345">
        <f t="shared" ca="1" si="37"/>
        <v>0</v>
      </c>
      <c r="AB25" s="344">
        <f ca="1">IFERROR(__xludf.DUMMYFUNCTION("IMPORTRANGE(""https://docs.google.com/spreadsheets/d/1dQrvX0vEcN7Gu0fnZ0B5S90AeR19zth4XlExFBeExMY/edit?usp=sharing"",""แม่ฮ่องสอน!I317"")"),0)</f>
        <v>0</v>
      </c>
      <c r="AC25" s="177">
        <f ca="1">IFERROR(__xludf.DUMMYFUNCTION("IMPORTRANGE(""https://docs.google.com/spreadsheets/d/1dQrvX0vEcN7Gu0fnZ0B5S90AeR19zth4XlExFBeExMY/edit?usp=sharing"",""แม่ฮ่องสอน!J317"")"),0)</f>
        <v>0</v>
      </c>
      <c r="AD25" s="345">
        <f t="shared" ca="1" si="39"/>
        <v>0</v>
      </c>
    </row>
    <row r="26" spans="1:30" ht="24" customHeight="1" x14ac:dyDescent="0.3">
      <c r="A26" s="84">
        <v>13</v>
      </c>
      <c r="B26" s="85" t="s">
        <v>48</v>
      </c>
      <c r="C26" s="174">
        <f t="shared" ca="1" si="24"/>
        <v>0</v>
      </c>
      <c r="D26" s="175">
        <f t="shared" ca="1" si="40"/>
        <v>0</v>
      </c>
      <c r="E26" s="176">
        <f ca="1">IFERROR(__xludf.DUMMYFUNCTION("IMPORTRANGE(""https://docs.google.com/spreadsheets/d/1-uDff_7J0KD5mKrp0Vvzr7lt3OU09vwQwhkpOPPYv2Y/edit?usp=sharing"",""งบพรบ!DZ26"")"),0)</f>
        <v>0</v>
      </c>
      <c r="F26" s="176">
        <f ca="1">IFERROR(__xludf.DUMMYFUNCTION("IMPORTRANGE(""https://docs.google.com/spreadsheets/d/1-uDff_7J0KD5mKrp0Vvzr7lt3OU09vwQwhkpOPPYv2Y/edit?usp=sharing"",""งบพรบ!EA26"")"),0)</f>
        <v>0</v>
      </c>
      <c r="G26" s="176">
        <f ca="1">IFERROR(__xludf.DUMMYFUNCTION("IMPORTRANGE(""https://docs.google.com/spreadsheets/d/1-uDff_7J0KD5mKrp0Vvzr7lt3OU09vwQwhkpOPPYv2Y/edit?usp=sharing"",""งบพรบ!EB26"")"),0)</f>
        <v>0</v>
      </c>
      <c r="H26" s="176">
        <f ca="1">IFERROR(__xludf.DUMMYFUNCTION("IMPORTRANGE(""https://docs.google.com/spreadsheets/d/1-uDff_7J0KD5mKrp0Vvzr7lt3OU09vwQwhkpOPPYv2Y/edit?usp=sharing"",""งบพรบ!ED26"")"),0)</f>
        <v>0</v>
      </c>
      <c r="I26" s="176">
        <f ca="1">IFERROR(__xludf.DUMMYFUNCTION("IMPORTRANGE(""https://docs.google.com/spreadsheets/d/1-uDff_7J0KD5mKrp0Vvzr7lt3OU09vwQwhkpOPPYv2Y/edit?usp=sharing"",""งบพรบ!EE26"")"),0)</f>
        <v>0</v>
      </c>
      <c r="J26" s="176">
        <f t="shared" ca="1" si="26"/>
        <v>0</v>
      </c>
      <c r="K26" s="181">
        <f t="shared" ca="1" si="27"/>
        <v>0</v>
      </c>
      <c r="L26" s="176">
        <f ca="1">IFERROR(__xludf.DUMMYFUNCTION("IMPORTRANGE(""https://docs.google.com/spreadsheets/d/1-uDff_7J0KD5mKrp0Vvzr7lt3OU09vwQwhkpOPPYv2Y/edit?usp=sharing"",""งบพรบ!EF26"")"),0)</f>
        <v>0</v>
      </c>
      <c r="M26" s="179">
        <f t="shared" ca="1" si="28"/>
        <v>0</v>
      </c>
      <c r="N26" s="179">
        <f t="shared" ca="1" si="29"/>
        <v>0</v>
      </c>
      <c r="O26" s="180">
        <f ca="1">IFERROR(__xludf.DUMMYFUNCTION("IMPORTRANGE(""https://docs.google.com/spreadsheets/d/1-uDff_7J0KD5mKrp0Vvzr7lt3OU09vwQwhkpOPPYv2Y/edit?usp=sharing"",""งบพรบ!EG26"")"),0)</f>
        <v>0</v>
      </c>
      <c r="P26" s="180">
        <f t="shared" ca="1" si="30"/>
        <v>0</v>
      </c>
      <c r="Q26" s="179">
        <f t="shared" ca="1" si="31"/>
        <v>0</v>
      </c>
      <c r="R26" s="344">
        <f ca="1">IFERROR(__xludf.DUMMYFUNCTION("IMPORTRANGE(""https://docs.google.com/spreadsheets/d/1DY4XTNNwjluuxqdfdn6qvOSlMRrZqUtmYcZR0ttFiG4/edit?usp=sharing"",""ลำปาง!J313"")"),0)</f>
        <v>0</v>
      </c>
      <c r="S26" s="346">
        <f ca="1">IFERROR(__xludf.DUMMYFUNCTION("IMPORTRANGE(""https://docs.google.com/spreadsheets/d/1DY4XTNNwjluuxqdfdn6qvOSlMRrZqUtmYcZR0ttFiG4/edit?usp=sharing"",""ลำปาง!I314"")"),0)</f>
        <v>0</v>
      </c>
      <c r="T26" s="177">
        <f ca="1">IFERROR(__xludf.DUMMYFUNCTION("IMPORTRANGE(""https://docs.google.com/spreadsheets/d/1DY4XTNNwjluuxqdfdn6qvOSlMRrZqUtmYcZR0ttFiG4/edit?usp=sharing"",""ลำปาง!J314"")"),0)</f>
        <v>0</v>
      </c>
      <c r="U26" s="345">
        <f t="shared" ca="1" si="33"/>
        <v>0</v>
      </c>
      <c r="V26" s="346">
        <f ca="1">IFERROR(__xludf.DUMMYFUNCTION("IMPORTRANGE(""https://docs.google.com/spreadsheets/d/1DY4XTNNwjluuxqdfdn6qvOSlMRrZqUtmYcZR0ttFiG4/edit?usp=sharing"",""ลำปาง!I315"")"),0)</f>
        <v>0</v>
      </c>
      <c r="W26" s="177">
        <f ca="1">IFERROR(__xludf.DUMMYFUNCTION("IMPORTRANGE(""https://docs.google.com/spreadsheets/d/1DY4XTNNwjluuxqdfdn6qvOSlMRrZqUtmYcZR0ttFiG4/edit?usp=sharing"",""ลำปาง!J315"")"),0)</f>
        <v>0</v>
      </c>
      <c r="X26" s="345">
        <f t="shared" ca="1" si="35"/>
        <v>0</v>
      </c>
      <c r="Y26" s="346">
        <f ca="1">IFERROR(__xludf.DUMMYFUNCTION("IMPORTRANGE(""https://docs.google.com/spreadsheets/d/1DY4XTNNwjluuxqdfdn6qvOSlMRrZqUtmYcZR0ttFiG4/edit?usp=sharing"",""ลำปาง!I316"")"),0)</f>
        <v>0</v>
      </c>
      <c r="Z26" s="177">
        <f ca="1">IFERROR(__xludf.DUMMYFUNCTION("IMPORTRANGE(""https://docs.google.com/spreadsheets/d/1DY4XTNNwjluuxqdfdn6qvOSlMRrZqUtmYcZR0ttFiG4/edit?usp=sharing"",""ลำปาง!J316"")"),0)</f>
        <v>0</v>
      </c>
      <c r="AA26" s="345">
        <f t="shared" ca="1" si="37"/>
        <v>0</v>
      </c>
      <c r="AB26" s="346">
        <f ca="1">IFERROR(__xludf.DUMMYFUNCTION("IMPORTRANGE(""https://docs.google.com/spreadsheets/d/1DY4XTNNwjluuxqdfdn6qvOSlMRrZqUtmYcZR0ttFiG4/edit?usp=sharing"",""ลำปาง!I317"")"),0)</f>
        <v>0</v>
      </c>
      <c r="AC26" s="177">
        <f ca="1">IFERROR(__xludf.DUMMYFUNCTION("IMPORTRANGE(""https://docs.google.com/spreadsheets/d/1DY4XTNNwjluuxqdfdn6qvOSlMRrZqUtmYcZR0ttFiG4/edit?usp=sharing"",""ลำปาง!J317"")"),0)</f>
        <v>0</v>
      </c>
      <c r="AD26" s="345">
        <f t="shared" ca="1" si="39"/>
        <v>0</v>
      </c>
    </row>
    <row r="27" spans="1:30" ht="24" customHeight="1" x14ac:dyDescent="0.3">
      <c r="A27" s="84">
        <v>14</v>
      </c>
      <c r="B27" s="85" t="s">
        <v>49</v>
      </c>
      <c r="C27" s="174">
        <f t="shared" ca="1" si="24"/>
        <v>0</v>
      </c>
      <c r="D27" s="175">
        <f t="shared" ca="1" si="40"/>
        <v>0</v>
      </c>
      <c r="E27" s="176">
        <f ca="1">IFERROR(__xludf.DUMMYFUNCTION("IMPORTRANGE(""https://docs.google.com/spreadsheets/d/1-uDff_7J0KD5mKrp0Vvzr7lt3OU09vwQwhkpOPPYv2Y/edit?usp=sharing"",""งบพรบ!DZ27"")"),0)</f>
        <v>0</v>
      </c>
      <c r="F27" s="176">
        <f ca="1">IFERROR(__xludf.DUMMYFUNCTION("IMPORTRANGE(""https://docs.google.com/spreadsheets/d/1-uDff_7J0KD5mKrp0Vvzr7lt3OU09vwQwhkpOPPYv2Y/edit?usp=sharing"",""งบพรบ!EA27"")"),0)</f>
        <v>0</v>
      </c>
      <c r="G27" s="176">
        <f ca="1">IFERROR(__xludf.DUMMYFUNCTION("IMPORTRANGE(""https://docs.google.com/spreadsheets/d/1-uDff_7J0KD5mKrp0Vvzr7lt3OU09vwQwhkpOPPYv2Y/edit?usp=sharing"",""งบพรบ!EB27"")"),0)</f>
        <v>0</v>
      </c>
      <c r="H27" s="176">
        <f ca="1">IFERROR(__xludf.DUMMYFUNCTION("IMPORTRANGE(""https://docs.google.com/spreadsheets/d/1-uDff_7J0KD5mKrp0Vvzr7lt3OU09vwQwhkpOPPYv2Y/edit?usp=sharing"",""งบพรบ!ED27"")"),0)</f>
        <v>0</v>
      </c>
      <c r="I27" s="176">
        <f ca="1">IFERROR(__xludf.DUMMYFUNCTION("IMPORTRANGE(""https://docs.google.com/spreadsheets/d/1-uDff_7J0KD5mKrp0Vvzr7lt3OU09vwQwhkpOPPYv2Y/edit?usp=sharing"",""งบพรบ!EE27"")"),0)</f>
        <v>0</v>
      </c>
      <c r="J27" s="176">
        <f t="shared" ca="1" si="26"/>
        <v>0</v>
      </c>
      <c r="K27" s="181">
        <f t="shared" ca="1" si="27"/>
        <v>0</v>
      </c>
      <c r="L27" s="176">
        <f ca="1">IFERROR(__xludf.DUMMYFUNCTION("IMPORTRANGE(""https://docs.google.com/spreadsheets/d/1-uDff_7J0KD5mKrp0Vvzr7lt3OU09vwQwhkpOPPYv2Y/edit?usp=sharing"",""งบพรบ!EF27"")"),0)</f>
        <v>0</v>
      </c>
      <c r="M27" s="179">
        <f t="shared" ca="1" si="28"/>
        <v>0</v>
      </c>
      <c r="N27" s="179">
        <f t="shared" ca="1" si="29"/>
        <v>0</v>
      </c>
      <c r="O27" s="180">
        <f ca="1">IFERROR(__xludf.DUMMYFUNCTION("IMPORTRANGE(""https://docs.google.com/spreadsheets/d/1-uDff_7J0KD5mKrp0Vvzr7lt3OU09vwQwhkpOPPYv2Y/edit?usp=sharing"",""งบพรบ!EG27"")"),0)</f>
        <v>0</v>
      </c>
      <c r="P27" s="180">
        <f t="shared" ca="1" si="30"/>
        <v>0</v>
      </c>
      <c r="Q27" s="179">
        <f t="shared" ca="1" si="31"/>
        <v>0</v>
      </c>
      <c r="R27" s="344">
        <f ca="1">IFERROR(__xludf.DUMMYFUNCTION("IMPORTRANGE(""https://docs.google.com/spreadsheets/d/1ICwG78r0OFT8biBlxnBF8r7she7gNSzOvJ958PWT09c/edit?usp=sharing"",""ลำพูน!J313"")"),0)</f>
        <v>0</v>
      </c>
      <c r="S27" s="344">
        <f ca="1">IFERROR(__xludf.DUMMYFUNCTION("IMPORTRANGE(""https://docs.google.com/spreadsheets/d/1ICwG78r0OFT8biBlxnBF8r7she7gNSzOvJ958PWT09c/edit?usp=sharing"",""ลำพูน!I314"")"),0)</f>
        <v>0</v>
      </c>
      <c r="T27" s="177">
        <f ca="1">IFERROR(__xludf.DUMMYFUNCTION("IMPORTRANGE(""https://docs.google.com/spreadsheets/d/1ICwG78r0OFT8biBlxnBF8r7she7gNSzOvJ958PWT09c/edit?usp=sharing"",""ลำพูน!J314"")"),0)</f>
        <v>0</v>
      </c>
      <c r="U27" s="345">
        <f t="shared" ca="1" si="33"/>
        <v>0</v>
      </c>
      <c r="V27" s="344">
        <f ca="1">IFERROR(__xludf.DUMMYFUNCTION("IMPORTRANGE(""https://docs.google.com/spreadsheets/d/1ICwG78r0OFT8biBlxnBF8r7she7gNSzOvJ958PWT09c/edit?usp=sharing"",""ลำพูน!I315"")"),0)</f>
        <v>0</v>
      </c>
      <c r="W27" s="177">
        <f ca="1">IFERROR(__xludf.DUMMYFUNCTION("IMPORTRANGE(""https://docs.google.com/spreadsheets/d/1ICwG78r0OFT8biBlxnBF8r7she7gNSzOvJ958PWT09c/edit?usp=sharing"",""ลำพูน!J315"")"),0)</f>
        <v>0</v>
      </c>
      <c r="X27" s="345">
        <f t="shared" ca="1" si="35"/>
        <v>0</v>
      </c>
      <c r="Y27" s="344">
        <f ca="1">IFERROR(__xludf.DUMMYFUNCTION("IMPORTRANGE(""https://docs.google.com/spreadsheets/d/1ICwG78r0OFT8biBlxnBF8r7she7gNSzOvJ958PWT09c/edit?usp=sharing"",""ลำพูน!I316"")"),0)</f>
        <v>0</v>
      </c>
      <c r="Z27" s="177">
        <f ca="1">IFERROR(__xludf.DUMMYFUNCTION("IMPORTRANGE(""https://docs.google.com/spreadsheets/d/1ICwG78r0OFT8biBlxnBF8r7she7gNSzOvJ958PWT09c/edit?usp=sharing"",""ลำพูน!J316"")"),0)</f>
        <v>0</v>
      </c>
      <c r="AA27" s="345">
        <f t="shared" ca="1" si="37"/>
        <v>0</v>
      </c>
      <c r="AB27" s="344">
        <f ca="1">IFERROR(__xludf.DUMMYFUNCTION("IMPORTRANGE(""https://docs.google.com/spreadsheets/d/1ICwG78r0OFT8biBlxnBF8r7she7gNSzOvJ958PWT09c/edit?usp=sharing"",""ลำพูน!I317"")"),0)</f>
        <v>0</v>
      </c>
      <c r="AC27" s="177">
        <f ca="1">IFERROR(__xludf.DUMMYFUNCTION("IMPORTRANGE(""https://docs.google.com/spreadsheets/d/1ICwG78r0OFT8biBlxnBF8r7she7gNSzOvJ958PWT09c/edit?usp=sharing"",""ลำพูน!J317"")"),0)</f>
        <v>0</v>
      </c>
      <c r="AD27" s="345">
        <f t="shared" ca="1" si="39"/>
        <v>0</v>
      </c>
    </row>
    <row r="28" spans="1:30" ht="24" customHeight="1" x14ac:dyDescent="0.3">
      <c r="A28" s="84">
        <v>15</v>
      </c>
      <c r="B28" s="85" t="s">
        <v>50</v>
      </c>
      <c r="C28" s="174">
        <f t="shared" ca="1" si="24"/>
        <v>0</v>
      </c>
      <c r="D28" s="175">
        <f t="shared" ca="1" si="40"/>
        <v>0</v>
      </c>
      <c r="E28" s="176">
        <f ca="1">IFERROR(__xludf.DUMMYFUNCTION("IMPORTRANGE(""https://docs.google.com/spreadsheets/d/1-uDff_7J0KD5mKrp0Vvzr7lt3OU09vwQwhkpOPPYv2Y/edit?usp=sharing"",""งบพรบ!DZ28"")"),0)</f>
        <v>0</v>
      </c>
      <c r="F28" s="176">
        <f ca="1">IFERROR(__xludf.DUMMYFUNCTION("IMPORTRANGE(""https://docs.google.com/spreadsheets/d/1-uDff_7J0KD5mKrp0Vvzr7lt3OU09vwQwhkpOPPYv2Y/edit?usp=sharing"",""งบพรบ!EA28"")"),0)</f>
        <v>0</v>
      </c>
      <c r="G28" s="176">
        <f ca="1">IFERROR(__xludf.DUMMYFUNCTION("IMPORTRANGE(""https://docs.google.com/spreadsheets/d/1-uDff_7J0KD5mKrp0Vvzr7lt3OU09vwQwhkpOPPYv2Y/edit?usp=sharing"",""งบพรบ!EB28"")"),0)</f>
        <v>0</v>
      </c>
      <c r="H28" s="176">
        <f ca="1">IFERROR(__xludf.DUMMYFUNCTION("IMPORTRANGE(""https://docs.google.com/spreadsheets/d/1-uDff_7J0KD5mKrp0Vvzr7lt3OU09vwQwhkpOPPYv2Y/edit?usp=sharing"",""งบพรบ!ED28"")"),0)</f>
        <v>0</v>
      </c>
      <c r="I28" s="176">
        <f ca="1">IFERROR(__xludf.DUMMYFUNCTION("IMPORTRANGE(""https://docs.google.com/spreadsheets/d/1-uDff_7J0KD5mKrp0Vvzr7lt3OU09vwQwhkpOPPYv2Y/edit?usp=sharing"",""งบพรบ!EE28"")"),0)</f>
        <v>0</v>
      </c>
      <c r="J28" s="176">
        <f t="shared" ca="1" si="26"/>
        <v>0</v>
      </c>
      <c r="K28" s="181">
        <f t="shared" ca="1" si="27"/>
        <v>0</v>
      </c>
      <c r="L28" s="176">
        <f ca="1">IFERROR(__xludf.DUMMYFUNCTION("IMPORTRANGE(""https://docs.google.com/spreadsheets/d/1-uDff_7J0KD5mKrp0Vvzr7lt3OU09vwQwhkpOPPYv2Y/edit?usp=sharing"",""งบพรบ!EF28"")"),0)</f>
        <v>0</v>
      </c>
      <c r="M28" s="179">
        <f t="shared" ca="1" si="28"/>
        <v>0</v>
      </c>
      <c r="N28" s="179">
        <f t="shared" ca="1" si="29"/>
        <v>0</v>
      </c>
      <c r="O28" s="180">
        <f ca="1">IFERROR(__xludf.DUMMYFUNCTION("IMPORTRANGE(""https://docs.google.com/spreadsheets/d/1-uDff_7J0KD5mKrp0Vvzr7lt3OU09vwQwhkpOPPYv2Y/edit?usp=sharing"",""งบพรบ!EG28"")"),0)</f>
        <v>0</v>
      </c>
      <c r="P28" s="180">
        <f t="shared" ca="1" si="30"/>
        <v>0</v>
      </c>
      <c r="Q28" s="179">
        <f t="shared" ca="1" si="31"/>
        <v>0</v>
      </c>
      <c r="R28" s="344">
        <f ca="1">IFERROR(__xludf.DUMMYFUNCTION("IMPORTRANGE(""https://docs.google.com/spreadsheets/d/1B0f2xJpZUC6Z0xXnqKlZtEPzsf6L84eP1r1Q15seqRM/edit?usp=sharing"",""สุโขทัย!J313"")"),0)</f>
        <v>0</v>
      </c>
      <c r="S28" s="344">
        <f ca="1">IFERROR(__xludf.DUMMYFUNCTION("IMPORTRANGE(""https://docs.google.com/spreadsheets/d/1B0f2xJpZUC6Z0xXnqKlZtEPzsf6L84eP1r1Q15seqRM/edit?usp=sharing"",""สุโขทัย!I314"")"),0)</f>
        <v>0</v>
      </c>
      <c r="T28" s="177">
        <f ca="1">IFERROR(__xludf.DUMMYFUNCTION("IMPORTRANGE(""https://docs.google.com/spreadsheets/d/1B0f2xJpZUC6Z0xXnqKlZtEPzsf6L84eP1r1Q15seqRM/edit?usp=sharing"",""สุโขทัย!J314"")"),0)</f>
        <v>0</v>
      </c>
      <c r="U28" s="345">
        <f t="shared" ca="1" si="33"/>
        <v>0</v>
      </c>
      <c r="V28" s="344">
        <f ca="1">IFERROR(__xludf.DUMMYFUNCTION("IMPORTRANGE(""https://docs.google.com/spreadsheets/d/1B0f2xJpZUC6Z0xXnqKlZtEPzsf6L84eP1r1Q15seqRM/edit?usp=sharing"",""สุโขทัย!I315"")"),0)</f>
        <v>0</v>
      </c>
      <c r="W28" s="177">
        <f ca="1">IFERROR(__xludf.DUMMYFUNCTION("IMPORTRANGE(""https://docs.google.com/spreadsheets/d/1B0f2xJpZUC6Z0xXnqKlZtEPzsf6L84eP1r1Q15seqRM/edit?usp=sharing"",""สุโขทัย!J315"")"),0)</f>
        <v>0</v>
      </c>
      <c r="X28" s="345">
        <f t="shared" ca="1" si="35"/>
        <v>0</v>
      </c>
      <c r="Y28" s="344">
        <f ca="1">IFERROR(__xludf.DUMMYFUNCTION("IMPORTRANGE(""https://docs.google.com/spreadsheets/d/1B0f2xJpZUC6Z0xXnqKlZtEPzsf6L84eP1r1Q15seqRM/edit?usp=sharing"",""สุโขทัย!I316"")"),0)</f>
        <v>0</v>
      </c>
      <c r="Z28" s="177">
        <f ca="1">IFERROR(__xludf.DUMMYFUNCTION("IMPORTRANGE(""https://docs.google.com/spreadsheets/d/1B0f2xJpZUC6Z0xXnqKlZtEPzsf6L84eP1r1Q15seqRM/edit?usp=sharing"",""สุโขทัย!J316"")"),0)</f>
        <v>0</v>
      </c>
      <c r="AA28" s="345">
        <f t="shared" ca="1" si="37"/>
        <v>0</v>
      </c>
      <c r="AB28" s="344">
        <f ca="1">IFERROR(__xludf.DUMMYFUNCTION("IMPORTRANGE(""https://docs.google.com/spreadsheets/d/1B0f2xJpZUC6Z0xXnqKlZtEPzsf6L84eP1r1Q15seqRM/edit?usp=sharing"",""สุโขทัย!I317"")"),0)</f>
        <v>0</v>
      </c>
      <c r="AC28" s="177">
        <f ca="1">IFERROR(__xludf.DUMMYFUNCTION("IMPORTRANGE(""https://docs.google.com/spreadsheets/d/1B0f2xJpZUC6Z0xXnqKlZtEPzsf6L84eP1r1Q15seqRM/edit?usp=sharing"",""สุโขทัย!J317"")"),0)</f>
        <v>0</v>
      </c>
      <c r="AD28" s="345">
        <f t="shared" ca="1" si="39"/>
        <v>0</v>
      </c>
    </row>
    <row r="29" spans="1:30" ht="24" customHeight="1" x14ac:dyDescent="0.3">
      <c r="A29" s="84">
        <v>16</v>
      </c>
      <c r="B29" s="85" t="s">
        <v>51</v>
      </c>
      <c r="C29" s="174">
        <f t="shared" ca="1" si="24"/>
        <v>184600</v>
      </c>
      <c r="D29" s="175">
        <f t="shared" ca="1" si="40"/>
        <v>184600</v>
      </c>
      <c r="E29" s="176">
        <f ca="1">IFERROR(__xludf.DUMMYFUNCTION("IMPORTRANGE(""https://docs.google.com/spreadsheets/d/1-uDff_7J0KD5mKrp0Vvzr7lt3OU09vwQwhkpOPPYv2Y/edit?usp=sharing"",""งบพรบ!DZ29"")"),102200)</f>
        <v>102200</v>
      </c>
      <c r="F29" s="176">
        <f ca="1">IFERROR(__xludf.DUMMYFUNCTION("IMPORTRANGE(""https://docs.google.com/spreadsheets/d/1-uDff_7J0KD5mKrp0Vvzr7lt3OU09vwQwhkpOPPYv2Y/edit?usp=sharing"",""งบพรบ!EA29"")"),82400)</f>
        <v>82400</v>
      </c>
      <c r="G29" s="176">
        <f ca="1">IFERROR(__xludf.DUMMYFUNCTION("IMPORTRANGE(""https://docs.google.com/spreadsheets/d/1-uDff_7J0KD5mKrp0Vvzr7lt3OU09vwQwhkpOPPYv2Y/edit?usp=sharing"",""งบพรบ!EB29"")"),0)</f>
        <v>0</v>
      </c>
      <c r="H29" s="176">
        <f ca="1">IFERROR(__xludf.DUMMYFUNCTION("IMPORTRANGE(""https://docs.google.com/spreadsheets/d/1-uDff_7J0KD5mKrp0Vvzr7lt3OU09vwQwhkpOPPYv2Y/edit?usp=sharing"",""งบพรบ!ED29"")"),137400)</f>
        <v>137400</v>
      </c>
      <c r="I29" s="176">
        <f ca="1">IFERROR(__xludf.DUMMYFUNCTION("IMPORTRANGE(""https://docs.google.com/spreadsheets/d/1-uDff_7J0KD5mKrp0Vvzr7lt3OU09vwQwhkpOPPYv2Y/edit?usp=sharing"",""งบพรบ!EE29"")"),0)</f>
        <v>0</v>
      </c>
      <c r="J29" s="176">
        <f t="shared" ca="1" si="26"/>
        <v>29100</v>
      </c>
      <c r="K29" s="181">
        <f t="shared" ca="1" si="27"/>
        <v>15.763813651137594</v>
      </c>
      <c r="L29" s="176">
        <f ca="1">IFERROR(__xludf.DUMMYFUNCTION("IMPORTRANGE(""https://docs.google.com/spreadsheets/d/1-uDff_7J0KD5mKrp0Vvzr7lt3OU09vwQwhkpOPPYv2Y/edit?usp=sharing"",""งบพรบ!EF29"")"),29100)</f>
        <v>29100</v>
      </c>
      <c r="M29" s="179">
        <f t="shared" ca="1" si="28"/>
        <v>15.763813651137594</v>
      </c>
      <c r="N29" s="179">
        <f t="shared" ca="1" si="29"/>
        <v>21.179039301310045</v>
      </c>
      <c r="O29" s="180">
        <f ca="1">IFERROR(__xludf.DUMMYFUNCTION("IMPORTRANGE(""https://docs.google.com/spreadsheets/d/1-uDff_7J0KD5mKrp0Vvzr7lt3OU09vwQwhkpOPPYv2Y/edit?usp=sharing"",""งบพรบ!EG29"")"),0)</f>
        <v>0</v>
      </c>
      <c r="P29" s="180">
        <f t="shared" ca="1" si="30"/>
        <v>0</v>
      </c>
      <c r="Q29" s="179">
        <f t="shared" ca="1" si="31"/>
        <v>0</v>
      </c>
      <c r="R29" s="344">
        <f ca="1">IFERROR(__xludf.DUMMYFUNCTION("IMPORTRANGE(""https://docs.google.com/spreadsheets/d/1v0b9pFQCsKUVExMei7AgY2yQkdeNQvtOssygGsXbiKo/edit?usp=sharing"",""อุตรดิตถ์!J313"")"),0)</f>
        <v>0</v>
      </c>
      <c r="S29" s="344">
        <f ca="1">IFERROR(__xludf.DUMMYFUNCTION("IMPORTRANGE(""https://docs.google.com/spreadsheets/d/1v0b9pFQCsKUVExMei7AgY2yQkdeNQvtOssygGsXbiKo/edit?usp=sharing"",""อุตรดิตถ์!I314"")"),20)</f>
        <v>20</v>
      </c>
      <c r="T29" s="177">
        <f ca="1">IFERROR(__xludf.DUMMYFUNCTION("IMPORTRANGE(""https://docs.google.com/spreadsheets/d/1v0b9pFQCsKUVExMei7AgY2yQkdeNQvtOssygGsXbiKo/edit?usp=sharing"",""อุตรดิตถ์!J314"")"),0)</f>
        <v>0</v>
      </c>
      <c r="U29" s="345">
        <f t="shared" ca="1" si="33"/>
        <v>0</v>
      </c>
      <c r="V29" s="344">
        <f ca="1">IFERROR(__xludf.DUMMYFUNCTION("IMPORTRANGE(""https://docs.google.com/spreadsheets/d/1v0b9pFQCsKUVExMei7AgY2yQkdeNQvtOssygGsXbiKo/edit?usp=sharing"",""อุตรดิตถ์!I315"")"),4)</f>
        <v>4</v>
      </c>
      <c r="W29" s="177">
        <f ca="1">IFERROR(__xludf.DUMMYFUNCTION("IMPORTRANGE(""https://docs.google.com/spreadsheets/d/1v0b9pFQCsKUVExMei7AgY2yQkdeNQvtOssygGsXbiKo/edit?usp=sharing"",""อุตรดิตถ์!J315"")"),0)</f>
        <v>0</v>
      </c>
      <c r="X29" s="345">
        <f t="shared" ca="1" si="35"/>
        <v>0</v>
      </c>
      <c r="Y29" s="344">
        <f ca="1">IFERROR(__xludf.DUMMYFUNCTION("IMPORTRANGE(""https://docs.google.com/spreadsheets/d/1v0b9pFQCsKUVExMei7AgY2yQkdeNQvtOssygGsXbiKo/edit?usp=sharing"",""อุตรดิตถ์!I316"")"),20)</f>
        <v>20</v>
      </c>
      <c r="Z29" s="177">
        <f ca="1">IFERROR(__xludf.DUMMYFUNCTION("IMPORTRANGE(""https://docs.google.com/spreadsheets/d/1v0b9pFQCsKUVExMei7AgY2yQkdeNQvtOssygGsXbiKo/edit?usp=sharing"",""อุตรดิตถ์!J316"")"),0)</f>
        <v>0</v>
      </c>
      <c r="AA29" s="345">
        <f t="shared" ca="1" si="37"/>
        <v>0</v>
      </c>
      <c r="AB29" s="344">
        <f ca="1">IFERROR(__xludf.DUMMYFUNCTION("IMPORTRANGE(""https://docs.google.com/spreadsheets/d/1v0b9pFQCsKUVExMei7AgY2yQkdeNQvtOssygGsXbiKo/edit?usp=sharing"",""อุตรดิตถ์!I317"")"),4)</f>
        <v>4</v>
      </c>
      <c r="AC29" s="177">
        <f ca="1">IFERROR(__xludf.DUMMYFUNCTION("IMPORTRANGE(""https://docs.google.com/spreadsheets/d/1v0b9pFQCsKUVExMei7AgY2yQkdeNQvtOssygGsXbiKo/edit?usp=sharing"",""อุตรดิตถ์!J317"")"),0)</f>
        <v>0</v>
      </c>
      <c r="AD29" s="345">
        <f t="shared" ca="1" si="39"/>
        <v>0</v>
      </c>
    </row>
    <row r="30" spans="1:30" ht="24" customHeight="1" x14ac:dyDescent="0.3">
      <c r="A30" s="95">
        <v>17</v>
      </c>
      <c r="B30" s="96" t="s">
        <v>52</v>
      </c>
      <c r="C30" s="184">
        <f t="shared" ca="1" si="24"/>
        <v>184600</v>
      </c>
      <c r="D30" s="185">
        <f t="shared" ca="1" si="40"/>
        <v>184600</v>
      </c>
      <c r="E30" s="186">
        <f ca="1">IFERROR(__xludf.DUMMYFUNCTION("IMPORTRANGE(""https://docs.google.com/spreadsheets/d/1-uDff_7J0KD5mKrp0Vvzr7lt3OU09vwQwhkpOPPYv2Y/edit?usp=sharing"",""งบพรบ!DZ30"")"),102200)</f>
        <v>102200</v>
      </c>
      <c r="F30" s="186">
        <f ca="1">IFERROR(__xludf.DUMMYFUNCTION("IMPORTRANGE(""https://docs.google.com/spreadsheets/d/1-uDff_7J0KD5mKrp0Vvzr7lt3OU09vwQwhkpOPPYv2Y/edit?usp=sharing"",""งบพรบ!EA30"")"),82400)</f>
        <v>82400</v>
      </c>
      <c r="G30" s="186">
        <f ca="1">IFERROR(__xludf.DUMMYFUNCTION("IMPORTRANGE(""https://docs.google.com/spreadsheets/d/1-uDff_7J0KD5mKrp0Vvzr7lt3OU09vwQwhkpOPPYv2Y/edit?usp=sharing"",""งบพรบ!EB30"")"),0)</f>
        <v>0</v>
      </c>
      <c r="H30" s="186">
        <f ca="1">IFERROR(__xludf.DUMMYFUNCTION("IMPORTRANGE(""https://docs.google.com/spreadsheets/d/1-uDff_7J0KD5mKrp0Vvzr7lt3OU09vwQwhkpOPPYv2Y/edit?usp=sharing"",""งบพรบ!ED30"")"),137400)</f>
        <v>137400</v>
      </c>
      <c r="I30" s="186">
        <f ca="1">IFERROR(__xludf.DUMMYFUNCTION("IMPORTRANGE(""https://docs.google.com/spreadsheets/d/1-uDff_7J0KD5mKrp0Vvzr7lt3OU09vwQwhkpOPPYv2Y/edit?usp=sharing"",""งบพรบ!EE30"")"),0)</f>
        <v>0</v>
      </c>
      <c r="J30" s="186">
        <f t="shared" ca="1" si="26"/>
        <v>40580</v>
      </c>
      <c r="K30" s="187">
        <f t="shared" ca="1" si="27"/>
        <v>21.982665222101843</v>
      </c>
      <c r="L30" s="186">
        <f ca="1">IFERROR(__xludf.DUMMYFUNCTION("IMPORTRANGE(""https://docs.google.com/spreadsheets/d/1-uDff_7J0KD5mKrp0Vvzr7lt3OU09vwQwhkpOPPYv2Y/edit?usp=sharing"",""งบพรบ!EF30"")"),40580)</f>
        <v>40580</v>
      </c>
      <c r="M30" s="188">
        <f t="shared" ca="1" si="28"/>
        <v>21.982665222101843</v>
      </c>
      <c r="N30" s="188">
        <f t="shared" ca="1" si="29"/>
        <v>29.534206695778749</v>
      </c>
      <c r="O30" s="189">
        <f ca="1">IFERROR(__xludf.DUMMYFUNCTION("IMPORTRANGE(""https://docs.google.com/spreadsheets/d/1-uDff_7J0KD5mKrp0Vvzr7lt3OU09vwQwhkpOPPYv2Y/edit?usp=sharing"",""งบพรบ!EG30"")"),0)</f>
        <v>0</v>
      </c>
      <c r="P30" s="189">
        <f t="shared" ca="1" si="30"/>
        <v>0</v>
      </c>
      <c r="Q30" s="188">
        <f t="shared" ca="1" si="31"/>
        <v>0</v>
      </c>
      <c r="R30" s="347">
        <f ca="1">IFERROR(__xludf.DUMMYFUNCTION("IMPORTRANGE(""https://docs.google.com/spreadsheets/d/1UsNK1e-WWiCo2PvGqdNfdme4m17_Ezd3J69EeeiQPD0/edit?usp=sharing"",""อุทัยธานี!J313"")"),0)</f>
        <v>0</v>
      </c>
      <c r="S30" s="347">
        <f ca="1">IFERROR(__xludf.DUMMYFUNCTION("IMPORTRANGE(""https://docs.google.com/spreadsheets/d/1UsNK1e-WWiCo2PvGqdNfdme4m17_Ezd3J69EeeiQPD0/edit?usp=sharing"",""อุทัยธานี!I314"")"),20)</f>
        <v>20</v>
      </c>
      <c r="T30" s="190">
        <f ca="1">IFERROR(__xludf.DUMMYFUNCTION("IMPORTRANGE(""https://docs.google.com/spreadsheets/d/1UsNK1e-WWiCo2PvGqdNfdme4m17_Ezd3J69EeeiQPD0/edit?usp=sharing"",""อุทัยธานี!J314"")"),0)</f>
        <v>0</v>
      </c>
      <c r="U30" s="348">
        <f t="shared" ca="1" si="33"/>
        <v>0</v>
      </c>
      <c r="V30" s="347">
        <f ca="1">IFERROR(__xludf.DUMMYFUNCTION("IMPORTRANGE(""https://docs.google.com/spreadsheets/d/1UsNK1e-WWiCo2PvGqdNfdme4m17_Ezd3J69EeeiQPD0/edit?usp=sharing"",""อุทัยธานี!I315"")"),4)</f>
        <v>4</v>
      </c>
      <c r="W30" s="190">
        <f ca="1">IFERROR(__xludf.DUMMYFUNCTION("IMPORTRANGE(""https://docs.google.com/spreadsheets/d/1UsNK1e-WWiCo2PvGqdNfdme4m17_Ezd3J69EeeiQPD0/edit?usp=sharing"",""อุทัยธานี!J315"")"),0)</f>
        <v>0</v>
      </c>
      <c r="X30" s="348">
        <f t="shared" ca="1" si="35"/>
        <v>0</v>
      </c>
      <c r="Y30" s="347">
        <f ca="1">IFERROR(__xludf.DUMMYFUNCTION("IMPORTRANGE(""https://docs.google.com/spreadsheets/d/1UsNK1e-WWiCo2PvGqdNfdme4m17_Ezd3J69EeeiQPD0/edit?usp=sharing"",""อุทัยธานี!I316"")"),20)</f>
        <v>20</v>
      </c>
      <c r="Z30" s="190">
        <f ca="1">IFERROR(__xludf.DUMMYFUNCTION("IMPORTRANGE(""https://docs.google.com/spreadsheets/d/1UsNK1e-WWiCo2PvGqdNfdme4m17_Ezd3J69EeeiQPD0/edit?usp=sharing"",""อุทัยธานี!J316"")"),0)</f>
        <v>0</v>
      </c>
      <c r="AA30" s="348">
        <f t="shared" ca="1" si="37"/>
        <v>0</v>
      </c>
      <c r="AB30" s="347">
        <f ca="1">IFERROR(__xludf.DUMMYFUNCTION("IMPORTRANGE(""https://docs.google.com/spreadsheets/d/1UsNK1e-WWiCo2PvGqdNfdme4m17_Ezd3J69EeeiQPD0/edit?usp=sharing"",""อุทัยธานี!I317"")"),4)</f>
        <v>4</v>
      </c>
      <c r="AC30" s="190">
        <f ca="1">IFERROR(__xludf.DUMMYFUNCTION("IMPORTRANGE(""https://docs.google.com/spreadsheets/d/1UsNK1e-WWiCo2PvGqdNfdme4m17_Ezd3J69EeeiQPD0/edit?usp=sharing"",""อุทัยธานี!J317"")"),0)</f>
        <v>0</v>
      </c>
      <c r="AD30" s="348">
        <f t="shared" ca="1" si="39"/>
        <v>0</v>
      </c>
    </row>
    <row r="31" spans="1:30" ht="21" customHeight="1" x14ac:dyDescent="0.3">
      <c r="A31" s="395" t="s">
        <v>53</v>
      </c>
      <c r="B31" s="396"/>
      <c r="C31" s="154">
        <f t="shared" ca="1" si="24"/>
        <v>1259700</v>
      </c>
      <c r="D31" s="154">
        <f t="shared" ref="D31:I31" ca="1" si="41">SUM(D32:D51)</f>
        <v>1259700</v>
      </c>
      <c r="E31" s="154">
        <f t="shared" ca="1" si="41"/>
        <v>664300</v>
      </c>
      <c r="F31" s="154">
        <f t="shared" ca="1" si="41"/>
        <v>595400</v>
      </c>
      <c r="G31" s="154">
        <f t="shared" ca="1" si="41"/>
        <v>0</v>
      </c>
      <c r="H31" s="154">
        <f t="shared" ca="1" si="41"/>
        <v>939400</v>
      </c>
      <c r="I31" s="154">
        <f t="shared" ca="1" si="41"/>
        <v>0</v>
      </c>
      <c r="J31" s="154">
        <f t="shared" ca="1" si="26"/>
        <v>278517.32</v>
      </c>
      <c r="K31" s="155">
        <f t="shared" ca="1" si="27"/>
        <v>22.109813447646264</v>
      </c>
      <c r="L31" s="154">
        <f ca="1">SUM(L32:L51)</f>
        <v>278517.32</v>
      </c>
      <c r="M31" s="156">
        <f t="shared" ca="1" si="28"/>
        <v>22.109813447646264</v>
      </c>
      <c r="N31" s="156">
        <f t="shared" ca="1" si="29"/>
        <v>29.648426655311901</v>
      </c>
      <c r="O31" s="157">
        <f ca="1">SUM(O32:O51)</f>
        <v>0</v>
      </c>
      <c r="P31" s="157">
        <f t="shared" ca="1" si="30"/>
        <v>0</v>
      </c>
      <c r="Q31" s="156">
        <f t="shared" ca="1" si="31"/>
        <v>0</v>
      </c>
      <c r="R31" s="338">
        <f t="shared" ref="R31:T31" ca="1" si="42">SUM(R32:R51)</f>
        <v>0</v>
      </c>
      <c r="S31" s="339">
        <f t="shared" ca="1" si="42"/>
        <v>145</v>
      </c>
      <c r="T31" s="154">
        <f t="shared" ca="1" si="42"/>
        <v>0</v>
      </c>
      <c r="U31" s="156">
        <f t="shared" ca="1" si="33"/>
        <v>0</v>
      </c>
      <c r="V31" s="339">
        <f t="shared" ref="V31:W31" ca="1" si="43">SUM(V32:V51)</f>
        <v>29</v>
      </c>
      <c r="W31" s="154">
        <f t="shared" ca="1" si="43"/>
        <v>0</v>
      </c>
      <c r="X31" s="156">
        <f t="shared" ca="1" si="35"/>
        <v>0</v>
      </c>
      <c r="Y31" s="339">
        <f t="shared" ref="Y31:Z31" ca="1" si="44">SUM(Y32:Y51)</f>
        <v>145</v>
      </c>
      <c r="Z31" s="154">
        <f t="shared" ca="1" si="44"/>
        <v>0</v>
      </c>
      <c r="AA31" s="156">
        <f t="shared" ca="1" si="37"/>
        <v>0</v>
      </c>
      <c r="AB31" s="339">
        <f t="shared" ref="AB31:AC31" ca="1" si="45">SUM(AB32:AB51)</f>
        <v>29</v>
      </c>
      <c r="AC31" s="154">
        <f t="shared" ca="1" si="45"/>
        <v>0</v>
      </c>
      <c r="AD31" s="156">
        <f t="shared" ca="1" si="39"/>
        <v>0</v>
      </c>
    </row>
    <row r="32" spans="1:30" ht="21" customHeight="1" x14ac:dyDescent="0.3">
      <c r="A32" s="74">
        <v>1</v>
      </c>
      <c r="B32" s="75" t="s">
        <v>54</v>
      </c>
      <c r="C32" s="174">
        <f t="shared" ca="1" si="24"/>
        <v>0</v>
      </c>
      <c r="D32" s="175">
        <f t="shared" ref="D32:D51" ca="1" si="46">+E32+F32</f>
        <v>0</v>
      </c>
      <c r="E32" s="176">
        <f ca="1">IFERROR(__xludf.DUMMYFUNCTION("IMPORTRANGE(""https://docs.google.com/spreadsheets/d/1-uDff_7J0KD5mKrp0Vvzr7lt3OU09vwQwhkpOPPYv2Y/edit?usp=sharing"",""งบพรบ!DZ32"")"),0)</f>
        <v>0</v>
      </c>
      <c r="F32" s="176">
        <f ca="1">IFERROR(__xludf.DUMMYFUNCTION("IMPORTRANGE(""https://docs.google.com/spreadsheets/d/1-uDff_7J0KD5mKrp0Vvzr7lt3OU09vwQwhkpOPPYv2Y/edit?usp=sharing"",""งบพรบ!EA32"")"),0)</f>
        <v>0</v>
      </c>
      <c r="G32" s="177">
        <f ca="1">IFERROR(__xludf.DUMMYFUNCTION("IMPORTRANGE(""https://docs.google.com/spreadsheets/d/1-uDff_7J0KD5mKrp0Vvzr7lt3OU09vwQwhkpOPPYv2Y/edit?usp=sharing"",""งบพรบ!EB32"")"),0)</f>
        <v>0</v>
      </c>
      <c r="H32" s="177">
        <f ca="1">IFERROR(__xludf.DUMMYFUNCTION("IMPORTRANGE(""https://docs.google.com/spreadsheets/d/1-uDff_7J0KD5mKrp0Vvzr7lt3OU09vwQwhkpOPPYv2Y/edit?usp=sharing"",""งบพรบ!ED32"")"),0)</f>
        <v>0</v>
      </c>
      <c r="I32" s="177">
        <f ca="1">IFERROR(__xludf.DUMMYFUNCTION("IMPORTRANGE(""https://docs.google.com/spreadsheets/d/1-uDff_7J0KD5mKrp0Vvzr7lt3OU09vwQwhkpOPPYv2Y/edit?usp=sharing"",""งบพรบ!EE32"")"),0)</f>
        <v>0</v>
      </c>
      <c r="J32" s="177">
        <f t="shared" ca="1" si="26"/>
        <v>0</v>
      </c>
      <c r="K32" s="178">
        <f t="shared" ca="1" si="27"/>
        <v>0</v>
      </c>
      <c r="L32" s="177">
        <f ca="1">IFERROR(__xludf.DUMMYFUNCTION("IMPORTRANGE(""https://docs.google.com/spreadsheets/d/1-uDff_7J0KD5mKrp0Vvzr7lt3OU09vwQwhkpOPPYv2Y/edit?usp=sharing"",""งบพรบ!EF32"")"),0)</f>
        <v>0</v>
      </c>
      <c r="M32" s="179">
        <f t="shared" ca="1" si="28"/>
        <v>0</v>
      </c>
      <c r="N32" s="179">
        <f t="shared" ca="1" si="29"/>
        <v>0</v>
      </c>
      <c r="O32" s="180">
        <f ca="1">IFERROR(__xludf.DUMMYFUNCTION("IMPORTRANGE(""https://docs.google.com/spreadsheets/d/1-uDff_7J0KD5mKrp0Vvzr7lt3OU09vwQwhkpOPPYv2Y/edit?usp=sharing"",""งบพรบ!EG32"")"),0)</f>
        <v>0</v>
      </c>
      <c r="P32" s="180">
        <f t="shared" ca="1" si="30"/>
        <v>0</v>
      </c>
      <c r="Q32" s="179">
        <f t="shared" ca="1" si="31"/>
        <v>0</v>
      </c>
      <c r="R32" s="344">
        <f ca="1">IFERROR(__xludf.DUMMYFUNCTION("IMPORTRANGE(""https://docs.google.com/spreadsheets/d/1yhBcrRPreicbMKl9Bu_Snb2-OcQAF62RKfhTLhJ2eAA/edit?usp=sharing"",""กาฬสินธุ์!J313"")"),0)</f>
        <v>0</v>
      </c>
      <c r="S32" s="344">
        <f ca="1">IFERROR(__xludf.DUMMYFUNCTION("IMPORTRANGE(""https://docs.google.com/spreadsheets/d/1yhBcrRPreicbMKl9Bu_Snb2-OcQAF62RKfhTLhJ2eAA/edit?usp=sharing"",""กาฬสินธุ์!I314"")"),0)</f>
        <v>0</v>
      </c>
      <c r="T32" s="177">
        <f ca="1">IFERROR(__xludf.DUMMYFUNCTION("IMPORTRANGE(""https://docs.google.com/spreadsheets/d/1yhBcrRPreicbMKl9Bu_Snb2-OcQAF62RKfhTLhJ2eAA/edit?usp=sharing"",""กาฬสินธุ์!J314"")"),0)</f>
        <v>0</v>
      </c>
      <c r="U32" s="345">
        <f t="shared" ca="1" si="33"/>
        <v>0</v>
      </c>
      <c r="V32" s="344">
        <f ca="1">IFERROR(__xludf.DUMMYFUNCTION("IMPORTRANGE(""https://docs.google.com/spreadsheets/d/1yhBcrRPreicbMKl9Bu_Snb2-OcQAF62RKfhTLhJ2eAA/edit?usp=sharing"",""กาฬสินธุ์!I315"")"),0)</f>
        <v>0</v>
      </c>
      <c r="W32" s="177">
        <f ca="1">IFERROR(__xludf.DUMMYFUNCTION("IMPORTRANGE(""https://docs.google.com/spreadsheets/d/1yhBcrRPreicbMKl9Bu_Snb2-OcQAF62RKfhTLhJ2eAA/edit?usp=sharing"",""กาฬสินธุ์!J315"")"),0)</f>
        <v>0</v>
      </c>
      <c r="X32" s="345">
        <f t="shared" ca="1" si="35"/>
        <v>0</v>
      </c>
      <c r="Y32" s="344">
        <f ca="1">IFERROR(__xludf.DUMMYFUNCTION("IMPORTRANGE(""https://docs.google.com/spreadsheets/d/1yhBcrRPreicbMKl9Bu_Snb2-OcQAF62RKfhTLhJ2eAA/edit?usp=sharing"",""กาฬสินธุ์!I316"")"),0)</f>
        <v>0</v>
      </c>
      <c r="Z32" s="177">
        <f ca="1">IFERROR(__xludf.DUMMYFUNCTION("IMPORTRANGE(""https://docs.google.com/spreadsheets/d/1yhBcrRPreicbMKl9Bu_Snb2-OcQAF62RKfhTLhJ2eAA/edit?usp=sharing"",""กาฬสินธุ์!J316"")"),0)</f>
        <v>0</v>
      </c>
      <c r="AA32" s="345">
        <f t="shared" ca="1" si="37"/>
        <v>0</v>
      </c>
      <c r="AB32" s="344">
        <f ca="1">IFERROR(__xludf.DUMMYFUNCTION("IMPORTRANGE(""https://docs.google.com/spreadsheets/d/1yhBcrRPreicbMKl9Bu_Snb2-OcQAF62RKfhTLhJ2eAA/edit?usp=sharing"",""กาฬสินธุ์!I317"")"),0)</f>
        <v>0</v>
      </c>
      <c r="AC32" s="177">
        <f ca="1">IFERROR(__xludf.DUMMYFUNCTION("IMPORTRANGE(""https://docs.google.com/spreadsheets/d/1yhBcrRPreicbMKl9Bu_Snb2-OcQAF62RKfhTLhJ2eAA/edit?usp=sharing"",""กาฬสินธุ์!J317"")"),0)</f>
        <v>0</v>
      </c>
      <c r="AD32" s="345">
        <f t="shared" ca="1" si="39"/>
        <v>0</v>
      </c>
    </row>
    <row r="33" spans="1:30" ht="21" customHeight="1" x14ac:dyDescent="0.3">
      <c r="A33" s="84">
        <v>2</v>
      </c>
      <c r="B33" s="85" t="s">
        <v>55</v>
      </c>
      <c r="C33" s="174">
        <f t="shared" ca="1" si="24"/>
        <v>0</v>
      </c>
      <c r="D33" s="175">
        <f t="shared" ca="1" si="46"/>
        <v>0</v>
      </c>
      <c r="E33" s="176">
        <f ca="1">IFERROR(__xludf.DUMMYFUNCTION("IMPORTRANGE(""https://docs.google.com/spreadsheets/d/1-uDff_7J0KD5mKrp0Vvzr7lt3OU09vwQwhkpOPPYv2Y/edit?usp=sharing"",""งบพรบ!DZ33"")"),0)</f>
        <v>0</v>
      </c>
      <c r="F33" s="176">
        <f ca="1">IFERROR(__xludf.DUMMYFUNCTION("IMPORTRANGE(""https://docs.google.com/spreadsheets/d/1-uDff_7J0KD5mKrp0Vvzr7lt3OU09vwQwhkpOPPYv2Y/edit?usp=sharing"",""งบพรบ!EA33"")"),0)</f>
        <v>0</v>
      </c>
      <c r="G33" s="176">
        <f ca="1">IFERROR(__xludf.DUMMYFUNCTION("IMPORTRANGE(""https://docs.google.com/spreadsheets/d/1-uDff_7J0KD5mKrp0Vvzr7lt3OU09vwQwhkpOPPYv2Y/edit?usp=sharing"",""งบพรบ!EB33"")"),0)</f>
        <v>0</v>
      </c>
      <c r="H33" s="176">
        <f ca="1">IFERROR(__xludf.DUMMYFUNCTION("IMPORTRANGE(""https://docs.google.com/spreadsheets/d/1-uDff_7J0KD5mKrp0Vvzr7lt3OU09vwQwhkpOPPYv2Y/edit?usp=sharing"",""งบพรบ!ED33"")"),0)</f>
        <v>0</v>
      </c>
      <c r="I33" s="176">
        <f ca="1">IFERROR(__xludf.DUMMYFUNCTION("IMPORTRANGE(""https://docs.google.com/spreadsheets/d/1-uDff_7J0KD5mKrp0Vvzr7lt3OU09vwQwhkpOPPYv2Y/edit?usp=sharing"",""งบพรบ!EE33"")"),0)</f>
        <v>0</v>
      </c>
      <c r="J33" s="176">
        <f t="shared" ca="1" si="26"/>
        <v>0</v>
      </c>
      <c r="K33" s="181">
        <f t="shared" ca="1" si="27"/>
        <v>0</v>
      </c>
      <c r="L33" s="176">
        <f ca="1">IFERROR(__xludf.DUMMYFUNCTION("IMPORTRANGE(""https://docs.google.com/spreadsheets/d/1-uDff_7J0KD5mKrp0Vvzr7lt3OU09vwQwhkpOPPYv2Y/edit?usp=sharing"",""งบพรบ!EF33"")"),0)</f>
        <v>0</v>
      </c>
      <c r="M33" s="179">
        <f t="shared" ca="1" si="28"/>
        <v>0</v>
      </c>
      <c r="N33" s="179">
        <f t="shared" ca="1" si="29"/>
        <v>0</v>
      </c>
      <c r="O33" s="180">
        <f ca="1">IFERROR(__xludf.DUMMYFUNCTION("IMPORTRANGE(""https://docs.google.com/spreadsheets/d/1-uDff_7J0KD5mKrp0Vvzr7lt3OU09vwQwhkpOPPYv2Y/edit?usp=sharing"",""งบพรบ!EG33"")"),0)</f>
        <v>0</v>
      </c>
      <c r="P33" s="180">
        <f t="shared" ca="1" si="30"/>
        <v>0</v>
      </c>
      <c r="Q33" s="179">
        <f t="shared" ca="1" si="31"/>
        <v>0</v>
      </c>
      <c r="R33" s="344">
        <f ca="1">IFERROR(__xludf.DUMMYFUNCTION("IMPORTRANGE(""https://docs.google.com/spreadsheets/d/1aHkj4IaQMThhwWwevcOymEh837vdxeC_PycurhTbGFA/edit?usp=sharing"",""ขอนแก่น!J313"")"),0)</f>
        <v>0</v>
      </c>
      <c r="S33" s="346">
        <f ca="1">IFERROR(__xludf.DUMMYFUNCTION("IMPORTRANGE(""https://docs.google.com/spreadsheets/d/1aHkj4IaQMThhwWwevcOymEh837vdxeC_PycurhTbGFA/edit?usp=sharing"",""ขอนแก่น!I314"")"),0)</f>
        <v>0</v>
      </c>
      <c r="T33" s="177">
        <f ca="1">IFERROR(__xludf.DUMMYFUNCTION("IMPORTRANGE(""https://docs.google.com/spreadsheets/d/1aHkj4IaQMThhwWwevcOymEh837vdxeC_PycurhTbGFA/edit?usp=sharing"",""ขอนแก่น!J314"")"),0)</f>
        <v>0</v>
      </c>
      <c r="U33" s="345">
        <f t="shared" ca="1" si="33"/>
        <v>0</v>
      </c>
      <c r="V33" s="346">
        <f ca="1">IFERROR(__xludf.DUMMYFUNCTION("IMPORTRANGE(""https://docs.google.com/spreadsheets/d/1aHkj4IaQMThhwWwevcOymEh837vdxeC_PycurhTbGFA/edit?usp=sharing"",""ขอนแก่น!I315"")"),0)</f>
        <v>0</v>
      </c>
      <c r="W33" s="177">
        <f ca="1">IFERROR(__xludf.DUMMYFUNCTION("IMPORTRANGE(""https://docs.google.com/spreadsheets/d/1aHkj4IaQMThhwWwevcOymEh837vdxeC_PycurhTbGFA/edit?usp=sharing"",""ขอนแก่น!J315"")"),0)</f>
        <v>0</v>
      </c>
      <c r="X33" s="345">
        <f t="shared" ca="1" si="35"/>
        <v>0</v>
      </c>
      <c r="Y33" s="346">
        <f ca="1">IFERROR(__xludf.DUMMYFUNCTION("IMPORTRANGE(""https://docs.google.com/spreadsheets/d/1aHkj4IaQMThhwWwevcOymEh837vdxeC_PycurhTbGFA/edit?usp=sharing"",""ขอนแก่น!I316"")"),0)</f>
        <v>0</v>
      </c>
      <c r="Z33" s="177">
        <f ca="1">IFERROR(__xludf.DUMMYFUNCTION("IMPORTRANGE(""https://docs.google.com/spreadsheets/d/1aHkj4IaQMThhwWwevcOymEh837vdxeC_PycurhTbGFA/edit?usp=sharing"",""ขอนแก่น!J316"")"),0)</f>
        <v>0</v>
      </c>
      <c r="AA33" s="345">
        <f t="shared" ca="1" si="37"/>
        <v>0</v>
      </c>
      <c r="AB33" s="346">
        <f ca="1">IFERROR(__xludf.DUMMYFUNCTION("IMPORTRANGE(""https://docs.google.com/spreadsheets/d/1aHkj4IaQMThhwWwevcOymEh837vdxeC_PycurhTbGFA/edit?usp=sharing"",""ขอนแก่น!I317"")"),0)</f>
        <v>0</v>
      </c>
      <c r="AC33" s="177">
        <f ca="1">IFERROR(__xludf.DUMMYFUNCTION("IMPORTRANGE(""https://docs.google.com/spreadsheets/d/1aHkj4IaQMThhwWwevcOymEh837vdxeC_PycurhTbGFA/edit?usp=sharing"",""ขอนแก่น!J317"")"),0)</f>
        <v>0</v>
      </c>
      <c r="AD33" s="345">
        <f t="shared" ca="1" si="39"/>
        <v>0</v>
      </c>
    </row>
    <row r="34" spans="1:30" ht="21" customHeight="1" x14ac:dyDescent="0.3">
      <c r="A34" s="84">
        <v>3</v>
      </c>
      <c r="B34" s="85" t="s">
        <v>56</v>
      </c>
      <c r="C34" s="174">
        <f t="shared" ca="1" si="24"/>
        <v>0</v>
      </c>
      <c r="D34" s="175">
        <f t="shared" ca="1" si="46"/>
        <v>0</v>
      </c>
      <c r="E34" s="176">
        <f ca="1">IFERROR(__xludf.DUMMYFUNCTION("IMPORTRANGE(""https://docs.google.com/spreadsheets/d/1-uDff_7J0KD5mKrp0Vvzr7lt3OU09vwQwhkpOPPYv2Y/edit?usp=sharing"",""งบพรบ!DZ34"")"),0)</f>
        <v>0</v>
      </c>
      <c r="F34" s="176">
        <f ca="1">IFERROR(__xludf.DUMMYFUNCTION("IMPORTRANGE(""https://docs.google.com/spreadsheets/d/1-uDff_7J0KD5mKrp0Vvzr7lt3OU09vwQwhkpOPPYv2Y/edit?usp=sharing"",""งบพรบ!EA34"")"),0)</f>
        <v>0</v>
      </c>
      <c r="G34" s="176">
        <f ca="1">IFERROR(__xludf.DUMMYFUNCTION("IMPORTRANGE(""https://docs.google.com/spreadsheets/d/1-uDff_7J0KD5mKrp0Vvzr7lt3OU09vwQwhkpOPPYv2Y/edit?usp=sharing"",""งบพรบ!EB34"")"),0)</f>
        <v>0</v>
      </c>
      <c r="H34" s="176">
        <f ca="1">IFERROR(__xludf.DUMMYFUNCTION("IMPORTRANGE(""https://docs.google.com/spreadsheets/d/1-uDff_7J0KD5mKrp0Vvzr7lt3OU09vwQwhkpOPPYv2Y/edit?usp=sharing"",""งบพรบ!ED34"")"),0)</f>
        <v>0</v>
      </c>
      <c r="I34" s="176">
        <f ca="1">IFERROR(__xludf.DUMMYFUNCTION("IMPORTRANGE(""https://docs.google.com/spreadsheets/d/1-uDff_7J0KD5mKrp0Vvzr7lt3OU09vwQwhkpOPPYv2Y/edit?usp=sharing"",""งบพรบ!EE34"")"),0)</f>
        <v>0</v>
      </c>
      <c r="J34" s="176">
        <f t="shared" ca="1" si="26"/>
        <v>0</v>
      </c>
      <c r="K34" s="181">
        <f t="shared" ca="1" si="27"/>
        <v>0</v>
      </c>
      <c r="L34" s="176">
        <f ca="1">IFERROR(__xludf.DUMMYFUNCTION("IMPORTRANGE(""https://docs.google.com/spreadsheets/d/1-uDff_7J0KD5mKrp0Vvzr7lt3OU09vwQwhkpOPPYv2Y/edit?usp=sharing"",""งบพรบ!EF34"")"),0)</f>
        <v>0</v>
      </c>
      <c r="M34" s="179">
        <f t="shared" ca="1" si="28"/>
        <v>0</v>
      </c>
      <c r="N34" s="179">
        <f t="shared" ca="1" si="29"/>
        <v>0</v>
      </c>
      <c r="O34" s="180">
        <f ca="1">IFERROR(__xludf.DUMMYFUNCTION("IMPORTRANGE(""https://docs.google.com/spreadsheets/d/1-uDff_7J0KD5mKrp0Vvzr7lt3OU09vwQwhkpOPPYv2Y/edit?usp=sharing"",""งบพรบ!EG34"")"),0)</f>
        <v>0</v>
      </c>
      <c r="P34" s="180">
        <f t="shared" ca="1" si="30"/>
        <v>0</v>
      </c>
      <c r="Q34" s="179">
        <f t="shared" ca="1" si="31"/>
        <v>0</v>
      </c>
      <c r="R34" s="344">
        <f ca="1">IFERROR(__xludf.DUMMYFUNCTION("IMPORTRANGE(""https://docs.google.com/spreadsheets/d/1FvTu2DsIWUjP6WCWra38Bkj_oOl_sOMf14r5Fg5srxU/edit?usp=sharing"",""ชัยภูมิ!J313"")"),0)</f>
        <v>0</v>
      </c>
      <c r="S34" s="344">
        <f ca="1">IFERROR(__xludf.DUMMYFUNCTION("IMPORTRANGE(""https://docs.google.com/spreadsheets/d/1FvTu2DsIWUjP6WCWra38Bkj_oOl_sOMf14r5Fg5srxU/edit?usp=sharing"",""ชัยภูมิ!I314"")"),0)</f>
        <v>0</v>
      </c>
      <c r="T34" s="177">
        <f ca="1">IFERROR(__xludf.DUMMYFUNCTION("IMPORTRANGE(""https://docs.google.com/spreadsheets/d/1FvTu2DsIWUjP6WCWra38Bkj_oOl_sOMf14r5Fg5srxU/edit?usp=sharing"",""ชัยภูมิ!J314"")"),0)</f>
        <v>0</v>
      </c>
      <c r="U34" s="345">
        <f t="shared" ca="1" si="33"/>
        <v>0</v>
      </c>
      <c r="V34" s="344">
        <f ca="1">IFERROR(__xludf.DUMMYFUNCTION("IMPORTRANGE(""https://docs.google.com/spreadsheets/d/1FvTu2DsIWUjP6WCWra38Bkj_oOl_sOMf14r5Fg5srxU/edit?usp=sharing"",""ชัยภูมิ!I315"")"),0)</f>
        <v>0</v>
      </c>
      <c r="W34" s="177">
        <f ca="1">IFERROR(__xludf.DUMMYFUNCTION("IMPORTRANGE(""https://docs.google.com/spreadsheets/d/1FvTu2DsIWUjP6WCWra38Bkj_oOl_sOMf14r5Fg5srxU/edit?usp=sharing"",""ชัยภูมิ!J315"")"),0)</f>
        <v>0</v>
      </c>
      <c r="X34" s="345">
        <f t="shared" ca="1" si="35"/>
        <v>0</v>
      </c>
      <c r="Y34" s="344">
        <f ca="1">IFERROR(__xludf.DUMMYFUNCTION("IMPORTRANGE(""https://docs.google.com/spreadsheets/d/1FvTu2DsIWUjP6WCWra38Bkj_oOl_sOMf14r5Fg5srxU/edit?usp=sharing"",""ชัยภูมิ!I316"")"),0)</f>
        <v>0</v>
      </c>
      <c r="Z34" s="177">
        <f ca="1">IFERROR(__xludf.DUMMYFUNCTION("IMPORTRANGE(""https://docs.google.com/spreadsheets/d/1FvTu2DsIWUjP6WCWra38Bkj_oOl_sOMf14r5Fg5srxU/edit?usp=sharing"",""ชัยภูมิ!J316"")"),0)</f>
        <v>0</v>
      </c>
      <c r="AA34" s="345">
        <f t="shared" ca="1" si="37"/>
        <v>0</v>
      </c>
      <c r="AB34" s="344">
        <f ca="1">IFERROR(__xludf.DUMMYFUNCTION("IMPORTRANGE(""https://docs.google.com/spreadsheets/d/1FvTu2DsIWUjP6WCWra38Bkj_oOl_sOMf14r5Fg5srxU/edit?usp=sharing"",""ชัยภูมิ!I317"")"),0)</f>
        <v>0</v>
      </c>
      <c r="AC34" s="177">
        <f ca="1">IFERROR(__xludf.DUMMYFUNCTION("IMPORTRANGE(""https://docs.google.com/spreadsheets/d/1FvTu2DsIWUjP6WCWra38Bkj_oOl_sOMf14r5Fg5srxU/edit?usp=sharing"",""ชัยภูมิ!J317"")"),0)</f>
        <v>0</v>
      </c>
      <c r="AD34" s="345">
        <f t="shared" ca="1" si="39"/>
        <v>0</v>
      </c>
    </row>
    <row r="35" spans="1:30" ht="21" customHeight="1" x14ac:dyDescent="0.3">
      <c r="A35" s="84">
        <v>4</v>
      </c>
      <c r="B35" s="85" t="s">
        <v>57</v>
      </c>
      <c r="C35" s="174">
        <f t="shared" ca="1" si="24"/>
        <v>166000</v>
      </c>
      <c r="D35" s="175">
        <f t="shared" ca="1" si="46"/>
        <v>166000</v>
      </c>
      <c r="E35" s="176">
        <f ca="1">IFERROR(__xludf.DUMMYFUNCTION("IMPORTRANGE(""https://docs.google.com/spreadsheets/d/1-uDff_7J0KD5mKrp0Vvzr7lt3OU09vwQwhkpOPPYv2Y/edit?usp=sharing"",""งบพรบ!DZ35"")"),102200)</f>
        <v>102200</v>
      </c>
      <c r="F35" s="176">
        <f ca="1">IFERROR(__xludf.DUMMYFUNCTION("IMPORTRANGE(""https://docs.google.com/spreadsheets/d/1-uDff_7J0KD5mKrp0Vvzr7lt3OU09vwQwhkpOPPYv2Y/edit?usp=sharing"",""งบพรบ!EA35"")"),63800)</f>
        <v>63800</v>
      </c>
      <c r="G35" s="176">
        <f ca="1">IFERROR(__xludf.DUMMYFUNCTION("IMPORTRANGE(""https://docs.google.com/spreadsheets/d/1-uDff_7J0KD5mKrp0Vvzr7lt3OU09vwQwhkpOPPYv2Y/edit?usp=sharing"",""งบพรบ!EB35"")"),0)</f>
        <v>0</v>
      </c>
      <c r="H35" s="176">
        <f ca="1">IFERROR(__xludf.DUMMYFUNCTION("IMPORTRANGE(""https://docs.google.com/spreadsheets/d/1-uDff_7J0KD5mKrp0Vvzr7lt3OU09vwQwhkpOPPYv2Y/edit?usp=sharing"",""งบพรบ!ED35"")"),123300)</f>
        <v>123300</v>
      </c>
      <c r="I35" s="176">
        <f ca="1">IFERROR(__xludf.DUMMYFUNCTION("IMPORTRANGE(""https://docs.google.com/spreadsheets/d/1-uDff_7J0KD5mKrp0Vvzr7lt3OU09vwQwhkpOPPYv2Y/edit?usp=sharing"",""งบพรบ!EE35"")"),0)</f>
        <v>0</v>
      </c>
      <c r="J35" s="176">
        <f t="shared" ca="1" si="26"/>
        <v>27600</v>
      </c>
      <c r="K35" s="181">
        <f t="shared" ca="1" si="27"/>
        <v>16.626506024096386</v>
      </c>
      <c r="L35" s="176">
        <f ca="1">IFERROR(__xludf.DUMMYFUNCTION("IMPORTRANGE(""https://docs.google.com/spreadsheets/d/1-uDff_7J0KD5mKrp0Vvzr7lt3OU09vwQwhkpOPPYv2Y/edit?usp=sharing"",""งบพรบ!EF35"")"),27600)</f>
        <v>27600</v>
      </c>
      <c r="M35" s="179">
        <f t="shared" ca="1" si="28"/>
        <v>16.626506024096386</v>
      </c>
      <c r="N35" s="179">
        <f t="shared" ca="1" si="29"/>
        <v>22.384428223844282</v>
      </c>
      <c r="O35" s="180">
        <f ca="1">IFERROR(__xludf.DUMMYFUNCTION("IMPORTRANGE(""https://docs.google.com/spreadsheets/d/1-uDff_7J0KD5mKrp0Vvzr7lt3OU09vwQwhkpOPPYv2Y/edit?usp=sharing"",""งบพรบ!EG35"")"),0)</f>
        <v>0</v>
      </c>
      <c r="P35" s="180">
        <f t="shared" ca="1" si="30"/>
        <v>0</v>
      </c>
      <c r="Q35" s="179">
        <f t="shared" ca="1" si="31"/>
        <v>0</v>
      </c>
      <c r="R35" s="344">
        <f ca="1">IFERROR(__xludf.DUMMYFUNCTION("IMPORTRANGE(""https://docs.google.com/spreadsheets/d/1XVB7oCJ3pr-vBUdflwPQ8Z2LlzhnCvZaaYjAfP-647E/edit?usp=sharing"",""นครพนม!J313"")"),0)</f>
        <v>0</v>
      </c>
      <c r="S35" s="344">
        <f ca="1">IFERROR(__xludf.DUMMYFUNCTION("IMPORTRANGE(""https://docs.google.com/spreadsheets/d/1XVB7oCJ3pr-vBUdflwPQ8Z2LlzhnCvZaaYjAfP-647E/edit?usp=sharing"",""นครพนม!I314"")"),15)</f>
        <v>15</v>
      </c>
      <c r="T35" s="177">
        <f ca="1">IFERROR(__xludf.DUMMYFUNCTION("IMPORTRANGE(""https://docs.google.com/spreadsheets/d/1XVB7oCJ3pr-vBUdflwPQ8Z2LlzhnCvZaaYjAfP-647E/edit?usp=sharing"",""นครพนม!J314"")"),0)</f>
        <v>0</v>
      </c>
      <c r="U35" s="345">
        <f t="shared" ca="1" si="33"/>
        <v>0</v>
      </c>
      <c r="V35" s="344">
        <f ca="1">IFERROR(__xludf.DUMMYFUNCTION("IMPORTRANGE(""https://docs.google.com/spreadsheets/d/1XVB7oCJ3pr-vBUdflwPQ8Z2LlzhnCvZaaYjAfP-647E/edit?usp=sharing"",""นครพนม!I315"")"),3)</f>
        <v>3</v>
      </c>
      <c r="W35" s="177">
        <f ca="1">IFERROR(__xludf.DUMMYFUNCTION("IMPORTRANGE(""https://docs.google.com/spreadsheets/d/1XVB7oCJ3pr-vBUdflwPQ8Z2LlzhnCvZaaYjAfP-647E/edit?usp=sharing"",""นครพนม!J315"")"),0)</f>
        <v>0</v>
      </c>
      <c r="X35" s="345">
        <f t="shared" ca="1" si="35"/>
        <v>0</v>
      </c>
      <c r="Y35" s="344">
        <f ca="1">IFERROR(__xludf.DUMMYFUNCTION("IMPORTRANGE(""https://docs.google.com/spreadsheets/d/1XVB7oCJ3pr-vBUdflwPQ8Z2LlzhnCvZaaYjAfP-647E/edit?usp=sharing"",""นครพนม!I316"")"),15)</f>
        <v>15</v>
      </c>
      <c r="Z35" s="177">
        <f ca="1">IFERROR(__xludf.DUMMYFUNCTION("IMPORTRANGE(""https://docs.google.com/spreadsheets/d/1XVB7oCJ3pr-vBUdflwPQ8Z2LlzhnCvZaaYjAfP-647E/edit?usp=sharing"",""นครพนม!J316"")"),0)</f>
        <v>0</v>
      </c>
      <c r="AA35" s="345">
        <f t="shared" ca="1" si="37"/>
        <v>0</v>
      </c>
      <c r="AB35" s="344">
        <f ca="1">IFERROR(__xludf.DUMMYFUNCTION("IMPORTRANGE(""https://docs.google.com/spreadsheets/d/1XVB7oCJ3pr-vBUdflwPQ8Z2LlzhnCvZaaYjAfP-647E/edit?usp=sharing"",""นครพนม!I317"")"),3)</f>
        <v>3</v>
      </c>
      <c r="AC35" s="177">
        <f ca="1">IFERROR(__xludf.DUMMYFUNCTION("IMPORTRANGE(""https://docs.google.com/spreadsheets/d/1XVB7oCJ3pr-vBUdflwPQ8Z2LlzhnCvZaaYjAfP-647E/edit?usp=sharing"",""นครพนม!J317"")"),0)</f>
        <v>0</v>
      </c>
      <c r="AD35" s="345">
        <f t="shared" ca="1" si="39"/>
        <v>0</v>
      </c>
    </row>
    <row r="36" spans="1:30" ht="21" customHeight="1" x14ac:dyDescent="0.3">
      <c r="A36" s="84">
        <v>5</v>
      </c>
      <c r="B36" s="85" t="s">
        <v>58</v>
      </c>
      <c r="C36" s="174">
        <f t="shared" ca="1" si="24"/>
        <v>305400</v>
      </c>
      <c r="D36" s="175">
        <f t="shared" ca="1" si="46"/>
        <v>305400</v>
      </c>
      <c r="E36" s="176">
        <f ca="1">IFERROR(__xludf.DUMMYFUNCTION("IMPORTRANGE(""https://docs.google.com/spreadsheets/d/1-uDff_7J0KD5mKrp0Vvzr7lt3OU09vwQwhkpOPPYv2Y/edit?usp=sharing"",""งบพรบ!DZ36"")"),204400)</f>
        <v>204400</v>
      </c>
      <c r="F36" s="176">
        <f ca="1">IFERROR(__xludf.DUMMYFUNCTION("IMPORTRANGE(""https://docs.google.com/spreadsheets/d/1-uDff_7J0KD5mKrp0Vvzr7lt3OU09vwQwhkpOPPYv2Y/edit?usp=sharing"",""งบพรบ!EA36"")"),101000)</f>
        <v>101000</v>
      </c>
      <c r="G36" s="176">
        <f ca="1">IFERROR(__xludf.DUMMYFUNCTION("IMPORTRANGE(""https://docs.google.com/spreadsheets/d/1-uDff_7J0KD5mKrp0Vvzr7lt3OU09vwQwhkpOPPYv2Y/edit?usp=sharing"",""งบพรบ!EB36"")"),0)</f>
        <v>0</v>
      </c>
      <c r="H36" s="176">
        <f ca="1">IFERROR(__xludf.DUMMYFUNCTION("IMPORTRANGE(""https://docs.google.com/spreadsheets/d/1-uDff_7J0KD5mKrp0Vvzr7lt3OU09vwQwhkpOPPYv2Y/edit?usp=sharing"",""งบพรบ!ED36"")"),224500)</f>
        <v>224500</v>
      </c>
      <c r="I36" s="176">
        <f ca="1">IFERROR(__xludf.DUMMYFUNCTION("IMPORTRANGE(""https://docs.google.com/spreadsheets/d/1-uDff_7J0KD5mKrp0Vvzr7lt3OU09vwQwhkpOPPYv2Y/edit?usp=sharing"",""งบพรบ!EE36"")"),0)</f>
        <v>0</v>
      </c>
      <c r="J36" s="176">
        <f t="shared" ca="1" si="26"/>
        <v>126843.99</v>
      </c>
      <c r="K36" s="181">
        <f t="shared" ca="1" si="27"/>
        <v>41.533722986247547</v>
      </c>
      <c r="L36" s="176">
        <f ca="1">IFERROR(__xludf.DUMMYFUNCTION("IMPORTRANGE(""https://docs.google.com/spreadsheets/d/1-uDff_7J0KD5mKrp0Vvzr7lt3OU09vwQwhkpOPPYv2Y/edit?usp=sharing"",""งบพรบ!EF36"")"),126843.99)</f>
        <v>126843.99</v>
      </c>
      <c r="M36" s="179">
        <f t="shared" ca="1" si="28"/>
        <v>41.533722986247547</v>
      </c>
      <c r="N36" s="179">
        <f t="shared" ca="1" si="29"/>
        <v>56.500663697104677</v>
      </c>
      <c r="O36" s="180">
        <f ca="1">IFERROR(__xludf.DUMMYFUNCTION("IMPORTRANGE(""https://docs.google.com/spreadsheets/d/1-uDff_7J0KD5mKrp0Vvzr7lt3OU09vwQwhkpOPPYv2Y/edit?usp=sharing"",""งบพรบ!EG36"")"),0)</f>
        <v>0</v>
      </c>
      <c r="P36" s="180">
        <f t="shared" ca="1" si="30"/>
        <v>0</v>
      </c>
      <c r="Q36" s="179">
        <f t="shared" ca="1" si="31"/>
        <v>0</v>
      </c>
      <c r="R36" s="344">
        <f ca="1">IFERROR(__xludf.DUMMYFUNCTION("IMPORTRANGE(""https://docs.google.com/spreadsheets/d/1Mnpb-8PYAgn85W6KOTD40hc_Xc55CaLfHoGAbrZ8tls/edit?usp=sharing"",""นครราชสีมา!J313"")"),0)</f>
        <v>0</v>
      </c>
      <c r="S36" s="344">
        <f ca="1">IFERROR(__xludf.DUMMYFUNCTION("IMPORTRANGE(""https://docs.google.com/spreadsheets/d/1Mnpb-8PYAgn85W6KOTD40hc_Xc55CaLfHoGAbrZ8tls/edit?usp=sharing"",""นครราชสีมา!I314"")"),25)</f>
        <v>25</v>
      </c>
      <c r="T36" s="177">
        <f ca="1">IFERROR(__xludf.DUMMYFUNCTION("IMPORTRANGE(""https://docs.google.com/spreadsheets/d/1Mnpb-8PYAgn85W6KOTD40hc_Xc55CaLfHoGAbrZ8tls/edit?usp=sharing"",""นครราชสีมา!J314"")"),0)</f>
        <v>0</v>
      </c>
      <c r="U36" s="345">
        <f t="shared" ca="1" si="33"/>
        <v>0</v>
      </c>
      <c r="V36" s="344">
        <f ca="1">IFERROR(__xludf.DUMMYFUNCTION("IMPORTRANGE(""https://docs.google.com/spreadsheets/d/1Mnpb-8PYAgn85W6KOTD40hc_Xc55CaLfHoGAbrZ8tls/edit?usp=sharing"",""นครราชสีมา!I315"")"),5)</f>
        <v>5</v>
      </c>
      <c r="W36" s="177">
        <f ca="1">IFERROR(__xludf.DUMMYFUNCTION("IMPORTRANGE(""https://docs.google.com/spreadsheets/d/1Mnpb-8PYAgn85W6KOTD40hc_Xc55CaLfHoGAbrZ8tls/edit?usp=sharing"",""นครราชสีมา!J315"")"),0)</f>
        <v>0</v>
      </c>
      <c r="X36" s="345">
        <f t="shared" ca="1" si="35"/>
        <v>0</v>
      </c>
      <c r="Y36" s="344">
        <f ca="1">IFERROR(__xludf.DUMMYFUNCTION("IMPORTRANGE(""https://docs.google.com/spreadsheets/d/1Mnpb-8PYAgn85W6KOTD40hc_Xc55CaLfHoGAbrZ8tls/edit?usp=sharing"",""นครราชสีมา!I316"")"),25)</f>
        <v>25</v>
      </c>
      <c r="Z36" s="177">
        <f ca="1">IFERROR(__xludf.DUMMYFUNCTION("IMPORTRANGE(""https://docs.google.com/spreadsheets/d/1Mnpb-8PYAgn85W6KOTD40hc_Xc55CaLfHoGAbrZ8tls/edit?usp=sharing"",""นครราชสีมา!J316"")"),0)</f>
        <v>0</v>
      </c>
      <c r="AA36" s="345">
        <f t="shared" ca="1" si="37"/>
        <v>0</v>
      </c>
      <c r="AB36" s="344">
        <f ca="1">IFERROR(__xludf.DUMMYFUNCTION("IMPORTRANGE(""https://docs.google.com/spreadsheets/d/1Mnpb-8PYAgn85W6KOTD40hc_Xc55CaLfHoGAbrZ8tls/edit?usp=sharing"",""นครราชสีมา!I317"")"),5)</f>
        <v>5</v>
      </c>
      <c r="AC36" s="177">
        <f ca="1">IFERROR(__xludf.DUMMYFUNCTION("IMPORTRANGE(""https://docs.google.com/spreadsheets/d/1Mnpb-8PYAgn85W6KOTD40hc_Xc55CaLfHoGAbrZ8tls/edit?usp=sharing"",""นครราชสีมา!J317"")"),0)</f>
        <v>0</v>
      </c>
      <c r="AD36" s="345">
        <f t="shared" ca="1" si="39"/>
        <v>0</v>
      </c>
    </row>
    <row r="37" spans="1:30" ht="21" customHeight="1" x14ac:dyDescent="0.3">
      <c r="A37" s="84">
        <v>6</v>
      </c>
      <c r="B37" s="85" t="s">
        <v>59</v>
      </c>
      <c r="C37" s="174">
        <f t="shared" ca="1" si="24"/>
        <v>0</v>
      </c>
      <c r="D37" s="175">
        <f t="shared" ca="1" si="46"/>
        <v>0</v>
      </c>
      <c r="E37" s="176">
        <f ca="1">IFERROR(__xludf.DUMMYFUNCTION("IMPORTRANGE(""https://docs.google.com/spreadsheets/d/1-uDff_7J0KD5mKrp0Vvzr7lt3OU09vwQwhkpOPPYv2Y/edit?usp=sharing"",""งบพรบ!DZ37"")"),0)</f>
        <v>0</v>
      </c>
      <c r="F37" s="176">
        <f ca="1">IFERROR(__xludf.DUMMYFUNCTION("IMPORTRANGE(""https://docs.google.com/spreadsheets/d/1-uDff_7J0KD5mKrp0Vvzr7lt3OU09vwQwhkpOPPYv2Y/edit?usp=sharing"",""งบพรบ!EA37"")"),0)</f>
        <v>0</v>
      </c>
      <c r="G37" s="176">
        <f ca="1">IFERROR(__xludf.DUMMYFUNCTION("IMPORTRANGE(""https://docs.google.com/spreadsheets/d/1-uDff_7J0KD5mKrp0Vvzr7lt3OU09vwQwhkpOPPYv2Y/edit?usp=sharing"",""งบพรบ!EB37"")"),0)</f>
        <v>0</v>
      </c>
      <c r="H37" s="176">
        <f ca="1">IFERROR(__xludf.DUMMYFUNCTION("IMPORTRANGE(""https://docs.google.com/spreadsheets/d/1-uDff_7J0KD5mKrp0Vvzr7lt3OU09vwQwhkpOPPYv2Y/edit?usp=sharing"",""งบพรบ!ED37"")"),0)</f>
        <v>0</v>
      </c>
      <c r="I37" s="176">
        <f ca="1">IFERROR(__xludf.DUMMYFUNCTION("IMPORTRANGE(""https://docs.google.com/spreadsheets/d/1-uDff_7J0KD5mKrp0Vvzr7lt3OU09vwQwhkpOPPYv2Y/edit?usp=sharing"",""งบพรบ!EE37"")"),0)</f>
        <v>0</v>
      </c>
      <c r="J37" s="176">
        <f t="shared" ca="1" si="26"/>
        <v>0</v>
      </c>
      <c r="K37" s="181">
        <f t="shared" ca="1" si="27"/>
        <v>0</v>
      </c>
      <c r="L37" s="176">
        <f ca="1">IFERROR(__xludf.DUMMYFUNCTION("IMPORTRANGE(""https://docs.google.com/spreadsheets/d/1-uDff_7J0KD5mKrp0Vvzr7lt3OU09vwQwhkpOPPYv2Y/edit?usp=sharing"",""งบพรบ!EF37"")"),0)</f>
        <v>0</v>
      </c>
      <c r="M37" s="179">
        <f t="shared" ca="1" si="28"/>
        <v>0</v>
      </c>
      <c r="N37" s="179">
        <f t="shared" ca="1" si="29"/>
        <v>0</v>
      </c>
      <c r="O37" s="180">
        <f ca="1">IFERROR(__xludf.DUMMYFUNCTION("IMPORTRANGE(""https://docs.google.com/spreadsheets/d/1-uDff_7J0KD5mKrp0Vvzr7lt3OU09vwQwhkpOPPYv2Y/edit?usp=sharing"",""งบพรบ!EG37"")"),0)</f>
        <v>0</v>
      </c>
      <c r="P37" s="180">
        <f t="shared" ca="1" si="30"/>
        <v>0</v>
      </c>
      <c r="Q37" s="179">
        <f t="shared" ca="1" si="31"/>
        <v>0</v>
      </c>
      <c r="R37" s="344">
        <f ca="1">IFERROR(__xludf.DUMMYFUNCTION("IMPORTRANGE(""https://docs.google.com/spreadsheets/d/1xoDLGBv9CYbyosIhki0kTq6IpYNj-gpjxfobnaDiut0/edit?usp=sharing"",""บึงกาฬ!J313"")"),0)</f>
        <v>0</v>
      </c>
      <c r="S37" s="344">
        <f ca="1">IFERROR(__xludf.DUMMYFUNCTION("IMPORTRANGE(""https://docs.google.com/spreadsheets/d/1xoDLGBv9CYbyosIhki0kTq6IpYNj-gpjxfobnaDiut0/edit?usp=sharing"",""บึงกาฬ!I314"")"),0)</f>
        <v>0</v>
      </c>
      <c r="T37" s="177">
        <f ca="1">IFERROR(__xludf.DUMMYFUNCTION("IMPORTRANGE(""https://docs.google.com/spreadsheets/d/1xoDLGBv9CYbyosIhki0kTq6IpYNj-gpjxfobnaDiut0/edit?usp=sharing"",""บึงกาฬ!J314"")"),0)</f>
        <v>0</v>
      </c>
      <c r="U37" s="345">
        <f t="shared" ca="1" si="33"/>
        <v>0</v>
      </c>
      <c r="V37" s="344">
        <f ca="1">IFERROR(__xludf.DUMMYFUNCTION("IMPORTRANGE(""https://docs.google.com/spreadsheets/d/1xoDLGBv9CYbyosIhki0kTq6IpYNj-gpjxfobnaDiut0/edit?usp=sharing"",""บึงกาฬ!I315"")"),0)</f>
        <v>0</v>
      </c>
      <c r="W37" s="177">
        <f ca="1">IFERROR(__xludf.DUMMYFUNCTION("IMPORTRANGE(""https://docs.google.com/spreadsheets/d/1xoDLGBv9CYbyosIhki0kTq6IpYNj-gpjxfobnaDiut0/edit?usp=sharing"",""บึงกาฬ!J315"")"),0)</f>
        <v>0</v>
      </c>
      <c r="X37" s="345">
        <f t="shared" ca="1" si="35"/>
        <v>0</v>
      </c>
      <c r="Y37" s="344">
        <f ca="1">IFERROR(__xludf.DUMMYFUNCTION("IMPORTRANGE(""https://docs.google.com/spreadsheets/d/1xoDLGBv9CYbyosIhki0kTq6IpYNj-gpjxfobnaDiut0/edit?usp=sharing"",""บึงกาฬ!I316"")"),0)</f>
        <v>0</v>
      </c>
      <c r="Z37" s="177">
        <f ca="1">IFERROR(__xludf.DUMMYFUNCTION("IMPORTRANGE(""https://docs.google.com/spreadsheets/d/1xoDLGBv9CYbyosIhki0kTq6IpYNj-gpjxfobnaDiut0/edit?usp=sharing"",""บึงกาฬ!J316"")"),0)</f>
        <v>0</v>
      </c>
      <c r="AA37" s="345">
        <f t="shared" ca="1" si="37"/>
        <v>0</v>
      </c>
      <c r="AB37" s="344">
        <f ca="1">IFERROR(__xludf.DUMMYFUNCTION("IMPORTRANGE(""https://docs.google.com/spreadsheets/d/1xoDLGBv9CYbyosIhki0kTq6IpYNj-gpjxfobnaDiut0/edit?usp=sharing"",""บึงกาฬ!I317"")"),0)</f>
        <v>0</v>
      </c>
      <c r="AC37" s="177">
        <f ca="1">IFERROR(__xludf.DUMMYFUNCTION("IMPORTRANGE(""https://docs.google.com/spreadsheets/d/1xoDLGBv9CYbyosIhki0kTq6IpYNj-gpjxfobnaDiut0/edit?usp=sharing"",""บึงกาฬ!J317"")"),0)</f>
        <v>0</v>
      </c>
      <c r="AD37" s="345">
        <f t="shared" ca="1" si="39"/>
        <v>0</v>
      </c>
    </row>
    <row r="38" spans="1:30" ht="21" customHeight="1" x14ac:dyDescent="0.3">
      <c r="A38" s="84">
        <v>7</v>
      </c>
      <c r="B38" s="85" t="s">
        <v>60</v>
      </c>
      <c r="C38" s="174">
        <f t="shared" ca="1" si="24"/>
        <v>305400</v>
      </c>
      <c r="D38" s="175">
        <f t="shared" ca="1" si="46"/>
        <v>305400</v>
      </c>
      <c r="E38" s="176">
        <f ca="1">IFERROR(__xludf.DUMMYFUNCTION("IMPORTRANGE(""https://docs.google.com/spreadsheets/d/1-uDff_7J0KD5mKrp0Vvzr7lt3OU09vwQwhkpOPPYv2Y/edit?usp=sharing"",""งบพรบ!DZ38"")"),204400)</f>
        <v>204400</v>
      </c>
      <c r="F38" s="176">
        <f ca="1">IFERROR(__xludf.DUMMYFUNCTION("IMPORTRANGE(""https://docs.google.com/spreadsheets/d/1-uDff_7J0KD5mKrp0Vvzr7lt3OU09vwQwhkpOPPYv2Y/edit?usp=sharing"",""งบพรบ!EA38"")"),101000)</f>
        <v>101000</v>
      </c>
      <c r="G38" s="176">
        <f ca="1">IFERROR(__xludf.DUMMYFUNCTION("IMPORTRANGE(""https://docs.google.com/spreadsheets/d/1-uDff_7J0KD5mKrp0Vvzr7lt3OU09vwQwhkpOPPYv2Y/edit?usp=sharing"",""งบพรบ!EB38"")"),0)</f>
        <v>0</v>
      </c>
      <c r="H38" s="176">
        <f ca="1">IFERROR(__xludf.DUMMYFUNCTION("IMPORTRANGE(""https://docs.google.com/spreadsheets/d/1-uDff_7J0KD5mKrp0Vvzr7lt3OU09vwQwhkpOPPYv2Y/edit?usp=sharing"",""งบพรบ!ED38"")"),224500)</f>
        <v>224500</v>
      </c>
      <c r="I38" s="176">
        <f ca="1">IFERROR(__xludf.DUMMYFUNCTION("IMPORTRANGE(""https://docs.google.com/spreadsheets/d/1-uDff_7J0KD5mKrp0Vvzr7lt3OU09vwQwhkpOPPYv2Y/edit?usp=sharing"",""งบพรบ!EE38"")"),0)</f>
        <v>0</v>
      </c>
      <c r="J38" s="176">
        <f t="shared" ca="1" si="26"/>
        <v>61633.33</v>
      </c>
      <c r="K38" s="181">
        <f t="shared" ca="1" si="27"/>
        <v>20.181182056319582</v>
      </c>
      <c r="L38" s="176">
        <f ca="1">IFERROR(__xludf.DUMMYFUNCTION("IMPORTRANGE(""https://docs.google.com/spreadsheets/d/1-uDff_7J0KD5mKrp0Vvzr7lt3OU09vwQwhkpOPPYv2Y/edit?usp=sharing"",""งบพรบ!EF38"")"),61633.33)</f>
        <v>61633.33</v>
      </c>
      <c r="M38" s="179">
        <f t="shared" ca="1" si="28"/>
        <v>20.181182056319582</v>
      </c>
      <c r="N38" s="179">
        <f t="shared" ca="1" si="29"/>
        <v>27.453599109131403</v>
      </c>
      <c r="O38" s="180">
        <f ca="1">IFERROR(__xludf.DUMMYFUNCTION("IMPORTRANGE(""https://docs.google.com/spreadsheets/d/1-uDff_7J0KD5mKrp0Vvzr7lt3OU09vwQwhkpOPPYv2Y/edit?usp=sharing"",""งบพรบ!EG38"")"),0)</f>
        <v>0</v>
      </c>
      <c r="P38" s="180">
        <f t="shared" ca="1" si="30"/>
        <v>0</v>
      </c>
      <c r="Q38" s="179">
        <f t="shared" ca="1" si="31"/>
        <v>0</v>
      </c>
      <c r="R38" s="344">
        <f ca="1">IFERROR(__xludf.DUMMYFUNCTION("IMPORTRANGE(""https://docs.google.com/spreadsheets/d/1MMPq-JyI6DSgQETxuSiXkesP-P7JHuemnE6QJIa-Nlw/edit?usp=sharing"",""บุรีรัมย์!J313"")"),0)</f>
        <v>0</v>
      </c>
      <c r="S38" s="344">
        <f ca="1">IFERROR(__xludf.DUMMYFUNCTION("IMPORTRANGE(""https://docs.google.com/spreadsheets/d/1MMPq-JyI6DSgQETxuSiXkesP-P7JHuemnE6QJIa-Nlw/edit?usp=sharing"",""บุรีรัมย์!I314"")"),25)</f>
        <v>25</v>
      </c>
      <c r="T38" s="177">
        <f ca="1">IFERROR(__xludf.DUMMYFUNCTION("IMPORTRANGE(""https://docs.google.com/spreadsheets/d/1MMPq-JyI6DSgQETxuSiXkesP-P7JHuemnE6QJIa-Nlw/edit?usp=sharing"",""บุรีรัมย์!J314"")"),0)</f>
        <v>0</v>
      </c>
      <c r="U38" s="345">
        <f t="shared" ca="1" si="33"/>
        <v>0</v>
      </c>
      <c r="V38" s="344">
        <f ca="1">IFERROR(__xludf.DUMMYFUNCTION("IMPORTRANGE(""https://docs.google.com/spreadsheets/d/1MMPq-JyI6DSgQETxuSiXkesP-P7JHuemnE6QJIa-Nlw/edit?usp=sharing"",""บุรีรัมย์!I315"")"),5)</f>
        <v>5</v>
      </c>
      <c r="W38" s="177">
        <f ca="1">IFERROR(__xludf.DUMMYFUNCTION("IMPORTRANGE(""https://docs.google.com/spreadsheets/d/1MMPq-JyI6DSgQETxuSiXkesP-P7JHuemnE6QJIa-Nlw/edit?usp=sharing"",""บุรีรัมย์!J315"")"),0)</f>
        <v>0</v>
      </c>
      <c r="X38" s="345">
        <f t="shared" ca="1" si="35"/>
        <v>0</v>
      </c>
      <c r="Y38" s="344">
        <f ca="1">IFERROR(__xludf.DUMMYFUNCTION("IMPORTRANGE(""https://docs.google.com/spreadsheets/d/1MMPq-JyI6DSgQETxuSiXkesP-P7JHuemnE6QJIa-Nlw/edit?usp=sharing"",""บุรีรัมย์!I316"")"),25)</f>
        <v>25</v>
      </c>
      <c r="Z38" s="177">
        <f ca="1">IFERROR(__xludf.DUMMYFUNCTION("IMPORTRANGE(""https://docs.google.com/spreadsheets/d/1MMPq-JyI6DSgQETxuSiXkesP-P7JHuemnE6QJIa-Nlw/edit?usp=sharing"",""บุรีรัมย์!J316"")"),0)</f>
        <v>0</v>
      </c>
      <c r="AA38" s="345">
        <f t="shared" ca="1" si="37"/>
        <v>0</v>
      </c>
      <c r="AB38" s="344">
        <f ca="1">IFERROR(__xludf.DUMMYFUNCTION("IMPORTRANGE(""https://docs.google.com/spreadsheets/d/1MMPq-JyI6DSgQETxuSiXkesP-P7JHuemnE6QJIa-Nlw/edit?usp=sharing"",""บุรีรัมย์!I317"")"),5)</f>
        <v>5</v>
      </c>
      <c r="AC38" s="177">
        <f ca="1">IFERROR(__xludf.DUMMYFUNCTION("IMPORTRANGE(""https://docs.google.com/spreadsheets/d/1MMPq-JyI6DSgQETxuSiXkesP-P7JHuemnE6QJIa-Nlw/edit?usp=sharing"",""บุรีรัมย์!J317"")"),0)</f>
        <v>0</v>
      </c>
      <c r="AD38" s="345">
        <f t="shared" ca="1" si="39"/>
        <v>0</v>
      </c>
    </row>
    <row r="39" spans="1:30" ht="21" customHeight="1" x14ac:dyDescent="0.3">
      <c r="A39" s="84">
        <v>8</v>
      </c>
      <c r="B39" s="85" t="s">
        <v>61</v>
      </c>
      <c r="C39" s="174">
        <f t="shared" ca="1" si="24"/>
        <v>0</v>
      </c>
      <c r="D39" s="175">
        <f t="shared" ca="1" si="46"/>
        <v>0</v>
      </c>
      <c r="E39" s="176">
        <f ca="1">IFERROR(__xludf.DUMMYFUNCTION("IMPORTRANGE(""https://docs.google.com/spreadsheets/d/1-uDff_7J0KD5mKrp0Vvzr7lt3OU09vwQwhkpOPPYv2Y/edit?usp=sharing"",""งบพรบ!DZ39"")"),0)</f>
        <v>0</v>
      </c>
      <c r="F39" s="176">
        <f ca="1">IFERROR(__xludf.DUMMYFUNCTION("IMPORTRANGE(""https://docs.google.com/spreadsheets/d/1-uDff_7J0KD5mKrp0Vvzr7lt3OU09vwQwhkpOPPYv2Y/edit?usp=sharing"",""งบพรบ!EA39"")"),0)</f>
        <v>0</v>
      </c>
      <c r="G39" s="176">
        <f ca="1">IFERROR(__xludf.DUMMYFUNCTION("IMPORTRANGE(""https://docs.google.com/spreadsheets/d/1-uDff_7J0KD5mKrp0Vvzr7lt3OU09vwQwhkpOPPYv2Y/edit?usp=sharing"",""งบพรบ!EB39"")"),0)</f>
        <v>0</v>
      </c>
      <c r="H39" s="176">
        <f ca="1">IFERROR(__xludf.DUMMYFUNCTION("IMPORTRANGE(""https://docs.google.com/spreadsheets/d/1-uDff_7J0KD5mKrp0Vvzr7lt3OU09vwQwhkpOPPYv2Y/edit?usp=sharing"",""งบพรบ!ED39"")"),0)</f>
        <v>0</v>
      </c>
      <c r="I39" s="176">
        <f ca="1">IFERROR(__xludf.DUMMYFUNCTION("IMPORTRANGE(""https://docs.google.com/spreadsheets/d/1-uDff_7J0KD5mKrp0Vvzr7lt3OU09vwQwhkpOPPYv2Y/edit?usp=sharing"",""งบพรบ!EE39"")"),0)</f>
        <v>0</v>
      </c>
      <c r="J39" s="176">
        <f t="shared" ca="1" si="26"/>
        <v>0</v>
      </c>
      <c r="K39" s="181">
        <f t="shared" ca="1" si="27"/>
        <v>0</v>
      </c>
      <c r="L39" s="176">
        <f ca="1">IFERROR(__xludf.DUMMYFUNCTION("IMPORTRANGE(""https://docs.google.com/spreadsheets/d/1-uDff_7J0KD5mKrp0Vvzr7lt3OU09vwQwhkpOPPYv2Y/edit?usp=sharing"",""งบพรบ!EF39"")"),0)</f>
        <v>0</v>
      </c>
      <c r="M39" s="179">
        <f t="shared" ca="1" si="28"/>
        <v>0</v>
      </c>
      <c r="N39" s="179">
        <f t="shared" ca="1" si="29"/>
        <v>0</v>
      </c>
      <c r="O39" s="180">
        <f ca="1">IFERROR(__xludf.DUMMYFUNCTION("IMPORTRANGE(""https://docs.google.com/spreadsheets/d/1-uDff_7J0KD5mKrp0Vvzr7lt3OU09vwQwhkpOPPYv2Y/edit?usp=sharing"",""งบพรบ!EG39"")"),0)</f>
        <v>0</v>
      </c>
      <c r="P39" s="180">
        <f t="shared" ca="1" si="30"/>
        <v>0</v>
      </c>
      <c r="Q39" s="179">
        <f t="shared" ca="1" si="31"/>
        <v>0</v>
      </c>
      <c r="R39" s="344">
        <f ca="1">IFERROR(__xludf.DUMMYFUNCTION("IMPORTRANGE(""https://docs.google.com/spreadsheets/d/1l6IZ8xUPgMrESzcTYwhA1k_tPjeQjJPTqlm8Gd9eU5g/edit?usp=sharing"",""มหาสารคาม!J313"")"),0)</f>
        <v>0</v>
      </c>
      <c r="S39" s="344">
        <f ca="1">IFERROR(__xludf.DUMMYFUNCTION("IMPORTRANGE(""https://docs.google.com/spreadsheets/d/1l6IZ8xUPgMrESzcTYwhA1k_tPjeQjJPTqlm8Gd9eU5g/edit?usp=sharing"",""มหาสารคาม!I314"")"),0)</f>
        <v>0</v>
      </c>
      <c r="T39" s="177">
        <f ca="1">IFERROR(__xludf.DUMMYFUNCTION("IMPORTRANGE(""https://docs.google.com/spreadsheets/d/1l6IZ8xUPgMrESzcTYwhA1k_tPjeQjJPTqlm8Gd9eU5g/edit?usp=sharing"",""มหาสารคาม!J314"")"),0)</f>
        <v>0</v>
      </c>
      <c r="U39" s="345">
        <f t="shared" ca="1" si="33"/>
        <v>0</v>
      </c>
      <c r="V39" s="344">
        <f ca="1">IFERROR(__xludf.DUMMYFUNCTION("IMPORTRANGE(""https://docs.google.com/spreadsheets/d/1l6IZ8xUPgMrESzcTYwhA1k_tPjeQjJPTqlm8Gd9eU5g/edit?usp=sharing"",""มหาสารคาม!I315"")"),0)</f>
        <v>0</v>
      </c>
      <c r="W39" s="177">
        <f ca="1">IFERROR(__xludf.DUMMYFUNCTION("IMPORTRANGE(""https://docs.google.com/spreadsheets/d/1l6IZ8xUPgMrESzcTYwhA1k_tPjeQjJPTqlm8Gd9eU5g/edit?usp=sharing"",""มหาสารคาม!J315"")"),0)</f>
        <v>0</v>
      </c>
      <c r="X39" s="345">
        <f t="shared" ca="1" si="35"/>
        <v>0</v>
      </c>
      <c r="Y39" s="344">
        <f ca="1">IFERROR(__xludf.DUMMYFUNCTION("IMPORTRANGE(""https://docs.google.com/spreadsheets/d/1l6IZ8xUPgMrESzcTYwhA1k_tPjeQjJPTqlm8Gd9eU5g/edit?usp=sharing"",""มหาสารคาม!I316"")"),0)</f>
        <v>0</v>
      </c>
      <c r="Z39" s="177">
        <f ca="1">IFERROR(__xludf.DUMMYFUNCTION("IMPORTRANGE(""https://docs.google.com/spreadsheets/d/1l6IZ8xUPgMrESzcTYwhA1k_tPjeQjJPTqlm8Gd9eU5g/edit?usp=sharing"",""มหาสารคาม!J316"")"),0)</f>
        <v>0</v>
      </c>
      <c r="AA39" s="345">
        <f t="shared" ca="1" si="37"/>
        <v>0</v>
      </c>
      <c r="AB39" s="344">
        <f ca="1">IFERROR(__xludf.DUMMYFUNCTION("IMPORTRANGE(""https://docs.google.com/spreadsheets/d/1l6IZ8xUPgMrESzcTYwhA1k_tPjeQjJPTqlm8Gd9eU5g/edit?usp=sharing"",""มหาสารคาม!I317"")"),0)</f>
        <v>0</v>
      </c>
      <c r="AC39" s="177">
        <f ca="1">IFERROR(__xludf.DUMMYFUNCTION("IMPORTRANGE(""https://docs.google.com/spreadsheets/d/1l6IZ8xUPgMrESzcTYwhA1k_tPjeQjJPTqlm8Gd9eU5g/edit?usp=sharing"",""มหาสารคาม!J317"")"),0)</f>
        <v>0</v>
      </c>
      <c r="AD39" s="345">
        <f t="shared" ca="1" si="39"/>
        <v>0</v>
      </c>
    </row>
    <row r="40" spans="1:30" ht="21" customHeight="1" x14ac:dyDescent="0.3">
      <c r="A40" s="84">
        <v>9</v>
      </c>
      <c r="B40" s="85" t="s">
        <v>62</v>
      </c>
      <c r="C40" s="174">
        <f t="shared" ca="1" si="24"/>
        <v>133500</v>
      </c>
      <c r="D40" s="175">
        <f t="shared" ca="1" si="46"/>
        <v>133500</v>
      </c>
      <c r="E40" s="176">
        <f ca="1">IFERROR(__xludf.DUMMYFUNCTION("IMPORTRANGE(""https://docs.google.com/spreadsheets/d/1-uDff_7J0KD5mKrp0Vvzr7lt3OU09vwQwhkpOPPYv2Y/edit?usp=sharing"",""งบพรบ!DZ40"")"),51100)</f>
        <v>51100</v>
      </c>
      <c r="F40" s="176">
        <f ca="1">IFERROR(__xludf.DUMMYFUNCTION("IMPORTRANGE(""https://docs.google.com/spreadsheets/d/1-uDff_7J0KD5mKrp0Vvzr7lt3OU09vwQwhkpOPPYv2Y/edit?usp=sharing"",""งบพรบ!EA40"")"),82400)</f>
        <v>82400</v>
      </c>
      <c r="G40" s="176">
        <f ca="1">IFERROR(__xludf.DUMMYFUNCTION("IMPORTRANGE(""https://docs.google.com/spreadsheets/d/1-uDff_7J0KD5mKrp0Vvzr7lt3OU09vwQwhkpOPPYv2Y/edit?usp=sharing"",""งบพรบ!EB40"")"),0)</f>
        <v>0</v>
      </c>
      <c r="H40" s="176">
        <f ca="1">IFERROR(__xludf.DUMMYFUNCTION("IMPORTRANGE(""https://docs.google.com/spreadsheets/d/1-uDff_7J0KD5mKrp0Vvzr7lt3OU09vwQwhkpOPPYv2Y/edit?usp=sharing"",""งบพรบ!ED40"")"),100900)</f>
        <v>100900</v>
      </c>
      <c r="I40" s="176">
        <f ca="1">IFERROR(__xludf.DUMMYFUNCTION("IMPORTRANGE(""https://docs.google.com/spreadsheets/d/1-uDff_7J0KD5mKrp0Vvzr7lt3OU09vwQwhkpOPPYv2Y/edit?usp=sharing"",""งบพรบ!EE40"")"),0)</f>
        <v>0</v>
      </c>
      <c r="J40" s="176">
        <f t="shared" ca="1" si="26"/>
        <v>29840</v>
      </c>
      <c r="K40" s="181">
        <f t="shared" ca="1" si="27"/>
        <v>22.352059925093634</v>
      </c>
      <c r="L40" s="176">
        <f ca="1">IFERROR(__xludf.DUMMYFUNCTION("IMPORTRANGE(""https://docs.google.com/spreadsheets/d/1-uDff_7J0KD5mKrp0Vvzr7lt3OU09vwQwhkpOPPYv2Y/edit?usp=sharing"",""งบพรบ!EF40"")"),29840)</f>
        <v>29840</v>
      </c>
      <c r="M40" s="179">
        <f t="shared" ca="1" si="28"/>
        <v>22.352059925093634</v>
      </c>
      <c r="N40" s="179">
        <f t="shared" ca="1" si="29"/>
        <v>29.573835480673935</v>
      </c>
      <c r="O40" s="180">
        <f ca="1">IFERROR(__xludf.DUMMYFUNCTION("IMPORTRANGE(""https://docs.google.com/spreadsheets/d/1-uDff_7J0KD5mKrp0Vvzr7lt3OU09vwQwhkpOPPYv2Y/edit?usp=sharing"",""งบพรบ!EG40"")"),0)</f>
        <v>0</v>
      </c>
      <c r="P40" s="180">
        <f t="shared" ca="1" si="30"/>
        <v>0</v>
      </c>
      <c r="Q40" s="179">
        <f t="shared" ca="1" si="31"/>
        <v>0</v>
      </c>
      <c r="R40" s="344">
        <f ca="1">IFERROR(__xludf.DUMMYFUNCTION("IMPORTRANGE(""https://docs.google.com/spreadsheets/d/1uB74YLqNjWX6FObjekfB2NtSYigTQyR2rq9u4Ub2Sq4/edit?usp=sharing"",""มุกดาหาร!J313"")"),0)</f>
        <v>0</v>
      </c>
      <c r="S40" s="346">
        <f ca="1">IFERROR(__xludf.DUMMYFUNCTION("IMPORTRANGE(""https://docs.google.com/spreadsheets/d/1uB74YLqNjWX6FObjekfB2NtSYigTQyR2rq9u4Ub2Sq4/edit?usp=sharing"",""มุกดาหาร!I314"")"),20)</f>
        <v>20</v>
      </c>
      <c r="T40" s="177">
        <f ca="1">IFERROR(__xludf.DUMMYFUNCTION("IMPORTRANGE(""https://docs.google.com/spreadsheets/d/1uB74YLqNjWX6FObjekfB2NtSYigTQyR2rq9u4Ub2Sq4/edit?usp=sharing"",""มุกดาหาร!J314"")"),0)</f>
        <v>0</v>
      </c>
      <c r="U40" s="345">
        <f t="shared" ca="1" si="33"/>
        <v>0</v>
      </c>
      <c r="V40" s="346">
        <f ca="1">IFERROR(__xludf.DUMMYFUNCTION("IMPORTRANGE(""https://docs.google.com/spreadsheets/d/1uB74YLqNjWX6FObjekfB2NtSYigTQyR2rq9u4Ub2Sq4/edit?usp=sharing"",""มุกดาหาร!I315"")"),4)</f>
        <v>4</v>
      </c>
      <c r="W40" s="177">
        <f ca="1">IFERROR(__xludf.DUMMYFUNCTION("IMPORTRANGE(""https://docs.google.com/spreadsheets/d/1uB74YLqNjWX6FObjekfB2NtSYigTQyR2rq9u4Ub2Sq4/edit?usp=sharing"",""มุกดาหาร!J315"")"),0)</f>
        <v>0</v>
      </c>
      <c r="X40" s="345">
        <f t="shared" ca="1" si="35"/>
        <v>0</v>
      </c>
      <c r="Y40" s="346">
        <f ca="1">IFERROR(__xludf.DUMMYFUNCTION("IMPORTRANGE(""https://docs.google.com/spreadsheets/d/1uB74YLqNjWX6FObjekfB2NtSYigTQyR2rq9u4Ub2Sq4/edit?usp=sharing"",""มุกดาหาร!I316"")"),20)</f>
        <v>20</v>
      </c>
      <c r="Z40" s="177">
        <f ca="1">IFERROR(__xludf.DUMMYFUNCTION("IMPORTRANGE(""https://docs.google.com/spreadsheets/d/1uB74YLqNjWX6FObjekfB2NtSYigTQyR2rq9u4Ub2Sq4/edit?usp=sharing"",""มุกดาหาร!J316"")"),0)</f>
        <v>0</v>
      </c>
      <c r="AA40" s="345">
        <f t="shared" ca="1" si="37"/>
        <v>0</v>
      </c>
      <c r="AB40" s="346">
        <f ca="1">IFERROR(__xludf.DUMMYFUNCTION("IMPORTRANGE(""https://docs.google.com/spreadsheets/d/1uB74YLqNjWX6FObjekfB2NtSYigTQyR2rq9u4Ub2Sq4/edit?usp=sharing"",""มุกดาหาร!I317"")"),4)</f>
        <v>4</v>
      </c>
      <c r="AC40" s="177">
        <f ca="1">IFERROR(__xludf.DUMMYFUNCTION("IMPORTRANGE(""https://docs.google.com/spreadsheets/d/1uB74YLqNjWX6FObjekfB2NtSYigTQyR2rq9u4Ub2Sq4/edit?usp=sharing"",""มุกดาหาร!J317"")"),0)</f>
        <v>0</v>
      </c>
      <c r="AD40" s="345">
        <f t="shared" ca="1" si="39"/>
        <v>0</v>
      </c>
    </row>
    <row r="41" spans="1:30" ht="21" customHeight="1" x14ac:dyDescent="0.3">
      <c r="A41" s="84">
        <v>10</v>
      </c>
      <c r="B41" s="85" t="s">
        <v>63</v>
      </c>
      <c r="C41" s="174">
        <f t="shared" ca="1" si="24"/>
        <v>0</v>
      </c>
      <c r="D41" s="175">
        <f t="shared" ca="1" si="46"/>
        <v>0</v>
      </c>
      <c r="E41" s="176">
        <f ca="1">IFERROR(__xludf.DUMMYFUNCTION("IMPORTRANGE(""https://docs.google.com/spreadsheets/d/1-uDff_7J0KD5mKrp0Vvzr7lt3OU09vwQwhkpOPPYv2Y/edit?usp=sharing"",""งบพรบ!DZ41"")"),0)</f>
        <v>0</v>
      </c>
      <c r="F41" s="176">
        <f ca="1">IFERROR(__xludf.DUMMYFUNCTION("IMPORTRANGE(""https://docs.google.com/spreadsheets/d/1-uDff_7J0KD5mKrp0Vvzr7lt3OU09vwQwhkpOPPYv2Y/edit?usp=sharing"",""งบพรบ!EA41"")"),0)</f>
        <v>0</v>
      </c>
      <c r="G41" s="176">
        <f ca="1">IFERROR(__xludf.DUMMYFUNCTION("IMPORTRANGE(""https://docs.google.com/spreadsheets/d/1-uDff_7J0KD5mKrp0Vvzr7lt3OU09vwQwhkpOPPYv2Y/edit?usp=sharing"",""งบพรบ!EB41"")"),0)</f>
        <v>0</v>
      </c>
      <c r="H41" s="176">
        <f ca="1">IFERROR(__xludf.DUMMYFUNCTION("IMPORTRANGE(""https://docs.google.com/spreadsheets/d/1-uDff_7J0KD5mKrp0Vvzr7lt3OU09vwQwhkpOPPYv2Y/edit?usp=sharing"",""งบพรบ!ED41"")"),0)</f>
        <v>0</v>
      </c>
      <c r="I41" s="176">
        <f ca="1">IFERROR(__xludf.DUMMYFUNCTION("IMPORTRANGE(""https://docs.google.com/spreadsheets/d/1-uDff_7J0KD5mKrp0Vvzr7lt3OU09vwQwhkpOPPYv2Y/edit?usp=sharing"",""งบพรบ!EE41"")"),0)</f>
        <v>0</v>
      </c>
      <c r="J41" s="176">
        <f t="shared" ca="1" si="26"/>
        <v>0</v>
      </c>
      <c r="K41" s="181">
        <f t="shared" ca="1" si="27"/>
        <v>0</v>
      </c>
      <c r="L41" s="176">
        <f ca="1">IFERROR(__xludf.DUMMYFUNCTION("IMPORTRANGE(""https://docs.google.com/spreadsheets/d/1-uDff_7J0KD5mKrp0Vvzr7lt3OU09vwQwhkpOPPYv2Y/edit?usp=sharing"",""งบพรบ!EF41"")"),0)</f>
        <v>0</v>
      </c>
      <c r="M41" s="179">
        <f t="shared" ca="1" si="28"/>
        <v>0</v>
      </c>
      <c r="N41" s="179">
        <f t="shared" ca="1" si="29"/>
        <v>0</v>
      </c>
      <c r="O41" s="180">
        <f ca="1">IFERROR(__xludf.DUMMYFUNCTION("IMPORTRANGE(""https://docs.google.com/spreadsheets/d/1-uDff_7J0KD5mKrp0Vvzr7lt3OU09vwQwhkpOPPYv2Y/edit?usp=sharing"",""งบพรบ!EG41"")"),0)</f>
        <v>0</v>
      </c>
      <c r="P41" s="180">
        <f t="shared" ca="1" si="30"/>
        <v>0</v>
      </c>
      <c r="Q41" s="179">
        <f t="shared" ca="1" si="31"/>
        <v>0</v>
      </c>
      <c r="R41" s="344">
        <f ca="1">IFERROR(__xludf.DUMMYFUNCTION("IMPORTRANGE(""https://docs.google.com/spreadsheets/d/1NexK3geCPxCTO1fzNF8dPec7yZyUx3OaWkFBC9HsQOo/edit?usp=sharing"",""ยโสธร!J313"")"),0)</f>
        <v>0</v>
      </c>
      <c r="S41" s="346">
        <f ca="1">IFERROR(__xludf.DUMMYFUNCTION("IMPORTRANGE(""https://docs.google.com/spreadsheets/d/1NexK3geCPxCTO1fzNF8dPec7yZyUx3OaWkFBC9HsQOo/edit?usp=sharing"",""ยโสธร!I314"")"),0)</f>
        <v>0</v>
      </c>
      <c r="T41" s="177">
        <f ca="1">IFERROR(__xludf.DUMMYFUNCTION("IMPORTRANGE(""https://docs.google.com/spreadsheets/d/1NexK3geCPxCTO1fzNF8dPec7yZyUx3OaWkFBC9HsQOo/edit?usp=sharing"",""ยโสธร!J314"")"),0)</f>
        <v>0</v>
      </c>
      <c r="U41" s="345">
        <f t="shared" ca="1" si="33"/>
        <v>0</v>
      </c>
      <c r="V41" s="346">
        <f ca="1">IFERROR(__xludf.DUMMYFUNCTION("IMPORTRANGE(""https://docs.google.com/spreadsheets/d/1NexK3geCPxCTO1fzNF8dPec7yZyUx3OaWkFBC9HsQOo/edit?usp=sharing"",""ยโสธร!I315"")"),0)</f>
        <v>0</v>
      </c>
      <c r="W41" s="177">
        <f ca="1">IFERROR(__xludf.DUMMYFUNCTION("IMPORTRANGE(""https://docs.google.com/spreadsheets/d/1NexK3geCPxCTO1fzNF8dPec7yZyUx3OaWkFBC9HsQOo/edit?usp=sharing"",""ยโสธร!J315"")"),0)</f>
        <v>0</v>
      </c>
      <c r="X41" s="345">
        <f t="shared" ca="1" si="35"/>
        <v>0</v>
      </c>
      <c r="Y41" s="346">
        <f ca="1">IFERROR(__xludf.DUMMYFUNCTION("IMPORTRANGE(""https://docs.google.com/spreadsheets/d/1NexK3geCPxCTO1fzNF8dPec7yZyUx3OaWkFBC9HsQOo/edit?usp=sharing"",""ยโสธร!I316"")"),0)</f>
        <v>0</v>
      </c>
      <c r="Z41" s="177">
        <f ca="1">IFERROR(__xludf.DUMMYFUNCTION("IMPORTRANGE(""https://docs.google.com/spreadsheets/d/1NexK3geCPxCTO1fzNF8dPec7yZyUx3OaWkFBC9HsQOo/edit?usp=sharing"",""ยโสธร!J316"")"),0)</f>
        <v>0</v>
      </c>
      <c r="AA41" s="345">
        <f t="shared" ca="1" si="37"/>
        <v>0</v>
      </c>
      <c r="AB41" s="346">
        <f ca="1">IFERROR(__xludf.DUMMYFUNCTION("IMPORTRANGE(""https://docs.google.com/spreadsheets/d/1NexK3geCPxCTO1fzNF8dPec7yZyUx3OaWkFBC9HsQOo/edit?usp=sharing"",""ยโสธร!I317"")"),0)</f>
        <v>0</v>
      </c>
      <c r="AC41" s="177">
        <f ca="1">IFERROR(__xludf.DUMMYFUNCTION("IMPORTRANGE(""https://docs.google.com/spreadsheets/d/1NexK3geCPxCTO1fzNF8dPec7yZyUx3OaWkFBC9HsQOo/edit?usp=sharing"",""ยโสธร!J317"")"),0)</f>
        <v>0</v>
      </c>
      <c r="AD41" s="345">
        <f t="shared" ca="1" si="39"/>
        <v>0</v>
      </c>
    </row>
    <row r="42" spans="1:30" ht="21" customHeight="1" x14ac:dyDescent="0.3">
      <c r="A42" s="84">
        <v>11</v>
      </c>
      <c r="B42" s="85" t="s">
        <v>64</v>
      </c>
      <c r="C42" s="174">
        <f t="shared" ca="1" si="24"/>
        <v>0</v>
      </c>
      <c r="D42" s="175">
        <f t="shared" ca="1" si="46"/>
        <v>0</v>
      </c>
      <c r="E42" s="176">
        <f ca="1">IFERROR(__xludf.DUMMYFUNCTION("IMPORTRANGE(""https://docs.google.com/spreadsheets/d/1-uDff_7J0KD5mKrp0Vvzr7lt3OU09vwQwhkpOPPYv2Y/edit?usp=sharing"",""งบพรบ!DZ42"")"),0)</f>
        <v>0</v>
      </c>
      <c r="F42" s="176">
        <f ca="1">IFERROR(__xludf.DUMMYFUNCTION("IMPORTRANGE(""https://docs.google.com/spreadsheets/d/1-uDff_7J0KD5mKrp0Vvzr7lt3OU09vwQwhkpOPPYv2Y/edit?usp=sharing"",""งบพรบ!EA42"")"),0)</f>
        <v>0</v>
      </c>
      <c r="G42" s="176">
        <f ca="1">IFERROR(__xludf.DUMMYFUNCTION("IMPORTRANGE(""https://docs.google.com/spreadsheets/d/1-uDff_7J0KD5mKrp0Vvzr7lt3OU09vwQwhkpOPPYv2Y/edit?usp=sharing"",""งบพรบ!EB42"")"),0)</f>
        <v>0</v>
      </c>
      <c r="H42" s="176">
        <f ca="1">IFERROR(__xludf.DUMMYFUNCTION("IMPORTRANGE(""https://docs.google.com/spreadsheets/d/1-uDff_7J0KD5mKrp0Vvzr7lt3OU09vwQwhkpOPPYv2Y/edit?usp=sharing"",""งบพรบ!ED42"")"),0)</f>
        <v>0</v>
      </c>
      <c r="I42" s="176">
        <f ca="1">IFERROR(__xludf.DUMMYFUNCTION("IMPORTRANGE(""https://docs.google.com/spreadsheets/d/1-uDff_7J0KD5mKrp0Vvzr7lt3OU09vwQwhkpOPPYv2Y/edit?usp=sharing"",""งบพรบ!EE42"")"),0)</f>
        <v>0</v>
      </c>
      <c r="J42" s="176">
        <f t="shared" ca="1" si="26"/>
        <v>0</v>
      </c>
      <c r="K42" s="181">
        <f t="shared" ca="1" si="27"/>
        <v>0</v>
      </c>
      <c r="L42" s="176">
        <f ca="1">IFERROR(__xludf.DUMMYFUNCTION("IMPORTRANGE(""https://docs.google.com/spreadsheets/d/1-uDff_7J0KD5mKrp0Vvzr7lt3OU09vwQwhkpOPPYv2Y/edit?usp=sharing"",""งบพรบ!EF42"")"),0)</f>
        <v>0</v>
      </c>
      <c r="M42" s="179">
        <f t="shared" ca="1" si="28"/>
        <v>0</v>
      </c>
      <c r="N42" s="179">
        <f t="shared" ca="1" si="29"/>
        <v>0</v>
      </c>
      <c r="O42" s="180">
        <f ca="1">IFERROR(__xludf.DUMMYFUNCTION("IMPORTRANGE(""https://docs.google.com/spreadsheets/d/1-uDff_7J0KD5mKrp0Vvzr7lt3OU09vwQwhkpOPPYv2Y/edit?usp=sharing"",""งบพรบ!EG42"")"),0)</f>
        <v>0</v>
      </c>
      <c r="P42" s="180">
        <f t="shared" ca="1" si="30"/>
        <v>0</v>
      </c>
      <c r="Q42" s="179">
        <f t="shared" ca="1" si="31"/>
        <v>0</v>
      </c>
      <c r="R42" s="344">
        <f ca="1">IFERROR(__xludf.DUMMYFUNCTION("IMPORTRANGE(""https://docs.google.com/spreadsheets/d/1v_cJrbBlyqmnHPReHk44g9NrMRdENNlSy_E_c5M9fIg/edit?usp=sharing"",""ร้อยเอ็ด!J313"")"),0)</f>
        <v>0</v>
      </c>
      <c r="S42" s="344">
        <f ca="1">IFERROR(__xludf.DUMMYFUNCTION("IMPORTRANGE(""https://docs.google.com/spreadsheets/d/1v_cJrbBlyqmnHPReHk44g9NrMRdENNlSy_E_c5M9fIg/edit?usp=sharing"",""ร้อยเอ็ด!I314"")"),0)</f>
        <v>0</v>
      </c>
      <c r="T42" s="177">
        <f ca="1">IFERROR(__xludf.DUMMYFUNCTION("IMPORTRANGE(""https://docs.google.com/spreadsheets/d/1v_cJrbBlyqmnHPReHk44g9NrMRdENNlSy_E_c5M9fIg/edit?usp=sharing"",""ร้อยเอ็ด!J314"")"),0)</f>
        <v>0</v>
      </c>
      <c r="U42" s="345">
        <f t="shared" ca="1" si="33"/>
        <v>0</v>
      </c>
      <c r="V42" s="344">
        <f ca="1">IFERROR(__xludf.DUMMYFUNCTION("IMPORTRANGE(""https://docs.google.com/spreadsheets/d/1v_cJrbBlyqmnHPReHk44g9NrMRdENNlSy_E_c5M9fIg/edit?usp=sharing"",""ร้อยเอ็ด!I315"")"),0)</f>
        <v>0</v>
      </c>
      <c r="W42" s="177">
        <f ca="1">IFERROR(__xludf.DUMMYFUNCTION("IMPORTRANGE(""https://docs.google.com/spreadsheets/d/1v_cJrbBlyqmnHPReHk44g9NrMRdENNlSy_E_c5M9fIg/edit?usp=sharing"",""ร้อยเอ็ด!J315"")"),0)</f>
        <v>0</v>
      </c>
      <c r="X42" s="345">
        <f t="shared" ca="1" si="35"/>
        <v>0</v>
      </c>
      <c r="Y42" s="344">
        <f ca="1">IFERROR(__xludf.DUMMYFUNCTION("IMPORTRANGE(""https://docs.google.com/spreadsheets/d/1v_cJrbBlyqmnHPReHk44g9NrMRdENNlSy_E_c5M9fIg/edit?usp=sharing"",""ร้อยเอ็ด!I316"")"),0)</f>
        <v>0</v>
      </c>
      <c r="Z42" s="177">
        <f ca="1">IFERROR(__xludf.DUMMYFUNCTION("IMPORTRANGE(""https://docs.google.com/spreadsheets/d/1v_cJrbBlyqmnHPReHk44g9NrMRdENNlSy_E_c5M9fIg/edit?usp=sharing"",""ร้อยเอ็ด!J316"")"),0)</f>
        <v>0</v>
      </c>
      <c r="AA42" s="345">
        <f t="shared" ca="1" si="37"/>
        <v>0</v>
      </c>
      <c r="AB42" s="344">
        <f ca="1">IFERROR(__xludf.DUMMYFUNCTION("IMPORTRANGE(""https://docs.google.com/spreadsheets/d/1v_cJrbBlyqmnHPReHk44g9NrMRdENNlSy_E_c5M9fIg/edit?usp=sharing"",""ร้อยเอ็ด!I317"")"),0)</f>
        <v>0</v>
      </c>
      <c r="AC42" s="177">
        <f ca="1">IFERROR(__xludf.DUMMYFUNCTION("IMPORTRANGE(""https://docs.google.com/spreadsheets/d/1v_cJrbBlyqmnHPReHk44g9NrMRdENNlSy_E_c5M9fIg/edit?usp=sharing"",""ร้อยเอ็ด!J317"")"),0)</f>
        <v>0</v>
      </c>
      <c r="AD42" s="345">
        <f t="shared" ca="1" si="39"/>
        <v>0</v>
      </c>
    </row>
    <row r="43" spans="1:30" ht="21" customHeight="1" x14ac:dyDescent="0.3">
      <c r="A43" s="84">
        <v>12</v>
      </c>
      <c r="B43" s="85" t="s">
        <v>65</v>
      </c>
      <c r="C43" s="174">
        <f t="shared" ca="1" si="24"/>
        <v>0</v>
      </c>
      <c r="D43" s="175">
        <f t="shared" ca="1" si="46"/>
        <v>0</v>
      </c>
      <c r="E43" s="176">
        <f ca="1">IFERROR(__xludf.DUMMYFUNCTION("IMPORTRANGE(""https://docs.google.com/spreadsheets/d/1-uDff_7J0KD5mKrp0Vvzr7lt3OU09vwQwhkpOPPYv2Y/edit?usp=sharing"",""งบพรบ!DZ43"")"),0)</f>
        <v>0</v>
      </c>
      <c r="F43" s="176">
        <f ca="1">IFERROR(__xludf.DUMMYFUNCTION("IMPORTRANGE(""https://docs.google.com/spreadsheets/d/1-uDff_7J0KD5mKrp0Vvzr7lt3OU09vwQwhkpOPPYv2Y/edit?usp=sharing"",""งบพรบ!EA43"")"),0)</f>
        <v>0</v>
      </c>
      <c r="G43" s="176">
        <f ca="1">IFERROR(__xludf.DUMMYFUNCTION("IMPORTRANGE(""https://docs.google.com/spreadsheets/d/1-uDff_7J0KD5mKrp0Vvzr7lt3OU09vwQwhkpOPPYv2Y/edit?usp=sharing"",""งบพรบ!EB43"")"),0)</f>
        <v>0</v>
      </c>
      <c r="H43" s="176">
        <f ca="1">IFERROR(__xludf.DUMMYFUNCTION("IMPORTRANGE(""https://docs.google.com/spreadsheets/d/1-uDff_7J0KD5mKrp0Vvzr7lt3OU09vwQwhkpOPPYv2Y/edit?usp=sharing"",""งบพรบ!ED43"")"),0)</f>
        <v>0</v>
      </c>
      <c r="I43" s="176">
        <f ca="1">IFERROR(__xludf.DUMMYFUNCTION("IMPORTRANGE(""https://docs.google.com/spreadsheets/d/1-uDff_7J0KD5mKrp0Vvzr7lt3OU09vwQwhkpOPPYv2Y/edit?usp=sharing"",""งบพรบ!EE43"")"),0)</f>
        <v>0</v>
      </c>
      <c r="J43" s="176">
        <f t="shared" ca="1" si="26"/>
        <v>0</v>
      </c>
      <c r="K43" s="181">
        <f t="shared" ca="1" si="27"/>
        <v>0</v>
      </c>
      <c r="L43" s="176">
        <f ca="1">IFERROR(__xludf.DUMMYFUNCTION("IMPORTRANGE(""https://docs.google.com/spreadsheets/d/1-uDff_7J0KD5mKrp0Vvzr7lt3OU09vwQwhkpOPPYv2Y/edit?usp=sharing"",""งบพรบ!EF43"")"),0)</f>
        <v>0</v>
      </c>
      <c r="M43" s="179">
        <f t="shared" ca="1" si="28"/>
        <v>0</v>
      </c>
      <c r="N43" s="179">
        <f t="shared" ca="1" si="29"/>
        <v>0</v>
      </c>
      <c r="O43" s="180">
        <f ca="1">IFERROR(__xludf.DUMMYFUNCTION("IMPORTRANGE(""https://docs.google.com/spreadsheets/d/1-uDff_7J0KD5mKrp0Vvzr7lt3OU09vwQwhkpOPPYv2Y/edit?usp=sharing"",""งบพรบ!EG43"")"),0)</f>
        <v>0</v>
      </c>
      <c r="P43" s="180">
        <f t="shared" ca="1" si="30"/>
        <v>0</v>
      </c>
      <c r="Q43" s="179">
        <f t="shared" ca="1" si="31"/>
        <v>0</v>
      </c>
      <c r="R43" s="344">
        <f ca="1">IFERROR(__xludf.DUMMYFUNCTION("IMPORTRANGE(""https://docs.google.com/spreadsheets/d/1Ul4RCpCX66NxYADU1QpwAPjOmBzW64SsT11s1wzXw_c/edit?usp=sharing"",""เลย!J313"")"),0)</f>
        <v>0</v>
      </c>
      <c r="S43" s="344">
        <f ca="1">IFERROR(__xludf.DUMMYFUNCTION("IMPORTRANGE(""https://docs.google.com/spreadsheets/d/1Ul4RCpCX66NxYADU1QpwAPjOmBzW64SsT11s1wzXw_c/edit?usp=sharing"",""เลย!I314"")"),0)</f>
        <v>0</v>
      </c>
      <c r="T43" s="177">
        <f ca="1">IFERROR(__xludf.DUMMYFUNCTION("IMPORTRANGE(""https://docs.google.com/spreadsheets/d/1Ul4RCpCX66NxYADU1QpwAPjOmBzW64SsT11s1wzXw_c/edit?usp=sharing"",""เลย!J314"")"),0)</f>
        <v>0</v>
      </c>
      <c r="U43" s="345">
        <f t="shared" ca="1" si="33"/>
        <v>0</v>
      </c>
      <c r="V43" s="344">
        <f ca="1">IFERROR(__xludf.DUMMYFUNCTION("IMPORTRANGE(""https://docs.google.com/spreadsheets/d/1Ul4RCpCX66NxYADU1QpwAPjOmBzW64SsT11s1wzXw_c/edit?usp=sharing"",""เลย!I315"")"),0)</f>
        <v>0</v>
      </c>
      <c r="W43" s="177">
        <f ca="1">IFERROR(__xludf.DUMMYFUNCTION("IMPORTRANGE(""https://docs.google.com/spreadsheets/d/1Ul4RCpCX66NxYADU1QpwAPjOmBzW64SsT11s1wzXw_c/edit?usp=sharing"",""เลย!J315"")"),0)</f>
        <v>0</v>
      </c>
      <c r="X43" s="345">
        <f t="shared" ca="1" si="35"/>
        <v>0</v>
      </c>
      <c r="Y43" s="344">
        <f ca="1">IFERROR(__xludf.DUMMYFUNCTION("IMPORTRANGE(""https://docs.google.com/spreadsheets/d/1Ul4RCpCX66NxYADU1QpwAPjOmBzW64SsT11s1wzXw_c/edit?usp=sharing"",""เลย!I316"")"),0)</f>
        <v>0</v>
      </c>
      <c r="Z43" s="177">
        <f ca="1">IFERROR(__xludf.DUMMYFUNCTION("IMPORTRANGE(""https://docs.google.com/spreadsheets/d/1Ul4RCpCX66NxYADU1QpwAPjOmBzW64SsT11s1wzXw_c/edit?usp=sharing"",""เลย!J316"")"),0)</f>
        <v>0</v>
      </c>
      <c r="AA43" s="345">
        <f t="shared" ca="1" si="37"/>
        <v>0</v>
      </c>
      <c r="AB43" s="344">
        <f ca="1">IFERROR(__xludf.DUMMYFUNCTION("IMPORTRANGE(""https://docs.google.com/spreadsheets/d/1Ul4RCpCX66NxYADU1QpwAPjOmBzW64SsT11s1wzXw_c/edit?usp=sharing"",""เลย!I317"")"),0)</f>
        <v>0</v>
      </c>
      <c r="AC43" s="177">
        <f ca="1">IFERROR(__xludf.DUMMYFUNCTION("IMPORTRANGE(""https://docs.google.com/spreadsheets/d/1Ul4RCpCX66NxYADU1QpwAPjOmBzW64SsT11s1wzXw_c/edit?usp=sharing"",""เลย!J317"")"),0)</f>
        <v>0</v>
      </c>
      <c r="AD43" s="345">
        <f t="shared" ca="1" si="39"/>
        <v>0</v>
      </c>
    </row>
    <row r="44" spans="1:30" ht="21" customHeight="1" x14ac:dyDescent="0.3">
      <c r="A44" s="84">
        <v>13</v>
      </c>
      <c r="B44" s="85" t="s">
        <v>66</v>
      </c>
      <c r="C44" s="174">
        <f t="shared" ca="1" si="24"/>
        <v>0</v>
      </c>
      <c r="D44" s="175">
        <f t="shared" ca="1" si="46"/>
        <v>0</v>
      </c>
      <c r="E44" s="176">
        <f ca="1">IFERROR(__xludf.DUMMYFUNCTION("IMPORTRANGE(""https://docs.google.com/spreadsheets/d/1-uDff_7J0KD5mKrp0Vvzr7lt3OU09vwQwhkpOPPYv2Y/edit?usp=sharing"",""งบพรบ!DZ44"")"),0)</f>
        <v>0</v>
      </c>
      <c r="F44" s="176">
        <f ca="1">IFERROR(__xludf.DUMMYFUNCTION("IMPORTRANGE(""https://docs.google.com/spreadsheets/d/1-uDff_7J0KD5mKrp0Vvzr7lt3OU09vwQwhkpOPPYv2Y/edit?usp=sharing"",""งบพรบ!EA44"")"),0)</f>
        <v>0</v>
      </c>
      <c r="G44" s="176">
        <f ca="1">IFERROR(__xludf.DUMMYFUNCTION("IMPORTRANGE(""https://docs.google.com/spreadsheets/d/1-uDff_7J0KD5mKrp0Vvzr7lt3OU09vwQwhkpOPPYv2Y/edit?usp=sharing"",""งบพรบ!EB44"")"),0)</f>
        <v>0</v>
      </c>
      <c r="H44" s="176">
        <f ca="1">IFERROR(__xludf.DUMMYFUNCTION("IMPORTRANGE(""https://docs.google.com/spreadsheets/d/1-uDff_7J0KD5mKrp0Vvzr7lt3OU09vwQwhkpOPPYv2Y/edit?usp=sharing"",""งบพรบ!ED44"")"),0)</f>
        <v>0</v>
      </c>
      <c r="I44" s="176">
        <f ca="1">IFERROR(__xludf.DUMMYFUNCTION("IMPORTRANGE(""https://docs.google.com/spreadsheets/d/1-uDff_7J0KD5mKrp0Vvzr7lt3OU09vwQwhkpOPPYv2Y/edit?usp=sharing"",""งบพรบ!EE44"")"),0)</f>
        <v>0</v>
      </c>
      <c r="J44" s="176">
        <f t="shared" ca="1" si="26"/>
        <v>0</v>
      </c>
      <c r="K44" s="181">
        <f t="shared" ca="1" si="27"/>
        <v>0</v>
      </c>
      <c r="L44" s="176">
        <f ca="1">IFERROR(__xludf.DUMMYFUNCTION("IMPORTRANGE(""https://docs.google.com/spreadsheets/d/1-uDff_7J0KD5mKrp0Vvzr7lt3OU09vwQwhkpOPPYv2Y/edit?usp=sharing"",""งบพรบ!EF44"")"),0)</f>
        <v>0</v>
      </c>
      <c r="M44" s="179">
        <f t="shared" ca="1" si="28"/>
        <v>0</v>
      </c>
      <c r="N44" s="179">
        <f t="shared" ca="1" si="29"/>
        <v>0</v>
      </c>
      <c r="O44" s="180">
        <f ca="1">IFERROR(__xludf.DUMMYFUNCTION("IMPORTRANGE(""https://docs.google.com/spreadsheets/d/1-uDff_7J0KD5mKrp0Vvzr7lt3OU09vwQwhkpOPPYv2Y/edit?usp=sharing"",""งบพรบ!EG44"")"),0)</f>
        <v>0</v>
      </c>
      <c r="P44" s="180">
        <f t="shared" ca="1" si="30"/>
        <v>0</v>
      </c>
      <c r="Q44" s="179">
        <f t="shared" ca="1" si="31"/>
        <v>0</v>
      </c>
      <c r="R44" s="344">
        <f ca="1">IFERROR(__xludf.DUMMYFUNCTION("IMPORTRANGE(""https://docs.google.com/spreadsheets/d/1bRrNKwbHDVktQG10isr5vbWRtt5spIZPpkOSWgbT5ug/edit?usp=sharing"",""ศรีสะเกษ!J313"")"),0)</f>
        <v>0</v>
      </c>
      <c r="S44" s="346">
        <f ca="1">IFERROR(__xludf.DUMMYFUNCTION("IMPORTRANGE(""https://docs.google.com/spreadsheets/d/1bRrNKwbHDVktQG10isr5vbWRtt5spIZPpkOSWgbT5ug/edit?usp=sharing"",""ศรีสะเกษ!I314"")"),0)</f>
        <v>0</v>
      </c>
      <c r="T44" s="177">
        <f ca="1">IFERROR(__xludf.DUMMYFUNCTION("IMPORTRANGE(""https://docs.google.com/spreadsheets/d/1bRrNKwbHDVktQG10isr5vbWRtt5spIZPpkOSWgbT5ug/edit?usp=sharing"",""ศรีสะเกษ!J314"")"),0)</f>
        <v>0</v>
      </c>
      <c r="U44" s="345">
        <f t="shared" ca="1" si="33"/>
        <v>0</v>
      </c>
      <c r="V44" s="346">
        <f ca="1">IFERROR(__xludf.DUMMYFUNCTION("IMPORTRANGE(""https://docs.google.com/spreadsheets/d/1bRrNKwbHDVktQG10isr5vbWRtt5spIZPpkOSWgbT5ug/edit?usp=sharing"",""ศรีสะเกษ!I315"")"),0)</f>
        <v>0</v>
      </c>
      <c r="W44" s="177">
        <f ca="1">IFERROR(__xludf.DUMMYFUNCTION("IMPORTRANGE(""https://docs.google.com/spreadsheets/d/1bRrNKwbHDVktQG10isr5vbWRtt5spIZPpkOSWgbT5ug/edit?usp=sharing"",""ศรีสะเกษ!J315"")"),0)</f>
        <v>0</v>
      </c>
      <c r="X44" s="345">
        <f t="shared" ca="1" si="35"/>
        <v>0</v>
      </c>
      <c r="Y44" s="346">
        <f ca="1">IFERROR(__xludf.DUMMYFUNCTION("IMPORTRANGE(""https://docs.google.com/spreadsheets/d/1bRrNKwbHDVktQG10isr5vbWRtt5spIZPpkOSWgbT5ug/edit?usp=sharing"",""ศรีสะเกษ!I316"")"),0)</f>
        <v>0</v>
      </c>
      <c r="Z44" s="177">
        <f ca="1">IFERROR(__xludf.DUMMYFUNCTION("IMPORTRANGE(""https://docs.google.com/spreadsheets/d/1bRrNKwbHDVktQG10isr5vbWRtt5spIZPpkOSWgbT5ug/edit?usp=sharing"",""ศรีสะเกษ!J316"")"),0)</f>
        <v>0</v>
      </c>
      <c r="AA44" s="345">
        <f t="shared" ca="1" si="37"/>
        <v>0</v>
      </c>
      <c r="AB44" s="346">
        <f ca="1">IFERROR(__xludf.DUMMYFUNCTION("IMPORTRANGE(""https://docs.google.com/spreadsheets/d/1bRrNKwbHDVktQG10isr5vbWRtt5spIZPpkOSWgbT5ug/edit?usp=sharing"",""ศรีสะเกษ!I317"")"),0)</f>
        <v>0</v>
      </c>
      <c r="AC44" s="177">
        <f ca="1">IFERROR(__xludf.DUMMYFUNCTION("IMPORTRANGE(""https://docs.google.com/spreadsheets/d/1bRrNKwbHDVktQG10isr5vbWRtt5spIZPpkOSWgbT5ug/edit?usp=sharing"",""ศรีสะเกษ!J317"")"),0)</f>
        <v>0</v>
      </c>
      <c r="AD44" s="345">
        <f t="shared" ca="1" si="39"/>
        <v>0</v>
      </c>
    </row>
    <row r="45" spans="1:30" ht="21" customHeight="1" x14ac:dyDescent="0.3">
      <c r="A45" s="84">
        <v>14</v>
      </c>
      <c r="B45" s="85" t="s">
        <v>67</v>
      </c>
      <c r="C45" s="174">
        <f t="shared" ca="1" si="24"/>
        <v>133500</v>
      </c>
      <c r="D45" s="175">
        <f t="shared" ca="1" si="46"/>
        <v>133500</v>
      </c>
      <c r="E45" s="176">
        <f ca="1">IFERROR(__xludf.DUMMYFUNCTION("IMPORTRANGE(""https://docs.google.com/spreadsheets/d/1-uDff_7J0KD5mKrp0Vvzr7lt3OU09vwQwhkpOPPYv2Y/edit?usp=sharing"",""งบพรบ!DZ45"")"),51100)</f>
        <v>51100</v>
      </c>
      <c r="F45" s="176">
        <f ca="1">IFERROR(__xludf.DUMMYFUNCTION("IMPORTRANGE(""https://docs.google.com/spreadsheets/d/1-uDff_7J0KD5mKrp0Vvzr7lt3OU09vwQwhkpOPPYv2Y/edit?usp=sharing"",""งบพรบ!EA45"")"),82400)</f>
        <v>82400</v>
      </c>
      <c r="G45" s="176">
        <f ca="1">IFERROR(__xludf.DUMMYFUNCTION("IMPORTRANGE(""https://docs.google.com/spreadsheets/d/1-uDff_7J0KD5mKrp0Vvzr7lt3OU09vwQwhkpOPPYv2Y/edit?usp=sharing"",""งบพรบ!EB45"")"),0)</f>
        <v>0</v>
      </c>
      <c r="H45" s="176">
        <f ca="1">IFERROR(__xludf.DUMMYFUNCTION("IMPORTRANGE(""https://docs.google.com/spreadsheets/d/1-uDff_7J0KD5mKrp0Vvzr7lt3OU09vwQwhkpOPPYv2Y/edit?usp=sharing"",""งบพรบ!ED45"")"),100900)</f>
        <v>100900</v>
      </c>
      <c r="I45" s="176">
        <f ca="1">IFERROR(__xludf.DUMMYFUNCTION("IMPORTRANGE(""https://docs.google.com/spreadsheets/d/1-uDff_7J0KD5mKrp0Vvzr7lt3OU09vwQwhkpOPPYv2Y/edit?usp=sharing"",""งบพรบ!EE45"")"),0)</f>
        <v>0</v>
      </c>
      <c r="J45" s="176">
        <f t="shared" ca="1" si="26"/>
        <v>18000</v>
      </c>
      <c r="K45" s="181">
        <f t="shared" ca="1" si="27"/>
        <v>13.48314606741573</v>
      </c>
      <c r="L45" s="176">
        <f ca="1">IFERROR(__xludf.DUMMYFUNCTION("IMPORTRANGE(""https://docs.google.com/spreadsheets/d/1-uDff_7J0KD5mKrp0Vvzr7lt3OU09vwQwhkpOPPYv2Y/edit?usp=sharing"",""งบพรบ!EF45"")"),18000)</f>
        <v>18000</v>
      </c>
      <c r="M45" s="179">
        <f t="shared" ca="1" si="28"/>
        <v>13.48314606741573</v>
      </c>
      <c r="N45" s="179">
        <f t="shared" ca="1" si="29"/>
        <v>17.839444995044598</v>
      </c>
      <c r="O45" s="180">
        <f ca="1">IFERROR(__xludf.DUMMYFUNCTION("IMPORTRANGE(""https://docs.google.com/spreadsheets/d/1-uDff_7J0KD5mKrp0Vvzr7lt3OU09vwQwhkpOPPYv2Y/edit?usp=sharing"",""งบพรบ!EG45"")"),0)</f>
        <v>0</v>
      </c>
      <c r="P45" s="180">
        <f t="shared" ca="1" si="30"/>
        <v>0</v>
      </c>
      <c r="Q45" s="179">
        <f t="shared" ca="1" si="31"/>
        <v>0</v>
      </c>
      <c r="R45" s="344">
        <f ca="1">IFERROR(__xludf.DUMMYFUNCTION("IMPORTRANGE(""https://docs.google.com/spreadsheets/d/17P34_Ow5kFBfdQD0qspb2UuPX5zpi6WMrQzslghyvrI/edit?usp=sharing"",""สกลนคร!J313"")"),0)</f>
        <v>0</v>
      </c>
      <c r="S45" s="344">
        <f ca="1">IFERROR(__xludf.DUMMYFUNCTION("IMPORTRANGE(""https://docs.google.com/spreadsheets/d/17P34_Ow5kFBfdQD0qspb2UuPX5zpi6WMrQzslghyvrI/edit?usp=sharing"",""สกลนคร!I314"")"),20)</f>
        <v>20</v>
      </c>
      <c r="T45" s="177">
        <f ca="1">IFERROR(__xludf.DUMMYFUNCTION("IMPORTRANGE(""https://docs.google.com/spreadsheets/d/17P34_Ow5kFBfdQD0qspb2UuPX5zpi6WMrQzslghyvrI/edit?usp=sharing"",""สกลนคร!J314"")"),0)</f>
        <v>0</v>
      </c>
      <c r="U45" s="345">
        <f t="shared" ca="1" si="33"/>
        <v>0</v>
      </c>
      <c r="V45" s="344">
        <f ca="1">IFERROR(__xludf.DUMMYFUNCTION("IMPORTRANGE(""https://docs.google.com/spreadsheets/d/17P34_Ow5kFBfdQD0qspb2UuPX5zpi6WMrQzslghyvrI/edit?usp=sharing"",""สกลนคร!I315"")"),4)</f>
        <v>4</v>
      </c>
      <c r="W45" s="177">
        <f ca="1">IFERROR(__xludf.DUMMYFUNCTION("IMPORTRANGE(""https://docs.google.com/spreadsheets/d/17P34_Ow5kFBfdQD0qspb2UuPX5zpi6WMrQzslghyvrI/edit?usp=sharing"",""สกลนคร!J315"")"),0)</f>
        <v>0</v>
      </c>
      <c r="X45" s="345">
        <f t="shared" ca="1" si="35"/>
        <v>0</v>
      </c>
      <c r="Y45" s="344">
        <f ca="1">IFERROR(__xludf.DUMMYFUNCTION("IMPORTRANGE(""https://docs.google.com/spreadsheets/d/17P34_Ow5kFBfdQD0qspb2UuPX5zpi6WMrQzslghyvrI/edit?usp=sharing"",""สกลนคร!I316"")"),20)</f>
        <v>20</v>
      </c>
      <c r="Z45" s="177">
        <f ca="1">IFERROR(__xludf.DUMMYFUNCTION("IMPORTRANGE(""https://docs.google.com/spreadsheets/d/17P34_Ow5kFBfdQD0qspb2UuPX5zpi6WMrQzslghyvrI/edit?usp=sharing"",""สกลนคร!J316"")"),0)</f>
        <v>0</v>
      </c>
      <c r="AA45" s="345">
        <f t="shared" ca="1" si="37"/>
        <v>0</v>
      </c>
      <c r="AB45" s="344">
        <f ca="1">IFERROR(__xludf.DUMMYFUNCTION("IMPORTRANGE(""https://docs.google.com/spreadsheets/d/17P34_Ow5kFBfdQD0qspb2UuPX5zpi6WMrQzslghyvrI/edit?usp=sharing"",""สกลนคร!I317"")"),4)</f>
        <v>4</v>
      </c>
      <c r="AC45" s="177">
        <f ca="1">IFERROR(__xludf.DUMMYFUNCTION("IMPORTRANGE(""https://docs.google.com/spreadsheets/d/17P34_Ow5kFBfdQD0qspb2UuPX5zpi6WMrQzslghyvrI/edit?usp=sharing"",""สกลนคร!J317"")"),0)</f>
        <v>0</v>
      </c>
      <c r="AD45" s="345">
        <f t="shared" ca="1" si="39"/>
        <v>0</v>
      </c>
    </row>
    <row r="46" spans="1:30" ht="21" customHeight="1" x14ac:dyDescent="0.3">
      <c r="A46" s="84">
        <v>15</v>
      </c>
      <c r="B46" s="85" t="s">
        <v>68</v>
      </c>
      <c r="C46" s="174">
        <f t="shared" ca="1" si="24"/>
        <v>82400</v>
      </c>
      <c r="D46" s="175">
        <f t="shared" ca="1" si="46"/>
        <v>82400</v>
      </c>
      <c r="E46" s="176">
        <f ca="1">IFERROR(__xludf.DUMMYFUNCTION("IMPORTRANGE(""https://docs.google.com/spreadsheets/d/1-uDff_7J0KD5mKrp0Vvzr7lt3OU09vwQwhkpOPPYv2Y/edit?usp=sharing"",""งบพรบ!DZ46"")"),0)</f>
        <v>0</v>
      </c>
      <c r="F46" s="176">
        <f ca="1">IFERROR(__xludf.DUMMYFUNCTION("IMPORTRANGE(""https://docs.google.com/spreadsheets/d/1-uDff_7J0KD5mKrp0Vvzr7lt3OU09vwQwhkpOPPYv2Y/edit?usp=sharing"",""งบพรบ!EA46"")"),82400)</f>
        <v>82400</v>
      </c>
      <c r="G46" s="176">
        <f ca="1">IFERROR(__xludf.DUMMYFUNCTION("IMPORTRANGE(""https://docs.google.com/spreadsheets/d/1-uDff_7J0KD5mKrp0Vvzr7lt3OU09vwQwhkpOPPYv2Y/edit?usp=sharing"",""งบพรบ!EB46"")"),0)</f>
        <v>0</v>
      </c>
      <c r="H46" s="176">
        <f ca="1">IFERROR(__xludf.DUMMYFUNCTION("IMPORTRANGE(""https://docs.google.com/spreadsheets/d/1-uDff_7J0KD5mKrp0Vvzr7lt3OU09vwQwhkpOPPYv2Y/edit?usp=sharing"",""งบพรบ!ED46"")"),64400)</f>
        <v>64400</v>
      </c>
      <c r="I46" s="176">
        <f ca="1">IFERROR(__xludf.DUMMYFUNCTION("IMPORTRANGE(""https://docs.google.com/spreadsheets/d/1-uDff_7J0KD5mKrp0Vvzr7lt3OU09vwQwhkpOPPYv2Y/edit?usp=sharing"",""งบพรบ!EE46"")"),0)</f>
        <v>0</v>
      </c>
      <c r="J46" s="176">
        <f t="shared" ca="1" si="26"/>
        <v>0</v>
      </c>
      <c r="K46" s="181">
        <f t="shared" ca="1" si="27"/>
        <v>0</v>
      </c>
      <c r="L46" s="176">
        <f ca="1">IFERROR(__xludf.DUMMYFUNCTION("IMPORTRANGE(""https://docs.google.com/spreadsheets/d/1-uDff_7J0KD5mKrp0Vvzr7lt3OU09vwQwhkpOPPYv2Y/edit?usp=sharing"",""งบพรบ!EF46"")"),0)</f>
        <v>0</v>
      </c>
      <c r="M46" s="179">
        <f t="shared" ca="1" si="28"/>
        <v>0</v>
      </c>
      <c r="N46" s="179">
        <f t="shared" ca="1" si="29"/>
        <v>0</v>
      </c>
      <c r="O46" s="180">
        <f ca="1">IFERROR(__xludf.DUMMYFUNCTION("IMPORTRANGE(""https://docs.google.com/spreadsheets/d/1-uDff_7J0KD5mKrp0Vvzr7lt3OU09vwQwhkpOPPYv2Y/edit?usp=sharing"",""งบพรบ!EG46"")"),0)</f>
        <v>0</v>
      </c>
      <c r="P46" s="180">
        <f t="shared" ca="1" si="30"/>
        <v>0</v>
      </c>
      <c r="Q46" s="179">
        <f t="shared" ca="1" si="31"/>
        <v>0</v>
      </c>
      <c r="R46" s="344">
        <f ca="1">IFERROR(__xludf.DUMMYFUNCTION("IMPORTRANGE(""https://docs.google.com/spreadsheets/d/1yswqbM3-AEpThF3ZSUa1AcmHnmRTF1vlJ1CZGcJ8YuU/edit?usp=sharing"",""สุรินทร์!J313"")"),0)</f>
        <v>0</v>
      </c>
      <c r="S46" s="344">
        <f ca="1">IFERROR(__xludf.DUMMYFUNCTION("IMPORTRANGE(""https://docs.google.com/spreadsheets/d/1yswqbM3-AEpThF3ZSUa1AcmHnmRTF1vlJ1CZGcJ8YuU/edit?usp=sharing"",""สุรินทร์!I314"")"),20)</f>
        <v>20</v>
      </c>
      <c r="T46" s="177">
        <f ca="1">IFERROR(__xludf.DUMMYFUNCTION("IMPORTRANGE(""https://docs.google.com/spreadsheets/d/1yswqbM3-AEpThF3ZSUa1AcmHnmRTF1vlJ1CZGcJ8YuU/edit?usp=sharing"",""สุรินทร์!J314"")"),0)</f>
        <v>0</v>
      </c>
      <c r="U46" s="345">
        <f t="shared" ca="1" si="33"/>
        <v>0</v>
      </c>
      <c r="V46" s="344">
        <f ca="1">IFERROR(__xludf.DUMMYFUNCTION("IMPORTRANGE(""https://docs.google.com/spreadsheets/d/1yswqbM3-AEpThF3ZSUa1AcmHnmRTF1vlJ1CZGcJ8YuU/edit?usp=sharing"",""สุรินทร์!I315"")"),4)</f>
        <v>4</v>
      </c>
      <c r="W46" s="177">
        <f ca="1">IFERROR(__xludf.DUMMYFUNCTION("IMPORTRANGE(""https://docs.google.com/spreadsheets/d/1yswqbM3-AEpThF3ZSUa1AcmHnmRTF1vlJ1CZGcJ8YuU/edit?usp=sharing"",""สุรินทร์!J315"")"),0)</f>
        <v>0</v>
      </c>
      <c r="X46" s="345">
        <f t="shared" ca="1" si="35"/>
        <v>0</v>
      </c>
      <c r="Y46" s="344">
        <f ca="1">IFERROR(__xludf.DUMMYFUNCTION("IMPORTRANGE(""https://docs.google.com/spreadsheets/d/1yswqbM3-AEpThF3ZSUa1AcmHnmRTF1vlJ1CZGcJ8YuU/edit?usp=sharing"",""สุรินทร์!I316"")"),20)</f>
        <v>20</v>
      </c>
      <c r="Z46" s="177">
        <f ca="1">IFERROR(__xludf.DUMMYFUNCTION("IMPORTRANGE(""https://docs.google.com/spreadsheets/d/1yswqbM3-AEpThF3ZSUa1AcmHnmRTF1vlJ1CZGcJ8YuU/edit?usp=sharing"",""สุรินทร์!J316"")"),0)</f>
        <v>0</v>
      </c>
      <c r="AA46" s="345">
        <f t="shared" ca="1" si="37"/>
        <v>0</v>
      </c>
      <c r="AB46" s="344">
        <f ca="1">IFERROR(__xludf.DUMMYFUNCTION("IMPORTRANGE(""https://docs.google.com/spreadsheets/d/1yswqbM3-AEpThF3ZSUa1AcmHnmRTF1vlJ1CZGcJ8YuU/edit?usp=sharing"",""สุรินทร์!I317"")"),4)</f>
        <v>4</v>
      </c>
      <c r="AC46" s="177">
        <f ca="1">IFERROR(__xludf.DUMMYFUNCTION("IMPORTRANGE(""https://docs.google.com/spreadsheets/d/1yswqbM3-AEpThF3ZSUa1AcmHnmRTF1vlJ1CZGcJ8YuU/edit?usp=sharing"",""สุรินทร์!J317"")"),0)</f>
        <v>0</v>
      </c>
      <c r="AD46" s="345">
        <f t="shared" ca="1" si="39"/>
        <v>0</v>
      </c>
    </row>
    <row r="47" spans="1:30" ht="21" customHeight="1" x14ac:dyDescent="0.3">
      <c r="A47" s="84">
        <v>16</v>
      </c>
      <c r="B47" s="85" t="s">
        <v>69</v>
      </c>
      <c r="C47" s="174">
        <f t="shared" ca="1" si="24"/>
        <v>0</v>
      </c>
      <c r="D47" s="175">
        <f t="shared" ca="1" si="46"/>
        <v>0</v>
      </c>
      <c r="E47" s="176">
        <f ca="1">IFERROR(__xludf.DUMMYFUNCTION("IMPORTRANGE(""https://docs.google.com/spreadsheets/d/1-uDff_7J0KD5mKrp0Vvzr7lt3OU09vwQwhkpOPPYv2Y/edit?usp=sharing"",""งบพรบ!DZ47"")"),0)</f>
        <v>0</v>
      </c>
      <c r="F47" s="176">
        <f ca="1">IFERROR(__xludf.DUMMYFUNCTION("IMPORTRANGE(""https://docs.google.com/spreadsheets/d/1-uDff_7J0KD5mKrp0Vvzr7lt3OU09vwQwhkpOPPYv2Y/edit?usp=sharing"",""งบพรบ!EA47"")"),0)</f>
        <v>0</v>
      </c>
      <c r="G47" s="176">
        <f ca="1">IFERROR(__xludf.DUMMYFUNCTION("IMPORTRANGE(""https://docs.google.com/spreadsheets/d/1-uDff_7J0KD5mKrp0Vvzr7lt3OU09vwQwhkpOPPYv2Y/edit?usp=sharing"",""งบพรบ!EB47"")"),0)</f>
        <v>0</v>
      </c>
      <c r="H47" s="176">
        <f ca="1">IFERROR(__xludf.DUMMYFUNCTION("IMPORTRANGE(""https://docs.google.com/spreadsheets/d/1-uDff_7J0KD5mKrp0Vvzr7lt3OU09vwQwhkpOPPYv2Y/edit?usp=sharing"",""งบพรบ!ED47"")"),0)</f>
        <v>0</v>
      </c>
      <c r="I47" s="176">
        <f ca="1">IFERROR(__xludf.DUMMYFUNCTION("IMPORTRANGE(""https://docs.google.com/spreadsheets/d/1-uDff_7J0KD5mKrp0Vvzr7lt3OU09vwQwhkpOPPYv2Y/edit?usp=sharing"",""งบพรบ!EE47"")"),0)</f>
        <v>0</v>
      </c>
      <c r="J47" s="176">
        <f t="shared" ca="1" si="26"/>
        <v>0</v>
      </c>
      <c r="K47" s="181">
        <f t="shared" ca="1" si="27"/>
        <v>0</v>
      </c>
      <c r="L47" s="176">
        <f ca="1">IFERROR(__xludf.DUMMYFUNCTION("IMPORTRANGE(""https://docs.google.com/spreadsheets/d/1-uDff_7J0KD5mKrp0Vvzr7lt3OU09vwQwhkpOPPYv2Y/edit?usp=sharing"",""งบพรบ!EF47"")"),0)</f>
        <v>0</v>
      </c>
      <c r="M47" s="179">
        <f t="shared" ca="1" si="28"/>
        <v>0</v>
      </c>
      <c r="N47" s="179">
        <f t="shared" ca="1" si="29"/>
        <v>0</v>
      </c>
      <c r="O47" s="180">
        <f ca="1">IFERROR(__xludf.DUMMYFUNCTION("IMPORTRANGE(""https://docs.google.com/spreadsheets/d/1-uDff_7J0KD5mKrp0Vvzr7lt3OU09vwQwhkpOPPYv2Y/edit?usp=sharing"",""งบพรบ!EG47"")"),0)</f>
        <v>0</v>
      </c>
      <c r="P47" s="180">
        <f t="shared" ca="1" si="30"/>
        <v>0</v>
      </c>
      <c r="Q47" s="179">
        <f t="shared" ca="1" si="31"/>
        <v>0</v>
      </c>
      <c r="R47" s="344">
        <f ca="1">IFERROR(__xludf.DUMMYFUNCTION("IMPORTRANGE(""https://docs.google.com/spreadsheets/d/13JHU_EFbsQOUQ0JSQ3dWy1VTRosIWcDq6Nc99z2qzdc/edit?usp=sharing"",""หนองคาย!J313"")"),0)</f>
        <v>0</v>
      </c>
      <c r="S47" s="344">
        <f ca="1">IFERROR(__xludf.DUMMYFUNCTION("IMPORTRANGE(""https://docs.google.com/spreadsheets/d/13JHU_EFbsQOUQ0JSQ3dWy1VTRosIWcDq6Nc99z2qzdc/edit?usp=sharing"",""หนองคาย!I314"")"),0)</f>
        <v>0</v>
      </c>
      <c r="T47" s="177">
        <f ca="1">IFERROR(__xludf.DUMMYFUNCTION("IMPORTRANGE(""https://docs.google.com/spreadsheets/d/13JHU_EFbsQOUQ0JSQ3dWy1VTRosIWcDq6Nc99z2qzdc/edit?usp=sharing"",""หนองคาย!J314"")"),0)</f>
        <v>0</v>
      </c>
      <c r="U47" s="345">
        <f t="shared" ca="1" si="33"/>
        <v>0</v>
      </c>
      <c r="V47" s="344">
        <f ca="1">IFERROR(__xludf.DUMMYFUNCTION("IMPORTRANGE(""https://docs.google.com/spreadsheets/d/13JHU_EFbsQOUQ0JSQ3dWy1VTRosIWcDq6Nc99z2qzdc/edit?usp=sharing"",""หนองคาย!I315"")"),0)</f>
        <v>0</v>
      </c>
      <c r="W47" s="177">
        <f ca="1">IFERROR(__xludf.DUMMYFUNCTION("IMPORTRANGE(""https://docs.google.com/spreadsheets/d/13JHU_EFbsQOUQ0JSQ3dWy1VTRosIWcDq6Nc99z2qzdc/edit?usp=sharing"",""หนองคาย!J315"")"),0)</f>
        <v>0</v>
      </c>
      <c r="X47" s="345">
        <f t="shared" ca="1" si="35"/>
        <v>0</v>
      </c>
      <c r="Y47" s="344">
        <f ca="1">IFERROR(__xludf.DUMMYFUNCTION("IMPORTRANGE(""https://docs.google.com/spreadsheets/d/13JHU_EFbsQOUQ0JSQ3dWy1VTRosIWcDq6Nc99z2qzdc/edit?usp=sharing"",""หนองคาย!I316"")"),0)</f>
        <v>0</v>
      </c>
      <c r="Z47" s="177">
        <f ca="1">IFERROR(__xludf.DUMMYFUNCTION("IMPORTRANGE(""https://docs.google.com/spreadsheets/d/13JHU_EFbsQOUQ0JSQ3dWy1VTRosIWcDq6Nc99z2qzdc/edit?usp=sharing"",""หนองคาย!J316"")"),0)</f>
        <v>0</v>
      </c>
      <c r="AA47" s="345">
        <f t="shared" ca="1" si="37"/>
        <v>0</v>
      </c>
      <c r="AB47" s="344">
        <f ca="1">IFERROR(__xludf.DUMMYFUNCTION("IMPORTRANGE(""https://docs.google.com/spreadsheets/d/13JHU_EFbsQOUQ0JSQ3dWy1VTRosIWcDq6Nc99z2qzdc/edit?usp=sharing"",""หนองคาย!I317"")"),0)</f>
        <v>0</v>
      </c>
      <c r="AC47" s="177">
        <f ca="1">IFERROR(__xludf.DUMMYFUNCTION("IMPORTRANGE(""https://docs.google.com/spreadsheets/d/13JHU_EFbsQOUQ0JSQ3dWy1VTRosIWcDq6Nc99z2qzdc/edit?usp=sharing"",""หนองคาย!J317"")"),0)</f>
        <v>0</v>
      </c>
      <c r="AD47" s="345">
        <f t="shared" ca="1" si="39"/>
        <v>0</v>
      </c>
    </row>
    <row r="48" spans="1:30" ht="21" customHeight="1" x14ac:dyDescent="0.3">
      <c r="A48" s="84">
        <v>17</v>
      </c>
      <c r="B48" s="85" t="s">
        <v>70</v>
      </c>
      <c r="C48" s="174">
        <f t="shared" ca="1" si="24"/>
        <v>0</v>
      </c>
      <c r="D48" s="175">
        <f t="shared" ca="1" si="46"/>
        <v>0</v>
      </c>
      <c r="E48" s="176">
        <f ca="1">IFERROR(__xludf.DUMMYFUNCTION("IMPORTRANGE(""https://docs.google.com/spreadsheets/d/1-uDff_7J0KD5mKrp0Vvzr7lt3OU09vwQwhkpOPPYv2Y/edit?usp=sharing"",""งบพรบ!DZ48"")"),0)</f>
        <v>0</v>
      </c>
      <c r="F48" s="176">
        <f ca="1">IFERROR(__xludf.DUMMYFUNCTION("IMPORTRANGE(""https://docs.google.com/spreadsheets/d/1-uDff_7J0KD5mKrp0Vvzr7lt3OU09vwQwhkpOPPYv2Y/edit?usp=sharing"",""งบพรบ!EA48"")"),0)</f>
        <v>0</v>
      </c>
      <c r="G48" s="176">
        <f ca="1">IFERROR(__xludf.DUMMYFUNCTION("IMPORTRANGE(""https://docs.google.com/spreadsheets/d/1-uDff_7J0KD5mKrp0Vvzr7lt3OU09vwQwhkpOPPYv2Y/edit?usp=sharing"",""งบพรบ!EB48"")"),0)</f>
        <v>0</v>
      </c>
      <c r="H48" s="176">
        <f ca="1">IFERROR(__xludf.DUMMYFUNCTION("IMPORTRANGE(""https://docs.google.com/spreadsheets/d/1-uDff_7J0KD5mKrp0Vvzr7lt3OU09vwQwhkpOPPYv2Y/edit?usp=sharing"",""งบพรบ!ED48"")"),0)</f>
        <v>0</v>
      </c>
      <c r="I48" s="176">
        <f ca="1">IFERROR(__xludf.DUMMYFUNCTION("IMPORTRANGE(""https://docs.google.com/spreadsheets/d/1-uDff_7J0KD5mKrp0Vvzr7lt3OU09vwQwhkpOPPYv2Y/edit?usp=sharing"",""งบพรบ!EE48"")"),0)</f>
        <v>0</v>
      </c>
      <c r="J48" s="176">
        <f t="shared" ca="1" si="26"/>
        <v>0</v>
      </c>
      <c r="K48" s="181">
        <f t="shared" ca="1" si="27"/>
        <v>0</v>
      </c>
      <c r="L48" s="176">
        <f ca="1">IFERROR(__xludf.DUMMYFUNCTION("IMPORTRANGE(""https://docs.google.com/spreadsheets/d/1-uDff_7J0KD5mKrp0Vvzr7lt3OU09vwQwhkpOPPYv2Y/edit?usp=sharing"",""งบพรบ!EF48"")"),0)</f>
        <v>0</v>
      </c>
      <c r="M48" s="179">
        <f t="shared" ca="1" si="28"/>
        <v>0</v>
      </c>
      <c r="N48" s="179">
        <f t="shared" ca="1" si="29"/>
        <v>0</v>
      </c>
      <c r="O48" s="180">
        <f ca="1">IFERROR(__xludf.DUMMYFUNCTION("IMPORTRANGE(""https://docs.google.com/spreadsheets/d/1-uDff_7J0KD5mKrp0Vvzr7lt3OU09vwQwhkpOPPYv2Y/edit?usp=sharing"",""งบพรบ!EG48"")"),0)</f>
        <v>0</v>
      </c>
      <c r="P48" s="180">
        <f t="shared" ca="1" si="30"/>
        <v>0</v>
      </c>
      <c r="Q48" s="179">
        <f t="shared" ca="1" si="31"/>
        <v>0</v>
      </c>
      <c r="R48" s="344">
        <f ca="1">IFERROR(__xludf.DUMMYFUNCTION("IMPORTRANGE(""https://docs.google.com/spreadsheets/d/1Hx73zIEgVdDZZaYSTc46Dqv64atFhpr3GelxLbaIN8A/edit?usp=sharing"",""หนองบัวลำภู!J313"")"),0)</f>
        <v>0</v>
      </c>
      <c r="S48" s="344">
        <f ca="1">IFERROR(__xludf.DUMMYFUNCTION("IMPORTRANGE(""https://docs.google.com/spreadsheets/d/1Hx73zIEgVdDZZaYSTc46Dqv64atFhpr3GelxLbaIN8A/edit?usp=sharing"",""หนองบัวลำภู!I314"")"),0)</f>
        <v>0</v>
      </c>
      <c r="T48" s="177">
        <f ca="1">IFERROR(__xludf.DUMMYFUNCTION("IMPORTRANGE(""https://docs.google.com/spreadsheets/d/1Hx73zIEgVdDZZaYSTc46Dqv64atFhpr3GelxLbaIN8A/edit?usp=sharing"",""หนองบัวลำภู!J314"")"),0)</f>
        <v>0</v>
      </c>
      <c r="U48" s="345">
        <f t="shared" ca="1" si="33"/>
        <v>0</v>
      </c>
      <c r="V48" s="344">
        <f ca="1">IFERROR(__xludf.DUMMYFUNCTION("IMPORTRANGE(""https://docs.google.com/spreadsheets/d/1Hx73zIEgVdDZZaYSTc46Dqv64atFhpr3GelxLbaIN8A/edit?usp=sharing"",""หนองบัวลำภู!I315"")"),0)</f>
        <v>0</v>
      </c>
      <c r="W48" s="177">
        <f ca="1">IFERROR(__xludf.DUMMYFUNCTION("IMPORTRANGE(""https://docs.google.com/spreadsheets/d/1Hx73zIEgVdDZZaYSTc46Dqv64atFhpr3GelxLbaIN8A/edit?usp=sharing"",""หนองบัวลำภู!J315"")"),0)</f>
        <v>0</v>
      </c>
      <c r="X48" s="345">
        <f t="shared" ca="1" si="35"/>
        <v>0</v>
      </c>
      <c r="Y48" s="344">
        <f ca="1">IFERROR(__xludf.DUMMYFUNCTION("IMPORTRANGE(""https://docs.google.com/spreadsheets/d/1Hx73zIEgVdDZZaYSTc46Dqv64atFhpr3GelxLbaIN8A/edit?usp=sharing"",""หนองบัวลำภู!I316"")"),0)</f>
        <v>0</v>
      </c>
      <c r="Z48" s="177">
        <f ca="1">IFERROR(__xludf.DUMMYFUNCTION("IMPORTRANGE(""https://docs.google.com/spreadsheets/d/1Hx73zIEgVdDZZaYSTc46Dqv64atFhpr3GelxLbaIN8A/edit?usp=sharing"",""หนองบัวลำภู!J316"")"),0)</f>
        <v>0</v>
      </c>
      <c r="AA48" s="345">
        <f t="shared" ca="1" si="37"/>
        <v>0</v>
      </c>
      <c r="AB48" s="344">
        <f ca="1">IFERROR(__xludf.DUMMYFUNCTION("IMPORTRANGE(""https://docs.google.com/spreadsheets/d/1Hx73zIEgVdDZZaYSTc46Dqv64atFhpr3GelxLbaIN8A/edit?usp=sharing"",""หนองบัวลำภู!I317"")"),0)</f>
        <v>0</v>
      </c>
      <c r="AC48" s="177">
        <f ca="1">IFERROR(__xludf.DUMMYFUNCTION("IMPORTRANGE(""https://docs.google.com/spreadsheets/d/1Hx73zIEgVdDZZaYSTc46Dqv64atFhpr3GelxLbaIN8A/edit?usp=sharing"",""หนองบัวลำภู!J317"")"),0)</f>
        <v>0</v>
      </c>
      <c r="AD48" s="345">
        <f t="shared" ca="1" si="39"/>
        <v>0</v>
      </c>
    </row>
    <row r="49" spans="1:30" ht="21" customHeight="1" x14ac:dyDescent="0.3">
      <c r="A49" s="84">
        <v>18</v>
      </c>
      <c r="B49" s="85" t="s">
        <v>71</v>
      </c>
      <c r="C49" s="174">
        <f t="shared" ca="1" si="24"/>
        <v>0</v>
      </c>
      <c r="D49" s="175">
        <f t="shared" ca="1" si="46"/>
        <v>0</v>
      </c>
      <c r="E49" s="176">
        <f ca="1">IFERROR(__xludf.DUMMYFUNCTION("IMPORTRANGE(""https://docs.google.com/spreadsheets/d/1-uDff_7J0KD5mKrp0Vvzr7lt3OU09vwQwhkpOPPYv2Y/edit?usp=sharing"",""งบพรบ!DZ49"")"),0)</f>
        <v>0</v>
      </c>
      <c r="F49" s="176">
        <f ca="1">IFERROR(__xludf.DUMMYFUNCTION("IMPORTRANGE(""https://docs.google.com/spreadsheets/d/1-uDff_7J0KD5mKrp0Vvzr7lt3OU09vwQwhkpOPPYv2Y/edit?usp=sharing"",""งบพรบ!EA49"")"),0)</f>
        <v>0</v>
      </c>
      <c r="G49" s="176">
        <f ca="1">IFERROR(__xludf.DUMMYFUNCTION("IMPORTRANGE(""https://docs.google.com/spreadsheets/d/1-uDff_7J0KD5mKrp0Vvzr7lt3OU09vwQwhkpOPPYv2Y/edit?usp=sharing"",""งบพรบ!EB49"")"),0)</f>
        <v>0</v>
      </c>
      <c r="H49" s="176">
        <f ca="1">IFERROR(__xludf.DUMMYFUNCTION("IMPORTRANGE(""https://docs.google.com/spreadsheets/d/1-uDff_7J0KD5mKrp0Vvzr7lt3OU09vwQwhkpOPPYv2Y/edit?usp=sharing"",""งบพรบ!ED49"")"),0)</f>
        <v>0</v>
      </c>
      <c r="I49" s="176">
        <f ca="1">IFERROR(__xludf.DUMMYFUNCTION("IMPORTRANGE(""https://docs.google.com/spreadsheets/d/1-uDff_7J0KD5mKrp0Vvzr7lt3OU09vwQwhkpOPPYv2Y/edit?usp=sharing"",""งบพรบ!EE49"")"),0)</f>
        <v>0</v>
      </c>
      <c r="J49" s="176">
        <f t="shared" ca="1" si="26"/>
        <v>0</v>
      </c>
      <c r="K49" s="181">
        <f t="shared" ca="1" si="27"/>
        <v>0</v>
      </c>
      <c r="L49" s="176">
        <f ca="1">IFERROR(__xludf.DUMMYFUNCTION("IMPORTRANGE(""https://docs.google.com/spreadsheets/d/1-uDff_7J0KD5mKrp0Vvzr7lt3OU09vwQwhkpOPPYv2Y/edit?usp=sharing"",""งบพรบ!EF49"")"),0)</f>
        <v>0</v>
      </c>
      <c r="M49" s="179">
        <f t="shared" ca="1" si="28"/>
        <v>0</v>
      </c>
      <c r="N49" s="179">
        <f t="shared" ca="1" si="29"/>
        <v>0</v>
      </c>
      <c r="O49" s="180">
        <f ca="1">IFERROR(__xludf.DUMMYFUNCTION("IMPORTRANGE(""https://docs.google.com/spreadsheets/d/1-uDff_7J0KD5mKrp0Vvzr7lt3OU09vwQwhkpOPPYv2Y/edit?usp=sharing"",""งบพรบ!EG49"")"),0)</f>
        <v>0</v>
      </c>
      <c r="P49" s="180">
        <f t="shared" ca="1" si="30"/>
        <v>0</v>
      </c>
      <c r="Q49" s="179">
        <f t="shared" ca="1" si="31"/>
        <v>0</v>
      </c>
      <c r="R49" s="344">
        <f ca="1">IFERROR(__xludf.DUMMYFUNCTION("IMPORTRANGE(""https://docs.google.com/spreadsheets/d/1lFxr3ctmjFN90yc-xV6jrQ9Ty8BKYVBWnAZ15wcNIJc/edit?usp=sharing"",""อำนาจเจริญ!J313"")"),0)</f>
        <v>0</v>
      </c>
      <c r="S49" s="344">
        <f ca="1">IFERROR(__xludf.DUMMYFUNCTION("IMPORTRANGE(""https://docs.google.com/spreadsheets/d/1lFxr3ctmjFN90yc-xV6jrQ9Ty8BKYVBWnAZ15wcNIJc/edit?usp=sharing"",""อำนาจเจริญ!I314"")"),0)</f>
        <v>0</v>
      </c>
      <c r="T49" s="177">
        <f ca="1">IFERROR(__xludf.DUMMYFUNCTION("IMPORTRANGE(""https://docs.google.com/spreadsheets/d/1lFxr3ctmjFN90yc-xV6jrQ9Ty8BKYVBWnAZ15wcNIJc/edit?usp=sharing"",""อำนาจเจริญ!J314"")"),0)</f>
        <v>0</v>
      </c>
      <c r="U49" s="345">
        <f t="shared" ca="1" si="33"/>
        <v>0</v>
      </c>
      <c r="V49" s="344">
        <f ca="1">IFERROR(__xludf.DUMMYFUNCTION("IMPORTRANGE(""https://docs.google.com/spreadsheets/d/1lFxr3ctmjFN90yc-xV6jrQ9Ty8BKYVBWnAZ15wcNIJc/edit?usp=sharing"",""อำนาจเจริญ!I315"")"),0)</f>
        <v>0</v>
      </c>
      <c r="W49" s="177">
        <f ca="1">IFERROR(__xludf.DUMMYFUNCTION("IMPORTRANGE(""https://docs.google.com/spreadsheets/d/1lFxr3ctmjFN90yc-xV6jrQ9Ty8BKYVBWnAZ15wcNIJc/edit?usp=sharing"",""อำนาจเจริญ!J315"")"),0)</f>
        <v>0</v>
      </c>
      <c r="X49" s="345">
        <f t="shared" ca="1" si="35"/>
        <v>0</v>
      </c>
      <c r="Y49" s="344">
        <f ca="1">IFERROR(__xludf.DUMMYFUNCTION("IMPORTRANGE(""https://docs.google.com/spreadsheets/d/1lFxr3ctmjFN90yc-xV6jrQ9Ty8BKYVBWnAZ15wcNIJc/edit?usp=sharing"",""อำนาจเจริญ!I316"")"),0)</f>
        <v>0</v>
      </c>
      <c r="Z49" s="177">
        <f ca="1">IFERROR(__xludf.DUMMYFUNCTION("IMPORTRANGE(""https://docs.google.com/spreadsheets/d/1lFxr3ctmjFN90yc-xV6jrQ9Ty8BKYVBWnAZ15wcNIJc/edit?usp=sharing"",""อำนาจเจริญ!J316"")"),0)</f>
        <v>0</v>
      </c>
      <c r="AA49" s="345">
        <f t="shared" ca="1" si="37"/>
        <v>0</v>
      </c>
      <c r="AB49" s="344">
        <f ca="1">IFERROR(__xludf.DUMMYFUNCTION("IMPORTRANGE(""https://docs.google.com/spreadsheets/d/1lFxr3ctmjFN90yc-xV6jrQ9Ty8BKYVBWnAZ15wcNIJc/edit?usp=sharing"",""อำนาจเจริญ!I317"")"),0)</f>
        <v>0</v>
      </c>
      <c r="AC49" s="177">
        <f ca="1">IFERROR(__xludf.DUMMYFUNCTION("IMPORTRANGE(""https://docs.google.com/spreadsheets/d/1lFxr3ctmjFN90yc-xV6jrQ9Ty8BKYVBWnAZ15wcNIJc/edit?usp=sharing"",""อำนาจเจริญ!J317"")"),0)</f>
        <v>0</v>
      </c>
      <c r="AD49" s="345">
        <f t="shared" ca="1" si="39"/>
        <v>0</v>
      </c>
    </row>
    <row r="50" spans="1:30" ht="21" customHeight="1" x14ac:dyDescent="0.3">
      <c r="A50" s="84">
        <v>19</v>
      </c>
      <c r="B50" s="85" t="s">
        <v>72</v>
      </c>
      <c r="C50" s="174">
        <f t="shared" ca="1" si="24"/>
        <v>133500</v>
      </c>
      <c r="D50" s="175">
        <f t="shared" ca="1" si="46"/>
        <v>133500</v>
      </c>
      <c r="E50" s="176">
        <f ca="1">IFERROR(__xludf.DUMMYFUNCTION("IMPORTRANGE(""https://docs.google.com/spreadsheets/d/1-uDff_7J0KD5mKrp0Vvzr7lt3OU09vwQwhkpOPPYv2Y/edit?usp=sharing"",""งบพรบ!DZ50"")"),51100)</f>
        <v>51100</v>
      </c>
      <c r="F50" s="176">
        <f ca="1">IFERROR(__xludf.DUMMYFUNCTION("IMPORTRANGE(""https://docs.google.com/spreadsheets/d/1-uDff_7J0KD5mKrp0Vvzr7lt3OU09vwQwhkpOPPYv2Y/edit?usp=sharing"",""งบพรบ!EA50"")"),82400)</f>
        <v>82400</v>
      </c>
      <c r="G50" s="176">
        <f ca="1">IFERROR(__xludf.DUMMYFUNCTION("IMPORTRANGE(""https://docs.google.com/spreadsheets/d/1-uDff_7J0KD5mKrp0Vvzr7lt3OU09vwQwhkpOPPYv2Y/edit?usp=sharing"",""งบพรบ!EB50"")"),0)</f>
        <v>0</v>
      </c>
      <c r="H50" s="176">
        <f ca="1">IFERROR(__xludf.DUMMYFUNCTION("IMPORTRANGE(""https://docs.google.com/spreadsheets/d/1-uDff_7J0KD5mKrp0Vvzr7lt3OU09vwQwhkpOPPYv2Y/edit?usp=sharing"",""งบพรบ!ED50"")"),100900)</f>
        <v>100900</v>
      </c>
      <c r="I50" s="176">
        <f ca="1">IFERROR(__xludf.DUMMYFUNCTION("IMPORTRANGE(""https://docs.google.com/spreadsheets/d/1-uDff_7J0KD5mKrp0Vvzr7lt3OU09vwQwhkpOPPYv2Y/edit?usp=sharing"",""งบพรบ!EE50"")"),0)</f>
        <v>0</v>
      </c>
      <c r="J50" s="176">
        <f t="shared" ca="1" si="26"/>
        <v>14600</v>
      </c>
      <c r="K50" s="181">
        <f t="shared" ca="1" si="27"/>
        <v>10.936329588014981</v>
      </c>
      <c r="L50" s="176">
        <f ca="1">IFERROR(__xludf.DUMMYFUNCTION("IMPORTRANGE(""https://docs.google.com/spreadsheets/d/1-uDff_7J0KD5mKrp0Vvzr7lt3OU09vwQwhkpOPPYv2Y/edit?usp=sharing"",""งบพรบ!EF50"")"),14600)</f>
        <v>14600</v>
      </c>
      <c r="M50" s="179">
        <f t="shared" ca="1" si="28"/>
        <v>10.936329588014981</v>
      </c>
      <c r="N50" s="179">
        <f t="shared" ca="1" si="29"/>
        <v>14.469772051536175</v>
      </c>
      <c r="O50" s="180">
        <f ca="1">IFERROR(__xludf.DUMMYFUNCTION("IMPORTRANGE(""https://docs.google.com/spreadsheets/d/1-uDff_7J0KD5mKrp0Vvzr7lt3OU09vwQwhkpOPPYv2Y/edit?usp=sharing"",""งบพรบ!EG50"")"),0)</f>
        <v>0</v>
      </c>
      <c r="P50" s="180">
        <f t="shared" ca="1" si="30"/>
        <v>0</v>
      </c>
      <c r="Q50" s="179">
        <f t="shared" ca="1" si="31"/>
        <v>0</v>
      </c>
      <c r="R50" s="344">
        <f ca="1">IFERROR(__xludf.DUMMYFUNCTION("IMPORTRANGE(""https://docs.google.com/spreadsheets/d/1gF7RJpRnL-1oyjyeWxs5SFWEH7y8ahOZsQlyp2A2e-A/edit?usp=sharing"",""อุดรธานี!J313"")"),0)</f>
        <v>0</v>
      </c>
      <c r="S50" s="344">
        <f ca="1">IFERROR(__xludf.DUMMYFUNCTION("IMPORTRANGE(""https://docs.google.com/spreadsheets/d/1gF7RJpRnL-1oyjyeWxs5SFWEH7y8ahOZsQlyp2A2e-A/edit?usp=sharing"",""อุดรธานี!I314"")"),20)</f>
        <v>20</v>
      </c>
      <c r="T50" s="177">
        <f ca="1">IFERROR(__xludf.DUMMYFUNCTION("IMPORTRANGE(""https://docs.google.com/spreadsheets/d/1gF7RJpRnL-1oyjyeWxs5SFWEH7y8ahOZsQlyp2A2e-A/edit?usp=sharing"",""อุดรธานี!J314"")"),0)</f>
        <v>0</v>
      </c>
      <c r="U50" s="345">
        <f t="shared" ca="1" si="33"/>
        <v>0</v>
      </c>
      <c r="V50" s="344">
        <f ca="1">IFERROR(__xludf.DUMMYFUNCTION("IMPORTRANGE(""https://docs.google.com/spreadsheets/d/1gF7RJpRnL-1oyjyeWxs5SFWEH7y8ahOZsQlyp2A2e-A/edit?usp=sharing"",""อุดรธานี!I315"")"),4)</f>
        <v>4</v>
      </c>
      <c r="W50" s="177">
        <f ca="1">IFERROR(__xludf.DUMMYFUNCTION("IMPORTRANGE(""https://docs.google.com/spreadsheets/d/1gF7RJpRnL-1oyjyeWxs5SFWEH7y8ahOZsQlyp2A2e-A/edit?usp=sharing"",""อุดรธานี!J315"")"),0)</f>
        <v>0</v>
      </c>
      <c r="X50" s="345">
        <f t="shared" ca="1" si="35"/>
        <v>0</v>
      </c>
      <c r="Y50" s="344">
        <f ca="1">IFERROR(__xludf.DUMMYFUNCTION("IMPORTRANGE(""https://docs.google.com/spreadsheets/d/1gF7RJpRnL-1oyjyeWxs5SFWEH7y8ahOZsQlyp2A2e-A/edit?usp=sharing"",""อุดรธานี!I316"")"),20)</f>
        <v>20</v>
      </c>
      <c r="Z50" s="177">
        <f ca="1">IFERROR(__xludf.DUMMYFUNCTION("IMPORTRANGE(""https://docs.google.com/spreadsheets/d/1gF7RJpRnL-1oyjyeWxs5SFWEH7y8ahOZsQlyp2A2e-A/edit?usp=sharing"",""อุดรธานี!J316"")"),0)</f>
        <v>0</v>
      </c>
      <c r="AA50" s="345">
        <f t="shared" ca="1" si="37"/>
        <v>0</v>
      </c>
      <c r="AB50" s="344">
        <f ca="1">IFERROR(__xludf.DUMMYFUNCTION("IMPORTRANGE(""https://docs.google.com/spreadsheets/d/1gF7RJpRnL-1oyjyeWxs5SFWEH7y8ahOZsQlyp2A2e-A/edit?usp=sharing"",""อุดรธานี!I317"")"),4)</f>
        <v>4</v>
      </c>
      <c r="AC50" s="177">
        <f ca="1">IFERROR(__xludf.DUMMYFUNCTION("IMPORTRANGE(""https://docs.google.com/spreadsheets/d/1gF7RJpRnL-1oyjyeWxs5SFWEH7y8ahOZsQlyp2A2e-A/edit?usp=sharing"",""อุดรธานี!J317"")"),0)</f>
        <v>0</v>
      </c>
      <c r="AD50" s="345">
        <f t="shared" ca="1" si="39"/>
        <v>0</v>
      </c>
    </row>
    <row r="51" spans="1:30" ht="21" customHeight="1" x14ac:dyDescent="0.3">
      <c r="A51" s="95">
        <v>20</v>
      </c>
      <c r="B51" s="96" t="s">
        <v>73</v>
      </c>
      <c r="C51" s="223">
        <f t="shared" ca="1" si="24"/>
        <v>0</v>
      </c>
      <c r="D51" s="224">
        <f t="shared" ca="1" si="46"/>
        <v>0</v>
      </c>
      <c r="E51" s="225">
        <f ca="1">IFERROR(__xludf.DUMMYFUNCTION("IMPORTRANGE(""https://docs.google.com/spreadsheets/d/1-uDff_7J0KD5mKrp0Vvzr7lt3OU09vwQwhkpOPPYv2Y/edit?usp=sharing"",""งบพรบ!DZ51"")"),0)</f>
        <v>0</v>
      </c>
      <c r="F51" s="225">
        <f ca="1">IFERROR(__xludf.DUMMYFUNCTION("IMPORTRANGE(""https://docs.google.com/spreadsheets/d/1-uDff_7J0KD5mKrp0Vvzr7lt3OU09vwQwhkpOPPYv2Y/edit?usp=sharing"",""งบพรบ!EA51"")"),0)</f>
        <v>0</v>
      </c>
      <c r="G51" s="225">
        <f ca="1">IFERROR(__xludf.DUMMYFUNCTION("IMPORTRANGE(""https://docs.google.com/spreadsheets/d/1-uDff_7J0KD5mKrp0Vvzr7lt3OU09vwQwhkpOPPYv2Y/edit?usp=sharing"",""งบพรบ!EB51"")"),0)</f>
        <v>0</v>
      </c>
      <c r="H51" s="225">
        <f ca="1">IFERROR(__xludf.DUMMYFUNCTION("IMPORTRANGE(""https://docs.google.com/spreadsheets/d/1-uDff_7J0KD5mKrp0Vvzr7lt3OU09vwQwhkpOPPYv2Y/edit?usp=sharing"",""งบพรบ!ED51"")"),0)</f>
        <v>0</v>
      </c>
      <c r="I51" s="225">
        <f ca="1">IFERROR(__xludf.DUMMYFUNCTION("IMPORTRANGE(""https://docs.google.com/spreadsheets/d/1-uDff_7J0KD5mKrp0Vvzr7lt3OU09vwQwhkpOPPYv2Y/edit?usp=sharing"",""งบพรบ!EE51"")"),0)</f>
        <v>0</v>
      </c>
      <c r="J51" s="225">
        <f t="shared" ca="1" si="26"/>
        <v>0</v>
      </c>
      <c r="K51" s="226">
        <f t="shared" ca="1" si="27"/>
        <v>0</v>
      </c>
      <c r="L51" s="225">
        <f ca="1">IFERROR(__xludf.DUMMYFUNCTION("IMPORTRANGE(""https://docs.google.com/spreadsheets/d/1-uDff_7J0KD5mKrp0Vvzr7lt3OU09vwQwhkpOPPYv2Y/edit?usp=sharing"",""งบพรบ!EF51"")"),0)</f>
        <v>0</v>
      </c>
      <c r="M51" s="227">
        <f t="shared" ca="1" si="28"/>
        <v>0</v>
      </c>
      <c r="N51" s="227">
        <f t="shared" ca="1" si="29"/>
        <v>0</v>
      </c>
      <c r="O51" s="228">
        <f ca="1">IFERROR(__xludf.DUMMYFUNCTION("IMPORTRANGE(""https://docs.google.com/spreadsheets/d/1-uDff_7J0KD5mKrp0Vvzr7lt3OU09vwQwhkpOPPYv2Y/edit?usp=sharing"",""งบพรบ!EG51"")"),0)</f>
        <v>0</v>
      </c>
      <c r="P51" s="228">
        <f t="shared" ca="1" si="30"/>
        <v>0</v>
      </c>
      <c r="Q51" s="227">
        <f t="shared" ca="1" si="31"/>
        <v>0</v>
      </c>
      <c r="R51" s="347">
        <f ca="1">IFERROR(__xludf.DUMMYFUNCTION("IMPORTRANGE(""https://docs.google.com/spreadsheets/d/1kfLP0j3INXRa8bTDpcEmoWewMBV61jlFlfzczfjWIgc/edit?usp=sharing"",""อุบลราชธานี!J313"")"),0)</f>
        <v>0</v>
      </c>
      <c r="S51" s="347">
        <f ca="1">IFERROR(__xludf.DUMMYFUNCTION("IMPORTRANGE(""https://docs.google.com/spreadsheets/d/1kfLP0j3INXRa8bTDpcEmoWewMBV61jlFlfzczfjWIgc/edit?usp=sharing"",""อุบลราชธานี!I314"")"),0)</f>
        <v>0</v>
      </c>
      <c r="T51" s="190">
        <f ca="1">IFERROR(__xludf.DUMMYFUNCTION("IMPORTRANGE(""https://docs.google.com/spreadsheets/d/1kfLP0j3INXRa8bTDpcEmoWewMBV61jlFlfzczfjWIgc/edit?usp=sharing"",""อุบลราชธานี!J314"")"),0)</f>
        <v>0</v>
      </c>
      <c r="U51" s="348">
        <f t="shared" ca="1" si="33"/>
        <v>0</v>
      </c>
      <c r="V51" s="347">
        <f ca="1">IFERROR(__xludf.DUMMYFUNCTION("IMPORTRANGE(""https://docs.google.com/spreadsheets/d/1kfLP0j3INXRa8bTDpcEmoWewMBV61jlFlfzczfjWIgc/edit?usp=sharing"",""อุบลราชธานี!I315"")"),0)</f>
        <v>0</v>
      </c>
      <c r="W51" s="190">
        <f ca="1">IFERROR(__xludf.DUMMYFUNCTION("IMPORTRANGE(""https://docs.google.com/spreadsheets/d/1kfLP0j3INXRa8bTDpcEmoWewMBV61jlFlfzczfjWIgc/edit?usp=sharing"",""อุบลราชธานี!J315"")"),0)</f>
        <v>0</v>
      </c>
      <c r="X51" s="348">
        <f t="shared" ca="1" si="35"/>
        <v>0</v>
      </c>
      <c r="Y51" s="347">
        <f ca="1">IFERROR(__xludf.DUMMYFUNCTION("IMPORTRANGE(""https://docs.google.com/spreadsheets/d/1kfLP0j3INXRa8bTDpcEmoWewMBV61jlFlfzczfjWIgc/edit?usp=sharing"",""อุบลราชธานี!I316"")"),0)</f>
        <v>0</v>
      </c>
      <c r="Z51" s="190">
        <f ca="1">IFERROR(__xludf.DUMMYFUNCTION("IMPORTRANGE(""https://docs.google.com/spreadsheets/d/1kfLP0j3INXRa8bTDpcEmoWewMBV61jlFlfzczfjWIgc/edit?usp=sharing"",""อุบลราชธานี!J316"")"),0)</f>
        <v>0</v>
      </c>
      <c r="AA51" s="348">
        <f t="shared" ca="1" si="37"/>
        <v>0</v>
      </c>
      <c r="AB51" s="347">
        <f ca="1">IFERROR(__xludf.DUMMYFUNCTION("IMPORTRANGE(""https://docs.google.com/spreadsheets/d/1kfLP0j3INXRa8bTDpcEmoWewMBV61jlFlfzczfjWIgc/edit?usp=sharing"",""อุบลราชธานี!I317"")"),0)</f>
        <v>0</v>
      </c>
      <c r="AC51" s="190">
        <f ca="1">IFERROR(__xludf.DUMMYFUNCTION("IMPORTRANGE(""https://docs.google.com/spreadsheets/d/1kfLP0j3INXRa8bTDpcEmoWewMBV61jlFlfzczfjWIgc/edit?usp=sharing"",""อุบลราชธานี!J317"")"),0)</f>
        <v>0</v>
      </c>
      <c r="AD51" s="348">
        <f t="shared" ca="1" si="39"/>
        <v>0</v>
      </c>
    </row>
    <row r="52" spans="1:30" ht="21" customHeight="1" x14ac:dyDescent="0.3">
      <c r="A52" s="443" t="s">
        <v>74</v>
      </c>
      <c r="B52" s="376"/>
      <c r="C52" s="229">
        <f t="shared" ca="1" si="24"/>
        <v>1119100</v>
      </c>
      <c r="D52" s="229">
        <f t="shared" ref="D52:I52" ca="1" si="47">SUM(D53:D73)</f>
        <v>1119100</v>
      </c>
      <c r="E52" s="229">
        <f t="shared" ca="1" si="47"/>
        <v>459900</v>
      </c>
      <c r="F52" s="229">
        <f t="shared" ca="1" si="47"/>
        <v>659200</v>
      </c>
      <c r="G52" s="229">
        <f t="shared" ca="1" si="47"/>
        <v>0</v>
      </c>
      <c r="H52" s="229">
        <f t="shared" ca="1" si="47"/>
        <v>843700</v>
      </c>
      <c r="I52" s="229">
        <f t="shared" ca="1" si="47"/>
        <v>0</v>
      </c>
      <c r="J52" s="229">
        <f t="shared" ca="1" si="26"/>
        <v>166421.66999999998</v>
      </c>
      <c r="K52" s="230">
        <f t="shared" ca="1" si="27"/>
        <v>14.871027611473504</v>
      </c>
      <c r="L52" s="229">
        <f ca="1">SUM(L53:L73)</f>
        <v>166421.66999999998</v>
      </c>
      <c r="M52" s="231">
        <f t="shared" ca="1" si="28"/>
        <v>14.871027611473504</v>
      </c>
      <c r="N52" s="231">
        <f t="shared" ca="1" si="29"/>
        <v>19.725218679625456</v>
      </c>
      <c r="O52" s="232">
        <f ca="1">SUM(O53:O73)</f>
        <v>0</v>
      </c>
      <c r="P52" s="232">
        <f t="shared" ca="1" si="30"/>
        <v>0</v>
      </c>
      <c r="Q52" s="231">
        <f t="shared" ca="1" si="31"/>
        <v>0</v>
      </c>
      <c r="R52" s="338">
        <f t="shared" ref="R52:T52" ca="1" si="48">SUM(R53:R73)</f>
        <v>0</v>
      </c>
      <c r="S52" s="339">
        <f t="shared" ca="1" si="48"/>
        <v>160</v>
      </c>
      <c r="T52" s="154">
        <f t="shared" ca="1" si="48"/>
        <v>0</v>
      </c>
      <c r="U52" s="156">
        <f t="shared" ca="1" si="33"/>
        <v>0</v>
      </c>
      <c r="V52" s="339">
        <f t="shared" ref="V52:W52" ca="1" si="49">SUM(V53:V73)</f>
        <v>32</v>
      </c>
      <c r="W52" s="154">
        <f t="shared" ca="1" si="49"/>
        <v>0</v>
      </c>
      <c r="X52" s="156">
        <f t="shared" ca="1" si="35"/>
        <v>0</v>
      </c>
      <c r="Y52" s="339">
        <f t="shared" ref="Y52:Z52" ca="1" si="50">SUM(Y53:Y73)</f>
        <v>160</v>
      </c>
      <c r="Z52" s="154">
        <f t="shared" ca="1" si="50"/>
        <v>0</v>
      </c>
      <c r="AA52" s="156">
        <f t="shared" ca="1" si="37"/>
        <v>0</v>
      </c>
      <c r="AB52" s="339">
        <f t="shared" ref="AB52:AC52" ca="1" si="51">SUM(AB53:AB73)</f>
        <v>32</v>
      </c>
      <c r="AC52" s="154">
        <f t="shared" ca="1" si="51"/>
        <v>0</v>
      </c>
      <c r="AD52" s="156">
        <f t="shared" ca="1" si="39"/>
        <v>0</v>
      </c>
    </row>
    <row r="53" spans="1:30" ht="21" customHeight="1" x14ac:dyDescent="0.3">
      <c r="A53" s="74">
        <v>1</v>
      </c>
      <c r="B53" s="75" t="s">
        <v>75</v>
      </c>
      <c r="C53" s="174">
        <f t="shared" ca="1" si="24"/>
        <v>0</v>
      </c>
      <c r="D53" s="175">
        <f t="shared" ref="D53:D73" ca="1" si="52">+E53+F53</f>
        <v>0</v>
      </c>
      <c r="E53" s="176">
        <f ca="1">IFERROR(__xludf.DUMMYFUNCTION("IMPORTRANGE(""https://docs.google.com/spreadsheets/d/1-uDff_7J0KD5mKrp0Vvzr7lt3OU09vwQwhkpOPPYv2Y/edit?usp=sharing"",""งบพรบ!DZ53"")"),0)</f>
        <v>0</v>
      </c>
      <c r="F53" s="176">
        <f ca="1">IFERROR(__xludf.DUMMYFUNCTION("IMPORTRANGE(""https://docs.google.com/spreadsheets/d/1-uDff_7J0KD5mKrp0Vvzr7lt3OU09vwQwhkpOPPYv2Y/edit?usp=sharing"",""งบพรบ!EA53"")"),0)</f>
        <v>0</v>
      </c>
      <c r="G53" s="177">
        <f ca="1">IFERROR(__xludf.DUMMYFUNCTION("IMPORTRANGE(""https://docs.google.com/spreadsheets/d/1-uDff_7J0KD5mKrp0Vvzr7lt3OU09vwQwhkpOPPYv2Y/edit?usp=sharing"",""งบพรบ!EB53"")"),0)</f>
        <v>0</v>
      </c>
      <c r="H53" s="177">
        <f ca="1">IFERROR(__xludf.DUMMYFUNCTION("IMPORTRANGE(""https://docs.google.com/spreadsheets/d/1-uDff_7J0KD5mKrp0Vvzr7lt3OU09vwQwhkpOPPYv2Y/edit?usp=sharing"",""งบพรบ!ED53"")"),0)</f>
        <v>0</v>
      </c>
      <c r="I53" s="177">
        <f ca="1">IFERROR(__xludf.DUMMYFUNCTION("IMPORTRANGE(""https://docs.google.com/spreadsheets/d/1-uDff_7J0KD5mKrp0Vvzr7lt3OU09vwQwhkpOPPYv2Y/edit?usp=sharing"",""งบพรบ!EE53"")"),0)</f>
        <v>0</v>
      </c>
      <c r="J53" s="177">
        <f t="shared" ca="1" si="26"/>
        <v>0</v>
      </c>
      <c r="K53" s="178">
        <f t="shared" ca="1" si="27"/>
        <v>0</v>
      </c>
      <c r="L53" s="177">
        <f ca="1">IFERROR(__xludf.DUMMYFUNCTION("IMPORTRANGE(""https://docs.google.com/spreadsheets/d/1-uDff_7J0KD5mKrp0Vvzr7lt3OU09vwQwhkpOPPYv2Y/edit?usp=sharing"",""งบพรบ!EF53"")"),0)</f>
        <v>0</v>
      </c>
      <c r="M53" s="179">
        <f t="shared" ca="1" si="28"/>
        <v>0</v>
      </c>
      <c r="N53" s="179">
        <f t="shared" ca="1" si="29"/>
        <v>0</v>
      </c>
      <c r="O53" s="180">
        <f ca="1">IFERROR(__xludf.DUMMYFUNCTION("IMPORTRANGE(""https://docs.google.com/spreadsheets/d/1-uDff_7J0KD5mKrp0Vvzr7lt3OU09vwQwhkpOPPYv2Y/edit?usp=sharing"",""งบพรบ!EG53"")"),0)</f>
        <v>0</v>
      </c>
      <c r="P53" s="180">
        <f t="shared" ca="1" si="30"/>
        <v>0</v>
      </c>
      <c r="Q53" s="179">
        <f t="shared" ca="1" si="31"/>
        <v>0</v>
      </c>
      <c r="R53" s="344">
        <f ca="1">IFERROR(__xludf.DUMMYFUNCTION("IMPORTRANGE(""https://docs.google.com/spreadsheets/d/13wPX838HrBrQMCywv1BsuMkt4PEKTChp52zj44s2izQ/edit?usp=sharing"",""กาญจนบุรี!J313"")"),0)</f>
        <v>0</v>
      </c>
      <c r="S53" s="344">
        <f ca="1">IFERROR(__xludf.DUMMYFUNCTION("IMPORTRANGE(""https://docs.google.com/spreadsheets/d/13wPX838HrBrQMCywv1BsuMkt4PEKTChp52zj44s2izQ/edit?usp=sharing"",""กาญจนบุรี!I314"")"),0)</f>
        <v>0</v>
      </c>
      <c r="T53" s="177">
        <f ca="1">IFERROR(__xludf.DUMMYFUNCTION("IMPORTRANGE(""https://docs.google.com/spreadsheets/d/13wPX838HrBrQMCywv1BsuMkt4PEKTChp52zj44s2izQ/edit?usp=sharing"",""กาญจนบุรี!J314"")"),0)</f>
        <v>0</v>
      </c>
      <c r="U53" s="345">
        <f t="shared" ca="1" si="33"/>
        <v>0</v>
      </c>
      <c r="V53" s="344">
        <f ca="1">IFERROR(__xludf.DUMMYFUNCTION("IMPORTRANGE(""https://docs.google.com/spreadsheets/d/13wPX838HrBrQMCywv1BsuMkt4PEKTChp52zj44s2izQ/edit?usp=sharing"",""กาญจนบุรี!I315"")"),0)</f>
        <v>0</v>
      </c>
      <c r="W53" s="177">
        <f ca="1">IFERROR(__xludf.DUMMYFUNCTION("IMPORTRANGE(""https://docs.google.com/spreadsheets/d/13wPX838HrBrQMCywv1BsuMkt4PEKTChp52zj44s2izQ/edit?usp=sharing"",""กาญจนบุรี!J315"")"),0)</f>
        <v>0</v>
      </c>
      <c r="X53" s="345">
        <f t="shared" ca="1" si="35"/>
        <v>0</v>
      </c>
      <c r="Y53" s="344">
        <f ca="1">IFERROR(__xludf.DUMMYFUNCTION("IMPORTRANGE(""https://docs.google.com/spreadsheets/d/13wPX838HrBrQMCywv1BsuMkt4PEKTChp52zj44s2izQ/edit?usp=sharing"",""กาญจนบุรี!I316"")"),0)</f>
        <v>0</v>
      </c>
      <c r="Z53" s="177">
        <f ca="1">IFERROR(__xludf.DUMMYFUNCTION("IMPORTRANGE(""https://docs.google.com/spreadsheets/d/13wPX838HrBrQMCywv1BsuMkt4PEKTChp52zj44s2izQ/edit?usp=sharing"",""กาญจนบุรี!J316"")"),0)</f>
        <v>0</v>
      </c>
      <c r="AA53" s="345">
        <f t="shared" ca="1" si="37"/>
        <v>0</v>
      </c>
      <c r="AB53" s="344">
        <f ca="1">IFERROR(__xludf.DUMMYFUNCTION("IMPORTRANGE(""https://docs.google.com/spreadsheets/d/13wPX838HrBrQMCywv1BsuMkt4PEKTChp52zj44s2izQ/edit?usp=sharing"",""กาญจนบุรี!I317"")"),0)</f>
        <v>0</v>
      </c>
      <c r="AC53" s="177">
        <f ca="1">IFERROR(__xludf.DUMMYFUNCTION("IMPORTRANGE(""https://docs.google.com/spreadsheets/d/13wPX838HrBrQMCywv1BsuMkt4PEKTChp52zj44s2izQ/edit?usp=sharing"",""กาญจนบุรี!J317"")"),0)</f>
        <v>0</v>
      </c>
      <c r="AD53" s="345">
        <f t="shared" ca="1" si="39"/>
        <v>0</v>
      </c>
    </row>
    <row r="54" spans="1:30" ht="21" customHeight="1" x14ac:dyDescent="0.3">
      <c r="A54" s="84">
        <v>2</v>
      </c>
      <c r="B54" s="85" t="s">
        <v>76</v>
      </c>
      <c r="C54" s="174">
        <f t="shared" ca="1" si="24"/>
        <v>0</v>
      </c>
      <c r="D54" s="175">
        <f t="shared" ca="1" si="52"/>
        <v>0</v>
      </c>
      <c r="E54" s="176">
        <f ca="1">IFERROR(__xludf.DUMMYFUNCTION("IMPORTRANGE(""https://docs.google.com/spreadsheets/d/1-uDff_7J0KD5mKrp0Vvzr7lt3OU09vwQwhkpOPPYv2Y/edit?usp=sharing"",""งบพรบ!DZ54"")"),0)</f>
        <v>0</v>
      </c>
      <c r="F54" s="176">
        <f ca="1">IFERROR(__xludf.DUMMYFUNCTION("IMPORTRANGE(""https://docs.google.com/spreadsheets/d/1-uDff_7J0KD5mKrp0Vvzr7lt3OU09vwQwhkpOPPYv2Y/edit?usp=sharing"",""งบพรบ!EA54"")"),0)</f>
        <v>0</v>
      </c>
      <c r="G54" s="176">
        <f ca="1">IFERROR(__xludf.DUMMYFUNCTION("IMPORTRANGE(""https://docs.google.com/spreadsheets/d/1-uDff_7J0KD5mKrp0Vvzr7lt3OU09vwQwhkpOPPYv2Y/edit?usp=sharing"",""งบพรบ!EB54"")"),0)</f>
        <v>0</v>
      </c>
      <c r="H54" s="176">
        <f ca="1">IFERROR(__xludf.DUMMYFUNCTION("IMPORTRANGE(""https://docs.google.com/spreadsheets/d/1-uDff_7J0KD5mKrp0Vvzr7lt3OU09vwQwhkpOPPYv2Y/edit?usp=sharing"",""งบพรบ!ED54"")"),0)</f>
        <v>0</v>
      </c>
      <c r="I54" s="176">
        <f ca="1">IFERROR(__xludf.DUMMYFUNCTION("IMPORTRANGE(""https://docs.google.com/spreadsheets/d/1-uDff_7J0KD5mKrp0Vvzr7lt3OU09vwQwhkpOPPYv2Y/edit?usp=sharing"",""งบพรบ!EE54"")"),0)</f>
        <v>0</v>
      </c>
      <c r="J54" s="176">
        <f t="shared" ca="1" si="26"/>
        <v>0</v>
      </c>
      <c r="K54" s="181">
        <f t="shared" ca="1" si="27"/>
        <v>0</v>
      </c>
      <c r="L54" s="176">
        <f ca="1">IFERROR(__xludf.DUMMYFUNCTION("IMPORTRANGE(""https://docs.google.com/spreadsheets/d/1-uDff_7J0KD5mKrp0Vvzr7lt3OU09vwQwhkpOPPYv2Y/edit?usp=sharing"",""งบพรบ!EF54"")"),0)</f>
        <v>0</v>
      </c>
      <c r="M54" s="179">
        <f t="shared" ca="1" si="28"/>
        <v>0</v>
      </c>
      <c r="N54" s="179">
        <f t="shared" ca="1" si="29"/>
        <v>0</v>
      </c>
      <c r="O54" s="180">
        <f ca="1">IFERROR(__xludf.DUMMYFUNCTION("IMPORTRANGE(""https://docs.google.com/spreadsheets/d/1-uDff_7J0KD5mKrp0Vvzr7lt3OU09vwQwhkpOPPYv2Y/edit?usp=sharing"",""งบพรบ!EG54"")"),0)</f>
        <v>0</v>
      </c>
      <c r="P54" s="180">
        <f t="shared" ca="1" si="30"/>
        <v>0</v>
      </c>
      <c r="Q54" s="179">
        <f t="shared" ca="1" si="31"/>
        <v>0</v>
      </c>
      <c r="R54" s="344">
        <f ca="1">IFERROR(__xludf.DUMMYFUNCTION("IMPORTRANGE(""https://docs.google.com/spreadsheets/d/1ddFKvqj1W1NEiWytbGlB1zMx_ykJDVtmfEQ-6-lIUBA/edit?usp=sharing"",""จันทบุรี!J313"")"),0)</f>
        <v>0</v>
      </c>
      <c r="S54" s="344">
        <f ca="1">IFERROR(__xludf.DUMMYFUNCTION("IMPORTRANGE(""https://docs.google.com/spreadsheets/d/1ddFKvqj1W1NEiWytbGlB1zMx_ykJDVtmfEQ-6-lIUBA/edit?usp=sharing"",""จันทบุรี!I314"")"),0)</f>
        <v>0</v>
      </c>
      <c r="T54" s="177">
        <f ca="1">IFERROR(__xludf.DUMMYFUNCTION("IMPORTRANGE(""https://docs.google.com/spreadsheets/d/1ddFKvqj1W1NEiWytbGlB1zMx_ykJDVtmfEQ-6-lIUBA/edit?usp=sharing"",""จันทบุรี!J314"")"),0)</f>
        <v>0</v>
      </c>
      <c r="U54" s="345">
        <f t="shared" ca="1" si="33"/>
        <v>0</v>
      </c>
      <c r="V54" s="344">
        <f ca="1">IFERROR(__xludf.DUMMYFUNCTION("IMPORTRANGE(""https://docs.google.com/spreadsheets/d/1ddFKvqj1W1NEiWytbGlB1zMx_ykJDVtmfEQ-6-lIUBA/edit?usp=sharing"",""จันทบุรี!I315"")"),0)</f>
        <v>0</v>
      </c>
      <c r="W54" s="177">
        <f ca="1">IFERROR(__xludf.DUMMYFUNCTION("IMPORTRANGE(""https://docs.google.com/spreadsheets/d/1ddFKvqj1W1NEiWytbGlB1zMx_ykJDVtmfEQ-6-lIUBA/edit?usp=sharing"",""จันทบุรี!J315"")"),0)</f>
        <v>0</v>
      </c>
      <c r="X54" s="345">
        <f t="shared" ca="1" si="35"/>
        <v>0</v>
      </c>
      <c r="Y54" s="344">
        <f ca="1">IFERROR(__xludf.DUMMYFUNCTION("IMPORTRANGE(""https://docs.google.com/spreadsheets/d/1ddFKvqj1W1NEiWytbGlB1zMx_ykJDVtmfEQ-6-lIUBA/edit?usp=sharing"",""จันทบุรี!I316"")"),0)</f>
        <v>0</v>
      </c>
      <c r="Z54" s="177">
        <f ca="1">IFERROR(__xludf.DUMMYFUNCTION("IMPORTRANGE(""https://docs.google.com/spreadsheets/d/1ddFKvqj1W1NEiWytbGlB1zMx_ykJDVtmfEQ-6-lIUBA/edit?usp=sharing"",""จันทบุรี!J316"")"),0)</f>
        <v>0</v>
      </c>
      <c r="AA54" s="345">
        <f t="shared" ca="1" si="37"/>
        <v>0</v>
      </c>
      <c r="AB54" s="344">
        <f ca="1">IFERROR(__xludf.DUMMYFUNCTION("IMPORTRANGE(""https://docs.google.com/spreadsheets/d/1ddFKvqj1W1NEiWytbGlB1zMx_ykJDVtmfEQ-6-lIUBA/edit?usp=sharing"",""จันทบุรี!I317"")"),0)</f>
        <v>0</v>
      </c>
      <c r="AC54" s="177">
        <f ca="1">IFERROR(__xludf.DUMMYFUNCTION("IMPORTRANGE(""https://docs.google.com/spreadsheets/d/1ddFKvqj1W1NEiWytbGlB1zMx_ykJDVtmfEQ-6-lIUBA/edit?usp=sharing"",""จันทบุรี!J317"")"),0)</f>
        <v>0</v>
      </c>
      <c r="AD54" s="345">
        <f t="shared" ca="1" si="39"/>
        <v>0</v>
      </c>
    </row>
    <row r="55" spans="1:30" ht="21" customHeight="1" x14ac:dyDescent="0.3">
      <c r="A55" s="84">
        <v>3</v>
      </c>
      <c r="B55" s="85" t="s">
        <v>77</v>
      </c>
      <c r="C55" s="174">
        <f t="shared" ca="1" si="24"/>
        <v>133500</v>
      </c>
      <c r="D55" s="175">
        <f t="shared" ca="1" si="52"/>
        <v>133500</v>
      </c>
      <c r="E55" s="176">
        <f ca="1">IFERROR(__xludf.DUMMYFUNCTION("IMPORTRANGE(""https://docs.google.com/spreadsheets/d/1-uDff_7J0KD5mKrp0Vvzr7lt3OU09vwQwhkpOPPYv2Y/edit?usp=sharing"",""งบพรบ!DZ55"")"),51100)</f>
        <v>51100</v>
      </c>
      <c r="F55" s="176">
        <f ca="1">IFERROR(__xludf.DUMMYFUNCTION("IMPORTRANGE(""https://docs.google.com/spreadsheets/d/1-uDff_7J0KD5mKrp0Vvzr7lt3OU09vwQwhkpOPPYv2Y/edit?usp=sharing"",""งบพรบ!EA55"")"),82400)</f>
        <v>82400</v>
      </c>
      <c r="G55" s="176">
        <f ca="1">IFERROR(__xludf.DUMMYFUNCTION("IMPORTRANGE(""https://docs.google.com/spreadsheets/d/1-uDff_7J0KD5mKrp0Vvzr7lt3OU09vwQwhkpOPPYv2Y/edit?usp=sharing"",""งบพรบ!EB55"")"),0)</f>
        <v>0</v>
      </c>
      <c r="H55" s="176">
        <f ca="1">IFERROR(__xludf.DUMMYFUNCTION("IMPORTRANGE(""https://docs.google.com/spreadsheets/d/1-uDff_7J0KD5mKrp0Vvzr7lt3OU09vwQwhkpOPPYv2Y/edit?usp=sharing"",""งบพรบ!ED55"")"),100900)</f>
        <v>100900</v>
      </c>
      <c r="I55" s="176">
        <f ca="1">IFERROR(__xludf.DUMMYFUNCTION("IMPORTRANGE(""https://docs.google.com/spreadsheets/d/1-uDff_7J0KD5mKrp0Vvzr7lt3OU09vwQwhkpOPPYv2Y/edit?usp=sharing"",""งบพรบ!EE55"")"),0)</f>
        <v>0</v>
      </c>
      <c r="J55" s="176">
        <f t="shared" ca="1" si="26"/>
        <v>15056.67</v>
      </c>
      <c r="K55" s="181">
        <f t="shared" ca="1" si="27"/>
        <v>11.278404494382022</v>
      </c>
      <c r="L55" s="176">
        <f ca="1">IFERROR(__xludf.DUMMYFUNCTION("IMPORTRANGE(""https://docs.google.com/spreadsheets/d/1-uDff_7J0KD5mKrp0Vvzr7lt3OU09vwQwhkpOPPYv2Y/edit?usp=sharing"",""งบพรบ!EF55"")"),15056.67)</f>
        <v>15056.67</v>
      </c>
      <c r="M55" s="179">
        <f t="shared" ca="1" si="28"/>
        <v>11.278404494382022</v>
      </c>
      <c r="N55" s="179">
        <f t="shared" ca="1" si="29"/>
        <v>14.922368681863231</v>
      </c>
      <c r="O55" s="180">
        <f ca="1">IFERROR(__xludf.DUMMYFUNCTION("IMPORTRANGE(""https://docs.google.com/spreadsheets/d/1-uDff_7J0KD5mKrp0Vvzr7lt3OU09vwQwhkpOPPYv2Y/edit?usp=sharing"",""งบพรบ!EG55"")"),0)</f>
        <v>0</v>
      </c>
      <c r="P55" s="180">
        <f t="shared" ca="1" si="30"/>
        <v>0</v>
      </c>
      <c r="Q55" s="179">
        <f t="shared" ca="1" si="31"/>
        <v>0</v>
      </c>
      <c r="R55" s="344">
        <f ca="1">IFERROR(__xludf.DUMMYFUNCTION("IMPORTRANGE(""https://docs.google.com/spreadsheets/d/1T1PQvRODqOBZk8BRht_U031fIS1beLA0Ub2CEytj2q0/edit?usp=sharing"",""ฉะเชิงเทรา!J313"")"),0)</f>
        <v>0</v>
      </c>
      <c r="S55" s="344">
        <f ca="1">IFERROR(__xludf.DUMMYFUNCTION("IMPORTRANGE(""https://docs.google.com/spreadsheets/d/1T1PQvRODqOBZk8BRht_U031fIS1beLA0Ub2CEytj2q0/edit?usp=sharing"",""ฉะเชิงเทรา!I314"")"),20)</f>
        <v>20</v>
      </c>
      <c r="T55" s="177">
        <f ca="1">IFERROR(__xludf.DUMMYFUNCTION("IMPORTRANGE(""https://docs.google.com/spreadsheets/d/1T1PQvRODqOBZk8BRht_U031fIS1beLA0Ub2CEytj2q0/edit?usp=sharing"",""ฉะเชิงเทรา!J314"")"),0)</f>
        <v>0</v>
      </c>
      <c r="U55" s="345">
        <f t="shared" ca="1" si="33"/>
        <v>0</v>
      </c>
      <c r="V55" s="344">
        <f ca="1">IFERROR(__xludf.DUMMYFUNCTION("IMPORTRANGE(""https://docs.google.com/spreadsheets/d/1T1PQvRODqOBZk8BRht_U031fIS1beLA0Ub2CEytj2q0/edit?usp=sharing"",""ฉะเชิงเทรา!I315"")"),4)</f>
        <v>4</v>
      </c>
      <c r="W55" s="177">
        <f ca="1">IFERROR(__xludf.DUMMYFUNCTION("IMPORTRANGE(""https://docs.google.com/spreadsheets/d/1T1PQvRODqOBZk8BRht_U031fIS1beLA0Ub2CEytj2q0/edit?usp=sharing"",""ฉะเชิงเทรา!J315"")"),0)</f>
        <v>0</v>
      </c>
      <c r="X55" s="345">
        <f t="shared" ca="1" si="35"/>
        <v>0</v>
      </c>
      <c r="Y55" s="344">
        <f ca="1">IFERROR(__xludf.DUMMYFUNCTION("IMPORTRANGE(""https://docs.google.com/spreadsheets/d/1T1PQvRODqOBZk8BRht_U031fIS1beLA0Ub2CEytj2q0/edit?usp=sharing"",""ฉะเชิงเทรา!I316"")"),20)</f>
        <v>20</v>
      </c>
      <c r="Z55" s="177">
        <f ca="1">IFERROR(__xludf.DUMMYFUNCTION("IMPORTRANGE(""https://docs.google.com/spreadsheets/d/1T1PQvRODqOBZk8BRht_U031fIS1beLA0Ub2CEytj2q0/edit?usp=sharing"",""ฉะเชิงเทรา!J316"")"),0)</f>
        <v>0</v>
      </c>
      <c r="AA55" s="345">
        <f t="shared" ca="1" si="37"/>
        <v>0</v>
      </c>
      <c r="AB55" s="344">
        <f ca="1">IFERROR(__xludf.DUMMYFUNCTION("IMPORTRANGE(""https://docs.google.com/spreadsheets/d/1T1PQvRODqOBZk8BRht_U031fIS1beLA0Ub2CEytj2q0/edit?usp=sharing"",""ฉะเชิงเทรา!I317"")"),4)</f>
        <v>4</v>
      </c>
      <c r="AC55" s="177">
        <f ca="1">IFERROR(__xludf.DUMMYFUNCTION("IMPORTRANGE(""https://docs.google.com/spreadsheets/d/1T1PQvRODqOBZk8BRht_U031fIS1beLA0Ub2CEytj2q0/edit?usp=sharing"",""ฉะเชิงเทรา!J317"")"),0)</f>
        <v>0</v>
      </c>
      <c r="AD55" s="345">
        <f t="shared" ca="1" si="39"/>
        <v>0</v>
      </c>
    </row>
    <row r="56" spans="1:30" ht="21" customHeight="1" x14ac:dyDescent="0.3">
      <c r="A56" s="84">
        <v>4</v>
      </c>
      <c r="B56" s="85" t="s">
        <v>78</v>
      </c>
      <c r="C56" s="174">
        <f t="shared" ca="1" si="24"/>
        <v>0</v>
      </c>
      <c r="D56" s="175">
        <f t="shared" ca="1" si="52"/>
        <v>0</v>
      </c>
      <c r="E56" s="176">
        <f ca="1">IFERROR(__xludf.DUMMYFUNCTION("IMPORTRANGE(""https://docs.google.com/spreadsheets/d/1-uDff_7J0KD5mKrp0Vvzr7lt3OU09vwQwhkpOPPYv2Y/edit?usp=sharing"",""งบพรบ!DZ56"")"),0)</f>
        <v>0</v>
      </c>
      <c r="F56" s="176">
        <f ca="1">IFERROR(__xludf.DUMMYFUNCTION("IMPORTRANGE(""https://docs.google.com/spreadsheets/d/1-uDff_7J0KD5mKrp0Vvzr7lt3OU09vwQwhkpOPPYv2Y/edit?usp=sharing"",""งบพรบ!EA56"")"),0)</f>
        <v>0</v>
      </c>
      <c r="G56" s="176">
        <f ca="1">IFERROR(__xludf.DUMMYFUNCTION("IMPORTRANGE(""https://docs.google.com/spreadsheets/d/1-uDff_7J0KD5mKrp0Vvzr7lt3OU09vwQwhkpOPPYv2Y/edit?usp=sharing"",""งบพรบ!EB56"")"),0)</f>
        <v>0</v>
      </c>
      <c r="H56" s="176">
        <f ca="1">IFERROR(__xludf.DUMMYFUNCTION("IMPORTRANGE(""https://docs.google.com/spreadsheets/d/1-uDff_7J0KD5mKrp0Vvzr7lt3OU09vwQwhkpOPPYv2Y/edit?usp=sharing"",""งบพรบ!ED56"")"),0)</f>
        <v>0</v>
      </c>
      <c r="I56" s="176">
        <f ca="1">IFERROR(__xludf.DUMMYFUNCTION("IMPORTRANGE(""https://docs.google.com/spreadsheets/d/1-uDff_7J0KD5mKrp0Vvzr7lt3OU09vwQwhkpOPPYv2Y/edit?usp=sharing"",""งบพรบ!EE56"")"),0)</f>
        <v>0</v>
      </c>
      <c r="J56" s="176">
        <f t="shared" ca="1" si="26"/>
        <v>0</v>
      </c>
      <c r="K56" s="181">
        <f t="shared" ca="1" si="27"/>
        <v>0</v>
      </c>
      <c r="L56" s="176">
        <f ca="1">IFERROR(__xludf.DUMMYFUNCTION("IMPORTRANGE(""https://docs.google.com/spreadsheets/d/1-uDff_7J0KD5mKrp0Vvzr7lt3OU09vwQwhkpOPPYv2Y/edit?usp=sharing"",""งบพรบ!EF56"")"),0)</f>
        <v>0</v>
      </c>
      <c r="M56" s="179">
        <f t="shared" ca="1" si="28"/>
        <v>0</v>
      </c>
      <c r="N56" s="179">
        <f t="shared" ca="1" si="29"/>
        <v>0</v>
      </c>
      <c r="O56" s="180">
        <f ca="1">IFERROR(__xludf.DUMMYFUNCTION("IMPORTRANGE(""https://docs.google.com/spreadsheets/d/1-uDff_7J0KD5mKrp0Vvzr7lt3OU09vwQwhkpOPPYv2Y/edit?usp=sharing"",""งบพรบ!EG56"")"),0)</f>
        <v>0</v>
      </c>
      <c r="P56" s="180">
        <f t="shared" ca="1" si="30"/>
        <v>0</v>
      </c>
      <c r="Q56" s="179">
        <f t="shared" ca="1" si="31"/>
        <v>0</v>
      </c>
      <c r="R56" s="344">
        <f ca="1">IFERROR(__xludf.DUMMYFUNCTION("IMPORTRANGE(""https://docs.google.com/spreadsheets/d/11tr1B-Bhyr79v2bkwVh5h_fR-PStkgjlZtkrZpYurG0/edit?usp=sharing"",""ชลบุรี!J313"")"),0)</f>
        <v>0</v>
      </c>
      <c r="S56" s="344">
        <f ca="1">IFERROR(__xludf.DUMMYFUNCTION("IMPORTRANGE(""https://docs.google.com/spreadsheets/d/11tr1B-Bhyr79v2bkwVh5h_fR-PStkgjlZtkrZpYurG0/edit?usp=sharing"",""ชลบุรี!I314"")"),0)</f>
        <v>0</v>
      </c>
      <c r="T56" s="177">
        <f ca="1">IFERROR(__xludf.DUMMYFUNCTION("IMPORTRANGE(""https://docs.google.com/spreadsheets/d/11tr1B-Bhyr79v2bkwVh5h_fR-PStkgjlZtkrZpYurG0/edit?usp=sharing"",""ชลบุรี!J314"")"),0)</f>
        <v>0</v>
      </c>
      <c r="U56" s="345">
        <f t="shared" ca="1" si="33"/>
        <v>0</v>
      </c>
      <c r="V56" s="344">
        <f ca="1">IFERROR(__xludf.DUMMYFUNCTION("IMPORTRANGE(""https://docs.google.com/spreadsheets/d/11tr1B-Bhyr79v2bkwVh5h_fR-PStkgjlZtkrZpYurG0/edit?usp=sharing"",""ชลบุรี!I315"")"),0)</f>
        <v>0</v>
      </c>
      <c r="W56" s="177">
        <f ca="1">IFERROR(__xludf.DUMMYFUNCTION("IMPORTRANGE(""https://docs.google.com/spreadsheets/d/11tr1B-Bhyr79v2bkwVh5h_fR-PStkgjlZtkrZpYurG0/edit?usp=sharing"",""ชลบุรี!J315"")"),0)</f>
        <v>0</v>
      </c>
      <c r="X56" s="345">
        <f t="shared" ca="1" si="35"/>
        <v>0</v>
      </c>
      <c r="Y56" s="344">
        <f ca="1">IFERROR(__xludf.DUMMYFUNCTION("IMPORTRANGE(""https://docs.google.com/spreadsheets/d/11tr1B-Bhyr79v2bkwVh5h_fR-PStkgjlZtkrZpYurG0/edit?usp=sharing"",""ชลบุรี!I316"")"),0)</f>
        <v>0</v>
      </c>
      <c r="Z56" s="177">
        <f ca="1">IFERROR(__xludf.DUMMYFUNCTION("IMPORTRANGE(""https://docs.google.com/spreadsheets/d/11tr1B-Bhyr79v2bkwVh5h_fR-PStkgjlZtkrZpYurG0/edit?usp=sharing"",""ชลบุรี!J316"")"),0)</f>
        <v>0</v>
      </c>
      <c r="AA56" s="345">
        <f t="shared" ca="1" si="37"/>
        <v>0</v>
      </c>
      <c r="AB56" s="344">
        <f ca="1">IFERROR(__xludf.DUMMYFUNCTION("IMPORTRANGE(""https://docs.google.com/spreadsheets/d/11tr1B-Bhyr79v2bkwVh5h_fR-PStkgjlZtkrZpYurG0/edit?usp=sharing"",""ชลบุรี!I317"")"),0)</f>
        <v>0</v>
      </c>
      <c r="AC56" s="177">
        <f ca="1">IFERROR(__xludf.DUMMYFUNCTION("IMPORTRANGE(""https://docs.google.com/spreadsheets/d/11tr1B-Bhyr79v2bkwVh5h_fR-PStkgjlZtkrZpYurG0/edit?usp=sharing"",""ชลบุรี!J317"")"),0)</f>
        <v>0</v>
      </c>
      <c r="AD56" s="345">
        <f t="shared" ca="1" si="39"/>
        <v>0</v>
      </c>
    </row>
    <row r="57" spans="1:30" ht="21" customHeight="1" x14ac:dyDescent="0.3">
      <c r="A57" s="84">
        <v>5</v>
      </c>
      <c r="B57" s="85" t="s">
        <v>79</v>
      </c>
      <c r="C57" s="174">
        <f t="shared" ca="1" si="24"/>
        <v>133500</v>
      </c>
      <c r="D57" s="175">
        <f t="shared" ca="1" si="52"/>
        <v>133500</v>
      </c>
      <c r="E57" s="176">
        <f ca="1">IFERROR(__xludf.DUMMYFUNCTION("IMPORTRANGE(""https://docs.google.com/spreadsheets/d/1-uDff_7J0KD5mKrp0Vvzr7lt3OU09vwQwhkpOPPYv2Y/edit?usp=sharing"",""งบพรบ!DZ57"")"),51100)</f>
        <v>51100</v>
      </c>
      <c r="F57" s="176">
        <f ca="1">IFERROR(__xludf.DUMMYFUNCTION("IMPORTRANGE(""https://docs.google.com/spreadsheets/d/1-uDff_7J0KD5mKrp0Vvzr7lt3OU09vwQwhkpOPPYv2Y/edit?usp=sharing"",""งบพรบ!EA57"")"),82400)</f>
        <v>82400</v>
      </c>
      <c r="G57" s="176">
        <f ca="1">IFERROR(__xludf.DUMMYFUNCTION("IMPORTRANGE(""https://docs.google.com/spreadsheets/d/1-uDff_7J0KD5mKrp0Vvzr7lt3OU09vwQwhkpOPPYv2Y/edit?usp=sharing"",""งบพรบ!EB57"")"),0)</f>
        <v>0</v>
      </c>
      <c r="H57" s="176">
        <f ca="1">IFERROR(__xludf.DUMMYFUNCTION("IMPORTRANGE(""https://docs.google.com/spreadsheets/d/1-uDff_7J0KD5mKrp0Vvzr7lt3OU09vwQwhkpOPPYv2Y/edit?usp=sharing"",""งบพรบ!ED57"")"),100900)</f>
        <v>100900</v>
      </c>
      <c r="I57" s="176">
        <f ca="1">IFERROR(__xludf.DUMMYFUNCTION("IMPORTRANGE(""https://docs.google.com/spreadsheets/d/1-uDff_7J0KD5mKrp0Vvzr7lt3OU09vwQwhkpOPPYv2Y/edit?usp=sharing"",""งบพรบ!EE57"")"),0)</f>
        <v>0</v>
      </c>
      <c r="J57" s="176">
        <f t="shared" ca="1" si="26"/>
        <v>14600</v>
      </c>
      <c r="K57" s="181">
        <f t="shared" ca="1" si="27"/>
        <v>10.936329588014981</v>
      </c>
      <c r="L57" s="176">
        <f ca="1">IFERROR(__xludf.DUMMYFUNCTION("IMPORTRANGE(""https://docs.google.com/spreadsheets/d/1-uDff_7J0KD5mKrp0Vvzr7lt3OU09vwQwhkpOPPYv2Y/edit?usp=sharing"",""งบพรบ!EF57"")"),14600)</f>
        <v>14600</v>
      </c>
      <c r="M57" s="179">
        <f t="shared" ca="1" si="28"/>
        <v>10.936329588014981</v>
      </c>
      <c r="N57" s="179">
        <f t="shared" ca="1" si="29"/>
        <v>14.469772051536175</v>
      </c>
      <c r="O57" s="180">
        <f ca="1">IFERROR(__xludf.DUMMYFUNCTION("IMPORTRANGE(""https://docs.google.com/spreadsheets/d/1-uDff_7J0KD5mKrp0Vvzr7lt3OU09vwQwhkpOPPYv2Y/edit?usp=sharing"",""งบพรบ!EG57"")"),0)</f>
        <v>0</v>
      </c>
      <c r="P57" s="180">
        <f t="shared" ca="1" si="30"/>
        <v>0</v>
      </c>
      <c r="Q57" s="179">
        <f t="shared" ca="1" si="31"/>
        <v>0</v>
      </c>
      <c r="R57" s="344">
        <f ca="1">IFERROR(__xludf.DUMMYFUNCTION("IMPORTRANGE(""https://docs.google.com/spreadsheets/d/1hh-FVnSX0vozXhGluamEcS54Dw9_zqW0N7qJUWgJ0Sw/edit?usp=sharing"",""ชัยนาท!J313"")"),0)</f>
        <v>0</v>
      </c>
      <c r="S57" s="344">
        <f ca="1">IFERROR(__xludf.DUMMYFUNCTION("IMPORTRANGE(""https://docs.google.com/spreadsheets/d/1hh-FVnSX0vozXhGluamEcS54Dw9_zqW0N7qJUWgJ0Sw/edit?usp=sharing"",""ชัยนาท!I314"")"),20)</f>
        <v>20</v>
      </c>
      <c r="T57" s="177">
        <f ca="1">IFERROR(__xludf.DUMMYFUNCTION("IMPORTRANGE(""https://docs.google.com/spreadsheets/d/1hh-FVnSX0vozXhGluamEcS54Dw9_zqW0N7qJUWgJ0Sw/edit?usp=sharing"",""ชัยนาท!J314"")"),0)</f>
        <v>0</v>
      </c>
      <c r="U57" s="345">
        <f t="shared" ca="1" si="33"/>
        <v>0</v>
      </c>
      <c r="V57" s="344">
        <f ca="1">IFERROR(__xludf.DUMMYFUNCTION("IMPORTRANGE(""https://docs.google.com/spreadsheets/d/1hh-FVnSX0vozXhGluamEcS54Dw9_zqW0N7qJUWgJ0Sw/edit?usp=sharing"",""ชัยนาท!I315"")"),4)</f>
        <v>4</v>
      </c>
      <c r="W57" s="177">
        <f ca="1">IFERROR(__xludf.DUMMYFUNCTION("IMPORTRANGE(""https://docs.google.com/spreadsheets/d/1hh-FVnSX0vozXhGluamEcS54Dw9_zqW0N7qJUWgJ0Sw/edit?usp=sharing"",""ชัยนาท!J315"")"),0)</f>
        <v>0</v>
      </c>
      <c r="X57" s="345">
        <f t="shared" ca="1" si="35"/>
        <v>0</v>
      </c>
      <c r="Y57" s="344">
        <f ca="1">IFERROR(__xludf.DUMMYFUNCTION("IMPORTRANGE(""https://docs.google.com/spreadsheets/d/1hh-FVnSX0vozXhGluamEcS54Dw9_zqW0N7qJUWgJ0Sw/edit?usp=sharing"",""ชัยนาท!I316"")"),20)</f>
        <v>20</v>
      </c>
      <c r="Z57" s="177">
        <f ca="1">IFERROR(__xludf.DUMMYFUNCTION("IMPORTRANGE(""https://docs.google.com/spreadsheets/d/1hh-FVnSX0vozXhGluamEcS54Dw9_zqW0N7qJUWgJ0Sw/edit?usp=sharing"",""ชัยนาท!J316"")"),0)</f>
        <v>0</v>
      </c>
      <c r="AA57" s="345">
        <f t="shared" ca="1" si="37"/>
        <v>0</v>
      </c>
      <c r="AB57" s="344">
        <f ca="1">IFERROR(__xludf.DUMMYFUNCTION("IMPORTRANGE(""https://docs.google.com/spreadsheets/d/1hh-FVnSX0vozXhGluamEcS54Dw9_zqW0N7qJUWgJ0Sw/edit?usp=sharing"",""ชัยนาท!I317"")"),4)</f>
        <v>4</v>
      </c>
      <c r="AC57" s="177">
        <f ca="1">IFERROR(__xludf.DUMMYFUNCTION("IMPORTRANGE(""https://docs.google.com/spreadsheets/d/1hh-FVnSX0vozXhGluamEcS54Dw9_zqW0N7qJUWgJ0Sw/edit?usp=sharing"",""ชัยนาท!J317"")"),0)</f>
        <v>0</v>
      </c>
      <c r="AD57" s="345">
        <f t="shared" ca="1" si="39"/>
        <v>0</v>
      </c>
    </row>
    <row r="58" spans="1:30" ht="21" customHeight="1" x14ac:dyDescent="0.3">
      <c r="A58" s="84">
        <v>6</v>
      </c>
      <c r="B58" s="85" t="s">
        <v>80</v>
      </c>
      <c r="C58" s="174">
        <f t="shared" ca="1" si="24"/>
        <v>0</v>
      </c>
      <c r="D58" s="175">
        <f t="shared" ca="1" si="52"/>
        <v>0</v>
      </c>
      <c r="E58" s="176">
        <f ca="1">IFERROR(__xludf.DUMMYFUNCTION("IMPORTRANGE(""https://docs.google.com/spreadsheets/d/1-uDff_7J0KD5mKrp0Vvzr7lt3OU09vwQwhkpOPPYv2Y/edit?usp=sharing"",""งบพรบ!DZ58"")"),0)</f>
        <v>0</v>
      </c>
      <c r="F58" s="176">
        <f ca="1">IFERROR(__xludf.DUMMYFUNCTION("IMPORTRANGE(""https://docs.google.com/spreadsheets/d/1-uDff_7J0KD5mKrp0Vvzr7lt3OU09vwQwhkpOPPYv2Y/edit?usp=sharing"",""งบพรบ!EA58"")"),0)</f>
        <v>0</v>
      </c>
      <c r="G58" s="176">
        <f ca="1">IFERROR(__xludf.DUMMYFUNCTION("IMPORTRANGE(""https://docs.google.com/spreadsheets/d/1-uDff_7J0KD5mKrp0Vvzr7lt3OU09vwQwhkpOPPYv2Y/edit?usp=sharing"",""งบพรบ!EB58"")"),0)</f>
        <v>0</v>
      </c>
      <c r="H58" s="176">
        <f ca="1">IFERROR(__xludf.DUMMYFUNCTION("IMPORTRANGE(""https://docs.google.com/spreadsheets/d/1-uDff_7J0KD5mKrp0Vvzr7lt3OU09vwQwhkpOPPYv2Y/edit?usp=sharing"",""งบพรบ!ED58"")"),0)</f>
        <v>0</v>
      </c>
      <c r="I58" s="176">
        <f ca="1">IFERROR(__xludf.DUMMYFUNCTION("IMPORTRANGE(""https://docs.google.com/spreadsheets/d/1-uDff_7J0KD5mKrp0Vvzr7lt3OU09vwQwhkpOPPYv2Y/edit?usp=sharing"",""งบพรบ!EE58"")"),0)</f>
        <v>0</v>
      </c>
      <c r="J58" s="176">
        <f t="shared" ca="1" si="26"/>
        <v>0</v>
      </c>
      <c r="K58" s="181">
        <f t="shared" ca="1" si="27"/>
        <v>0</v>
      </c>
      <c r="L58" s="176">
        <f ca="1">IFERROR(__xludf.DUMMYFUNCTION("IMPORTRANGE(""https://docs.google.com/spreadsheets/d/1-uDff_7J0KD5mKrp0Vvzr7lt3OU09vwQwhkpOPPYv2Y/edit?usp=sharing"",""งบพรบ!EF58"")"),0)</f>
        <v>0</v>
      </c>
      <c r="M58" s="179">
        <f t="shared" ca="1" si="28"/>
        <v>0</v>
      </c>
      <c r="N58" s="179">
        <f t="shared" ca="1" si="29"/>
        <v>0</v>
      </c>
      <c r="O58" s="180">
        <f ca="1">IFERROR(__xludf.DUMMYFUNCTION("IMPORTRANGE(""https://docs.google.com/spreadsheets/d/1-uDff_7J0KD5mKrp0Vvzr7lt3OU09vwQwhkpOPPYv2Y/edit?usp=sharing"",""งบพรบ!EG58"")"),0)</f>
        <v>0</v>
      </c>
      <c r="P58" s="180">
        <f t="shared" ca="1" si="30"/>
        <v>0</v>
      </c>
      <c r="Q58" s="179">
        <f t="shared" ca="1" si="31"/>
        <v>0</v>
      </c>
      <c r="R58" s="344">
        <f ca="1">IFERROR(__xludf.DUMMYFUNCTION("IMPORTRANGE(""https://docs.google.com/spreadsheets/d/1jkqa6GXxSacMcY1eN8AHjMNJ_7dDXMJVRLDlaFSOdPM/edit?usp=sharing"",""ตราด!J313"")"),0)</f>
        <v>0</v>
      </c>
      <c r="S58" s="344">
        <f ca="1">IFERROR(__xludf.DUMMYFUNCTION("IMPORTRANGE(""https://docs.google.com/spreadsheets/d/1jkqa6GXxSacMcY1eN8AHjMNJ_7dDXMJVRLDlaFSOdPM/edit?usp=sharing"",""ตราด!I314"")"),0)</f>
        <v>0</v>
      </c>
      <c r="T58" s="177">
        <f ca="1">IFERROR(__xludf.DUMMYFUNCTION("IMPORTRANGE(""https://docs.google.com/spreadsheets/d/1jkqa6GXxSacMcY1eN8AHjMNJ_7dDXMJVRLDlaFSOdPM/edit?usp=sharing"",""ตราด!J314"")"),0)</f>
        <v>0</v>
      </c>
      <c r="U58" s="345">
        <f t="shared" ca="1" si="33"/>
        <v>0</v>
      </c>
      <c r="V58" s="344">
        <f ca="1">IFERROR(__xludf.DUMMYFUNCTION("IMPORTRANGE(""https://docs.google.com/spreadsheets/d/1jkqa6GXxSacMcY1eN8AHjMNJ_7dDXMJVRLDlaFSOdPM/edit?usp=sharing"",""ตราด!I315"")"),0)</f>
        <v>0</v>
      </c>
      <c r="W58" s="177">
        <f ca="1">IFERROR(__xludf.DUMMYFUNCTION("IMPORTRANGE(""https://docs.google.com/spreadsheets/d/1jkqa6GXxSacMcY1eN8AHjMNJ_7dDXMJVRLDlaFSOdPM/edit?usp=sharing"",""ตราด!J315"")"),0)</f>
        <v>0</v>
      </c>
      <c r="X58" s="345">
        <f t="shared" ca="1" si="35"/>
        <v>0</v>
      </c>
      <c r="Y58" s="344">
        <f ca="1">IFERROR(__xludf.DUMMYFUNCTION("IMPORTRANGE(""https://docs.google.com/spreadsheets/d/1jkqa6GXxSacMcY1eN8AHjMNJ_7dDXMJVRLDlaFSOdPM/edit?usp=sharing"",""ตราด!I316"")"),0)</f>
        <v>0</v>
      </c>
      <c r="Z58" s="177">
        <f ca="1">IFERROR(__xludf.DUMMYFUNCTION("IMPORTRANGE(""https://docs.google.com/spreadsheets/d/1jkqa6GXxSacMcY1eN8AHjMNJ_7dDXMJVRLDlaFSOdPM/edit?usp=sharing"",""ตราด!J316"")"),0)</f>
        <v>0</v>
      </c>
      <c r="AA58" s="345">
        <f t="shared" ca="1" si="37"/>
        <v>0</v>
      </c>
      <c r="AB58" s="344">
        <f ca="1">IFERROR(__xludf.DUMMYFUNCTION("IMPORTRANGE(""https://docs.google.com/spreadsheets/d/1jkqa6GXxSacMcY1eN8AHjMNJ_7dDXMJVRLDlaFSOdPM/edit?usp=sharing"",""ตราด!I317"")"),0)</f>
        <v>0</v>
      </c>
      <c r="AC58" s="177">
        <f ca="1">IFERROR(__xludf.DUMMYFUNCTION("IMPORTRANGE(""https://docs.google.com/spreadsheets/d/1jkqa6GXxSacMcY1eN8AHjMNJ_7dDXMJVRLDlaFSOdPM/edit?usp=sharing"",""ตราด!J317"")"),0)</f>
        <v>0</v>
      </c>
      <c r="AD58" s="345">
        <f t="shared" ca="1" si="39"/>
        <v>0</v>
      </c>
    </row>
    <row r="59" spans="1:30" ht="21" customHeight="1" x14ac:dyDescent="0.3">
      <c r="A59" s="84">
        <v>7</v>
      </c>
      <c r="B59" s="85" t="s">
        <v>81</v>
      </c>
      <c r="C59" s="174">
        <f t="shared" ca="1" si="24"/>
        <v>166000</v>
      </c>
      <c r="D59" s="175">
        <f t="shared" ca="1" si="52"/>
        <v>166000</v>
      </c>
      <c r="E59" s="176">
        <f ca="1">IFERROR(__xludf.DUMMYFUNCTION("IMPORTRANGE(""https://docs.google.com/spreadsheets/d/1-uDff_7J0KD5mKrp0Vvzr7lt3OU09vwQwhkpOPPYv2Y/edit?usp=sharing"",""งบพรบ!DZ59"")"),102200)</f>
        <v>102200</v>
      </c>
      <c r="F59" s="176">
        <f ca="1">IFERROR(__xludf.DUMMYFUNCTION("IMPORTRANGE(""https://docs.google.com/spreadsheets/d/1-uDff_7J0KD5mKrp0Vvzr7lt3OU09vwQwhkpOPPYv2Y/edit?usp=sharing"",""งบพรบ!EA59"")"),63800)</f>
        <v>63800</v>
      </c>
      <c r="G59" s="176">
        <f ca="1">IFERROR(__xludf.DUMMYFUNCTION("IMPORTRANGE(""https://docs.google.com/spreadsheets/d/1-uDff_7J0KD5mKrp0Vvzr7lt3OU09vwQwhkpOPPYv2Y/edit?usp=sharing"",""งบพรบ!EB59"")"),0)</f>
        <v>0</v>
      </c>
      <c r="H59" s="176">
        <f ca="1">IFERROR(__xludf.DUMMYFUNCTION("IMPORTRANGE(""https://docs.google.com/spreadsheets/d/1-uDff_7J0KD5mKrp0Vvzr7lt3OU09vwQwhkpOPPYv2Y/edit?usp=sharing"",""งบพรบ!ED59"")"),123300)</f>
        <v>123300</v>
      </c>
      <c r="I59" s="176">
        <f ca="1">IFERROR(__xludf.DUMMYFUNCTION("IMPORTRANGE(""https://docs.google.com/spreadsheets/d/1-uDff_7J0KD5mKrp0Vvzr7lt3OU09vwQwhkpOPPYv2Y/edit?usp=sharing"",""งบพรบ!EE59"")"),0)</f>
        <v>0</v>
      </c>
      <c r="J59" s="176">
        <f t="shared" ca="1" si="26"/>
        <v>29200</v>
      </c>
      <c r="K59" s="181">
        <f t="shared" ca="1" si="27"/>
        <v>17.590361445783131</v>
      </c>
      <c r="L59" s="176">
        <f ca="1">IFERROR(__xludf.DUMMYFUNCTION("IMPORTRANGE(""https://docs.google.com/spreadsheets/d/1-uDff_7J0KD5mKrp0Vvzr7lt3OU09vwQwhkpOPPYv2Y/edit?usp=sharing"",""งบพรบ!EF59"")"),29200)</f>
        <v>29200</v>
      </c>
      <c r="M59" s="179">
        <f t="shared" ca="1" si="28"/>
        <v>17.590361445783131</v>
      </c>
      <c r="N59" s="179">
        <f t="shared" ca="1" si="29"/>
        <v>23.682076236820762</v>
      </c>
      <c r="O59" s="180">
        <f ca="1">IFERROR(__xludf.DUMMYFUNCTION("IMPORTRANGE(""https://docs.google.com/spreadsheets/d/1-uDff_7J0KD5mKrp0Vvzr7lt3OU09vwQwhkpOPPYv2Y/edit?usp=sharing"",""งบพรบ!EG59"")"),0)</f>
        <v>0</v>
      </c>
      <c r="P59" s="180">
        <f t="shared" ca="1" si="30"/>
        <v>0</v>
      </c>
      <c r="Q59" s="179">
        <f t="shared" ca="1" si="31"/>
        <v>0</v>
      </c>
      <c r="R59" s="344">
        <f ca="1">IFERROR(__xludf.DUMMYFUNCTION("IMPORTRANGE(""https://docs.google.com/spreadsheets/d/18hSgUJ3VwClqi_qtULmmW3cLr0oe3OKaSYoKzdpTsYQ/edit?usp=sharing"",""นครนายก!J313"")"),0)</f>
        <v>0</v>
      </c>
      <c r="S59" s="344">
        <f ca="1">IFERROR(__xludf.DUMMYFUNCTION("IMPORTRANGE(""https://docs.google.com/spreadsheets/d/18hSgUJ3VwClqi_qtULmmW3cLr0oe3OKaSYoKzdpTsYQ/edit?usp=sharing"",""นครนายก!I314"")"),15)</f>
        <v>15</v>
      </c>
      <c r="T59" s="177">
        <f ca="1">IFERROR(__xludf.DUMMYFUNCTION("IMPORTRANGE(""https://docs.google.com/spreadsheets/d/18hSgUJ3VwClqi_qtULmmW3cLr0oe3OKaSYoKzdpTsYQ/edit?usp=sharing"",""นครนายก!J314"")"),0)</f>
        <v>0</v>
      </c>
      <c r="U59" s="345">
        <f t="shared" ca="1" si="33"/>
        <v>0</v>
      </c>
      <c r="V59" s="344">
        <f ca="1">IFERROR(__xludf.DUMMYFUNCTION("IMPORTRANGE(""https://docs.google.com/spreadsheets/d/18hSgUJ3VwClqi_qtULmmW3cLr0oe3OKaSYoKzdpTsYQ/edit?usp=sharing"",""นครนายก!I315"")"),3)</f>
        <v>3</v>
      </c>
      <c r="W59" s="177">
        <f ca="1">IFERROR(__xludf.DUMMYFUNCTION("IMPORTRANGE(""https://docs.google.com/spreadsheets/d/18hSgUJ3VwClqi_qtULmmW3cLr0oe3OKaSYoKzdpTsYQ/edit?usp=sharing"",""นครนายก!J315"")"),0)</f>
        <v>0</v>
      </c>
      <c r="X59" s="345">
        <f t="shared" ca="1" si="35"/>
        <v>0</v>
      </c>
      <c r="Y59" s="344">
        <f ca="1">IFERROR(__xludf.DUMMYFUNCTION("IMPORTRANGE(""https://docs.google.com/spreadsheets/d/18hSgUJ3VwClqi_qtULmmW3cLr0oe3OKaSYoKzdpTsYQ/edit?usp=sharing"",""นครนายก!I316"")"),15)</f>
        <v>15</v>
      </c>
      <c r="Z59" s="177">
        <f ca="1">IFERROR(__xludf.DUMMYFUNCTION("IMPORTRANGE(""https://docs.google.com/spreadsheets/d/18hSgUJ3VwClqi_qtULmmW3cLr0oe3OKaSYoKzdpTsYQ/edit?usp=sharing"",""นครนายก!J316"")"),0)</f>
        <v>0</v>
      </c>
      <c r="AA59" s="345">
        <f t="shared" ca="1" si="37"/>
        <v>0</v>
      </c>
      <c r="AB59" s="344">
        <f ca="1">IFERROR(__xludf.DUMMYFUNCTION("IMPORTRANGE(""https://docs.google.com/spreadsheets/d/18hSgUJ3VwClqi_qtULmmW3cLr0oe3OKaSYoKzdpTsYQ/edit?usp=sharing"",""นครนายก!I317"")"),3)</f>
        <v>3</v>
      </c>
      <c r="AC59" s="177">
        <f ca="1">IFERROR(__xludf.DUMMYFUNCTION("IMPORTRANGE(""https://docs.google.com/spreadsheets/d/18hSgUJ3VwClqi_qtULmmW3cLr0oe3OKaSYoKzdpTsYQ/edit?usp=sharing"",""นครนายก!J317"")"),0)</f>
        <v>0</v>
      </c>
      <c r="AD59" s="345">
        <f t="shared" ca="1" si="39"/>
        <v>0</v>
      </c>
    </row>
    <row r="60" spans="1:30" ht="21" customHeight="1" x14ac:dyDescent="0.3">
      <c r="A60" s="84">
        <v>8</v>
      </c>
      <c r="B60" s="85" t="s">
        <v>82</v>
      </c>
      <c r="C60" s="174">
        <f t="shared" ca="1" si="24"/>
        <v>0</v>
      </c>
      <c r="D60" s="175">
        <f t="shared" ca="1" si="52"/>
        <v>0</v>
      </c>
      <c r="E60" s="176">
        <f ca="1">IFERROR(__xludf.DUMMYFUNCTION("IMPORTRANGE(""https://docs.google.com/spreadsheets/d/1-uDff_7J0KD5mKrp0Vvzr7lt3OU09vwQwhkpOPPYv2Y/edit?usp=sharing"",""งบพรบ!DZ60"")"),0)</f>
        <v>0</v>
      </c>
      <c r="F60" s="176">
        <f ca="1">IFERROR(__xludf.DUMMYFUNCTION("IMPORTRANGE(""https://docs.google.com/spreadsheets/d/1-uDff_7J0KD5mKrp0Vvzr7lt3OU09vwQwhkpOPPYv2Y/edit?usp=sharing"",""งบพรบ!EA60"")"),0)</f>
        <v>0</v>
      </c>
      <c r="G60" s="176">
        <f ca="1">IFERROR(__xludf.DUMMYFUNCTION("IMPORTRANGE(""https://docs.google.com/spreadsheets/d/1-uDff_7J0KD5mKrp0Vvzr7lt3OU09vwQwhkpOPPYv2Y/edit?usp=sharing"",""งบพรบ!EB60"")"),0)</f>
        <v>0</v>
      </c>
      <c r="H60" s="176">
        <f ca="1">IFERROR(__xludf.DUMMYFUNCTION("IMPORTRANGE(""https://docs.google.com/spreadsheets/d/1-uDff_7J0KD5mKrp0Vvzr7lt3OU09vwQwhkpOPPYv2Y/edit?usp=sharing"",""งบพรบ!ED60"")"),0)</f>
        <v>0</v>
      </c>
      <c r="I60" s="176">
        <f ca="1">IFERROR(__xludf.DUMMYFUNCTION("IMPORTRANGE(""https://docs.google.com/spreadsheets/d/1-uDff_7J0KD5mKrp0Vvzr7lt3OU09vwQwhkpOPPYv2Y/edit?usp=sharing"",""งบพรบ!EE60"")"),0)</f>
        <v>0</v>
      </c>
      <c r="J60" s="176">
        <f t="shared" ca="1" si="26"/>
        <v>0</v>
      </c>
      <c r="K60" s="181">
        <f t="shared" ca="1" si="27"/>
        <v>0</v>
      </c>
      <c r="L60" s="176">
        <f ca="1">IFERROR(__xludf.DUMMYFUNCTION("IMPORTRANGE(""https://docs.google.com/spreadsheets/d/1-uDff_7J0KD5mKrp0Vvzr7lt3OU09vwQwhkpOPPYv2Y/edit?usp=sharing"",""งบพรบ!EF60"")"),0)</f>
        <v>0</v>
      </c>
      <c r="M60" s="179">
        <f t="shared" ca="1" si="28"/>
        <v>0</v>
      </c>
      <c r="N60" s="179">
        <f t="shared" ca="1" si="29"/>
        <v>0</v>
      </c>
      <c r="O60" s="180">
        <f ca="1">IFERROR(__xludf.DUMMYFUNCTION("IMPORTRANGE(""https://docs.google.com/spreadsheets/d/1-uDff_7J0KD5mKrp0Vvzr7lt3OU09vwQwhkpOPPYv2Y/edit?usp=sharing"",""งบพรบ!EG60"")"),0)</f>
        <v>0</v>
      </c>
      <c r="P60" s="180">
        <f t="shared" ca="1" si="30"/>
        <v>0</v>
      </c>
      <c r="Q60" s="179">
        <f t="shared" ca="1" si="31"/>
        <v>0</v>
      </c>
      <c r="R60" s="344">
        <f ca="1">IFERROR(__xludf.DUMMYFUNCTION("IMPORTRANGE(""https://docs.google.com/spreadsheets/d/1YTZo6WM2dQ6Ix6FSdnL5P7uVnVKu40sxZu975tgG10E/edit?usp=sharing"",""นครปฐม!J313"")"),0)</f>
        <v>0</v>
      </c>
      <c r="S60" s="344">
        <f ca="1">IFERROR(__xludf.DUMMYFUNCTION("IMPORTRANGE(""https://docs.google.com/spreadsheets/d/1YTZo6WM2dQ6Ix6FSdnL5P7uVnVKu40sxZu975tgG10E/edit?usp=sharing"",""นครปฐม!I314"")"),0)</f>
        <v>0</v>
      </c>
      <c r="T60" s="177">
        <f ca="1">IFERROR(__xludf.DUMMYFUNCTION("IMPORTRANGE(""https://docs.google.com/spreadsheets/d/1YTZo6WM2dQ6Ix6FSdnL5P7uVnVKu40sxZu975tgG10E/edit?usp=sharing"",""นครปฐม!J314"")"),0)</f>
        <v>0</v>
      </c>
      <c r="U60" s="345">
        <f t="shared" ca="1" si="33"/>
        <v>0</v>
      </c>
      <c r="V60" s="344">
        <f ca="1">IFERROR(__xludf.DUMMYFUNCTION("IMPORTRANGE(""https://docs.google.com/spreadsheets/d/1YTZo6WM2dQ6Ix6FSdnL5P7uVnVKu40sxZu975tgG10E/edit?usp=sharing"",""นครปฐม!I315"")"),0)</f>
        <v>0</v>
      </c>
      <c r="W60" s="177">
        <f ca="1">IFERROR(__xludf.DUMMYFUNCTION("IMPORTRANGE(""https://docs.google.com/spreadsheets/d/1YTZo6WM2dQ6Ix6FSdnL5P7uVnVKu40sxZu975tgG10E/edit?usp=sharing"",""นครปฐม!J315"")"),0)</f>
        <v>0</v>
      </c>
      <c r="X60" s="345">
        <f t="shared" ca="1" si="35"/>
        <v>0</v>
      </c>
      <c r="Y60" s="344">
        <f ca="1">IFERROR(__xludf.DUMMYFUNCTION("IMPORTRANGE(""https://docs.google.com/spreadsheets/d/1YTZo6WM2dQ6Ix6FSdnL5P7uVnVKu40sxZu975tgG10E/edit?usp=sharing"",""นครปฐม!I316"")"),0)</f>
        <v>0</v>
      </c>
      <c r="Z60" s="177">
        <f ca="1">IFERROR(__xludf.DUMMYFUNCTION("IMPORTRANGE(""https://docs.google.com/spreadsheets/d/1YTZo6WM2dQ6Ix6FSdnL5P7uVnVKu40sxZu975tgG10E/edit?usp=sharing"",""นครปฐม!J316"")"),0)</f>
        <v>0</v>
      </c>
      <c r="AA60" s="345">
        <f t="shared" ca="1" si="37"/>
        <v>0</v>
      </c>
      <c r="AB60" s="344">
        <f ca="1">IFERROR(__xludf.DUMMYFUNCTION("IMPORTRANGE(""https://docs.google.com/spreadsheets/d/1YTZo6WM2dQ6Ix6FSdnL5P7uVnVKu40sxZu975tgG10E/edit?usp=sharing"",""นครปฐม!I317"")"),0)</f>
        <v>0</v>
      </c>
      <c r="AC60" s="177">
        <f ca="1">IFERROR(__xludf.DUMMYFUNCTION("IMPORTRANGE(""https://docs.google.com/spreadsheets/d/1YTZo6WM2dQ6Ix6FSdnL5P7uVnVKu40sxZu975tgG10E/edit?usp=sharing"",""นครปฐม!J317"")"),0)</f>
        <v>0</v>
      </c>
      <c r="AD60" s="345">
        <f t="shared" ca="1" si="39"/>
        <v>0</v>
      </c>
    </row>
    <row r="61" spans="1:30" ht="21" customHeight="1" x14ac:dyDescent="0.3">
      <c r="A61" s="84">
        <v>9</v>
      </c>
      <c r="B61" s="85" t="s">
        <v>83</v>
      </c>
      <c r="C61" s="174">
        <f t="shared" ca="1" si="24"/>
        <v>0</v>
      </c>
      <c r="D61" s="175">
        <f t="shared" ca="1" si="52"/>
        <v>0</v>
      </c>
      <c r="E61" s="176">
        <f ca="1">IFERROR(__xludf.DUMMYFUNCTION("IMPORTRANGE(""https://docs.google.com/spreadsheets/d/1-uDff_7J0KD5mKrp0Vvzr7lt3OU09vwQwhkpOPPYv2Y/edit?usp=sharing"",""งบพรบ!DZ61"")"),0)</f>
        <v>0</v>
      </c>
      <c r="F61" s="176">
        <f ca="1">IFERROR(__xludf.DUMMYFUNCTION("IMPORTRANGE(""https://docs.google.com/spreadsheets/d/1-uDff_7J0KD5mKrp0Vvzr7lt3OU09vwQwhkpOPPYv2Y/edit?usp=sharing"",""งบพรบ!EA61"")"),0)</f>
        <v>0</v>
      </c>
      <c r="G61" s="176">
        <f ca="1">IFERROR(__xludf.DUMMYFUNCTION("IMPORTRANGE(""https://docs.google.com/spreadsheets/d/1-uDff_7J0KD5mKrp0Vvzr7lt3OU09vwQwhkpOPPYv2Y/edit?usp=sharing"",""งบพรบ!EB61"")"),0)</f>
        <v>0</v>
      </c>
      <c r="H61" s="176">
        <f ca="1">IFERROR(__xludf.DUMMYFUNCTION("IMPORTRANGE(""https://docs.google.com/spreadsheets/d/1-uDff_7J0KD5mKrp0Vvzr7lt3OU09vwQwhkpOPPYv2Y/edit?usp=sharing"",""งบพรบ!ED61"")"),0)</f>
        <v>0</v>
      </c>
      <c r="I61" s="176">
        <f ca="1">IFERROR(__xludf.DUMMYFUNCTION("IMPORTRANGE(""https://docs.google.com/spreadsheets/d/1-uDff_7J0KD5mKrp0Vvzr7lt3OU09vwQwhkpOPPYv2Y/edit?usp=sharing"",""งบพรบ!EE61"")"),0)</f>
        <v>0</v>
      </c>
      <c r="J61" s="176">
        <f t="shared" ca="1" si="26"/>
        <v>0</v>
      </c>
      <c r="K61" s="181">
        <f t="shared" ca="1" si="27"/>
        <v>0</v>
      </c>
      <c r="L61" s="176">
        <f ca="1">IFERROR(__xludf.DUMMYFUNCTION("IMPORTRANGE(""https://docs.google.com/spreadsheets/d/1-uDff_7J0KD5mKrp0Vvzr7lt3OU09vwQwhkpOPPYv2Y/edit?usp=sharing"",""งบพรบ!EF61"")"),0)</f>
        <v>0</v>
      </c>
      <c r="M61" s="179">
        <f t="shared" ca="1" si="28"/>
        <v>0</v>
      </c>
      <c r="N61" s="179">
        <f t="shared" ca="1" si="29"/>
        <v>0</v>
      </c>
      <c r="O61" s="180">
        <f ca="1">IFERROR(__xludf.DUMMYFUNCTION("IMPORTRANGE(""https://docs.google.com/spreadsheets/d/1-uDff_7J0KD5mKrp0Vvzr7lt3OU09vwQwhkpOPPYv2Y/edit?usp=sharing"",""งบพรบ!EG61"")"),0)</f>
        <v>0</v>
      </c>
      <c r="P61" s="180">
        <f t="shared" ca="1" si="30"/>
        <v>0</v>
      </c>
      <c r="Q61" s="179">
        <f t="shared" ca="1" si="31"/>
        <v>0</v>
      </c>
      <c r="R61" s="344">
        <f ca="1">IFERROR(__xludf.DUMMYFUNCTION("IMPORTRANGE(""https://docs.google.com/spreadsheets/d/1OYoGg4WDg5RIzwGeB10padOxJF9E_Vljuvvct_M7RDo/edit?usp=sharing"",""ปทุมธานี!J313"")"),0)</f>
        <v>0</v>
      </c>
      <c r="S61" s="344">
        <f ca="1">IFERROR(__xludf.DUMMYFUNCTION("IMPORTRANGE(""https://docs.google.com/spreadsheets/d/1OYoGg4WDg5RIzwGeB10padOxJF9E_Vljuvvct_M7RDo/edit?usp=sharing"",""ปทุมธานี!I314"")"),0)</f>
        <v>0</v>
      </c>
      <c r="T61" s="177">
        <f ca="1">IFERROR(__xludf.DUMMYFUNCTION("IMPORTRANGE(""https://docs.google.com/spreadsheets/d/1OYoGg4WDg5RIzwGeB10padOxJF9E_Vljuvvct_M7RDo/edit?usp=sharing"",""ปทุมธานี!J314"")"),0)</f>
        <v>0</v>
      </c>
      <c r="U61" s="345">
        <f t="shared" ca="1" si="33"/>
        <v>0</v>
      </c>
      <c r="V61" s="344">
        <f ca="1">IFERROR(__xludf.DUMMYFUNCTION("IMPORTRANGE(""https://docs.google.com/spreadsheets/d/1OYoGg4WDg5RIzwGeB10padOxJF9E_Vljuvvct_M7RDo/edit?usp=sharing"",""ปทุมธานี!I315"")"),0)</f>
        <v>0</v>
      </c>
      <c r="W61" s="177">
        <f ca="1">IFERROR(__xludf.DUMMYFUNCTION("IMPORTRANGE(""https://docs.google.com/spreadsheets/d/1OYoGg4WDg5RIzwGeB10padOxJF9E_Vljuvvct_M7RDo/edit?usp=sharing"",""ปทุมธานี!J315"")"),0)</f>
        <v>0</v>
      </c>
      <c r="X61" s="345">
        <f t="shared" ca="1" si="35"/>
        <v>0</v>
      </c>
      <c r="Y61" s="344">
        <f ca="1">IFERROR(__xludf.DUMMYFUNCTION("IMPORTRANGE(""https://docs.google.com/spreadsheets/d/1OYoGg4WDg5RIzwGeB10padOxJF9E_Vljuvvct_M7RDo/edit?usp=sharing"",""ปทุมธานี!I316"")"),0)</f>
        <v>0</v>
      </c>
      <c r="Z61" s="177">
        <f ca="1">IFERROR(__xludf.DUMMYFUNCTION("IMPORTRANGE(""https://docs.google.com/spreadsheets/d/1OYoGg4WDg5RIzwGeB10padOxJF9E_Vljuvvct_M7RDo/edit?usp=sharing"",""ปทุมธานี!J316"")"),0)</f>
        <v>0</v>
      </c>
      <c r="AA61" s="345">
        <f t="shared" ca="1" si="37"/>
        <v>0</v>
      </c>
      <c r="AB61" s="344">
        <f ca="1">IFERROR(__xludf.DUMMYFUNCTION("IMPORTRANGE(""https://docs.google.com/spreadsheets/d/1OYoGg4WDg5RIzwGeB10padOxJF9E_Vljuvvct_M7RDo/edit?usp=sharing"",""ปทุมธานี!I317"")"),0)</f>
        <v>0</v>
      </c>
      <c r="AC61" s="177">
        <f ca="1">IFERROR(__xludf.DUMMYFUNCTION("IMPORTRANGE(""https://docs.google.com/spreadsheets/d/1OYoGg4WDg5RIzwGeB10padOxJF9E_Vljuvvct_M7RDo/edit?usp=sharing"",""ปทุมธานี!J317"")"),0)</f>
        <v>0</v>
      </c>
      <c r="AD61" s="345">
        <f t="shared" ca="1" si="39"/>
        <v>0</v>
      </c>
    </row>
    <row r="62" spans="1:30" ht="21" customHeight="1" x14ac:dyDescent="0.3">
      <c r="A62" s="84">
        <v>10</v>
      </c>
      <c r="B62" s="85" t="s">
        <v>84</v>
      </c>
      <c r="C62" s="174">
        <f t="shared" ca="1" si="24"/>
        <v>0</v>
      </c>
      <c r="D62" s="175">
        <f t="shared" ca="1" si="52"/>
        <v>0</v>
      </c>
      <c r="E62" s="176">
        <f ca="1">IFERROR(__xludf.DUMMYFUNCTION("IMPORTRANGE(""https://docs.google.com/spreadsheets/d/1-uDff_7J0KD5mKrp0Vvzr7lt3OU09vwQwhkpOPPYv2Y/edit?usp=sharing"",""งบพรบ!DZ62"")"),0)</f>
        <v>0</v>
      </c>
      <c r="F62" s="176">
        <f ca="1">IFERROR(__xludf.DUMMYFUNCTION("IMPORTRANGE(""https://docs.google.com/spreadsheets/d/1-uDff_7J0KD5mKrp0Vvzr7lt3OU09vwQwhkpOPPYv2Y/edit?usp=sharing"",""งบพรบ!EA62"")"),0)</f>
        <v>0</v>
      </c>
      <c r="G62" s="176">
        <f ca="1">IFERROR(__xludf.DUMMYFUNCTION("IMPORTRANGE(""https://docs.google.com/spreadsheets/d/1-uDff_7J0KD5mKrp0Vvzr7lt3OU09vwQwhkpOPPYv2Y/edit?usp=sharing"",""งบพรบ!EB62"")"),0)</f>
        <v>0</v>
      </c>
      <c r="H62" s="176">
        <f ca="1">IFERROR(__xludf.DUMMYFUNCTION("IMPORTRANGE(""https://docs.google.com/spreadsheets/d/1-uDff_7J0KD5mKrp0Vvzr7lt3OU09vwQwhkpOPPYv2Y/edit?usp=sharing"",""งบพรบ!ED62"")"),0)</f>
        <v>0</v>
      </c>
      <c r="I62" s="176">
        <f ca="1">IFERROR(__xludf.DUMMYFUNCTION("IMPORTRANGE(""https://docs.google.com/spreadsheets/d/1-uDff_7J0KD5mKrp0Vvzr7lt3OU09vwQwhkpOPPYv2Y/edit?usp=sharing"",""งบพรบ!EE62"")"),0)</f>
        <v>0</v>
      </c>
      <c r="J62" s="176">
        <f t="shared" ca="1" si="26"/>
        <v>0</v>
      </c>
      <c r="K62" s="181">
        <f t="shared" ca="1" si="27"/>
        <v>0</v>
      </c>
      <c r="L62" s="176">
        <f ca="1">IFERROR(__xludf.DUMMYFUNCTION("IMPORTRANGE(""https://docs.google.com/spreadsheets/d/1-uDff_7J0KD5mKrp0Vvzr7lt3OU09vwQwhkpOPPYv2Y/edit?usp=sharing"",""งบพรบ!EF62"")"),0)</f>
        <v>0</v>
      </c>
      <c r="M62" s="179">
        <f t="shared" ca="1" si="28"/>
        <v>0</v>
      </c>
      <c r="N62" s="179">
        <f t="shared" ca="1" si="29"/>
        <v>0</v>
      </c>
      <c r="O62" s="180">
        <f ca="1">IFERROR(__xludf.DUMMYFUNCTION("IMPORTRANGE(""https://docs.google.com/spreadsheets/d/1-uDff_7J0KD5mKrp0Vvzr7lt3OU09vwQwhkpOPPYv2Y/edit?usp=sharing"",""งบพรบ!EG62"")"),0)</f>
        <v>0</v>
      </c>
      <c r="P62" s="180">
        <f t="shared" ca="1" si="30"/>
        <v>0</v>
      </c>
      <c r="Q62" s="179">
        <f t="shared" ca="1" si="31"/>
        <v>0</v>
      </c>
      <c r="R62" s="344">
        <f ca="1">IFERROR(__xludf.DUMMYFUNCTION("IMPORTRANGE(""https://docs.google.com/spreadsheets/d/1GbCIE4D4wk9FUozzqk7SxfDMxDVBwVmI5zcaVUSzKAc/edit?usp=sharing"",""ประจวบคีรีขันธ์!J313"")"),0)</f>
        <v>0</v>
      </c>
      <c r="S62" s="344">
        <f ca="1">IFERROR(__xludf.DUMMYFUNCTION("IMPORTRANGE(""https://docs.google.com/spreadsheets/d/1GbCIE4D4wk9FUozzqk7SxfDMxDVBwVmI5zcaVUSzKAc/edit?usp=sharing"",""ประจวบคีรีขันธ์!I314"")"),0)</f>
        <v>0</v>
      </c>
      <c r="T62" s="177">
        <f ca="1">IFERROR(__xludf.DUMMYFUNCTION("IMPORTRANGE(""https://docs.google.com/spreadsheets/d/1GbCIE4D4wk9FUozzqk7SxfDMxDVBwVmI5zcaVUSzKAc/edit?usp=sharing"",""ประจวบคีรีขันธ์!J314"")"),0)</f>
        <v>0</v>
      </c>
      <c r="U62" s="345">
        <f t="shared" ca="1" si="33"/>
        <v>0</v>
      </c>
      <c r="V62" s="344">
        <f ca="1">IFERROR(__xludf.DUMMYFUNCTION("IMPORTRANGE(""https://docs.google.com/spreadsheets/d/1GbCIE4D4wk9FUozzqk7SxfDMxDVBwVmI5zcaVUSzKAc/edit?usp=sharing"",""ประจวบคีรีขันธ์!I315"")"),0)</f>
        <v>0</v>
      </c>
      <c r="W62" s="177">
        <f ca="1">IFERROR(__xludf.DUMMYFUNCTION("IMPORTRANGE(""https://docs.google.com/spreadsheets/d/1GbCIE4D4wk9FUozzqk7SxfDMxDVBwVmI5zcaVUSzKAc/edit?usp=sharing"",""ประจวบคีรีขันธ์!J315"")"),0)</f>
        <v>0</v>
      </c>
      <c r="X62" s="345">
        <f t="shared" ca="1" si="35"/>
        <v>0</v>
      </c>
      <c r="Y62" s="344">
        <f ca="1">IFERROR(__xludf.DUMMYFUNCTION("IMPORTRANGE(""https://docs.google.com/spreadsheets/d/1GbCIE4D4wk9FUozzqk7SxfDMxDVBwVmI5zcaVUSzKAc/edit?usp=sharing"",""ประจวบคีรีขันธ์!I316"")"),0)</f>
        <v>0</v>
      </c>
      <c r="Z62" s="177">
        <f ca="1">IFERROR(__xludf.DUMMYFUNCTION("IMPORTRANGE(""https://docs.google.com/spreadsheets/d/1GbCIE4D4wk9FUozzqk7SxfDMxDVBwVmI5zcaVUSzKAc/edit?usp=sharing"",""ประจวบคีรีขันธ์!J316"")"),0)</f>
        <v>0</v>
      </c>
      <c r="AA62" s="345">
        <f t="shared" ca="1" si="37"/>
        <v>0</v>
      </c>
      <c r="AB62" s="344">
        <f ca="1">IFERROR(__xludf.DUMMYFUNCTION("IMPORTRANGE(""https://docs.google.com/spreadsheets/d/1GbCIE4D4wk9FUozzqk7SxfDMxDVBwVmI5zcaVUSzKAc/edit?usp=sharing"",""ประจวบคีรีขันธ์!I317"")"),0)</f>
        <v>0</v>
      </c>
      <c r="AC62" s="177">
        <f ca="1">IFERROR(__xludf.DUMMYFUNCTION("IMPORTRANGE(""https://docs.google.com/spreadsheets/d/1GbCIE4D4wk9FUozzqk7SxfDMxDVBwVmI5zcaVUSzKAc/edit?usp=sharing"",""ประจวบคีรีขันธ์!J317"")"),0)</f>
        <v>0</v>
      </c>
      <c r="AD62" s="345">
        <f t="shared" ca="1" si="39"/>
        <v>0</v>
      </c>
    </row>
    <row r="63" spans="1:30" ht="21" customHeight="1" x14ac:dyDescent="0.3">
      <c r="A63" s="84">
        <v>11</v>
      </c>
      <c r="B63" s="85" t="s">
        <v>85</v>
      </c>
      <c r="C63" s="174">
        <f t="shared" ca="1" si="24"/>
        <v>82400</v>
      </c>
      <c r="D63" s="175">
        <f t="shared" ca="1" si="52"/>
        <v>82400</v>
      </c>
      <c r="E63" s="176">
        <f ca="1">IFERROR(__xludf.DUMMYFUNCTION("IMPORTRANGE(""https://docs.google.com/spreadsheets/d/1-uDff_7J0KD5mKrp0Vvzr7lt3OU09vwQwhkpOPPYv2Y/edit?usp=sharing"",""งบพรบ!DZ63"")"),0)</f>
        <v>0</v>
      </c>
      <c r="F63" s="176">
        <f ca="1">IFERROR(__xludf.DUMMYFUNCTION("IMPORTRANGE(""https://docs.google.com/spreadsheets/d/1-uDff_7J0KD5mKrp0Vvzr7lt3OU09vwQwhkpOPPYv2Y/edit?usp=sharing"",""งบพรบ!EA63"")"),82400)</f>
        <v>82400</v>
      </c>
      <c r="G63" s="176">
        <f ca="1">IFERROR(__xludf.DUMMYFUNCTION("IMPORTRANGE(""https://docs.google.com/spreadsheets/d/1-uDff_7J0KD5mKrp0Vvzr7lt3OU09vwQwhkpOPPYv2Y/edit?usp=sharing"",""งบพรบ!EB63"")"),0)</f>
        <v>0</v>
      </c>
      <c r="H63" s="176">
        <f ca="1">IFERROR(__xludf.DUMMYFUNCTION("IMPORTRANGE(""https://docs.google.com/spreadsheets/d/1-uDff_7J0KD5mKrp0Vvzr7lt3OU09vwQwhkpOPPYv2Y/edit?usp=sharing"",""งบพรบ!ED63"")"),64400)</f>
        <v>64400</v>
      </c>
      <c r="I63" s="176">
        <f ca="1">IFERROR(__xludf.DUMMYFUNCTION("IMPORTRANGE(""https://docs.google.com/spreadsheets/d/1-uDff_7J0KD5mKrp0Vvzr7lt3OU09vwQwhkpOPPYv2Y/edit?usp=sharing"",""งบพรบ!EE63"")"),0)</f>
        <v>0</v>
      </c>
      <c r="J63" s="176">
        <f t="shared" ca="1" si="26"/>
        <v>0</v>
      </c>
      <c r="K63" s="181">
        <f t="shared" ca="1" si="27"/>
        <v>0</v>
      </c>
      <c r="L63" s="176">
        <f ca="1">IFERROR(__xludf.DUMMYFUNCTION("IMPORTRANGE(""https://docs.google.com/spreadsheets/d/1-uDff_7J0KD5mKrp0Vvzr7lt3OU09vwQwhkpOPPYv2Y/edit?usp=sharing"",""งบพรบ!EF63"")"),0)</f>
        <v>0</v>
      </c>
      <c r="M63" s="179">
        <f t="shared" ca="1" si="28"/>
        <v>0</v>
      </c>
      <c r="N63" s="179">
        <f t="shared" ca="1" si="29"/>
        <v>0</v>
      </c>
      <c r="O63" s="180">
        <f ca="1">IFERROR(__xludf.DUMMYFUNCTION("IMPORTRANGE(""https://docs.google.com/spreadsheets/d/1-uDff_7J0KD5mKrp0Vvzr7lt3OU09vwQwhkpOPPYv2Y/edit?usp=sharing"",""งบพรบ!EG63"")"),0)</f>
        <v>0</v>
      </c>
      <c r="P63" s="180">
        <f t="shared" ca="1" si="30"/>
        <v>0</v>
      </c>
      <c r="Q63" s="179">
        <f t="shared" ca="1" si="31"/>
        <v>0</v>
      </c>
      <c r="R63" s="344">
        <f ca="1">IFERROR(__xludf.DUMMYFUNCTION("IMPORTRANGE(""https://docs.google.com/spreadsheets/d/1vVf6wykvW_lAyu7Yo9L4hUTqHqIeP_qcVuxCtosJEbg/edit?usp=sharing"",""ปราจีนบุรี!J313"")"),0)</f>
        <v>0</v>
      </c>
      <c r="S63" s="344">
        <f ca="1">IFERROR(__xludf.DUMMYFUNCTION("IMPORTRANGE(""https://docs.google.com/spreadsheets/d/1vVf6wykvW_lAyu7Yo9L4hUTqHqIeP_qcVuxCtosJEbg/edit?usp=sharing"",""ปราจีนบุรี!I314"")"),20)</f>
        <v>20</v>
      </c>
      <c r="T63" s="177">
        <f ca="1">IFERROR(__xludf.DUMMYFUNCTION("IMPORTRANGE(""https://docs.google.com/spreadsheets/d/1vVf6wykvW_lAyu7Yo9L4hUTqHqIeP_qcVuxCtosJEbg/edit?usp=sharing"",""ปราจีนบุรี!J314"")"),0)</f>
        <v>0</v>
      </c>
      <c r="U63" s="345">
        <f t="shared" ca="1" si="33"/>
        <v>0</v>
      </c>
      <c r="V63" s="344">
        <f ca="1">IFERROR(__xludf.DUMMYFUNCTION("IMPORTRANGE(""https://docs.google.com/spreadsheets/d/1vVf6wykvW_lAyu7Yo9L4hUTqHqIeP_qcVuxCtosJEbg/edit?usp=sharing"",""ปราจีนบุรี!I315"")"),4)</f>
        <v>4</v>
      </c>
      <c r="W63" s="177">
        <f ca="1">IFERROR(__xludf.DUMMYFUNCTION("IMPORTRANGE(""https://docs.google.com/spreadsheets/d/1vVf6wykvW_lAyu7Yo9L4hUTqHqIeP_qcVuxCtosJEbg/edit?usp=sharing"",""ปราจีนบุรี!J315"")"),0)</f>
        <v>0</v>
      </c>
      <c r="X63" s="345">
        <f t="shared" ca="1" si="35"/>
        <v>0</v>
      </c>
      <c r="Y63" s="344">
        <f ca="1">IFERROR(__xludf.DUMMYFUNCTION("IMPORTRANGE(""https://docs.google.com/spreadsheets/d/1vVf6wykvW_lAyu7Yo9L4hUTqHqIeP_qcVuxCtosJEbg/edit?usp=sharing"",""ปราจีนบุรี!I316"")"),20)</f>
        <v>20</v>
      </c>
      <c r="Z63" s="177">
        <f ca="1">IFERROR(__xludf.DUMMYFUNCTION("IMPORTRANGE(""https://docs.google.com/spreadsheets/d/1vVf6wykvW_lAyu7Yo9L4hUTqHqIeP_qcVuxCtosJEbg/edit?usp=sharing"",""ปราจีนบุรี!J316"")"),0)</f>
        <v>0</v>
      </c>
      <c r="AA63" s="345">
        <f t="shared" ca="1" si="37"/>
        <v>0</v>
      </c>
      <c r="AB63" s="344">
        <f ca="1">IFERROR(__xludf.DUMMYFUNCTION("IMPORTRANGE(""https://docs.google.com/spreadsheets/d/1vVf6wykvW_lAyu7Yo9L4hUTqHqIeP_qcVuxCtosJEbg/edit?usp=sharing"",""ปราจีนบุรี!I317"")"),4)</f>
        <v>4</v>
      </c>
      <c r="AC63" s="177">
        <f ca="1">IFERROR(__xludf.DUMMYFUNCTION("IMPORTRANGE(""https://docs.google.com/spreadsheets/d/1vVf6wykvW_lAyu7Yo9L4hUTqHqIeP_qcVuxCtosJEbg/edit?usp=sharing"",""ปราจีนบุรี!J317"")"),0)</f>
        <v>0</v>
      </c>
      <c r="AD63" s="345">
        <f t="shared" ca="1" si="39"/>
        <v>0</v>
      </c>
    </row>
    <row r="64" spans="1:30" ht="21" customHeight="1" x14ac:dyDescent="0.3">
      <c r="A64" s="84">
        <v>12</v>
      </c>
      <c r="B64" s="85" t="s">
        <v>86</v>
      </c>
      <c r="C64" s="174">
        <f t="shared" ca="1" si="24"/>
        <v>82400</v>
      </c>
      <c r="D64" s="175">
        <f t="shared" ca="1" si="52"/>
        <v>82400</v>
      </c>
      <c r="E64" s="176">
        <f ca="1">IFERROR(__xludf.DUMMYFUNCTION("IMPORTRANGE(""https://docs.google.com/spreadsheets/d/1-uDff_7J0KD5mKrp0Vvzr7lt3OU09vwQwhkpOPPYv2Y/edit?usp=sharing"",""งบพรบ!DZ64"")"),0)</f>
        <v>0</v>
      </c>
      <c r="F64" s="176">
        <f ca="1">IFERROR(__xludf.DUMMYFUNCTION("IMPORTRANGE(""https://docs.google.com/spreadsheets/d/1-uDff_7J0KD5mKrp0Vvzr7lt3OU09vwQwhkpOPPYv2Y/edit?usp=sharing"",""งบพรบ!EA64"")"),82400)</f>
        <v>82400</v>
      </c>
      <c r="G64" s="176">
        <f ca="1">IFERROR(__xludf.DUMMYFUNCTION("IMPORTRANGE(""https://docs.google.com/spreadsheets/d/1-uDff_7J0KD5mKrp0Vvzr7lt3OU09vwQwhkpOPPYv2Y/edit?usp=sharing"",""งบพรบ!EB64"")"),0)</f>
        <v>0</v>
      </c>
      <c r="H64" s="176">
        <f ca="1">IFERROR(__xludf.DUMMYFUNCTION("IMPORTRANGE(""https://docs.google.com/spreadsheets/d/1-uDff_7J0KD5mKrp0Vvzr7lt3OU09vwQwhkpOPPYv2Y/edit?usp=sharing"",""งบพรบ!ED64"")"),64400)</f>
        <v>64400</v>
      </c>
      <c r="I64" s="176">
        <f ca="1">IFERROR(__xludf.DUMMYFUNCTION("IMPORTRANGE(""https://docs.google.com/spreadsheets/d/1-uDff_7J0KD5mKrp0Vvzr7lt3OU09vwQwhkpOPPYv2Y/edit?usp=sharing"",""งบพรบ!EE64"")"),0)</f>
        <v>0</v>
      </c>
      <c r="J64" s="176">
        <f t="shared" ca="1" si="26"/>
        <v>0</v>
      </c>
      <c r="K64" s="181">
        <f t="shared" ca="1" si="27"/>
        <v>0</v>
      </c>
      <c r="L64" s="176">
        <f ca="1">IFERROR(__xludf.DUMMYFUNCTION("IMPORTRANGE(""https://docs.google.com/spreadsheets/d/1-uDff_7J0KD5mKrp0Vvzr7lt3OU09vwQwhkpOPPYv2Y/edit?usp=sharing"",""งบพรบ!EF64"")"),0)</f>
        <v>0</v>
      </c>
      <c r="M64" s="179">
        <f t="shared" ca="1" si="28"/>
        <v>0</v>
      </c>
      <c r="N64" s="179">
        <f t="shared" ca="1" si="29"/>
        <v>0</v>
      </c>
      <c r="O64" s="180">
        <f ca="1">IFERROR(__xludf.DUMMYFUNCTION("IMPORTRANGE(""https://docs.google.com/spreadsheets/d/1-uDff_7J0KD5mKrp0Vvzr7lt3OU09vwQwhkpOPPYv2Y/edit?usp=sharing"",""งบพรบ!EG64"")"),0)</f>
        <v>0</v>
      </c>
      <c r="P64" s="180">
        <f t="shared" ca="1" si="30"/>
        <v>0</v>
      </c>
      <c r="Q64" s="179">
        <f t="shared" ca="1" si="31"/>
        <v>0</v>
      </c>
      <c r="R64" s="344">
        <f ca="1">IFERROR(__xludf.DUMMYFUNCTION("IMPORTRANGE(""https://docs.google.com/spreadsheets/d/1BIDqLLg5jk3v59G8NlR8rk5xfQDKne0sAvZHSj7TI6I/edit?usp=sharing"",""พระนครศรีอยุธยา!J313"")"),0)</f>
        <v>0</v>
      </c>
      <c r="S64" s="344">
        <f ca="1">IFERROR(__xludf.DUMMYFUNCTION("IMPORTRANGE(""https://docs.google.com/spreadsheets/d/1BIDqLLg5jk3v59G8NlR8rk5xfQDKne0sAvZHSj7TI6I/edit?usp=sharing"",""พระนครศรีอยุธยา!I314"")"),20)</f>
        <v>20</v>
      </c>
      <c r="T64" s="177">
        <f ca="1">IFERROR(__xludf.DUMMYFUNCTION("IMPORTRANGE(""https://docs.google.com/spreadsheets/d/1BIDqLLg5jk3v59G8NlR8rk5xfQDKne0sAvZHSj7TI6I/edit?usp=sharing"",""พระนครศรีอยุธยา!J314"")"),0)</f>
        <v>0</v>
      </c>
      <c r="U64" s="345">
        <f t="shared" ca="1" si="33"/>
        <v>0</v>
      </c>
      <c r="V64" s="344">
        <f ca="1">IFERROR(__xludf.DUMMYFUNCTION("IMPORTRANGE(""https://docs.google.com/spreadsheets/d/1BIDqLLg5jk3v59G8NlR8rk5xfQDKne0sAvZHSj7TI6I/edit?usp=sharing"",""พระนครศรีอยุธยา!I315"")"),4)</f>
        <v>4</v>
      </c>
      <c r="W64" s="177">
        <f ca="1">IFERROR(__xludf.DUMMYFUNCTION("IMPORTRANGE(""https://docs.google.com/spreadsheets/d/1BIDqLLg5jk3v59G8NlR8rk5xfQDKne0sAvZHSj7TI6I/edit?usp=sharing"",""พระนครศรีอยุธยา!J315"")"),0)</f>
        <v>0</v>
      </c>
      <c r="X64" s="345">
        <f t="shared" ca="1" si="35"/>
        <v>0</v>
      </c>
      <c r="Y64" s="344">
        <f ca="1">IFERROR(__xludf.DUMMYFUNCTION("IMPORTRANGE(""https://docs.google.com/spreadsheets/d/1BIDqLLg5jk3v59G8NlR8rk5xfQDKne0sAvZHSj7TI6I/edit?usp=sharing"",""พระนครศรีอยุธยา!I316"")"),20)</f>
        <v>20</v>
      </c>
      <c r="Z64" s="177">
        <f ca="1">IFERROR(__xludf.DUMMYFUNCTION("IMPORTRANGE(""https://docs.google.com/spreadsheets/d/1BIDqLLg5jk3v59G8NlR8rk5xfQDKne0sAvZHSj7TI6I/edit?usp=sharing"",""พระนครศรีอยุธยา!J316"")"),0)</f>
        <v>0</v>
      </c>
      <c r="AA64" s="345">
        <f t="shared" ca="1" si="37"/>
        <v>0</v>
      </c>
      <c r="AB64" s="344">
        <f ca="1">IFERROR(__xludf.DUMMYFUNCTION("IMPORTRANGE(""https://docs.google.com/spreadsheets/d/1BIDqLLg5jk3v59G8NlR8rk5xfQDKne0sAvZHSj7TI6I/edit?usp=sharing"",""พระนครศรีอยุธยา!I317"")"),4)</f>
        <v>4</v>
      </c>
      <c r="AC64" s="177">
        <f ca="1">IFERROR(__xludf.DUMMYFUNCTION("IMPORTRANGE(""https://docs.google.com/spreadsheets/d/1BIDqLLg5jk3v59G8NlR8rk5xfQDKne0sAvZHSj7TI6I/edit?usp=sharing"",""พระนครศรีอยุธยา!J317"")"),0)</f>
        <v>0</v>
      </c>
      <c r="AD64" s="345">
        <f t="shared" ca="1" si="39"/>
        <v>0</v>
      </c>
    </row>
    <row r="65" spans="1:30" ht="21" customHeight="1" x14ac:dyDescent="0.3">
      <c r="A65" s="84">
        <v>13</v>
      </c>
      <c r="B65" s="85" t="s">
        <v>87</v>
      </c>
      <c r="C65" s="174">
        <f t="shared" ca="1" si="24"/>
        <v>0</v>
      </c>
      <c r="D65" s="175">
        <f t="shared" ca="1" si="52"/>
        <v>0</v>
      </c>
      <c r="E65" s="176">
        <f ca="1">IFERROR(__xludf.DUMMYFUNCTION("IMPORTRANGE(""https://docs.google.com/spreadsheets/d/1-uDff_7J0KD5mKrp0Vvzr7lt3OU09vwQwhkpOPPYv2Y/edit?usp=sharing"",""งบพรบ!DZ65"")"),0)</f>
        <v>0</v>
      </c>
      <c r="F65" s="176">
        <f ca="1">IFERROR(__xludf.DUMMYFUNCTION("IMPORTRANGE(""https://docs.google.com/spreadsheets/d/1-uDff_7J0KD5mKrp0Vvzr7lt3OU09vwQwhkpOPPYv2Y/edit?usp=sharing"",""งบพรบ!EA65"")"),0)</f>
        <v>0</v>
      </c>
      <c r="G65" s="176">
        <f ca="1">IFERROR(__xludf.DUMMYFUNCTION("IMPORTRANGE(""https://docs.google.com/spreadsheets/d/1-uDff_7J0KD5mKrp0Vvzr7lt3OU09vwQwhkpOPPYv2Y/edit?usp=sharing"",""งบพรบ!EB65"")"),0)</f>
        <v>0</v>
      </c>
      <c r="H65" s="176">
        <f ca="1">IFERROR(__xludf.DUMMYFUNCTION("IMPORTRANGE(""https://docs.google.com/spreadsheets/d/1-uDff_7J0KD5mKrp0Vvzr7lt3OU09vwQwhkpOPPYv2Y/edit?usp=sharing"",""งบพรบ!ED65"")"),0)</f>
        <v>0</v>
      </c>
      <c r="I65" s="176">
        <f ca="1">IFERROR(__xludf.DUMMYFUNCTION("IMPORTRANGE(""https://docs.google.com/spreadsheets/d/1-uDff_7J0KD5mKrp0Vvzr7lt3OU09vwQwhkpOPPYv2Y/edit?usp=sharing"",""งบพรบ!EE65"")"),0)</f>
        <v>0</v>
      </c>
      <c r="J65" s="176">
        <f t="shared" ca="1" si="26"/>
        <v>0</v>
      </c>
      <c r="K65" s="181">
        <f t="shared" ca="1" si="27"/>
        <v>0</v>
      </c>
      <c r="L65" s="176">
        <f ca="1">IFERROR(__xludf.DUMMYFUNCTION("IMPORTRANGE(""https://docs.google.com/spreadsheets/d/1-uDff_7J0KD5mKrp0Vvzr7lt3OU09vwQwhkpOPPYv2Y/edit?usp=sharing"",""งบพรบ!EF65"")"),0)</f>
        <v>0</v>
      </c>
      <c r="M65" s="179">
        <f t="shared" ca="1" si="28"/>
        <v>0</v>
      </c>
      <c r="N65" s="179">
        <f t="shared" ca="1" si="29"/>
        <v>0</v>
      </c>
      <c r="O65" s="180">
        <f ca="1">IFERROR(__xludf.DUMMYFUNCTION("IMPORTRANGE(""https://docs.google.com/spreadsheets/d/1-uDff_7J0KD5mKrp0Vvzr7lt3OU09vwQwhkpOPPYv2Y/edit?usp=sharing"",""งบพรบ!EG65"")"),0)</f>
        <v>0</v>
      </c>
      <c r="P65" s="180">
        <f t="shared" ca="1" si="30"/>
        <v>0</v>
      </c>
      <c r="Q65" s="179">
        <f t="shared" ca="1" si="31"/>
        <v>0</v>
      </c>
      <c r="R65" s="344">
        <f ca="1">IFERROR(__xludf.DUMMYFUNCTION("IMPORTRANGE(""https://docs.google.com/spreadsheets/d/1YXvxf8Yu6_rV4hTBrwMqAcAnv6DfhUxh5emyM3CJp_w/edit?usp=sharing"",""เพชรบุรี!J313"")"),0)</f>
        <v>0</v>
      </c>
      <c r="S65" s="344">
        <f ca="1">IFERROR(__xludf.DUMMYFUNCTION("IMPORTRANGE(""https://docs.google.com/spreadsheets/d/1YXvxf8Yu6_rV4hTBrwMqAcAnv6DfhUxh5emyM3CJp_w/edit?usp=sharing"",""เพชรบุรี!I314"")"),0)</f>
        <v>0</v>
      </c>
      <c r="T65" s="177">
        <f ca="1">IFERROR(__xludf.DUMMYFUNCTION("IMPORTRANGE(""https://docs.google.com/spreadsheets/d/1YXvxf8Yu6_rV4hTBrwMqAcAnv6DfhUxh5emyM3CJp_w/edit?usp=sharing"",""เพชรบุรี!J314"")"),0)</f>
        <v>0</v>
      </c>
      <c r="U65" s="345">
        <f t="shared" ca="1" si="33"/>
        <v>0</v>
      </c>
      <c r="V65" s="344">
        <f ca="1">IFERROR(__xludf.DUMMYFUNCTION("IMPORTRANGE(""https://docs.google.com/spreadsheets/d/1YXvxf8Yu6_rV4hTBrwMqAcAnv6DfhUxh5emyM3CJp_w/edit?usp=sharing"",""เพชรบุรี!I315"")"),0)</f>
        <v>0</v>
      </c>
      <c r="W65" s="177">
        <f ca="1">IFERROR(__xludf.DUMMYFUNCTION("IMPORTRANGE(""https://docs.google.com/spreadsheets/d/1YXvxf8Yu6_rV4hTBrwMqAcAnv6DfhUxh5emyM3CJp_w/edit?usp=sharing"",""เพชรบุรี!J315"")"),0)</f>
        <v>0</v>
      </c>
      <c r="X65" s="345">
        <f t="shared" ca="1" si="35"/>
        <v>0</v>
      </c>
      <c r="Y65" s="344">
        <f ca="1">IFERROR(__xludf.DUMMYFUNCTION("IMPORTRANGE(""https://docs.google.com/spreadsheets/d/1YXvxf8Yu6_rV4hTBrwMqAcAnv6DfhUxh5emyM3CJp_w/edit?usp=sharing"",""เพชรบุรี!I316"")"),0)</f>
        <v>0</v>
      </c>
      <c r="Z65" s="177">
        <f ca="1">IFERROR(__xludf.DUMMYFUNCTION("IMPORTRANGE(""https://docs.google.com/spreadsheets/d/1YXvxf8Yu6_rV4hTBrwMqAcAnv6DfhUxh5emyM3CJp_w/edit?usp=sharing"",""เพชรบุรี!J316"")"),0)</f>
        <v>0</v>
      </c>
      <c r="AA65" s="345">
        <f t="shared" ca="1" si="37"/>
        <v>0</v>
      </c>
      <c r="AB65" s="344">
        <f ca="1">IFERROR(__xludf.DUMMYFUNCTION("IMPORTRANGE(""https://docs.google.com/spreadsheets/d/1YXvxf8Yu6_rV4hTBrwMqAcAnv6DfhUxh5emyM3CJp_w/edit?usp=sharing"",""เพชรบุรี!I317"")"),0)</f>
        <v>0</v>
      </c>
      <c r="AC65" s="177">
        <f ca="1">IFERROR(__xludf.DUMMYFUNCTION("IMPORTRANGE(""https://docs.google.com/spreadsheets/d/1YXvxf8Yu6_rV4hTBrwMqAcAnv6DfhUxh5emyM3CJp_w/edit?usp=sharing"",""เพชรบุรี!J317"")"),0)</f>
        <v>0</v>
      </c>
      <c r="AD65" s="345">
        <f t="shared" ca="1" si="39"/>
        <v>0</v>
      </c>
    </row>
    <row r="66" spans="1:30" ht="21" customHeight="1" x14ac:dyDescent="0.3">
      <c r="A66" s="84">
        <v>14</v>
      </c>
      <c r="B66" s="85" t="s">
        <v>88</v>
      </c>
      <c r="C66" s="174">
        <f t="shared" ca="1" si="24"/>
        <v>101000</v>
      </c>
      <c r="D66" s="175">
        <f t="shared" ca="1" si="52"/>
        <v>101000</v>
      </c>
      <c r="E66" s="176">
        <f ca="1">IFERROR(__xludf.DUMMYFUNCTION("IMPORTRANGE(""https://docs.google.com/spreadsheets/d/1-uDff_7J0KD5mKrp0Vvzr7lt3OU09vwQwhkpOPPYv2Y/edit?usp=sharing"",""งบพรบ!DZ66"")"),0)</f>
        <v>0</v>
      </c>
      <c r="F66" s="176">
        <f ca="1">IFERROR(__xludf.DUMMYFUNCTION("IMPORTRANGE(""https://docs.google.com/spreadsheets/d/1-uDff_7J0KD5mKrp0Vvzr7lt3OU09vwQwhkpOPPYv2Y/edit?usp=sharing"",""งบพรบ!EA66"")"),101000)</f>
        <v>101000</v>
      </c>
      <c r="G66" s="176">
        <f ca="1">IFERROR(__xludf.DUMMYFUNCTION("IMPORTRANGE(""https://docs.google.com/spreadsheets/d/1-uDff_7J0KD5mKrp0Vvzr7lt3OU09vwQwhkpOPPYv2Y/edit?usp=sharing"",""งบพรบ!EB66"")"),0)</f>
        <v>0</v>
      </c>
      <c r="H66" s="176">
        <f ca="1">IFERROR(__xludf.DUMMYFUNCTION("IMPORTRANGE(""https://docs.google.com/spreadsheets/d/1-uDff_7J0KD5mKrp0Vvzr7lt3OU09vwQwhkpOPPYv2Y/edit?usp=sharing"",""งบพรบ!ED66"")"),78500)</f>
        <v>78500</v>
      </c>
      <c r="I66" s="176">
        <f ca="1">IFERROR(__xludf.DUMMYFUNCTION("IMPORTRANGE(""https://docs.google.com/spreadsheets/d/1-uDff_7J0KD5mKrp0Vvzr7lt3OU09vwQwhkpOPPYv2Y/edit?usp=sharing"",""งบพรบ!EE66"")"),0)</f>
        <v>0</v>
      </c>
      <c r="J66" s="176">
        <f t="shared" ca="1" si="26"/>
        <v>58885</v>
      </c>
      <c r="K66" s="181">
        <f t="shared" ca="1" si="27"/>
        <v>58.301980198019805</v>
      </c>
      <c r="L66" s="176">
        <f ca="1">IFERROR(__xludf.DUMMYFUNCTION("IMPORTRANGE(""https://docs.google.com/spreadsheets/d/1-uDff_7J0KD5mKrp0Vvzr7lt3OU09vwQwhkpOPPYv2Y/edit?usp=sharing"",""งบพรบ!EF66"")"),58885)</f>
        <v>58885</v>
      </c>
      <c r="M66" s="179">
        <f t="shared" ca="1" si="28"/>
        <v>58.301980198019805</v>
      </c>
      <c r="N66" s="179">
        <f t="shared" ca="1" si="29"/>
        <v>75.01273885350318</v>
      </c>
      <c r="O66" s="180">
        <f ca="1">IFERROR(__xludf.DUMMYFUNCTION("IMPORTRANGE(""https://docs.google.com/spreadsheets/d/1-uDff_7J0KD5mKrp0Vvzr7lt3OU09vwQwhkpOPPYv2Y/edit?usp=sharing"",""งบพรบ!EG66"")"),0)</f>
        <v>0</v>
      </c>
      <c r="P66" s="180">
        <f t="shared" ca="1" si="30"/>
        <v>0</v>
      </c>
      <c r="Q66" s="179">
        <f t="shared" ca="1" si="31"/>
        <v>0</v>
      </c>
      <c r="R66" s="344">
        <f ca="1">IFERROR(__xludf.DUMMYFUNCTION("IMPORTRANGE(""https://docs.google.com/spreadsheets/d/19KBlQQs7uwvsao6t2n-KvW3Ax8J8uRRfZPq1zPbXgKc/edit?usp=sharing"",""ระยอง!J313"")"),0)</f>
        <v>0</v>
      </c>
      <c r="S66" s="344">
        <f ca="1">IFERROR(__xludf.DUMMYFUNCTION("IMPORTRANGE(""https://docs.google.com/spreadsheets/d/19KBlQQs7uwvsao6t2n-KvW3Ax8J8uRRfZPq1zPbXgKc/edit?usp=sharing"",""ระยอง!I314"")"),25)</f>
        <v>25</v>
      </c>
      <c r="T66" s="177">
        <f ca="1">IFERROR(__xludf.DUMMYFUNCTION("IMPORTRANGE(""https://docs.google.com/spreadsheets/d/19KBlQQs7uwvsao6t2n-KvW3Ax8J8uRRfZPq1zPbXgKc/edit?usp=sharing"",""ระยอง!J314"")"),0)</f>
        <v>0</v>
      </c>
      <c r="U66" s="345">
        <f t="shared" ca="1" si="33"/>
        <v>0</v>
      </c>
      <c r="V66" s="344">
        <f ca="1">IFERROR(__xludf.DUMMYFUNCTION("IMPORTRANGE(""https://docs.google.com/spreadsheets/d/19KBlQQs7uwvsao6t2n-KvW3Ax8J8uRRfZPq1zPbXgKc/edit?usp=sharing"",""ระยอง!I315"")"),5)</f>
        <v>5</v>
      </c>
      <c r="W66" s="177">
        <f ca="1">IFERROR(__xludf.DUMMYFUNCTION("IMPORTRANGE(""https://docs.google.com/spreadsheets/d/19KBlQQs7uwvsao6t2n-KvW3Ax8J8uRRfZPq1zPbXgKc/edit?usp=sharing"",""ระยอง!J315"")"),0)</f>
        <v>0</v>
      </c>
      <c r="X66" s="345">
        <f t="shared" ca="1" si="35"/>
        <v>0</v>
      </c>
      <c r="Y66" s="344">
        <f ca="1">IFERROR(__xludf.DUMMYFUNCTION("IMPORTRANGE(""https://docs.google.com/spreadsheets/d/19KBlQQs7uwvsao6t2n-KvW3Ax8J8uRRfZPq1zPbXgKc/edit?usp=sharing"",""ระยอง!I316"")"),25)</f>
        <v>25</v>
      </c>
      <c r="Z66" s="177">
        <f ca="1">IFERROR(__xludf.DUMMYFUNCTION("IMPORTRANGE(""https://docs.google.com/spreadsheets/d/19KBlQQs7uwvsao6t2n-KvW3Ax8J8uRRfZPq1zPbXgKc/edit?usp=sharing"",""ระยอง!J316"")"),0)</f>
        <v>0</v>
      </c>
      <c r="AA66" s="345">
        <f t="shared" ca="1" si="37"/>
        <v>0</v>
      </c>
      <c r="AB66" s="344">
        <f ca="1">IFERROR(__xludf.DUMMYFUNCTION("IMPORTRANGE(""https://docs.google.com/spreadsheets/d/19KBlQQs7uwvsao6t2n-KvW3Ax8J8uRRfZPq1zPbXgKc/edit?usp=sharing"",""ระยอง!I317"")"),5)</f>
        <v>5</v>
      </c>
      <c r="AC66" s="177">
        <f ca="1">IFERROR(__xludf.DUMMYFUNCTION("IMPORTRANGE(""https://docs.google.com/spreadsheets/d/19KBlQQs7uwvsao6t2n-KvW3Ax8J8uRRfZPq1zPbXgKc/edit?usp=sharing"",""ระยอง!J317"")"),0)</f>
        <v>0</v>
      </c>
      <c r="AD66" s="345">
        <f t="shared" ca="1" si="39"/>
        <v>0</v>
      </c>
    </row>
    <row r="67" spans="1:30" ht="21" customHeight="1" x14ac:dyDescent="0.3">
      <c r="A67" s="84">
        <v>15</v>
      </c>
      <c r="B67" s="85" t="s">
        <v>89</v>
      </c>
      <c r="C67" s="174">
        <f t="shared" ca="1" si="24"/>
        <v>0</v>
      </c>
      <c r="D67" s="175">
        <f t="shared" ca="1" si="52"/>
        <v>0</v>
      </c>
      <c r="E67" s="176">
        <f ca="1">IFERROR(__xludf.DUMMYFUNCTION("IMPORTRANGE(""https://docs.google.com/spreadsheets/d/1-uDff_7J0KD5mKrp0Vvzr7lt3OU09vwQwhkpOPPYv2Y/edit?usp=sharing"",""งบพรบ!DZ67"")"),0)</f>
        <v>0</v>
      </c>
      <c r="F67" s="176">
        <f ca="1">IFERROR(__xludf.DUMMYFUNCTION("IMPORTRANGE(""https://docs.google.com/spreadsheets/d/1-uDff_7J0KD5mKrp0Vvzr7lt3OU09vwQwhkpOPPYv2Y/edit?usp=sharing"",""งบพรบ!EA67"")"),0)</f>
        <v>0</v>
      </c>
      <c r="G67" s="176">
        <f ca="1">IFERROR(__xludf.DUMMYFUNCTION("IMPORTRANGE(""https://docs.google.com/spreadsheets/d/1-uDff_7J0KD5mKrp0Vvzr7lt3OU09vwQwhkpOPPYv2Y/edit?usp=sharing"",""งบพรบ!EB67"")"),0)</f>
        <v>0</v>
      </c>
      <c r="H67" s="176">
        <f ca="1">IFERROR(__xludf.DUMMYFUNCTION("IMPORTRANGE(""https://docs.google.com/spreadsheets/d/1-uDff_7J0KD5mKrp0Vvzr7lt3OU09vwQwhkpOPPYv2Y/edit?usp=sharing"",""งบพรบ!ED67"")"),0)</f>
        <v>0</v>
      </c>
      <c r="I67" s="176">
        <f ca="1">IFERROR(__xludf.DUMMYFUNCTION("IMPORTRANGE(""https://docs.google.com/spreadsheets/d/1-uDff_7J0KD5mKrp0Vvzr7lt3OU09vwQwhkpOPPYv2Y/edit?usp=sharing"",""งบพรบ!EE67"")"),0)</f>
        <v>0</v>
      </c>
      <c r="J67" s="176">
        <f t="shared" ca="1" si="26"/>
        <v>0</v>
      </c>
      <c r="K67" s="181">
        <f t="shared" ca="1" si="27"/>
        <v>0</v>
      </c>
      <c r="L67" s="176">
        <f ca="1">IFERROR(__xludf.DUMMYFUNCTION("IMPORTRANGE(""https://docs.google.com/spreadsheets/d/1-uDff_7J0KD5mKrp0Vvzr7lt3OU09vwQwhkpOPPYv2Y/edit?usp=sharing"",""งบพรบ!EF67"")"),0)</f>
        <v>0</v>
      </c>
      <c r="M67" s="179">
        <f t="shared" ca="1" si="28"/>
        <v>0</v>
      </c>
      <c r="N67" s="179">
        <f t="shared" ca="1" si="29"/>
        <v>0</v>
      </c>
      <c r="O67" s="180">
        <f ca="1">IFERROR(__xludf.DUMMYFUNCTION("IMPORTRANGE(""https://docs.google.com/spreadsheets/d/1-uDff_7J0KD5mKrp0Vvzr7lt3OU09vwQwhkpOPPYv2Y/edit?usp=sharing"",""งบพรบ!EG67"")"),0)</f>
        <v>0</v>
      </c>
      <c r="P67" s="180">
        <f t="shared" ca="1" si="30"/>
        <v>0</v>
      </c>
      <c r="Q67" s="179">
        <f t="shared" ca="1" si="31"/>
        <v>0</v>
      </c>
      <c r="R67" s="344">
        <f ca="1">IFERROR(__xludf.DUMMYFUNCTION("IMPORTRANGE(""https://docs.google.com/spreadsheets/d/1jQ6P4QcrGM89YfqcC_PxOHGCMq5ezhucwJd8ci-NHng/edit?usp=sharing"",""ราชบุรี!J313"")"),0)</f>
        <v>0</v>
      </c>
      <c r="S67" s="346">
        <f ca="1">IFERROR(__xludf.DUMMYFUNCTION("IMPORTRANGE(""https://docs.google.com/spreadsheets/d/1jQ6P4QcrGM89YfqcC_PxOHGCMq5ezhucwJd8ci-NHng/edit?usp=sharing"",""ราชบุรี!I314"")"),0)</f>
        <v>0</v>
      </c>
      <c r="T67" s="177">
        <f ca="1">IFERROR(__xludf.DUMMYFUNCTION("IMPORTRANGE(""https://docs.google.com/spreadsheets/d/1jQ6P4QcrGM89YfqcC_PxOHGCMq5ezhucwJd8ci-NHng/edit?usp=sharing"",""ราชบุรี!J314"")"),0)</f>
        <v>0</v>
      </c>
      <c r="U67" s="345">
        <f t="shared" ca="1" si="33"/>
        <v>0</v>
      </c>
      <c r="V67" s="346">
        <f ca="1">IFERROR(__xludf.DUMMYFUNCTION("IMPORTRANGE(""https://docs.google.com/spreadsheets/d/1jQ6P4QcrGM89YfqcC_PxOHGCMq5ezhucwJd8ci-NHng/edit?usp=sharing"",""ราชบุรี!I315"")"),0)</f>
        <v>0</v>
      </c>
      <c r="W67" s="177">
        <f ca="1">IFERROR(__xludf.DUMMYFUNCTION("IMPORTRANGE(""https://docs.google.com/spreadsheets/d/1jQ6P4QcrGM89YfqcC_PxOHGCMq5ezhucwJd8ci-NHng/edit?usp=sharing"",""ราชบุรี!J315"")"),0)</f>
        <v>0</v>
      </c>
      <c r="X67" s="345">
        <f t="shared" ca="1" si="35"/>
        <v>0</v>
      </c>
      <c r="Y67" s="346">
        <f ca="1">IFERROR(__xludf.DUMMYFUNCTION("IMPORTRANGE(""https://docs.google.com/spreadsheets/d/1jQ6P4QcrGM89YfqcC_PxOHGCMq5ezhucwJd8ci-NHng/edit?usp=sharing"",""ราชบุรี!I316"")"),0)</f>
        <v>0</v>
      </c>
      <c r="Z67" s="177">
        <f ca="1">IFERROR(__xludf.DUMMYFUNCTION("IMPORTRANGE(""https://docs.google.com/spreadsheets/d/1jQ6P4QcrGM89YfqcC_PxOHGCMq5ezhucwJd8ci-NHng/edit?usp=sharing"",""ราชบุรี!J316"")"),0)</f>
        <v>0</v>
      </c>
      <c r="AA67" s="345">
        <f t="shared" ca="1" si="37"/>
        <v>0</v>
      </c>
      <c r="AB67" s="346">
        <f ca="1">IFERROR(__xludf.DUMMYFUNCTION("IMPORTRANGE(""https://docs.google.com/spreadsheets/d/1jQ6P4QcrGM89YfqcC_PxOHGCMq5ezhucwJd8ci-NHng/edit?usp=sharing"",""ราชบุรี!I317"")"),0)</f>
        <v>0</v>
      </c>
      <c r="AC67" s="177">
        <f ca="1">IFERROR(__xludf.DUMMYFUNCTION("IMPORTRANGE(""https://docs.google.com/spreadsheets/d/1jQ6P4QcrGM89YfqcC_PxOHGCMq5ezhucwJd8ci-NHng/edit?usp=sharing"",""ราชบุรี!J317"")"),0)</f>
        <v>0</v>
      </c>
      <c r="AD67" s="345">
        <f t="shared" ca="1" si="39"/>
        <v>0</v>
      </c>
    </row>
    <row r="68" spans="1:30" ht="24" customHeight="1" x14ac:dyDescent="0.3">
      <c r="A68" s="84">
        <v>16</v>
      </c>
      <c r="B68" s="85" t="s">
        <v>90</v>
      </c>
      <c r="C68" s="174">
        <f t="shared" ca="1" si="24"/>
        <v>203200</v>
      </c>
      <c r="D68" s="175">
        <f t="shared" ca="1" si="52"/>
        <v>203200</v>
      </c>
      <c r="E68" s="176">
        <f ca="1">IFERROR(__xludf.DUMMYFUNCTION("IMPORTRANGE(""https://docs.google.com/spreadsheets/d/1-uDff_7J0KD5mKrp0Vvzr7lt3OU09vwQwhkpOPPYv2Y/edit?usp=sharing"",""งบพรบ!DZ68"")"),102200)</f>
        <v>102200</v>
      </c>
      <c r="F68" s="176">
        <f ca="1">IFERROR(__xludf.DUMMYFUNCTION("IMPORTRANGE(""https://docs.google.com/spreadsheets/d/1-uDff_7J0KD5mKrp0Vvzr7lt3OU09vwQwhkpOPPYv2Y/edit?usp=sharing"",""งบพรบ!EA68"")"),101000)</f>
        <v>101000</v>
      </c>
      <c r="G68" s="176">
        <f ca="1">IFERROR(__xludf.DUMMYFUNCTION("IMPORTRANGE(""https://docs.google.com/spreadsheets/d/1-uDff_7J0KD5mKrp0Vvzr7lt3OU09vwQwhkpOPPYv2Y/edit?usp=sharing"",""งบพรบ!EB68"")"),0)</f>
        <v>0</v>
      </c>
      <c r="H68" s="176">
        <f ca="1">IFERROR(__xludf.DUMMYFUNCTION("IMPORTRANGE(""https://docs.google.com/spreadsheets/d/1-uDff_7J0KD5mKrp0Vvzr7lt3OU09vwQwhkpOPPYv2Y/edit?usp=sharing"",""งบพรบ!ED68"")"),151500)</f>
        <v>151500</v>
      </c>
      <c r="I68" s="176">
        <f ca="1">IFERROR(__xludf.DUMMYFUNCTION("IMPORTRANGE(""https://docs.google.com/spreadsheets/d/1-uDff_7J0KD5mKrp0Vvzr7lt3OU09vwQwhkpOPPYv2Y/edit?usp=sharing"",""งบพรบ!EE68"")"),0)</f>
        <v>0</v>
      </c>
      <c r="J68" s="176">
        <f t="shared" ca="1" si="26"/>
        <v>14840</v>
      </c>
      <c r="K68" s="181">
        <f t="shared" ca="1" si="27"/>
        <v>7.3031496062992129</v>
      </c>
      <c r="L68" s="176">
        <f ca="1">IFERROR(__xludf.DUMMYFUNCTION("IMPORTRANGE(""https://docs.google.com/spreadsheets/d/1-uDff_7J0KD5mKrp0Vvzr7lt3OU09vwQwhkpOPPYv2Y/edit?usp=sharing"",""งบพรบ!EF68"")"),14840)</f>
        <v>14840</v>
      </c>
      <c r="M68" s="179">
        <f t="shared" ca="1" si="28"/>
        <v>7.3031496062992129</v>
      </c>
      <c r="N68" s="179">
        <f t="shared" ca="1" si="29"/>
        <v>9.7953795379537958</v>
      </c>
      <c r="O68" s="180">
        <f ca="1">IFERROR(__xludf.DUMMYFUNCTION("IMPORTRANGE(""https://docs.google.com/spreadsheets/d/1-uDff_7J0KD5mKrp0Vvzr7lt3OU09vwQwhkpOPPYv2Y/edit?usp=sharing"",""งบพรบ!EG68"")"),0)</f>
        <v>0</v>
      </c>
      <c r="P68" s="180">
        <f t="shared" ca="1" si="30"/>
        <v>0</v>
      </c>
      <c r="Q68" s="179">
        <f t="shared" ca="1" si="31"/>
        <v>0</v>
      </c>
      <c r="R68" s="344">
        <f ca="1">IFERROR(__xludf.DUMMYFUNCTION("IMPORTRANGE(""https://docs.google.com/spreadsheets/d/1lufeA2cfFqM-elVq2hznhDzC6Pr7wkJ9ZG_sYNGCMCU/edit?usp=sharing"",""ลพบุรี!J313"")"),0)</f>
        <v>0</v>
      </c>
      <c r="S68" s="344">
        <f ca="1">IFERROR(__xludf.DUMMYFUNCTION("IMPORTRANGE(""https://docs.google.com/spreadsheets/d/1lufeA2cfFqM-elVq2hznhDzC6Pr7wkJ9ZG_sYNGCMCU/edit?usp=sharing"",""ลพบุรี!I314"")"),25)</f>
        <v>25</v>
      </c>
      <c r="T68" s="177">
        <f ca="1">IFERROR(__xludf.DUMMYFUNCTION("IMPORTRANGE(""https://docs.google.com/spreadsheets/d/1lufeA2cfFqM-elVq2hznhDzC6Pr7wkJ9ZG_sYNGCMCU/edit?usp=sharing"",""ลพบุรี!J314"")"),0)</f>
        <v>0</v>
      </c>
      <c r="U68" s="345">
        <f t="shared" ca="1" si="33"/>
        <v>0</v>
      </c>
      <c r="V68" s="344">
        <f ca="1">IFERROR(__xludf.DUMMYFUNCTION("IMPORTRANGE(""https://docs.google.com/spreadsheets/d/1lufeA2cfFqM-elVq2hznhDzC6Pr7wkJ9ZG_sYNGCMCU/edit?usp=sharing"",""ลพบุรี!I315"")"),5)</f>
        <v>5</v>
      </c>
      <c r="W68" s="177">
        <f ca="1">IFERROR(__xludf.DUMMYFUNCTION("IMPORTRANGE(""https://docs.google.com/spreadsheets/d/1lufeA2cfFqM-elVq2hznhDzC6Pr7wkJ9ZG_sYNGCMCU/edit?usp=sharing"",""ลพบุรี!J315"")"),0)</f>
        <v>0</v>
      </c>
      <c r="X68" s="345">
        <f t="shared" ca="1" si="35"/>
        <v>0</v>
      </c>
      <c r="Y68" s="344">
        <f ca="1">IFERROR(__xludf.DUMMYFUNCTION("IMPORTRANGE(""https://docs.google.com/spreadsheets/d/1lufeA2cfFqM-elVq2hznhDzC6Pr7wkJ9ZG_sYNGCMCU/edit?usp=sharing"",""ลพบุรี!I316"")"),25)</f>
        <v>25</v>
      </c>
      <c r="Z68" s="177">
        <f ca="1">IFERROR(__xludf.DUMMYFUNCTION("IMPORTRANGE(""https://docs.google.com/spreadsheets/d/1lufeA2cfFqM-elVq2hznhDzC6Pr7wkJ9ZG_sYNGCMCU/edit?usp=sharing"",""ลพบุรี!J316"")"),0)</f>
        <v>0</v>
      </c>
      <c r="AA68" s="345">
        <f t="shared" ca="1" si="37"/>
        <v>0</v>
      </c>
      <c r="AB68" s="344">
        <f ca="1">IFERROR(__xludf.DUMMYFUNCTION("IMPORTRANGE(""https://docs.google.com/spreadsheets/d/1lufeA2cfFqM-elVq2hznhDzC6Pr7wkJ9ZG_sYNGCMCU/edit?usp=sharing"",""ลพบุรี!I317"")"),5)</f>
        <v>5</v>
      </c>
      <c r="AC68" s="177">
        <f ca="1">IFERROR(__xludf.DUMMYFUNCTION("IMPORTRANGE(""https://docs.google.com/spreadsheets/d/1lufeA2cfFqM-elVq2hznhDzC6Pr7wkJ9ZG_sYNGCMCU/edit?usp=sharing"",""ลพบุรี!J317"")"),0)</f>
        <v>0</v>
      </c>
      <c r="AD68" s="345">
        <f t="shared" ca="1" si="39"/>
        <v>0</v>
      </c>
    </row>
    <row r="69" spans="1:30" ht="21" customHeight="1" x14ac:dyDescent="0.3">
      <c r="A69" s="84">
        <v>17</v>
      </c>
      <c r="B69" s="85" t="s">
        <v>91</v>
      </c>
      <c r="C69" s="174">
        <f t="shared" ca="1" si="24"/>
        <v>0</v>
      </c>
      <c r="D69" s="175">
        <f t="shared" ca="1" si="52"/>
        <v>0</v>
      </c>
      <c r="E69" s="176">
        <f ca="1">IFERROR(__xludf.DUMMYFUNCTION("IMPORTRANGE(""https://docs.google.com/spreadsheets/d/1-uDff_7J0KD5mKrp0Vvzr7lt3OU09vwQwhkpOPPYv2Y/edit?usp=sharing"",""งบพรบ!DZ69"")"),0)</f>
        <v>0</v>
      </c>
      <c r="F69" s="176">
        <f ca="1">IFERROR(__xludf.DUMMYFUNCTION("IMPORTRANGE(""https://docs.google.com/spreadsheets/d/1-uDff_7J0KD5mKrp0Vvzr7lt3OU09vwQwhkpOPPYv2Y/edit?usp=sharing"",""งบพรบ!EA69"")"),0)</f>
        <v>0</v>
      </c>
      <c r="G69" s="176">
        <f ca="1">IFERROR(__xludf.DUMMYFUNCTION("IMPORTRANGE(""https://docs.google.com/spreadsheets/d/1-uDff_7J0KD5mKrp0Vvzr7lt3OU09vwQwhkpOPPYv2Y/edit?usp=sharing"",""งบพรบ!EB69"")"),0)</f>
        <v>0</v>
      </c>
      <c r="H69" s="176">
        <f ca="1">IFERROR(__xludf.DUMMYFUNCTION("IMPORTRANGE(""https://docs.google.com/spreadsheets/d/1-uDff_7J0KD5mKrp0Vvzr7lt3OU09vwQwhkpOPPYv2Y/edit?usp=sharing"",""งบพรบ!ED69"")"),0)</f>
        <v>0</v>
      </c>
      <c r="I69" s="176">
        <f ca="1">IFERROR(__xludf.DUMMYFUNCTION("IMPORTRANGE(""https://docs.google.com/spreadsheets/d/1-uDff_7J0KD5mKrp0Vvzr7lt3OU09vwQwhkpOPPYv2Y/edit?usp=sharing"",""งบพรบ!EE69"")"),0)</f>
        <v>0</v>
      </c>
      <c r="J69" s="176">
        <f t="shared" ca="1" si="26"/>
        <v>0</v>
      </c>
      <c r="K69" s="181">
        <f t="shared" ca="1" si="27"/>
        <v>0</v>
      </c>
      <c r="L69" s="176">
        <f ca="1">IFERROR(__xludf.DUMMYFUNCTION("IMPORTRANGE(""https://docs.google.com/spreadsheets/d/1-uDff_7J0KD5mKrp0Vvzr7lt3OU09vwQwhkpOPPYv2Y/edit?usp=sharing"",""งบพรบ!EF69"")"),0)</f>
        <v>0</v>
      </c>
      <c r="M69" s="179">
        <f t="shared" ca="1" si="28"/>
        <v>0</v>
      </c>
      <c r="N69" s="179">
        <f t="shared" ca="1" si="29"/>
        <v>0</v>
      </c>
      <c r="O69" s="180">
        <f ca="1">IFERROR(__xludf.DUMMYFUNCTION("IMPORTRANGE(""https://docs.google.com/spreadsheets/d/1-uDff_7J0KD5mKrp0Vvzr7lt3OU09vwQwhkpOPPYv2Y/edit?usp=sharing"",""งบพรบ!EG69"")"),0)</f>
        <v>0</v>
      </c>
      <c r="P69" s="180">
        <f t="shared" ca="1" si="30"/>
        <v>0</v>
      </c>
      <c r="Q69" s="179">
        <f t="shared" ca="1" si="31"/>
        <v>0</v>
      </c>
      <c r="R69" s="344">
        <f ca="1">IFERROR(__xludf.DUMMYFUNCTION("IMPORTRANGE(""https://docs.google.com/spreadsheets/d/10oOiF7loTyfsTkbd4MpaIm0HQ9SwB7IYHdIUvt-U1Uc/edit?usp=sharing"",""สระแก้ว!J313"")"),0)</f>
        <v>0</v>
      </c>
      <c r="S69" s="344">
        <f ca="1">IFERROR(__xludf.DUMMYFUNCTION("IMPORTRANGE(""https://docs.google.com/spreadsheets/d/10oOiF7loTyfsTkbd4MpaIm0HQ9SwB7IYHdIUvt-U1Uc/edit?usp=sharing"",""สระแก้ว!I314"")"),0)</f>
        <v>0</v>
      </c>
      <c r="T69" s="177">
        <f ca="1">IFERROR(__xludf.DUMMYFUNCTION("IMPORTRANGE(""https://docs.google.com/spreadsheets/d/10oOiF7loTyfsTkbd4MpaIm0HQ9SwB7IYHdIUvt-U1Uc/edit?usp=sharing"",""สระแก้ว!J314"")"),0)</f>
        <v>0</v>
      </c>
      <c r="U69" s="345">
        <f t="shared" ca="1" si="33"/>
        <v>0</v>
      </c>
      <c r="V69" s="344">
        <f ca="1">IFERROR(__xludf.DUMMYFUNCTION("IMPORTRANGE(""https://docs.google.com/spreadsheets/d/10oOiF7loTyfsTkbd4MpaIm0HQ9SwB7IYHdIUvt-U1Uc/edit?usp=sharing"",""สระแก้ว!I315"")"),0)</f>
        <v>0</v>
      </c>
      <c r="W69" s="177">
        <f ca="1">IFERROR(__xludf.DUMMYFUNCTION("IMPORTRANGE(""https://docs.google.com/spreadsheets/d/10oOiF7loTyfsTkbd4MpaIm0HQ9SwB7IYHdIUvt-U1Uc/edit?usp=sharing"",""สระแก้ว!J315"")"),0)</f>
        <v>0</v>
      </c>
      <c r="X69" s="345">
        <f t="shared" ca="1" si="35"/>
        <v>0</v>
      </c>
      <c r="Y69" s="344">
        <f ca="1">IFERROR(__xludf.DUMMYFUNCTION("IMPORTRANGE(""https://docs.google.com/spreadsheets/d/10oOiF7loTyfsTkbd4MpaIm0HQ9SwB7IYHdIUvt-U1Uc/edit?usp=sharing"",""สระแก้ว!I316"")"),0)</f>
        <v>0</v>
      </c>
      <c r="Z69" s="177">
        <f ca="1">IFERROR(__xludf.DUMMYFUNCTION("IMPORTRANGE(""https://docs.google.com/spreadsheets/d/10oOiF7loTyfsTkbd4MpaIm0HQ9SwB7IYHdIUvt-U1Uc/edit?usp=sharing"",""สระแก้ว!J316"")"),0)</f>
        <v>0</v>
      </c>
      <c r="AA69" s="345">
        <f t="shared" ca="1" si="37"/>
        <v>0</v>
      </c>
      <c r="AB69" s="344">
        <f ca="1">IFERROR(__xludf.DUMMYFUNCTION("IMPORTRANGE(""https://docs.google.com/spreadsheets/d/10oOiF7loTyfsTkbd4MpaIm0HQ9SwB7IYHdIUvt-U1Uc/edit?usp=sharing"",""สระแก้ว!I317"")"),0)</f>
        <v>0</v>
      </c>
      <c r="AC69" s="177">
        <f ca="1">IFERROR(__xludf.DUMMYFUNCTION("IMPORTRANGE(""https://docs.google.com/spreadsheets/d/10oOiF7loTyfsTkbd4MpaIm0HQ9SwB7IYHdIUvt-U1Uc/edit?usp=sharing"",""สระแก้ว!J317"")"),0)</f>
        <v>0</v>
      </c>
      <c r="AD69" s="345">
        <f t="shared" ca="1" si="39"/>
        <v>0</v>
      </c>
    </row>
    <row r="70" spans="1:30" ht="21" customHeight="1" x14ac:dyDescent="0.3">
      <c r="A70" s="84">
        <v>18</v>
      </c>
      <c r="B70" s="85" t="s">
        <v>92</v>
      </c>
      <c r="C70" s="174">
        <f t="shared" ca="1" si="24"/>
        <v>0</v>
      </c>
      <c r="D70" s="175">
        <f t="shared" ca="1" si="52"/>
        <v>0</v>
      </c>
      <c r="E70" s="176">
        <f ca="1">IFERROR(__xludf.DUMMYFUNCTION("IMPORTRANGE(""https://docs.google.com/spreadsheets/d/1-uDff_7J0KD5mKrp0Vvzr7lt3OU09vwQwhkpOPPYv2Y/edit?usp=sharing"",""งบพรบ!DZ70"")"),0)</f>
        <v>0</v>
      </c>
      <c r="F70" s="176">
        <f ca="1">IFERROR(__xludf.DUMMYFUNCTION("IMPORTRANGE(""https://docs.google.com/spreadsheets/d/1-uDff_7J0KD5mKrp0Vvzr7lt3OU09vwQwhkpOPPYv2Y/edit?usp=sharing"",""งบพรบ!EA70"")"),0)</f>
        <v>0</v>
      </c>
      <c r="G70" s="176">
        <f ca="1">IFERROR(__xludf.DUMMYFUNCTION("IMPORTRANGE(""https://docs.google.com/spreadsheets/d/1-uDff_7J0KD5mKrp0Vvzr7lt3OU09vwQwhkpOPPYv2Y/edit?usp=sharing"",""งบพรบ!EB70"")"),0)</f>
        <v>0</v>
      </c>
      <c r="H70" s="176">
        <f ca="1">IFERROR(__xludf.DUMMYFUNCTION("IMPORTRANGE(""https://docs.google.com/spreadsheets/d/1-uDff_7J0KD5mKrp0Vvzr7lt3OU09vwQwhkpOPPYv2Y/edit?usp=sharing"",""งบพรบ!ED70"")"),0)</f>
        <v>0</v>
      </c>
      <c r="I70" s="176">
        <f ca="1">IFERROR(__xludf.DUMMYFUNCTION("IMPORTRANGE(""https://docs.google.com/spreadsheets/d/1-uDff_7J0KD5mKrp0Vvzr7lt3OU09vwQwhkpOPPYv2Y/edit?usp=sharing"",""งบพรบ!EE70"")"),0)</f>
        <v>0</v>
      </c>
      <c r="J70" s="176">
        <f t="shared" ca="1" si="26"/>
        <v>0</v>
      </c>
      <c r="K70" s="181">
        <f t="shared" ca="1" si="27"/>
        <v>0</v>
      </c>
      <c r="L70" s="176">
        <f ca="1">IFERROR(__xludf.DUMMYFUNCTION("IMPORTRANGE(""https://docs.google.com/spreadsheets/d/1-uDff_7J0KD5mKrp0Vvzr7lt3OU09vwQwhkpOPPYv2Y/edit?usp=sharing"",""งบพรบ!EF70"")"),0)</f>
        <v>0</v>
      </c>
      <c r="M70" s="179">
        <f t="shared" ca="1" si="28"/>
        <v>0</v>
      </c>
      <c r="N70" s="179">
        <f t="shared" ca="1" si="29"/>
        <v>0</v>
      </c>
      <c r="O70" s="180">
        <f ca="1">IFERROR(__xludf.DUMMYFUNCTION("IMPORTRANGE(""https://docs.google.com/spreadsheets/d/1-uDff_7J0KD5mKrp0Vvzr7lt3OU09vwQwhkpOPPYv2Y/edit?usp=sharing"",""งบพรบ!EG70"")"),0)</f>
        <v>0</v>
      </c>
      <c r="P70" s="180">
        <f t="shared" ca="1" si="30"/>
        <v>0</v>
      </c>
      <c r="Q70" s="179">
        <f t="shared" ca="1" si="31"/>
        <v>0</v>
      </c>
      <c r="R70" s="344">
        <f ca="1">IFERROR(__xludf.DUMMYFUNCTION("IMPORTRANGE(""https://docs.google.com/spreadsheets/d/1xmPlrr1QbdSIKvl1dWUl9K4PjAfSL9oeMr_37QVzcxc/edit?usp=sharing"",""สระบุรี!J313"")"),0)</f>
        <v>0</v>
      </c>
      <c r="S70" s="344">
        <f ca="1">IFERROR(__xludf.DUMMYFUNCTION("IMPORTRANGE(""https://docs.google.com/spreadsheets/d/1xmPlrr1QbdSIKvl1dWUl9K4PjAfSL9oeMr_37QVzcxc/edit?usp=sharing"",""สระบุรี!I314"")"),0)</f>
        <v>0</v>
      </c>
      <c r="T70" s="177">
        <f ca="1">IFERROR(__xludf.DUMMYFUNCTION("IMPORTRANGE(""https://docs.google.com/spreadsheets/d/1xmPlrr1QbdSIKvl1dWUl9K4PjAfSL9oeMr_37QVzcxc/edit?usp=sharing"",""สระบุรี!J314"")"),0)</f>
        <v>0</v>
      </c>
      <c r="U70" s="345">
        <f t="shared" ca="1" si="33"/>
        <v>0</v>
      </c>
      <c r="V70" s="344">
        <f ca="1">IFERROR(__xludf.DUMMYFUNCTION("IMPORTRANGE(""https://docs.google.com/spreadsheets/d/1xmPlrr1QbdSIKvl1dWUl9K4PjAfSL9oeMr_37QVzcxc/edit?usp=sharing"",""สระบุรี!I315"")"),0)</f>
        <v>0</v>
      </c>
      <c r="W70" s="177">
        <f ca="1">IFERROR(__xludf.DUMMYFUNCTION("IMPORTRANGE(""https://docs.google.com/spreadsheets/d/1xmPlrr1QbdSIKvl1dWUl9K4PjAfSL9oeMr_37QVzcxc/edit?usp=sharing"",""สระบุรี!J315"")"),0)</f>
        <v>0</v>
      </c>
      <c r="X70" s="345">
        <f t="shared" ca="1" si="35"/>
        <v>0</v>
      </c>
      <c r="Y70" s="344">
        <f ca="1">IFERROR(__xludf.DUMMYFUNCTION("IMPORTRANGE(""https://docs.google.com/spreadsheets/d/1xmPlrr1QbdSIKvl1dWUl9K4PjAfSL9oeMr_37QVzcxc/edit?usp=sharing"",""สระบุรี!I316"")"),0)</f>
        <v>0</v>
      </c>
      <c r="Z70" s="177">
        <f ca="1">IFERROR(__xludf.DUMMYFUNCTION("IMPORTRANGE(""https://docs.google.com/spreadsheets/d/1xmPlrr1QbdSIKvl1dWUl9K4PjAfSL9oeMr_37QVzcxc/edit?usp=sharing"",""สระบุรี!J316"")"),0)</f>
        <v>0</v>
      </c>
      <c r="AA70" s="345">
        <f t="shared" ca="1" si="37"/>
        <v>0</v>
      </c>
      <c r="AB70" s="344">
        <f ca="1">IFERROR(__xludf.DUMMYFUNCTION("IMPORTRANGE(""https://docs.google.com/spreadsheets/d/1xmPlrr1QbdSIKvl1dWUl9K4PjAfSL9oeMr_37QVzcxc/edit?usp=sharing"",""สระบุรี!I317"")"),0)</f>
        <v>0</v>
      </c>
      <c r="AC70" s="177">
        <f ca="1">IFERROR(__xludf.DUMMYFUNCTION("IMPORTRANGE(""https://docs.google.com/spreadsheets/d/1xmPlrr1QbdSIKvl1dWUl9K4PjAfSL9oeMr_37QVzcxc/edit?usp=sharing"",""สระบุรี!J317"")"),0)</f>
        <v>0</v>
      </c>
      <c r="AD70" s="345">
        <f t="shared" ca="1" si="39"/>
        <v>0</v>
      </c>
    </row>
    <row r="71" spans="1:30" ht="21" customHeight="1" x14ac:dyDescent="0.3">
      <c r="A71" s="84">
        <v>19</v>
      </c>
      <c r="B71" s="85" t="s">
        <v>93</v>
      </c>
      <c r="C71" s="174">
        <f t="shared" ca="1" si="24"/>
        <v>0</v>
      </c>
      <c r="D71" s="175">
        <f t="shared" ca="1" si="52"/>
        <v>0</v>
      </c>
      <c r="E71" s="176">
        <f ca="1">IFERROR(__xludf.DUMMYFUNCTION("IMPORTRANGE(""https://docs.google.com/spreadsheets/d/1-uDff_7J0KD5mKrp0Vvzr7lt3OU09vwQwhkpOPPYv2Y/edit?usp=sharing"",""งบพรบ!DZ71"")"),0)</f>
        <v>0</v>
      </c>
      <c r="F71" s="176">
        <f ca="1">IFERROR(__xludf.DUMMYFUNCTION("IMPORTRANGE(""https://docs.google.com/spreadsheets/d/1-uDff_7J0KD5mKrp0Vvzr7lt3OU09vwQwhkpOPPYv2Y/edit?usp=sharing"",""งบพรบ!EA71"")"),0)</f>
        <v>0</v>
      </c>
      <c r="G71" s="176">
        <f ca="1">IFERROR(__xludf.DUMMYFUNCTION("IMPORTRANGE(""https://docs.google.com/spreadsheets/d/1-uDff_7J0KD5mKrp0Vvzr7lt3OU09vwQwhkpOPPYv2Y/edit?usp=sharing"",""งบพรบ!EB71"")"),0)</f>
        <v>0</v>
      </c>
      <c r="H71" s="176">
        <f ca="1">IFERROR(__xludf.DUMMYFUNCTION("IMPORTRANGE(""https://docs.google.com/spreadsheets/d/1-uDff_7J0KD5mKrp0Vvzr7lt3OU09vwQwhkpOPPYv2Y/edit?usp=sharing"",""งบพรบ!ED71"")"),0)</f>
        <v>0</v>
      </c>
      <c r="I71" s="176">
        <f ca="1">IFERROR(__xludf.DUMMYFUNCTION("IMPORTRANGE(""https://docs.google.com/spreadsheets/d/1-uDff_7J0KD5mKrp0Vvzr7lt3OU09vwQwhkpOPPYv2Y/edit?usp=sharing"",""งบพรบ!EE71"")"),0)</f>
        <v>0</v>
      </c>
      <c r="J71" s="176">
        <f t="shared" ca="1" si="26"/>
        <v>0</v>
      </c>
      <c r="K71" s="181">
        <f t="shared" ca="1" si="27"/>
        <v>0</v>
      </c>
      <c r="L71" s="176">
        <f ca="1">IFERROR(__xludf.DUMMYFUNCTION("IMPORTRANGE(""https://docs.google.com/spreadsheets/d/1-uDff_7J0KD5mKrp0Vvzr7lt3OU09vwQwhkpOPPYv2Y/edit?usp=sharing"",""งบพรบ!EF71"")"),0)</f>
        <v>0</v>
      </c>
      <c r="M71" s="179">
        <f t="shared" ca="1" si="28"/>
        <v>0</v>
      </c>
      <c r="N71" s="179">
        <f t="shared" ca="1" si="29"/>
        <v>0</v>
      </c>
      <c r="O71" s="180">
        <f ca="1">IFERROR(__xludf.DUMMYFUNCTION("IMPORTRANGE(""https://docs.google.com/spreadsheets/d/1-uDff_7J0KD5mKrp0Vvzr7lt3OU09vwQwhkpOPPYv2Y/edit?usp=sharing"",""งบพรบ!EG71"")"),0)</f>
        <v>0</v>
      </c>
      <c r="P71" s="180">
        <f t="shared" ca="1" si="30"/>
        <v>0</v>
      </c>
      <c r="Q71" s="179">
        <f t="shared" ca="1" si="31"/>
        <v>0</v>
      </c>
      <c r="R71" s="344">
        <f ca="1">IFERROR(__xludf.DUMMYFUNCTION("IMPORTRANGE(""https://docs.google.com/spreadsheets/d/1j51vR6CYVGhABJpv6tkstgok82RLpXieLzW1yOY5rHw/edit?usp=sharing"",""สิงห์บุรี!J313"")"),0)</f>
        <v>0</v>
      </c>
      <c r="S71" s="344">
        <f ca="1">IFERROR(__xludf.DUMMYFUNCTION("IMPORTRANGE(""https://docs.google.com/spreadsheets/d/1j51vR6CYVGhABJpv6tkstgok82RLpXieLzW1yOY5rHw/edit?usp=sharing"",""สิงห์บุรี!I314"")"),0)</f>
        <v>0</v>
      </c>
      <c r="T71" s="177">
        <f ca="1">IFERROR(__xludf.DUMMYFUNCTION("IMPORTRANGE(""https://docs.google.com/spreadsheets/d/1j51vR6CYVGhABJpv6tkstgok82RLpXieLzW1yOY5rHw/edit?usp=sharing"",""สิงห์บุรี!J314"")"),0)</f>
        <v>0</v>
      </c>
      <c r="U71" s="345">
        <f t="shared" ca="1" si="33"/>
        <v>0</v>
      </c>
      <c r="V71" s="344">
        <f ca="1">IFERROR(__xludf.DUMMYFUNCTION("IMPORTRANGE(""https://docs.google.com/spreadsheets/d/1j51vR6CYVGhABJpv6tkstgok82RLpXieLzW1yOY5rHw/edit?usp=sharing"",""สิงห์บุรี!I315"")"),0)</f>
        <v>0</v>
      </c>
      <c r="W71" s="177">
        <f ca="1">IFERROR(__xludf.DUMMYFUNCTION("IMPORTRANGE(""https://docs.google.com/spreadsheets/d/1j51vR6CYVGhABJpv6tkstgok82RLpXieLzW1yOY5rHw/edit?usp=sharing"",""สิงห์บุรี!J315"")"),0)</f>
        <v>0</v>
      </c>
      <c r="X71" s="345">
        <f t="shared" ca="1" si="35"/>
        <v>0</v>
      </c>
      <c r="Y71" s="344">
        <f ca="1">IFERROR(__xludf.DUMMYFUNCTION("IMPORTRANGE(""https://docs.google.com/spreadsheets/d/1j51vR6CYVGhABJpv6tkstgok82RLpXieLzW1yOY5rHw/edit?usp=sharing"",""สิงห์บุรี!I316"")"),0)</f>
        <v>0</v>
      </c>
      <c r="Z71" s="177">
        <f ca="1">IFERROR(__xludf.DUMMYFUNCTION("IMPORTRANGE(""https://docs.google.com/spreadsheets/d/1j51vR6CYVGhABJpv6tkstgok82RLpXieLzW1yOY5rHw/edit?usp=sharing"",""สิงห์บุรี!J316"")"),0)</f>
        <v>0</v>
      </c>
      <c r="AA71" s="345">
        <f t="shared" ca="1" si="37"/>
        <v>0</v>
      </c>
      <c r="AB71" s="344">
        <f ca="1">IFERROR(__xludf.DUMMYFUNCTION("IMPORTRANGE(""https://docs.google.com/spreadsheets/d/1j51vR6CYVGhABJpv6tkstgok82RLpXieLzW1yOY5rHw/edit?usp=sharing"",""สิงห์บุรี!I317"")"),0)</f>
        <v>0</v>
      </c>
      <c r="AC71" s="177">
        <f ca="1">IFERROR(__xludf.DUMMYFUNCTION("IMPORTRANGE(""https://docs.google.com/spreadsheets/d/1j51vR6CYVGhABJpv6tkstgok82RLpXieLzW1yOY5rHw/edit?usp=sharing"",""สิงห์บุรี!J317"")"),0)</f>
        <v>0</v>
      </c>
      <c r="AD71" s="345">
        <f t="shared" ca="1" si="39"/>
        <v>0</v>
      </c>
    </row>
    <row r="72" spans="1:30" ht="21" customHeight="1" x14ac:dyDescent="0.3">
      <c r="A72" s="84">
        <v>20</v>
      </c>
      <c r="B72" s="85" t="s">
        <v>94</v>
      </c>
      <c r="C72" s="174">
        <f t="shared" ca="1" si="24"/>
        <v>217100</v>
      </c>
      <c r="D72" s="175">
        <f t="shared" ca="1" si="52"/>
        <v>217100</v>
      </c>
      <c r="E72" s="176">
        <f ca="1">IFERROR(__xludf.DUMMYFUNCTION("IMPORTRANGE(""https://docs.google.com/spreadsheets/d/1-uDff_7J0KD5mKrp0Vvzr7lt3OU09vwQwhkpOPPYv2Y/edit?usp=sharing"",""งบพรบ!DZ72"")"),153300)</f>
        <v>153300</v>
      </c>
      <c r="F72" s="176">
        <f ca="1">IFERROR(__xludf.DUMMYFUNCTION("IMPORTRANGE(""https://docs.google.com/spreadsheets/d/1-uDff_7J0KD5mKrp0Vvzr7lt3OU09vwQwhkpOPPYv2Y/edit?usp=sharing"",""งบพรบ!EA72"")"),63800)</f>
        <v>63800</v>
      </c>
      <c r="G72" s="176">
        <f ca="1">IFERROR(__xludf.DUMMYFUNCTION("IMPORTRANGE(""https://docs.google.com/spreadsheets/d/1-uDff_7J0KD5mKrp0Vvzr7lt3OU09vwQwhkpOPPYv2Y/edit?usp=sharing"",""งบพรบ!EB72"")"),0)</f>
        <v>0</v>
      </c>
      <c r="H72" s="176">
        <f ca="1">IFERROR(__xludf.DUMMYFUNCTION("IMPORTRANGE(""https://docs.google.com/spreadsheets/d/1-uDff_7J0KD5mKrp0Vvzr7lt3OU09vwQwhkpOPPYv2Y/edit?usp=sharing"",""งบพรบ!ED72"")"),159800)</f>
        <v>159800</v>
      </c>
      <c r="I72" s="176">
        <f ca="1">IFERROR(__xludf.DUMMYFUNCTION("IMPORTRANGE(""https://docs.google.com/spreadsheets/d/1-uDff_7J0KD5mKrp0Vvzr7lt3OU09vwQwhkpOPPYv2Y/edit?usp=sharing"",""งบพรบ!EE72"")"),0)</f>
        <v>0</v>
      </c>
      <c r="J72" s="176">
        <f t="shared" ca="1" si="26"/>
        <v>33840</v>
      </c>
      <c r="K72" s="181">
        <f t="shared" ca="1" si="27"/>
        <v>15.587286964532474</v>
      </c>
      <c r="L72" s="176">
        <f ca="1">IFERROR(__xludf.DUMMYFUNCTION("IMPORTRANGE(""https://docs.google.com/spreadsheets/d/1-uDff_7J0KD5mKrp0Vvzr7lt3OU09vwQwhkpOPPYv2Y/edit?usp=sharing"",""งบพรบ!EF72"")"),33840)</f>
        <v>33840</v>
      </c>
      <c r="M72" s="179">
        <f t="shared" ca="1" si="28"/>
        <v>15.587286964532474</v>
      </c>
      <c r="N72" s="179">
        <f t="shared" ca="1" si="29"/>
        <v>21.176470588235293</v>
      </c>
      <c r="O72" s="180">
        <f ca="1">IFERROR(__xludf.DUMMYFUNCTION("IMPORTRANGE(""https://docs.google.com/spreadsheets/d/1-uDff_7J0KD5mKrp0Vvzr7lt3OU09vwQwhkpOPPYv2Y/edit?usp=sharing"",""งบพรบ!EG72"")"),0)</f>
        <v>0</v>
      </c>
      <c r="P72" s="180">
        <f t="shared" ca="1" si="30"/>
        <v>0</v>
      </c>
      <c r="Q72" s="179">
        <f t="shared" ca="1" si="31"/>
        <v>0</v>
      </c>
      <c r="R72" s="344">
        <f ca="1">IFERROR(__xludf.DUMMYFUNCTION("IMPORTRANGE(""https://docs.google.com/spreadsheets/d/1H1EalTWKUSzO4Z1-1CwzoDUaVffgrThEBe2sl74kKG0/edit?usp=sharing"",""สุพรรณบุรี!J313"")"),0)</f>
        <v>0</v>
      </c>
      <c r="S72" s="344">
        <f ca="1">IFERROR(__xludf.DUMMYFUNCTION("IMPORTRANGE(""https://docs.google.com/spreadsheets/d/1H1EalTWKUSzO4Z1-1CwzoDUaVffgrThEBe2sl74kKG0/edit?usp=sharing"",""สุพรรณบุรี!I314"")"),15)</f>
        <v>15</v>
      </c>
      <c r="T72" s="177">
        <f ca="1">IFERROR(__xludf.DUMMYFUNCTION("IMPORTRANGE(""https://docs.google.com/spreadsheets/d/1H1EalTWKUSzO4Z1-1CwzoDUaVffgrThEBe2sl74kKG0/edit?usp=sharing"",""สุพรรณบุรี!J314"")"),0)</f>
        <v>0</v>
      </c>
      <c r="U72" s="345">
        <f t="shared" ca="1" si="33"/>
        <v>0</v>
      </c>
      <c r="V72" s="344">
        <f ca="1">IFERROR(__xludf.DUMMYFUNCTION("IMPORTRANGE(""https://docs.google.com/spreadsheets/d/1H1EalTWKUSzO4Z1-1CwzoDUaVffgrThEBe2sl74kKG0/edit?usp=sharing"",""สุพรรณบุรี!I315"")"),3)</f>
        <v>3</v>
      </c>
      <c r="W72" s="177">
        <f ca="1">IFERROR(__xludf.DUMMYFUNCTION("IMPORTRANGE(""https://docs.google.com/spreadsheets/d/1H1EalTWKUSzO4Z1-1CwzoDUaVffgrThEBe2sl74kKG0/edit?usp=sharing"",""สุพรรณบุรี!J315"")"),0)</f>
        <v>0</v>
      </c>
      <c r="X72" s="345">
        <f t="shared" ca="1" si="35"/>
        <v>0</v>
      </c>
      <c r="Y72" s="344">
        <f ca="1">IFERROR(__xludf.DUMMYFUNCTION("IMPORTRANGE(""https://docs.google.com/spreadsheets/d/1H1EalTWKUSzO4Z1-1CwzoDUaVffgrThEBe2sl74kKG0/edit?usp=sharing"",""สุพรรณบุรี!I316"")"),15)</f>
        <v>15</v>
      </c>
      <c r="Z72" s="177">
        <f ca="1">IFERROR(__xludf.DUMMYFUNCTION("IMPORTRANGE(""https://docs.google.com/spreadsheets/d/1H1EalTWKUSzO4Z1-1CwzoDUaVffgrThEBe2sl74kKG0/edit?usp=sharing"",""สุพรรณบุรี!J316"")"),0)</f>
        <v>0</v>
      </c>
      <c r="AA72" s="345">
        <f t="shared" ca="1" si="37"/>
        <v>0</v>
      </c>
      <c r="AB72" s="344">
        <f ca="1">IFERROR(__xludf.DUMMYFUNCTION("IMPORTRANGE(""https://docs.google.com/spreadsheets/d/1H1EalTWKUSzO4Z1-1CwzoDUaVffgrThEBe2sl74kKG0/edit?usp=sharing"",""สุพรรณบุรี!I317"")"),3)</f>
        <v>3</v>
      </c>
      <c r="AC72" s="177">
        <f ca="1">IFERROR(__xludf.DUMMYFUNCTION("IMPORTRANGE(""https://docs.google.com/spreadsheets/d/1H1EalTWKUSzO4Z1-1CwzoDUaVffgrThEBe2sl74kKG0/edit?usp=sharing"",""สุพรรณบุรี!J317"")"),0)</f>
        <v>0</v>
      </c>
      <c r="AD72" s="345">
        <f t="shared" ca="1" si="39"/>
        <v>0</v>
      </c>
    </row>
    <row r="73" spans="1:30" ht="21" customHeight="1" x14ac:dyDescent="0.3">
      <c r="A73" s="95">
        <v>21</v>
      </c>
      <c r="B73" s="96" t="s">
        <v>95</v>
      </c>
      <c r="C73" s="184">
        <f t="shared" ca="1" si="24"/>
        <v>0</v>
      </c>
      <c r="D73" s="185">
        <f t="shared" ca="1" si="52"/>
        <v>0</v>
      </c>
      <c r="E73" s="186">
        <f ca="1">IFERROR(__xludf.DUMMYFUNCTION("IMPORTRANGE(""https://docs.google.com/spreadsheets/d/1-uDff_7J0KD5mKrp0Vvzr7lt3OU09vwQwhkpOPPYv2Y/edit?usp=sharing"",""งบพรบ!DZ73"")"),0)</f>
        <v>0</v>
      </c>
      <c r="F73" s="186">
        <f ca="1">IFERROR(__xludf.DUMMYFUNCTION("IMPORTRANGE(""https://docs.google.com/spreadsheets/d/1-uDff_7J0KD5mKrp0Vvzr7lt3OU09vwQwhkpOPPYv2Y/edit?usp=sharing"",""งบพรบ!EA73"")"),0)</f>
        <v>0</v>
      </c>
      <c r="G73" s="186">
        <f ca="1">IFERROR(__xludf.DUMMYFUNCTION("IMPORTRANGE(""https://docs.google.com/spreadsheets/d/1-uDff_7J0KD5mKrp0Vvzr7lt3OU09vwQwhkpOPPYv2Y/edit?usp=sharing"",""งบพรบ!EB73"")"),0)</f>
        <v>0</v>
      </c>
      <c r="H73" s="186">
        <f ca="1">IFERROR(__xludf.DUMMYFUNCTION("IMPORTRANGE(""https://docs.google.com/spreadsheets/d/1-uDff_7J0KD5mKrp0Vvzr7lt3OU09vwQwhkpOPPYv2Y/edit?usp=sharing"",""งบพรบ!ED73"")"),0)</f>
        <v>0</v>
      </c>
      <c r="I73" s="186">
        <f ca="1">IFERROR(__xludf.DUMMYFUNCTION("IMPORTRANGE(""https://docs.google.com/spreadsheets/d/1-uDff_7J0KD5mKrp0Vvzr7lt3OU09vwQwhkpOPPYv2Y/edit?usp=sharing"",""งบพรบ!EE73"")"),0)</f>
        <v>0</v>
      </c>
      <c r="J73" s="186">
        <f t="shared" ca="1" si="26"/>
        <v>0</v>
      </c>
      <c r="K73" s="187">
        <f t="shared" ca="1" si="27"/>
        <v>0</v>
      </c>
      <c r="L73" s="186">
        <f ca="1">IFERROR(__xludf.DUMMYFUNCTION("IMPORTRANGE(""https://docs.google.com/spreadsheets/d/1-uDff_7J0KD5mKrp0Vvzr7lt3OU09vwQwhkpOPPYv2Y/edit?usp=sharing"",""งบพรบ!EF73"")"),0)</f>
        <v>0</v>
      </c>
      <c r="M73" s="188">
        <f t="shared" ca="1" si="28"/>
        <v>0</v>
      </c>
      <c r="N73" s="188">
        <f t="shared" ca="1" si="29"/>
        <v>0</v>
      </c>
      <c r="O73" s="189">
        <f ca="1">IFERROR(__xludf.DUMMYFUNCTION("IMPORTRANGE(""https://docs.google.com/spreadsheets/d/1-uDff_7J0KD5mKrp0Vvzr7lt3OU09vwQwhkpOPPYv2Y/edit?usp=sharing"",""งบพรบ!EG73"")"),0)</f>
        <v>0</v>
      </c>
      <c r="P73" s="189">
        <f t="shared" ca="1" si="30"/>
        <v>0</v>
      </c>
      <c r="Q73" s="188">
        <f t="shared" ca="1" si="31"/>
        <v>0</v>
      </c>
      <c r="R73" s="347">
        <f ca="1">IFERROR(__xludf.DUMMYFUNCTION("IMPORTRANGE(""https://docs.google.com/spreadsheets/d/1BmIruG_sIrJLYao_Pdr7zVArWsfoBt2692TMi6x_854/edit?usp=sharing"",""อ่างทอง!J313"")"),0)</f>
        <v>0</v>
      </c>
      <c r="S73" s="347">
        <f ca="1">IFERROR(__xludf.DUMMYFUNCTION("IMPORTRANGE(""https://docs.google.com/spreadsheets/d/1BmIruG_sIrJLYao_Pdr7zVArWsfoBt2692TMi6x_854/edit?usp=sharing"",""อ่างทอง!I314"")"),0)</f>
        <v>0</v>
      </c>
      <c r="T73" s="190">
        <f ca="1">IFERROR(__xludf.DUMMYFUNCTION("IMPORTRANGE(""https://docs.google.com/spreadsheets/d/1BmIruG_sIrJLYao_Pdr7zVArWsfoBt2692TMi6x_854/edit?usp=sharing"",""อ่างทอง!J314"")"),0)</f>
        <v>0</v>
      </c>
      <c r="U73" s="348">
        <f t="shared" ca="1" si="33"/>
        <v>0</v>
      </c>
      <c r="V73" s="347">
        <f ca="1">IFERROR(__xludf.DUMMYFUNCTION("IMPORTRANGE(""https://docs.google.com/spreadsheets/d/1BmIruG_sIrJLYao_Pdr7zVArWsfoBt2692TMi6x_854/edit?usp=sharing"",""อ่างทอง!I315"")"),0)</f>
        <v>0</v>
      </c>
      <c r="W73" s="190">
        <f ca="1">IFERROR(__xludf.DUMMYFUNCTION("IMPORTRANGE(""https://docs.google.com/spreadsheets/d/1BmIruG_sIrJLYao_Pdr7zVArWsfoBt2692TMi6x_854/edit?usp=sharing"",""อ่างทอง!J315"")"),0)</f>
        <v>0</v>
      </c>
      <c r="X73" s="348">
        <f t="shared" ca="1" si="35"/>
        <v>0</v>
      </c>
      <c r="Y73" s="347">
        <f ca="1">IFERROR(__xludf.DUMMYFUNCTION("IMPORTRANGE(""https://docs.google.com/spreadsheets/d/1BmIruG_sIrJLYao_Pdr7zVArWsfoBt2692TMi6x_854/edit?usp=sharing"",""อ่างทอง!I316"")"),0)</f>
        <v>0</v>
      </c>
      <c r="Z73" s="190">
        <f ca="1">IFERROR(__xludf.DUMMYFUNCTION("IMPORTRANGE(""https://docs.google.com/spreadsheets/d/1BmIruG_sIrJLYao_Pdr7zVArWsfoBt2692TMi6x_854/edit?usp=sharing"",""อ่างทอง!J316"")"),0)</f>
        <v>0</v>
      </c>
      <c r="AA73" s="348">
        <f t="shared" ca="1" si="37"/>
        <v>0</v>
      </c>
      <c r="AB73" s="347">
        <f ca="1">IFERROR(__xludf.DUMMYFUNCTION("IMPORTRANGE(""https://docs.google.com/spreadsheets/d/1BmIruG_sIrJLYao_Pdr7zVArWsfoBt2692TMi6x_854/edit?usp=sharing"",""อ่างทอง!I317"")"),0)</f>
        <v>0</v>
      </c>
      <c r="AC73" s="190">
        <f ca="1">IFERROR(__xludf.DUMMYFUNCTION("IMPORTRANGE(""https://docs.google.com/spreadsheets/d/1BmIruG_sIrJLYao_Pdr7zVArWsfoBt2692TMi6x_854/edit?usp=sharing"",""อ่างทอง!J317"")"),0)</f>
        <v>0</v>
      </c>
      <c r="AD73" s="348">
        <f t="shared" ca="1" si="39"/>
        <v>0</v>
      </c>
    </row>
    <row r="74" spans="1:30" ht="21" customHeight="1" x14ac:dyDescent="0.3">
      <c r="A74" s="394" t="s">
        <v>96</v>
      </c>
      <c r="B74" s="374"/>
      <c r="C74" s="154">
        <f t="shared" ca="1" si="24"/>
        <v>299500</v>
      </c>
      <c r="D74" s="154">
        <f t="shared" ref="D74:I74" ca="1" si="53">SUM(D75:D88)</f>
        <v>299500</v>
      </c>
      <c r="E74" s="154">
        <f t="shared" ca="1" si="53"/>
        <v>153300</v>
      </c>
      <c r="F74" s="154">
        <f t="shared" ca="1" si="53"/>
        <v>146200</v>
      </c>
      <c r="G74" s="154">
        <f t="shared" ca="1" si="53"/>
        <v>0</v>
      </c>
      <c r="H74" s="154">
        <f t="shared" ca="1" si="53"/>
        <v>224200</v>
      </c>
      <c r="I74" s="154">
        <f t="shared" ca="1" si="53"/>
        <v>0</v>
      </c>
      <c r="J74" s="154">
        <f t="shared" ca="1" si="26"/>
        <v>36264.39</v>
      </c>
      <c r="K74" s="155">
        <f t="shared" ca="1" si="27"/>
        <v>12.108310517529215</v>
      </c>
      <c r="L74" s="154">
        <f ca="1">SUM(L75:L88)</f>
        <v>36264.39</v>
      </c>
      <c r="M74" s="156">
        <f t="shared" ca="1" si="28"/>
        <v>12.108310517529215</v>
      </c>
      <c r="N74" s="156">
        <f t="shared" ca="1" si="29"/>
        <v>16.175017841213201</v>
      </c>
      <c r="O74" s="157">
        <f ca="1">SUM(O75:O88)</f>
        <v>0</v>
      </c>
      <c r="P74" s="157">
        <f t="shared" ca="1" si="30"/>
        <v>0</v>
      </c>
      <c r="Q74" s="156">
        <f t="shared" ca="1" si="31"/>
        <v>0</v>
      </c>
      <c r="R74" s="338">
        <f t="shared" ref="R74:T74" ca="1" si="54">SUM(R75:R88)</f>
        <v>0</v>
      </c>
      <c r="S74" s="339">
        <f t="shared" ca="1" si="54"/>
        <v>35</v>
      </c>
      <c r="T74" s="154">
        <f t="shared" ca="1" si="54"/>
        <v>0</v>
      </c>
      <c r="U74" s="156">
        <f t="shared" ca="1" si="33"/>
        <v>0</v>
      </c>
      <c r="V74" s="339">
        <f t="shared" ref="V74:W74" ca="1" si="55">SUM(V75:V88)</f>
        <v>7</v>
      </c>
      <c r="W74" s="154">
        <f t="shared" ca="1" si="55"/>
        <v>0</v>
      </c>
      <c r="X74" s="156">
        <f t="shared" ca="1" si="35"/>
        <v>0</v>
      </c>
      <c r="Y74" s="339">
        <f t="shared" ref="Y74:Z74" ca="1" si="56">SUM(Y75:Y88)</f>
        <v>35</v>
      </c>
      <c r="Z74" s="154">
        <f t="shared" ca="1" si="56"/>
        <v>0</v>
      </c>
      <c r="AA74" s="156">
        <f t="shared" ca="1" si="37"/>
        <v>0</v>
      </c>
      <c r="AB74" s="339">
        <f t="shared" ref="AB74:AC74" ca="1" si="57">SUM(AB75:AB88)</f>
        <v>7</v>
      </c>
      <c r="AC74" s="154">
        <f t="shared" ca="1" si="57"/>
        <v>0</v>
      </c>
      <c r="AD74" s="156">
        <f t="shared" ca="1" si="39"/>
        <v>0</v>
      </c>
    </row>
    <row r="75" spans="1:30" ht="21" customHeight="1" x14ac:dyDescent="0.3">
      <c r="A75" s="74">
        <v>1</v>
      </c>
      <c r="B75" s="75" t="s">
        <v>97</v>
      </c>
      <c r="C75" s="174">
        <f t="shared" ca="1" si="24"/>
        <v>0</v>
      </c>
      <c r="D75" s="175">
        <f t="shared" ref="D75:D88" ca="1" si="58">+E75+F75</f>
        <v>0</v>
      </c>
      <c r="E75" s="176">
        <f ca="1">IFERROR(__xludf.DUMMYFUNCTION("IMPORTRANGE(""https://docs.google.com/spreadsheets/d/1-uDff_7J0KD5mKrp0Vvzr7lt3OU09vwQwhkpOPPYv2Y/edit?usp=sharing"",""งบพรบ!DZ75"")"),0)</f>
        <v>0</v>
      </c>
      <c r="F75" s="176">
        <f ca="1">IFERROR(__xludf.DUMMYFUNCTION("IMPORTRANGE(""https://docs.google.com/spreadsheets/d/1-uDff_7J0KD5mKrp0Vvzr7lt3OU09vwQwhkpOPPYv2Y/edit?usp=sharing"",""งบพรบ!EA75"")"),0)</f>
        <v>0</v>
      </c>
      <c r="G75" s="176">
        <f ca="1">IFERROR(__xludf.DUMMYFUNCTION("IMPORTRANGE(""https://docs.google.com/spreadsheets/d/1-uDff_7J0KD5mKrp0Vvzr7lt3OU09vwQwhkpOPPYv2Y/edit?usp=sharing"",""งบพรบ!EB75"")"),0)</f>
        <v>0</v>
      </c>
      <c r="H75" s="176">
        <f ca="1">IFERROR(__xludf.DUMMYFUNCTION("IMPORTRANGE(""https://docs.google.com/spreadsheets/d/1-uDff_7J0KD5mKrp0Vvzr7lt3OU09vwQwhkpOPPYv2Y/edit?usp=sharing"",""งบพรบ!ED75"")"),0)</f>
        <v>0</v>
      </c>
      <c r="I75" s="176">
        <f ca="1">IFERROR(__xludf.DUMMYFUNCTION("IMPORTRANGE(""https://docs.google.com/spreadsheets/d/1-uDff_7J0KD5mKrp0Vvzr7lt3OU09vwQwhkpOPPYv2Y/edit?usp=sharing"",""งบพรบ!EE75"")"),0)</f>
        <v>0</v>
      </c>
      <c r="J75" s="176">
        <f t="shared" ca="1" si="26"/>
        <v>0</v>
      </c>
      <c r="K75" s="181">
        <f t="shared" ca="1" si="27"/>
        <v>0</v>
      </c>
      <c r="L75" s="176">
        <f ca="1">IFERROR(__xludf.DUMMYFUNCTION("IMPORTRANGE(""https://docs.google.com/spreadsheets/d/1-uDff_7J0KD5mKrp0Vvzr7lt3OU09vwQwhkpOPPYv2Y/edit?usp=sharing"",""งบพรบ!EF75"")"),0)</f>
        <v>0</v>
      </c>
      <c r="M75" s="179">
        <f t="shared" ca="1" si="28"/>
        <v>0</v>
      </c>
      <c r="N75" s="179">
        <f t="shared" ca="1" si="29"/>
        <v>0</v>
      </c>
      <c r="O75" s="180">
        <f ca="1">IFERROR(__xludf.DUMMYFUNCTION("IMPORTRANGE(""https://docs.google.com/spreadsheets/d/1-uDff_7J0KD5mKrp0Vvzr7lt3OU09vwQwhkpOPPYv2Y/edit?usp=sharing"",""งบพรบ!EG75"")"),0)</f>
        <v>0</v>
      </c>
      <c r="P75" s="180">
        <f t="shared" ca="1" si="30"/>
        <v>0</v>
      </c>
      <c r="Q75" s="179">
        <f t="shared" ca="1" si="31"/>
        <v>0</v>
      </c>
      <c r="R75" s="344">
        <f ca="1">IFERROR(__xludf.DUMMYFUNCTION("IMPORTRANGE(""https://docs.google.com/spreadsheets/d/1kKUcYdkIfrgTSj8iHHHB2MD2FAtwyyocFgqGQn6ADyI/edit?usp=sharing"",""กระบี่!J313"")"),0)</f>
        <v>0</v>
      </c>
      <c r="S75" s="344">
        <f ca="1">IFERROR(__xludf.DUMMYFUNCTION("IMPORTRANGE(""https://docs.google.com/spreadsheets/d/1kKUcYdkIfrgTSj8iHHHB2MD2FAtwyyocFgqGQn6ADyI/edit?usp=sharing"",""กระบี่!I314"")"),0)</f>
        <v>0</v>
      </c>
      <c r="T75" s="177">
        <f ca="1">IFERROR(__xludf.DUMMYFUNCTION("IMPORTRANGE(""https://docs.google.com/spreadsheets/d/1kKUcYdkIfrgTSj8iHHHB2MD2FAtwyyocFgqGQn6ADyI/edit?usp=sharing"",""กระบี่!J314"")"),0)</f>
        <v>0</v>
      </c>
      <c r="U75" s="345">
        <f t="shared" ca="1" si="33"/>
        <v>0</v>
      </c>
      <c r="V75" s="344">
        <f ca="1">IFERROR(__xludf.DUMMYFUNCTION("IMPORTRANGE(""https://docs.google.com/spreadsheets/d/1kKUcYdkIfrgTSj8iHHHB2MD2FAtwyyocFgqGQn6ADyI/edit?usp=sharing"",""กระบี่!I315"")"),0)</f>
        <v>0</v>
      </c>
      <c r="W75" s="177">
        <f ca="1">IFERROR(__xludf.DUMMYFUNCTION("IMPORTRANGE(""https://docs.google.com/spreadsheets/d/1kKUcYdkIfrgTSj8iHHHB2MD2FAtwyyocFgqGQn6ADyI/edit?usp=sharing"",""กระบี่!J315"")"),0)</f>
        <v>0</v>
      </c>
      <c r="X75" s="345">
        <f t="shared" ca="1" si="35"/>
        <v>0</v>
      </c>
      <c r="Y75" s="344">
        <f ca="1">IFERROR(__xludf.DUMMYFUNCTION("IMPORTRANGE(""https://docs.google.com/spreadsheets/d/1kKUcYdkIfrgTSj8iHHHB2MD2FAtwyyocFgqGQn6ADyI/edit?usp=sharing"",""กระบี่!I316"")"),0)</f>
        <v>0</v>
      </c>
      <c r="Z75" s="177">
        <f ca="1">IFERROR(__xludf.DUMMYFUNCTION("IMPORTRANGE(""https://docs.google.com/spreadsheets/d/1kKUcYdkIfrgTSj8iHHHB2MD2FAtwyyocFgqGQn6ADyI/edit?usp=sharing"",""กระบี่!J316"")"),0)</f>
        <v>0</v>
      </c>
      <c r="AA75" s="345">
        <f t="shared" ca="1" si="37"/>
        <v>0</v>
      </c>
      <c r="AB75" s="344">
        <f ca="1">IFERROR(__xludf.DUMMYFUNCTION("IMPORTRANGE(""https://docs.google.com/spreadsheets/d/1kKUcYdkIfrgTSj8iHHHB2MD2FAtwyyocFgqGQn6ADyI/edit?usp=sharing"",""กระบี่!I317"")"),0)</f>
        <v>0</v>
      </c>
      <c r="AC75" s="177">
        <f ca="1">IFERROR(__xludf.DUMMYFUNCTION("IMPORTRANGE(""https://docs.google.com/spreadsheets/d/1kKUcYdkIfrgTSj8iHHHB2MD2FAtwyyocFgqGQn6ADyI/edit?usp=sharing"",""กระบี่!J317"")"),0)</f>
        <v>0</v>
      </c>
      <c r="AD75" s="345">
        <f t="shared" ca="1" si="39"/>
        <v>0</v>
      </c>
    </row>
    <row r="76" spans="1:30" ht="21" customHeight="1" x14ac:dyDescent="0.3">
      <c r="A76" s="84">
        <v>2</v>
      </c>
      <c r="B76" s="85" t="s">
        <v>98</v>
      </c>
      <c r="C76" s="174">
        <f t="shared" ca="1" si="24"/>
        <v>0</v>
      </c>
      <c r="D76" s="175">
        <f t="shared" ca="1" si="58"/>
        <v>0</v>
      </c>
      <c r="E76" s="176">
        <f ca="1">IFERROR(__xludf.DUMMYFUNCTION("IMPORTRANGE(""https://docs.google.com/spreadsheets/d/1-uDff_7J0KD5mKrp0Vvzr7lt3OU09vwQwhkpOPPYv2Y/edit?usp=sharing"",""งบพรบ!DZ76"")"),0)</f>
        <v>0</v>
      </c>
      <c r="F76" s="176">
        <f ca="1">IFERROR(__xludf.DUMMYFUNCTION("IMPORTRANGE(""https://docs.google.com/spreadsheets/d/1-uDff_7J0KD5mKrp0Vvzr7lt3OU09vwQwhkpOPPYv2Y/edit?usp=sharing"",""งบพรบ!EA76"")"),0)</f>
        <v>0</v>
      </c>
      <c r="G76" s="176">
        <f ca="1">IFERROR(__xludf.DUMMYFUNCTION("IMPORTRANGE(""https://docs.google.com/spreadsheets/d/1-uDff_7J0KD5mKrp0Vvzr7lt3OU09vwQwhkpOPPYv2Y/edit?usp=sharing"",""งบพรบ!EB76"")"),0)</f>
        <v>0</v>
      </c>
      <c r="H76" s="176">
        <f ca="1">IFERROR(__xludf.DUMMYFUNCTION("IMPORTRANGE(""https://docs.google.com/spreadsheets/d/1-uDff_7J0KD5mKrp0Vvzr7lt3OU09vwQwhkpOPPYv2Y/edit?usp=sharing"",""งบพรบ!ED76"")"),0)</f>
        <v>0</v>
      </c>
      <c r="I76" s="176">
        <f ca="1">IFERROR(__xludf.DUMMYFUNCTION("IMPORTRANGE(""https://docs.google.com/spreadsheets/d/1-uDff_7J0KD5mKrp0Vvzr7lt3OU09vwQwhkpOPPYv2Y/edit?usp=sharing"",""งบพรบ!EE76"")"),0)</f>
        <v>0</v>
      </c>
      <c r="J76" s="176">
        <f t="shared" ca="1" si="26"/>
        <v>0</v>
      </c>
      <c r="K76" s="181">
        <f t="shared" ca="1" si="27"/>
        <v>0</v>
      </c>
      <c r="L76" s="176">
        <f ca="1">IFERROR(__xludf.DUMMYFUNCTION("IMPORTRANGE(""https://docs.google.com/spreadsheets/d/1-uDff_7J0KD5mKrp0Vvzr7lt3OU09vwQwhkpOPPYv2Y/edit?usp=sharing"",""งบพรบ!EF76"")"),0)</f>
        <v>0</v>
      </c>
      <c r="M76" s="179">
        <f t="shared" ca="1" si="28"/>
        <v>0</v>
      </c>
      <c r="N76" s="179">
        <f t="shared" ca="1" si="29"/>
        <v>0</v>
      </c>
      <c r="O76" s="180">
        <f ca="1">IFERROR(__xludf.DUMMYFUNCTION("IMPORTRANGE(""https://docs.google.com/spreadsheets/d/1-uDff_7J0KD5mKrp0Vvzr7lt3OU09vwQwhkpOPPYv2Y/edit?usp=sharing"",""งบพรบ!EG76"")"),0)</f>
        <v>0</v>
      </c>
      <c r="P76" s="180">
        <f t="shared" ca="1" si="30"/>
        <v>0</v>
      </c>
      <c r="Q76" s="179">
        <f t="shared" ca="1" si="31"/>
        <v>0</v>
      </c>
      <c r="R76" s="344">
        <f ca="1">IFERROR(__xludf.DUMMYFUNCTION("IMPORTRANGE(""https://docs.google.com/spreadsheets/d/1GwtLaSlNZkLk7iDqcyZz22giiy40b_usZZBXYciEN1U/edit?usp=sharing"",""ชุมพร!J313"")"),0)</f>
        <v>0</v>
      </c>
      <c r="S76" s="344">
        <f ca="1">IFERROR(__xludf.DUMMYFUNCTION("IMPORTRANGE(""https://docs.google.com/spreadsheets/d/1GwtLaSlNZkLk7iDqcyZz22giiy40b_usZZBXYciEN1U/edit?usp=sharing"",""ชุมพร!I314"")"),0)</f>
        <v>0</v>
      </c>
      <c r="T76" s="177">
        <f ca="1">IFERROR(__xludf.DUMMYFUNCTION("IMPORTRANGE(""https://docs.google.com/spreadsheets/d/1GwtLaSlNZkLk7iDqcyZz22giiy40b_usZZBXYciEN1U/edit?usp=sharing"",""ชุมพร!J314"")"),0)</f>
        <v>0</v>
      </c>
      <c r="U76" s="345">
        <f t="shared" ca="1" si="33"/>
        <v>0</v>
      </c>
      <c r="V76" s="344">
        <f ca="1">IFERROR(__xludf.DUMMYFUNCTION("IMPORTRANGE(""https://docs.google.com/spreadsheets/d/1GwtLaSlNZkLk7iDqcyZz22giiy40b_usZZBXYciEN1U/edit?usp=sharing"",""ชุมพร!I315"")"),0)</f>
        <v>0</v>
      </c>
      <c r="W76" s="177">
        <f ca="1">IFERROR(__xludf.DUMMYFUNCTION("IMPORTRANGE(""https://docs.google.com/spreadsheets/d/1GwtLaSlNZkLk7iDqcyZz22giiy40b_usZZBXYciEN1U/edit?usp=sharing"",""ชุมพร!J315"")"),0)</f>
        <v>0</v>
      </c>
      <c r="X76" s="345">
        <f t="shared" ca="1" si="35"/>
        <v>0</v>
      </c>
      <c r="Y76" s="344">
        <f ca="1">IFERROR(__xludf.DUMMYFUNCTION("IMPORTRANGE(""https://docs.google.com/spreadsheets/d/1GwtLaSlNZkLk7iDqcyZz22giiy40b_usZZBXYciEN1U/edit?usp=sharing"",""ชุมพร!I316"")"),0)</f>
        <v>0</v>
      </c>
      <c r="Z76" s="177">
        <f ca="1">IFERROR(__xludf.DUMMYFUNCTION("IMPORTRANGE(""https://docs.google.com/spreadsheets/d/1GwtLaSlNZkLk7iDqcyZz22giiy40b_usZZBXYciEN1U/edit?usp=sharing"",""ชุมพร!J316"")"),0)</f>
        <v>0</v>
      </c>
      <c r="AA76" s="345">
        <f t="shared" ca="1" si="37"/>
        <v>0</v>
      </c>
      <c r="AB76" s="344">
        <f ca="1">IFERROR(__xludf.DUMMYFUNCTION("IMPORTRANGE(""https://docs.google.com/spreadsheets/d/1GwtLaSlNZkLk7iDqcyZz22giiy40b_usZZBXYciEN1U/edit?usp=sharing"",""ชุมพร!I317"")"),0)</f>
        <v>0</v>
      </c>
      <c r="AC76" s="177">
        <f ca="1">IFERROR(__xludf.DUMMYFUNCTION("IMPORTRANGE(""https://docs.google.com/spreadsheets/d/1GwtLaSlNZkLk7iDqcyZz22giiy40b_usZZBXYciEN1U/edit?usp=sharing"",""ชุมพร!J317"")"),0)</f>
        <v>0</v>
      </c>
      <c r="AD76" s="345">
        <f t="shared" ca="1" si="39"/>
        <v>0</v>
      </c>
    </row>
    <row r="77" spans="1:30" ht="21" customHeight="1" x14ac:dyDescent="0.3">
      <c r="A77" s="84">
        <v>3</v>
      </c>
      <c r="B77" s="85" t="s">
        <v>99</v>
      </c>
      <c r="C77" s="174">
        <f t="shared" ca="1" si="24"/>
        <v>0</v>
      </c>
      <c r="D77" s="175">
        <f t="shared" ca="1" si="58"/>
        <v>0</v>
      </c>
      <c r="E77" s="176">
        <f ca="1">IFERROR(__xludf.DUMMYFUNCTION("IMPORTRANGE(""https://docs.google.com/spreadsheets/d/1-uDff_7J0KD5mKrp0Vvzr7lt3OU09vwQwhkpOPPYv2Y/edit?usp=sharing"",""งบพรบ!DZ77"")"),0)</f>
        <v>0</v>
      </c>
      <c r="F77" s="176">
        <f ca="1">IFERROR(__xludf.DUMMYFUNCTION("IMPORTRANGE(""https://docs.google.com/spreadsheets/d/1-uDff_7J0KD5mKrp0Vvzr7lt3OU09vwQwhkpOPPYv2Y/edit?usp=sharing"",""งบพรบ!EA77"")"),0)</f>
        <v>0</v>
      </c>
      <c r="G77" s="176">
        <f ca="1">IFERROR(__xludf.DUMMYFUNCTION("IMPORTRANGE(""https://docs.google.com/spreadsheets/d/1-uDff_7J0KD5mKrp0Vvzr7lt3OU09vwQwhkpOPPYv2Y/edit?usp=sharing"",""งบพรบ!EB77"")"),0)</f>
        <v>0</v>
      </c>
      <c r="H77" s="176">
        <f ca="1">IFERROR(__xludf.DUMMYFUNCTION("IMPORTRANGE(""https://docs.google.com/spreadsheets/d/1-uDff_7J0KD5mKrp0Vvzr7lt3OU09vwQwhkpOPPYv2Y/edit?usp=sharing"",""งบพรบ!ED77"")"),0)</f>
        <v>0</v>
      </c>
      <c r="I77" s="176">
        <f ca="1">IFERROR(__xludf.DUMMYFUNCTION("IMPORTRANGE(""https://docs.google.com/spreadsheets/d/1-uDff_7J0KD5mKrp0Vvzr7lt3OU09vwQwhkpOPPYv2Y/edit?usp=sharing"",""งบพรบ!EE77"")"),0)</f>
        <v>0</v>
      </c>
      <c r="J77" s="176">
        <f t="shared" ca="1" si="26"/>
        <v>0</v>
      </c>
      <c r="K77" s="181">
        <f t="shared" ca="1" si="27"/>
        <v>0</v>
      </c>
      <c r="L77" s="176">
        <f ca="1">IFERROR(__xludf.DUMMYFUNCTION("IMPORTRANGE(""https://docs.google.com/spreadsheets/d/1-uDff_7J0KD5mKrp0Vvzr7lt3OU09vwQwhkpOPPYv2Y/edit?usp=sharing"",""งบพรบ!EF77"")"),0)</f>
        <v>0</v>
      </c>
      <c r="M77" s="179">
        <f t="shared" ca="1" si="28"/>
        <v>0</v>
      </c>
      <c r="N77" s="179">
        <f t="shared" ca="1" si="29"/>
        <v>0</v>
      </c>
      <c r="O77" s="180">
        <f ca="1">IFERROR(__xludf.DUMMYFUNCTION("IMPORTRANGE(""https://docs.google.com/spreadsheets/d/1-uDff_7J0KD5mKrp0Vvzr7lt3OU09vwQwhkpOPPYv2Y/edit?usp=sharing"",""งบพรบ!EG77"")"),0)</f>
        <v>0</v>
      </c>
      <c r="P77" s="180">
        <f t="shared" ca="1" si="30"/>
        <v>0</v>
      </c>
      <c r="Q77" s="179">
        <f t="shared" ca="1" si="31"/>
        <v>0</v>
      </c>
      <c r="R77" s="344">
        <f ca="1">IFERROR(__xludf.DUMMYFUNCTION("IMPORTRANGE(""https://docs.google.com/spreadsheets/d/16pAz3pOhQEZBhvFNMa5KGgZS6iKWpsKX0pg6tQmwFpo/edit?usp=sharing"",""ตรัง!J313"")"),0)</f>
        <v>0</v>
      </c>
      <c r="S77" s="344">
        <f ca="1">IFERROR(__xludf.DUMMYFUNCTION("IMPORTRANGE(""https://docs.google.com/spreadsheets/d/16pAz3pOhQEZBhvFNMa5KGgZS6iKWpsKX0pg6tQmwFpo/edit?usp=sharing"",""ตรัง!I314"")"),0)</f>
        <v>0</v>
      </c>
      <c r="T77" s="177">
        <f ca="1">IFERROR(__xludf.DUMMYFUNCTION("IMPORTRANGE(""https://docs.google.com/spreadsheets/d/16pAz3pOhQEZBhvFNMa5KGgZS6iKWpsKX0pg6tQmwFpo/edit?usp=sharing"",""ตรัง!J314"")"),0)</f>
        <v>0</v>
      </c>
      <c r="U77" s="345">
        <f t="shared" ca="1" si="33"/>
        <v>0</v>
      </c>
      <c r="V77" s="344">
        <f ca="1">IFERROR(__xludf.DUMMYFUNCTION("IMPORTRANGE(""https://docs.google.com/spreadsheets/d/16pAz3pOhQEZBhvFNMa5KGgZS6iKWpsKX0pg6tQmwFpo/edit?usp=sharing"",""ตรัง!I315"")"),0)</f>
        <v>0</v>
      </c>
      <c r="W77" s="177">
        <f ca="1">IFERROR(__xludf.DUMMYFUNCTION("IMPORTRANGE(""https://docs.google.com/spreadsheets/d/16pAz3pOhQEZBhvFNMa5KGgZS6iKWpsKX0pg6tQmwFpo/edit?usp=sharing"",""ตรัง!J315"")"),0)</f>
        <v>0</v>
      </c>
      <c r="X77" s="345">
        <f t="shared" ca="1" si="35"/>
        <v>0</v>
      </c>
      <c r="Y77" s="344">
        <f ca="1">IFERROR(__xludf.DUMMYFUNCTION("IMPORTRANGE(""https://docs.google.com/spreadsheets/d/16pAz3pOhQEZBhvFNMa5KGgZS6iKWpsKX0pg6tQmwFpo/edit?usp=sharing"",""ตรัง!I316"")"),0)</f>
        <v>0</v>
      </c>
      <c r="Z77" s="177">
        <f ca="1">IFERROR(__xludf.DUMMYFUNCTION("IMPORTRANGE(""https://docs.google.com/spreadsheets/d/16pAz3pOhQEZBhvFNMa5KGgZS6iKWpsKX0pg6tQmwFpo/edit?usp=sharing"",""ตรัง!J316"")"),0)</f>
        <v>0</v>
      </c>
      <c r="AA77" s="345">
        <f t="shared" ca="1" si="37"/>
        <v>0</v>
      </c>
      <c r="AB77" s="344">
        <f ca="1">IFERROR(__xludf.DUMMYFUNCTION("IMPORTRANGE(""https://docs.google.com/spreadsheets/d/16pAz3pOhQEZBhvFNMa5KGgZS6iKWpsKX0pg6tQmwFpo/edit?usp=sharing"",""ตรัง!I317"")"),0)</f>
        <v>0</v>
      </c>
      <c r="AC77" s="177">
        <f ca="1">IFERROR(__xludf.DUMMYFUNCTION("IMPORTRANGE(""https://docs.google.com/spreadsheets/d/16pAz3pOhQEZBhvFNMa5KGgZS6iKWpsKX0pg6tQmwFpo/edit?usp=sharing"",""ตรัง!J317"")"),0)</f>
        <v>0</v>
      </c>
      <c r="AD77" s="345">
        <f t="shared" ca="1" si="39"/>
        <v>0</v>
      </c>
    </row>
    <row r="78" spans="1:30" ht="21" customHeight="1" x14ac:dyDescent="0.3">
      <c r="A78" s="84">
        <v>4</v>
      </c>
      <c r="B78" s="85" t="s">
        <v>100</v>
      </c>
      <c r="C78" s="174">
        <f t="shared" ca="1" si="24"/>
        <v>0</v>
      </c>
      <c r="D78" s="175">
        <f t="shared" ca="1" si="58"/>
        <v>0</v>
      </c>
      <c r="E78" s="176">
        <f ca="1">IFERROR(__xludf.DUMMYFUNCTION("IMPORTRANGE(""https://docs.google.com/spreadsheets/d/1-uDff_7J0KD5mKrp0Vvzr7lt3OU09vwQwhkpOPPYv2Y/edit?usp=sharing"",""งบพรบ!DZ78"")"),0)</f>
        <v>0</v>
      </c>
      <c r="F78" s="176">
        <f ca="1">IFERROR(__xludf.DUMMYFUNCTION("IMPORTRANGE(""https://docs.google.com/spreadsheets/d/1-uDff_7J0KD5mKrp0Vvzr7lt3OU09vwQwhkpOPPYv2Y/edit?usp=sharing"",""งบพรบ!EA78"")"),0)</f>
        <v>0</v>
      </c>
      <c r="G78" s="176">
        <f ca="1">IFERROR(__xludf.DUMMYFUNCTION("IMPORTRANGE(""https://docs.google.com/spreadsheets/d/1-uDff_7J0KD5mKrp0Vvzr7lt3OU09vwQwhkpOPPYv2Y/edit?usp=sharing"",""งบพรบ!EB78"")"),0)</f>
        <v>0</v>
      </c>
      <c r="H78" s="176">
        <f ca="1">IFERROR(__xludf.DUMMYFUNCTION("IMPORTRANGE(""https://docs.google.com/spreadsheets/d/1-uDff_7J0KD5mKrp0Vvzr7lt3OU09vwQwhkpOPPYv2Y/edit?usp=sharing"",""งบพรบ!ED78"")"),0)</f>
        <v>0</v>
      </c>
      <c r="I78" s="176">
        <f ca="1">IFERROR(__xludf.DUMMYFUNCTION("IMPORTRANGE(""https://docs.google.com/spreadsheets/d/1-uDff_7J0KD5mKrp0Vvzr7lt3OU09vwQwhkpOPPYv2Y/edit?usp=sharing"",""งบพรบ!EE78"")"),0)</f>
        <v>0</v>
      </c>
      <c r="J78" s="176">
        <f t="shared" ca="1" si="26"/>
        <v>0</v>
      </c>
      <c r="K78" s="181">
        <f t="shared" ca="1" si="27"/>
        <v>0</v>
      </c>
      <c r="L78" s="176">
        <f ca="1">IFERROR(__xludf.DUMMYFUNCTION("IMPORTRANGE(""https://docs.google.com/spreadsheets/d/1-uDff_7J0KD5mKrp0Vvzr7lt3OU09vwQwhkpOPPYv2Y/edit?usp=sharing"",""งบพรบ!EF78"")"),0)</f>
        <v>0</v>
      </c>
      <c r="M78" s="179">
        <f t="shared" ca="1" si="28"/>
        <v>0</v>
      </c>
      <c r="N78" s="179">
        <f t="shared" ca="1" si="29"/>
        <v>0</v>
      </c>
      <c r="O78" s="180">
        <f ca="1">IFERROR(__xludf.DUMMYFUNCTION("IMPORTRANGE(""https://docs.google.com/spreadsheets/d/1-uDff_7J0KD5mKrp0Vvzr7lt3OU09vwQwhkpOPPYv2Y/edit?usp=sharing"",""งบพรบ!EG78"")"),0)</f>
        <v>0</v>
      </c>
      <c r="P78" s="180">
        <f t="shared" ca="1" si="30"/>
        <v>0</v>
      </c>
      <c r="Q78" s="179">
        <f t="shared" ca="1" si="31"/>
        <v>0</v>
      </c>
      <c r="R78" s="344">
        <f ca="1">IFERROR(__xludf.DUMMYFUNCTION("IMPORTRANGE(""https://docs.google.com/spreadsheets/d/1Dj4jcHCTV9JXKCaMoheSXS52JE63kDKyG7bPXnFogHk/edit?usp=sharing"",""นครศรีธรรมราช!J313"")"),0)</f>
        <v>0</v>
      </c>
      <c r="S78" s="344">
        <f ca="1">IFERROR(__xludf.DUMMYFUNCTION("IMPORTRANGE(""https://docs.google.com/spreadsheets/d/1Dj4jcHCTV9JXKCaMoheSXS52JE63kDKyG7bPXnFogHk/edit?usp=sharing"",""นครศรีธรรมราช!I314"")"),0)</f>
        <v>0</v>
      </c>
      <c r="T78" s="177">
        <f ca="1">IFERROR(__xludf.DUMMYFUNCTION("IMPORTRANGE(""https://docs.google.com/spreadsheets/d/1Dj4jcHCTV9JXKCaMoheSXS52JE63kDKyG7bPXnFogHk/edit?usp=sharing"",""นครศรีธรรมราช!J314"")"),0)</f>
        <v>0</v>
      </c>
      <c r="U78" s="345">
        <f t="shared" ca="1" si="33"/>
        <v>0</v>
      </c>
      <c r="V78" s="344">
        <f ca="1">IFERROR(__xludf.DUMMYFUNCTION("IMPORTRANGE(""https://docs.google.com/spreadsheets/d/1Dj4jcHCTV9JXKCaMoheSXS52JE63kDKyG7bPXnFogHk/edit?usp=sharing"",""นครศรีธรรมราช!I315"")"),0)</f>
        <v>0</v>
      </c>
      <c r="W78" s="177">
        <f ca="1">IFERROR(__xludf.DUMMYFUNCTION("IMPORTRANGE(""https://docs.google.com/spreadsheets/d/1Dj4jcHCTV9JXKCaMoheSXS52JE63kDKyG7bPXnFogHk/edit?usp=sharing"",""นครศรีธรรมราช!J315"")"),0)</f>
        <v>0</v>
      </c>
      <c r="X78" s="345">
        <f t="shared" ca="1" si="35"/>
        <v>0</v>
      </c>
      <c r="Y78" s="344">
        <f ca="1">IFERROR(__xludf.DUMMYFUNCTION("IMPORTRANGE(""https://docs.google.com/spreadsheets/d/1Dj4jcHCTV9JXKCaMoheSXS52JE63kDKyG7bPXnFogHk/edit?usp=sharing"",""นครศรีธรรมราช!I316"")"),0)</f>
        <v>0</v>
      </c>
      <c r="Z78" s="177">
        <f ca="1">IFERROR(__xludf.DUMMYFUNCTION("IMPORTRANGE(""https://docs.google.com/spreadsheets/d/1Dj4jcHCTV9JXKCaMoheSXS52JE63kDKyG7bPXnFogHk/edit?usp=sharing"",""นครศรีธรรมราช!J316"")"),0)</f>
        <v>0</v>
      </c>
      <c r="AA78" s="345">
        <f t="shared" ca="1" si="37"/>
        <v>0</v>
      </c>
      <c r="AB78" s="344">
        <f ca="1">IFERROR(__xludf.DUMMYFUNCTION("IMPORTRANGE(""https://docs.google.com/spreadsheets/d/1Dj4jcHCTV9JXKCaMoheSXS52JE63kDKyG7bPXnFogHk/edit?usp=sharing"",""นครศรีธรรมราช!I317"")"),0)</f>
        <v>0</v>
      </c>
      <c r="AC78" s="177">
        <f ca="1">IFERROR(__xludf.DUMMYFUNCTION("IMPORTRANGE(""https://docs.google.com/spreadsheets/d/1Dj4jcHCTV9JXKCaMoheSXS52JE63kDKyG7bPXnFogHk/edit?usp=sharing"",""นครศรีธรรมราช!J317"")"),0)</f>
        <v>0</v>
      </c>
      <c r="AD78" s="345">
        <f t="shared" ca="1" si="39"/>
        <v>0</v>
      </c>
    </row>
    <row r="79" spans="1:30" ht="21" customHeight="1" x14ac:dyDescent="0.3">
      <c r="A79" s="84">
        <v>5</v>
      </c>
      <c r="B79" s="85" t="s">
        <v>101</v>
      </c>
      <c r="C79" s="174">
        <f t="shared" ca="1" si="24"/>
        <v>0</v>
      </c>
      <c r="D79" s="175">
        <f t="shared" ca="1" si="58"/>
        <v>0</v>
      </c>
      <c r="E79" s="176">
        <f ca="1">IFERROR(__xludf.DUMMYFUNCTION("IMPORTRANGE(""https://docs.google.com/spreadsheets/d/1-uDff_7J0KD5mKrp0Vvzr7lt3OU09vwQwhkpOPPYv2Y/edit?usp=sharing"",""งบพรบ!DZ79"")"),0)</f>
        <v>0</v>
      </c>
      <c r="F79" s="176">
        <f ca="1">IFERROR(__xludf.DUMMYFUNCTION("IMPORTRANGE(""https://docs.google.com/spreadsheets/d/1-uDff_7J0KD5mKrp0Vvzr7lt3OU09vwQwhkpOPPYv2Y/edit?usp=sharing"",""งบพรบ!EA79"")"),0)</f>
        <v>0</v>
      </c>
      <c r="G79" s="176">
        <f ca="1">IFERROR(__xludf.DUMMYFUNCTION("IMPORTRANGE(""https://docs.google.com/spreadsheets/d/1-uDff_7J0KD5mKrp0Vvzr7lt3OU09vwQwhkpOPPYv2Y/edit?usp=sharing"",""งบพรบ!EB79"")"),0)</f>
        <v>0</v>
      </c>
      <c r="H79" s="176">
        <f ca="1">IFERROR(__xludf.DUMMYFUNCTION("IMPORTRANGE(""https://docs.google.com/spreadsheets/d/1-uDff_7J0KD5mKrp0Vvzr7lt3OU09vwQwhkpOPPYv2Y/edit?usp=sharing"",""งบพรบ!ED79"")"),0)</f>
        <v>0</v>
      </c>
      <c r="I79" s="176">
        <f ca="1">IFERROR(__xludf.DUMMYFUNCTION("IMPORTRANGE(""https://docs.google.com/spreadsheets/d/1-uDff_7J0KD5mKrp0Vvzr7lt3OU09vwQwhkpOPPYv2Y/edit?usp=sharing"",""งบพรบ!EE79"")"),0)</f>
        <v>0</v>
      </c>
      <c r="J79" s="176">
        <f t="shared" ca="1" si="26"/>
        <v>0</v>
      </c>
      <c r="K79" s="181">
        <f t="shared" ca="1" si="27"/>
        <v>0</v>
      </c>
      <c r="L79" s="176">
        <f ca="1">IFERROR(__xludf.DUMMYFUNCTION("IMPORTRANGE(""https://docs.google.com/spreadsheets/d/1-uDff_7J0KD5mKrp0Vvzr7lt3OU09vwQwhkpOPPYv2Y/edit?usp=sharing"",""งบพรบ!EF79"")"),0)</f>
        <v>0</v>
      </c>
      <c r="M79" s="179">
        <f t="shared" ca="1" si="28"/>
        <v>0</v>
      </c>
      <c r="N79" s="179">
        <f t="shared" ca="1" si="29"/>
        <v>0</v>
      </c>
      <c r="O79" s="180">
        <f ca="1">IFERROR(__xludf.DUMMYFUNCTION("IMPORTRANGE(""https://docs.google.com/spreadsheets/d/1-uDff_7J0KD5mKrp0Vvzr7lt3OU09vwQwhkpOPPYv2Y/edit?usp=sharing"",""งบพรบ!EG79"")"),0)</f>
        <v>0</v>
      </c>
      <c r="P79" s="180">
        <f t="shared" ca="1" si="30"/>
        <v>0</v>
      </c>
      <c r="Q79" s="179">
        <f t="shared" ca="1" si="31"/>
        <v>0</v>
      </c>
      <c r="R79" s="344">
        <f ca="1">IFERROR(__xludf.DUMMYFUNCTION("IMPORTRANGE(""https://docs.google.com/spreadsheets/d/1iodCdmuK2GR3jzUwk8tpccY2JHQQA-87DLOtJP-ooyU/edit?usp=sharing"",""นราธิวาส!J313"")"),0)</f>
        <v>0</v>
      </c>
      <c r="S79" s="344">
        <f ca="1">IFERROR(__xludf.DUMMYFUNCTION("IMPORTRANGE(""https://docs.google.com/spreadsheets/d/1iodCdmuK2GR3jzUwk8tpccY2JHQQA-87DLOtJP-ooyU/edit?usp=sharing"",""นราธิวาส!I314"")"),0)</f>
        <v>0</v>
      </c>
      <c r="T79" s="177">
        <f ca="1">IFERROR(__xludf.DUMMYFUNCTION("IMPORTRANGE(""https://docs.google.com/spreadsheets/d/1iodCdmuK2GR3jzUwk8tpccY2JHQQA-87DLOtJP-ooyU/edit?usp=sharing"",""นราธิวาส!J314"")"),0)</f>
        <v>0</v>
      </c>
      <c r="U79" s="345">
        <f t="shared" ca="1" si="33"/>
        <v>0</v>
      </c>
      <c r="V79" s="344">
        <f ca="1">IFERROR(__xludf.DUMMYFUNCTION("IMPORTRANGE(""https://docs.google.com/spreadsheets/d/1iodCdmuK2GR3jzUwk8tpccY2JHQQA-87DLOtJP-ooyU/edit?usp=sharing"",""นราธิวาส!I315"")"),0)</f>
        <v>0</v>
      </c>
      <c r="W79" s="177">
        <f ca="1">IFERROR(__xludf.DUMMYFUNCTION("IMPORTRANGE(""https://docs.google.com/spreadsheets/d/1iodCdmuK2GR3jzUwk8tpccY2JHQQA-87DLOtJP-ooyU/edit?usp=sharing"",""นราธิวาส!J315"")"),0)</f>
        <v>0</v>
      </c>
      <c r="X79" s="345">
        <f t="shared" ca="1" si="35"/>
        <v>0</v>
      </c>
      <c r="Y79" s="344">
        <f ca="1">IFERROR(__xludf.DUMMYFUNCTION("IMPORTRANGE(""https://docs.google.com/spreadsheets/d/1iodCdmuK2GR3jzUwk8tpccY2JHQQA-87DLOtJP-ooyU/edit?usp=sharing"",""นราธิวาส!I316"")"),0)</f>
        <v>0</v>
      </c>
      <c r="Z79" s="177">
        <f ca="1">IFERROR(__xludf.DUMMYFUNCTION("IMPORTRANGE(""https://docs.google.com/spreadsheets/d/1iodCdmuK2GR3jzUwk8tpccY2JHQQA-87DLOtJP-ooyU/edit?usp=sharing"",""นราธิวาส!J316"")"),0)</f>
        <v>0</v>
      </c>
      <c r="AA79" s="345">
        <f t="shared" ca="1" si="37"/>
        <v>0</v>
      </c>
      <c r="AB79" s="344">
        <f ca="1">IFERROR(__xludf.DUMMYFUNCTION("IMPORTRANGE(""https://docs.google.com/spreadsheets/d/1iodCdmuK2GR3jzUwk8tpccY2JHQQA-87DLOtJP-ooyU/edit?usp=sharing"",""นราธิวาส!I317"")"),0)</f>
        <v>0</v>
      </c>
      <c r="AC79" s="177">
        <f ca="1">IFERROR(__xludf.DUMMYFUNCTION("IMPORTRANGE(""https://docs.google.com/spreadsheets/d/1iodCdmuK2GR3jzUwk8tpccY2JHQQA-87DLOtJP-ooyU/edit?usp=sharing"",""นราธิวาส!J317"")"),0)</f>
        <v>0</v>
      </c>
      <c r="AD79" s="345">
        <f t="shared" ca="1" si="39"/>
        <v>0</v>
      </c>
    </row>
    <row r="80" spans="1:30" ht="21" customHeight="1" x14ac:dyDescent="0.3">
      <c r="A80" s="84">
        <v>6</v>
      </c>
      <c r="B80" s="85" t="s">
        <v>102</v>
      </c>
      <c r="C80" s="174">
        <f t="shared" ca="1" si="24"/>
        <v>0</v>
      </c>
      <c r="D80" s="175">
        <f t="shared" ca="1" si="58"/>
        <v>0</v>
      </c>
      <c r="E80" s="176">
        <f ca="1">IFERROR(__xludf.DUMMYFUNCTION("IMPORTRANGE(""https://docs.google.com/spreadsheets/d/1-uDff_7J0KD5mKrp0Vvzr7lt3OU09vwQwhkpOPPYv2Y/edit?usp=sharing"",""งบพรบ!DZ80"")"),0)</f>
        <v>0</v>
      </c>
      <c r="F80" s="176">
        <f ca="1">IFERROR(__xludf.DUMMYFUNCTION("IMPORTRANGE(""https://docs.google.com/spreadsheets/d/1-uDff_7J0KD5mKrp0Vvzr7lt3OU09vwQwhkpOPPYv2Y/edit?usp=sharing"",""งบพรบ!EA80"")"),0)</f>
        <v>0</v>
      </c>
      <c r="G80" s="176">
        <f ca="1">IFERROR(__xludf.DUMMYFUNCTION("IMPORTRANGE(""https://docs.google.com/spreadsheets/d/1-uDff_7J0KD5mKrp0Vvzr7lt3OU09vwQwhkpOPPYv2Y/edit?usp=sharing"",""งบพรบ!EB80"")"),0)</f>
        <v>0</v>
      </c>
      <c r="H80" s="176">
        <f ca="1">IFERROR(__xludf.DUMMYFUNCTION("IMPORTRANGE(""https://docs.google.com/spreadsheets/d/1-uDff_7J0KD5mKrp0Vvzr7lt3OU09vwQwhkpOPPYv2Y/edit?usp=sharing"",""งบพรบ!ED80"")"),0)</f>
        <v>0</v>
      </c>
      <c r="I80" s="176">
        <f ca="1">IFERROR(__xludf.DUMMYFUNCTION("IMPORTRANGE(""https://docs.google.com/spreadsheets/d/1-uDff_7J0KD5mKrp0Vvzr7lt3OU09vwQwhkpOPPYv2Y/edit?usp=sharing"",""งบพรบ!EE80"")"),0)</f>
        <v>0</v>
      </c>
      <c r="J80" s="176">
        <f t="shared" ca="1" si="26"/>
        <v>0</v>
      </c>
      <c r="K80" s="181">
        <f t="shared" ca="1" si="27"/>
        <v>0</v>
      </c>
      <c r="L80" s="176">
        <f ca="1">IFERROR(__xludf.DUMMYFUNCTION("IMPORTRANGE(""https://docs.google.com/spreadsheets/d/1-uDff_7J0KD5mKrp0Vvzr7lt3OU09vwQwhkpOPPYv2Y/edit?usp=sharing"",""งบพรบ!EF80"")"),0)</f>
        <v>0</v>
      </c>
      <c r="M80" s="179">
        <f t="shared" ca="1" si="28"/>
        <v>0</v>
      </c>
      <c r="N80" s="179">
        <f t="shared" ca="1" si="29"/>
        <v>0</v>
      </c>
      <c r="O80" s="180">
        <f ca="1">IFERROR(__xludf.DUMMYFUNCTION("IMPORTRANGE(""https://docs.google.com/spreadsheets/d/1-uDff_7J0KD5mKrp0Vvzr7lt3OU09vwQwhkpOPPYv2Y/edit?usp=sharing"",""งบพรบ!EG80"")"),0)</f>
        <v>0</v>
      </c>
      <c r="P80" s="180">
        <f t="shared" ca="1" si="30"/>
        <v>0</v>
      </c>
      <c r="Q80" s="179">
        <f t="shared" ca="1" si="31"/>
        <v>0</v>
      </c>
      <c r="R80" s="344">
        <f ca="1">IFERROR(__xludf.DUMMYFUNCTION("IMPORTRANGE(""https://docs.google.com/spreadsheets/d/1SDNX3JhDdYRuIOsj0Wh2M-Qa_eaXl0NbWmhAOTbfQAs/edit?usp=sharing"",""ปัตตานี!J313"")"),0)</f>
        <v>0</v>
      </c>
      <c r="S80" s="346">
        <f ca="1">IFERROR(__xludf.DUMMYFUNCTION("IMPORTRANGE(""https://docs.google.com/spreadsheets/d/1SDNX3JhDdYRuIOsj0Wh2M-Qa_eaXl0NbWmhAOTbfQAs/edit?usp=sharing"",""ปัตตานี!I314"")"),0)</f>
        <v>0</v>
      </c>
      <c r="T80" s="177">
        <f ca="1">IFERROR(__xludf.DUMMYFUNCTION("IMPORTRANGE(""https://docs.google.com/spreadsheets/d/1SDNX3JhDdYRuIOsj0Wh2M-Qa_eaXl0NbWmhAOTbfQAs/edit?usp=sharing"",""ปัตตานี!J314"")"),0)</f>
        <v>0</v>
      </c>
      <c r="U80" s="345">
        <f t="shared" ca="1" si="33"/>
        <v>0</v>
      </c>
      <c r="V80" s="346">
        <f ca="1">IFERROR(__xludf.DUMMYFUNCTION("IMPORTRANGE(""https://docs.google.com/spreadsheets/d/1SDNX3JhDdYRuIOsj0Wh2M-Qa_eaXl0NbWmhAOTbfQAs/edit?usp=sharing"",""ปัตตานี!I315"")"),0)</f>
        <v>0</v>
      </c>
      <c r="W80" s="177">
        <f ca="1">IFERROR(__xludf.DUMMYFUNCTION("IMPORTRANGE(""https://docs.google.com/spreadsheets/d/1SDNX3JhDdYRuIOsj0Wh2M-Qa_eaXl0NbWmhAOTbfQAs/edit?usp=sharing"",""ปัตตานี!J315"")"),0)</f>
        <v>0</v>
      </c>
      <c r="X80" s="345">
        <f t="shared" ca="1" si="35"/>
        <v>0</v>
      </c>
      <c r="Y80" s="346">
        <f ca="1">IFERROR(__xludf.DUMMYFUNCTION("IMPORTRANGE(""https://docs.google.com/spreadsheets/d/1SDNX3JhDdYRuIOsj0Wh2M-Qa_eaXl0NbWmhAOTbfQAs/edit?usp=sharing"",""ปัตตานี!I316"")"),0)</f>
        <v>0</v>
      </c>
      <c r="Z80" s="177">
        <f ca="1">IFERROR(__xludf.DUMMYFUNCTION("IMPORTRANGE(""https://docs.google.com/spreadsheets/d/1SDNX3JhDdYRuIOsj0Wh2M-Qa_eaXl0NbWmhAOTbfQAs/edit?usp=sharing"",""ปัตตานี!J316"")"),0)</f>
        <v>0</v>
      </c>
      <c r="AA80" s="345">
        <f t="shared" ca="1" si="37"/>
        <v>0</v>
      </c>
      <c r="AB80" s="346">
        <f ca="1">IFERROR(__xludf.DUMMYFUNCTION("IMPORTRANGE(""https://docs.google.com/spreadsheets/d/1SDNX3JhDdYRuIOsj0Wh2M-Qa_eaXl0NbWmhAOTbfQAs/edit?usp=sharing"",""ปัตตานี!I317"")"),0)</f>
        <v>0</v>
      </c>
      <c r="AC80" s="177">
        <f ca="1">IFERROR(__xludf.DUMMYFUNCTION("IMPORTRANGE(""https://docs.google.com/spreadsheets/d/1SDNX3JhDdYRuIOsj0Wh2M-Qa_eaXl0NbWmhAOTbfQAs/edit?usp=sharing"",""ปัตตานี!J317"")"),0)</f>
        <v>0</v>
      </c>
      <c r="AD80" s="345">
        <f t="shared" ca="1" si="39"/>
        <v>0</v>
      </c>
    </row>
    <row r="81" spans="1:30" ht="21" customHeight="1" x14ac:dyDescent="0.3">
      <c r="A81" s="84">
        <v>7</v>
      </c>
      <c r="B81" s="85" t="s">
        <v>103</v>
      </c>
      <c r="C81" s="174">
        <f t="shared" ca="1" si="24"/>
        <v>0</v>
      </c>
      <c r="D81" s="175">
        <f t="shared" ca="1" si="58"/>
        <v>0</v>
      </c>
      <c r="E81" s="176">
        <f ca="1">IFERROR(__xludf.DUMMYFUNCTION("IMPORTRANGE(""https://docs.google.com/spreadsheets/d/1-uDff_7J0KD5mKrp0Vvzr7lt3OU09vwQwhkpOPPYv2Y/edit?usp=sharing"",""งบพรบ!DZ81"")"),0)</f>
        <v>0</v>
      </c>
      <c r="F81" s="176">
        <f ca="1">IFERROR(__xludf.DUMMYFUNCTION("IMPORTRANGE(""https://docs.google.com/spreadsheets/d/1-uDff_7J0KD5mKrp0Vvzr7lt3OU09vwQwhkpOPPYv2Y/edit?usp=sharing"",""งบพรบ!EA81"")"),0)</f>
        <v>0</v>
      </c>
      <c r="G81" s="176">
        <f ca="1">IFERROR(__xludf.DUMMYFUNCTION("IMPORTRANGE(""https://docs.google.com/spreadsheets/d/1-uDff_7J0KD5mKrp0Vvzr7lt3OU09vwQwhkpOPPYv2Y/edit?usp=sharing"",""งบพรบ!EB81"")"),0)</f>
        <v>0</v>
      </c>
      <c r="H81" s="176">
        <f ca="1">IFERROR(__xludf.DUMMYFUNCTION("IMPORTRANGE(""https://docs.google.com/spreadsheets/d/1-uDff_7J0KD5mKrp0Vvzr7lt3OU09vwQwhkpOPPYv2Y/edit?usp=sharing"",""งบพรบ!ED81"")"),0)</f>
        <v>0</v>
      </c>
      <c r="I81" s="176">
        <f ca="1">IFERROR(__xludf.DUMMYFUNCTION("IMPORTRANGE(""https://docs.google.com/spreadsheets/d/1-uDff_7J0KD5mKrp0Vvzr7lt3OU09vwQwhkpOPPYv2Y/edit?usp=sharing"",""งบพรบ!EE81"")"),0)</f>
        <v>0</v>
      </c>
      <c r="J81" s="176">
        <f t="shared" ca="1" si="26"/>
        <v>0</v>
      </c>
      <c r="K81" s="181">
        <f t="shared" ca="1" si="27"/>
        <v>0</v>
      </c>
      <c r="L81" s="176">
        <f ca="1">IFERROR(__xludf.DUMMYFUNCTION("IMPORTRANGE(""https://docs.google.com/spreadsheets/d/1-uDff_7J0KD5mKrp0Vvzr7lt3OU09vwQwhkpOPPYv2Y/edit?usp=sharing"",""งบพรบ!EF81"")"),0)</f>
        <v>0</v>
      </c>
      <c r="M81" s="179">
        <f t="shared" ca="1" si="28"/>
        <v>0</v>
      </c>
      <c r="N81" s="179">
        <f t="shared" ca="1" si="29"/>
        <v>0</v>
      </c>
      <c r="O81" s="180">
        <f ca="1">IFERROR(__xludf.DUMMYFUNCTION("IMPORTRANGE(""https://docs.google.com/spreadsheets/d/1-uDff_7J0KD5mKrp0Vvzr7lt3OU09vwQwhkpOPPYv2Y/edit?usp=sharing"",""งบพรบ!EG81"")"),0)</f>
        <v>0</v>
      </c>
      <c r="P81" s="180">
        <f t="shared" ca="1" si="30"/>
        <v>0</v>
      </c>
      <c r="Q81" s="179">
        <f t="shared" ca="1" si="31"/>
        <v>0</v>
      </c>
      <c r="R81" s="344">
        <f ca="1">IFERROR(__xludf.DUMMYFUNCTION("IMPORTRANGE(""https://docs.google.com/spreadsheets/d/16JDLGguT8s5DsGCND1KcwHP_AWR_zDMTqLHPLJUKhaU/edit?usp=sharing"",""พังงา!J313"")"),0)</f>
        <v>0</v>
      </c>
      <c r="S81" s="344">
        <f ca="1">IFERROR(__xludf.DUMMYFUNCTION("IMPORTRANGE(""https://docs.google.com/spreadsheets/d/16JDLGguT8s5DsGCND1KcwHP_AWR_zDMTqLHPLJUKhaU/edit?usp=sharing"",""พังงา!I314"")"),0)</f>
        <v>0</v>
      </c>
      <c r="T81" s="177">
        <f ca="1">IFERROR(__xludf.DUMMYFUNCTION("IMPORTRANGE(""https://docs.google.com/spreadsheets/d/16JDLGguT8s5DsGCND1KcwHP_AWR_zDMTqLHPLJUKhaU/edit?usp=sharing"",""พังงา!J314"")"),0)</f>
        <v>0</v>
      </c>
      <c r="U81" s="345">
        <f t="shared" ca="1" si="33"/>
        <v>0</v>
      </c>
      <c r="V81" s="344">
        <f ca="1">IFERROR(__xludf.DUMMYFUNCTION("IMPORTRANGE(""https://docs.google.com/spreadsheets/d/16JDLGguT8s5DsGCND1KcwHP_AWR_zDMTqLHPLJUKhaU/edit?usp=sharing"",""พังงา!I315"")"),0)</f>
        <v>0</v>
      </c>
      <c r="W81" s="177">
        <f ca="1">IFERROR(__xludf.DUMMYFUNCTION("IMPORTRANGE(""https://docs.google.com/spreadsheets/d/16JDLGguT8s5DsGCND1KcwHP_AWR_zDMTqLHPLJUKhaU/edit?usp=sharing"",""พังงา!J315"")"),0)</f>
        <v>0</v>
      </c>
      <c r="X81" s="345">
        <f t="shared" ca="1" si="35"/>
        <v>0</v>
      </c>
      <c r="Y81" s="344">
        <f ca="1">IFERROR(__xludf.DUMMYFUNCTION("IMPORTRANGE(""https://docs.google.com/spreadsheets/d/16JDLGguT8s5DsGCND1KcwHP_AWR_zDMTqLHPLJUKhaU/edit?usp=sharing"",""พังงา!I316"")"),0)</f>
        <v>0</v>
      </c>
      <c r="Z81" s="177">
        <f ca="1">IFERROR(__xludf.DUMMYFUNCTION("IMPORTRANGE(""https://docs.google.com/spreadsheets/d/16JDLGguT8s5DsGCND1KcwHP_AWR_zDMTqLHPLJUKhaU/edit?usp=sharing"",""พังงา!J316"")"),0)</f>
        <v>0</v>
      </c>
      <c r="AA81" s="345">
        <f t="shared" ca="1" si="37"/>
        <v>0</v>
      </c>
      <c r="AB81" s="344">
        <f ca="1">IFERROR(__xludf.DUMMYFUNCTION("IMPORTRANGE(""https://docs.google.com/spreadsheets/d/16JDLGguT8s5DsGCND1KcwHP_AWR_zDMTqLHPLJUKhaU/edit?usp=sharing"",""พังงา!I317"")"),0)</f>
        <v>0</v>
      </c>
      <c r="AC81" s="177">
        <f ca="1">IFERROR(__xludf.DUMMYFUNCTION("IMPORTRANGE(""https://docs.google.com/spreadsheets/d/16JDLGguT8s5DsGCND1KcwHP_AWR_zDMTqLHPLJUKhaU/edit?usp=sharing"",""พังงา!J317"")"),0)</f>
        <v>0</v>
      </c>
      <c r="AD81" s="345">
        <f t="shared" ca="1" si="39"/>
        <v>0</v>
      </c>
    </row>
    <row r="82" spans="1:30" ht="21" customHeight="1" x14ac:dyDescent="0.3">
      <c r="A82" s="84">
        <v>8</v>
      </c>
      <c r="B82" s="85" t="s">
        <v>104</v>
      </c>
      <c r="C82" s="174">
        <f t="shared" ca="1" si="24"/>
        <v>114900</v>
      </c>
      <c r="D82" s="175">
        <f t="shared" ca="1" si="58"/>
        <v>114900</v>
      </c>
      <c r="E82" s="176">
        <f ca="1">IFERROR(__xludf.DUMMYFUNCTION("IMPORTRANGE(""https://docs.google.com/spreadsheets/d/1-uDff_7J0KD5mKrp0Vvzr7lt3OU09vwQwhkpOPPYv2Y/edit?usp=sharing"",""งบพรบ!DZ82"")"),51100)</f>
        <v>51100</v>
      </c>
      <c r="F82" s="176">
        <f ca="1">IFERROR(__xludf.DUMMYFUNCTION("IMPORTRANGE(""https://docs.google.com/spreadsheets/d/1-uDff_7J0KD5mKrp0Vvzr7lt3OU09vwQwhkpOPPYv2Y/edit?usp=sharing"",""งบพรบ!EA82"")"),63800)</f>
        <v>63800</v>
      </c>
      <c r="G82" s="176">
        <f ca="1">IFERROR(__xludf.DUMMYFUNCTION("IMPORTRANGE(""https://docs.google.com/spreadsheets/d/1-uDff_7J0KD5mKrp0Vvzr7lt3OU09vwQwhkpOPPYv2Y/edit?usp=sharing"",""งบพรบ!EB82"")"),0)</f>
        <v>0</v>
      </c>
      <c r="H82" s="176">
        <f ca="1">IFERROR(__xludf.DUMMYFUNCTION("IMPORTRANGE(""https://docs.google.com/spreadsheets/d/1-uDff_7J0KD5mKrp0Vvzr7lt3OU09vwQwhkpOPPYv2Y/edit?usp=sharing"",""งบพรบ!ED82"")"),86800)</f>
        <v>86800</v>
      </c>
      <c r="I82" s="176">
        <f ca="1">IFERROR(__xludf.DUMMYFUNCTION("IMPORTRANGE(""https://docs.google.com/spreadsheets/d/1-uDff_7J0KD5mKrp0Vvzr7lt3OU09vwQwhkpOPPYv2Y/edit?usp=sharing"",""งบพรบ!EE82"")"),0)</f>
        <v>0</v>
      </c>
      <c r="J82" s="176">
        <f t="shared" ca="1" si="26"/>
        <v>15364.4</v>
      </c>
      <c r="K82" s="181">
        <f t="shared" ca="1" si="27"/>
        <v>13.371975630983464</v>
      </c>
      <c r="L82" s="176">
        <f ca="1">IFERROR(__xludf.DUMMYFUNCTION("IMPORTRANGE(""https://docs.google.com/spreadsheets/d/1-uDff_7J0KD5mKrp0Vvzr7lt3OU09vwQwhkpOPPYv2Y/edit?usp=sharing"",""งบพรบ!EF82"")"),15364.4)</f>
        <v>15364.4</v>
      </c>
      <c r="M82" s="179">
        <f t="shared" ca="1" si="28"/>
        <v>13.371975630983464</v>
      </c>
      <c r="N82" s="179">
        <f t="shared" ca="1" si="29"/>
        <v>17.700921658986175</v>
      </c>
      <c r="O82" s="180">
        <f ca="1">IFERROR(__xludf.DUMMYFUNCTION("IMPORTRANGE(""https://docs.google.com/spreadsheets/d/1-uDff_7J0KD5mKrp0Vvzr7lt3OU09vwQwhkpOPPYv2Y/edit?usp=sharing"",""งบพรบ!EG82"")"),0)</f>
        <v>0</v>
      </c>
      <c r="P82" s="180">
        <f t="shared" ca="1" si="30"/>
        <v>0</v>
      </c>
      <c r="Q82" s="179">
        <f t="shared" ca="1" si="31"/>
        <v>0</v>
      </c>
      <c r="R82" s="344">
        <f ca="1">IFERROR(__xludf.DUMMYFUNCTION("IMPORTRANGE(""https://docs.google.com/spreadsheets/d/17ht0gPKzzT3PObBL1XJkeRmntBXI7wGjpLV7QorqlTk/edit?usp=sharing"",""พัทลุง!J313"")"),0)</f>
        <v>0</v>
      </c>
      <c r="S82" s="344">
        <f ca="1">IFERROR(__xludf.DUMMYFUNCTION("IMPORTRANGE(""https://docs.google.com/spreadsheets/d/17ht0gPKzzT3PObBL1XJkeRmntBXI7wGjpLV7QorqlTk/edit?usp=sharing"",""พัทลุง!I314"")"),15)</f>
        <v>15</v>
      </c>
      <c r="T82" s="177">
        <f ca="1">IFERROR(__xludf.DUMMYFUNCTION("IMPORTRANGE(""https://docs.google.com/spreadsheets/d/17ht0gPKzzT3PObBL1XJkeRmntBXI7wGjpLV7QorqlTk/edit?usp=sharing"",""พัทลุง!J314"")"),0)</f>
        <v>0</v>
      </c>
      <c r="U82" s="345">
        <f t="shared" ca="1" si="33"/>
        <v>0</v>
      </c>
      <c r="V82" s="344">
        <f ca="1">IFERROR(__xludf.DUMMYFUNCTION("IMPORTRANGE(""https://docs.google.com/spreadsheets/d/17ht0gPKzzT3PObBL1XJkeRmntBXI7wGjpLV7QorqlTk/edit?usp=sharing"",""พัทลุง!I315"")"),3)</f>
        <v>3</v>
      </c>
      <c r="W82" s="177">
        <f ca="1">IFERROR(__xludf.DUMMYFUNCTION("IMPORTRANGE(""https://docs.google.com/spreadsheets/d/17ht0gPKzzT3PObBL1XJkeRmntBXI7wGjpLV7QorqlTk/edit?usp=sharing"",""พัทลุง!J315"")"),0)</f>
        <v>0</v>
      </c>
      <c r="X82" s="345">
        <f t="shared" ca="1" si="35"/>
        <v>0</v>
      </c>
      <c r="Y82" s="344">
        <f ca="1">IFERROR(__xludf.DUMMYFUNCTION("IMPORTRANGE(""https://docs.google.com/spreadsheets/d/17ht0gPKzzT3PObBL1XJkeRmntBXI7wGjpLV7QorqlTk/edit?usp=sharing"",""พัทลุง!I316"")"),15)</f>
        <v>15</v>
      </c>
      <c r="Z82" s="177">
        <f ca="1">IFERROR(__xludf.DUMMYFUNCTION("IMPORTRANGE(""https://docs.google.com/spreadsheets/d/17ht0gPKzzT3PObBL1XJkeRmntBXI7wGjpLV7QorqlTk/edit?usp=sharing"",""พัทลุง!J316"")"),0)</f>
        <v>0</v>
      </c>
      <c r="AA82" s="345">
        <f t="shared" ca="1" si="37"/>
        <v>0</v>
      </c>
      <c r="AB82" s="344">
        <f ca="1">IFERROR(__xludf.DUMMYFUNCTION("IMPORTRANGE(""https://docs.google.com/spreadsheets/d/17ht0gPKzzT3PObBL1XJkeRmntBXI7wGjpLV7QorqlTk/edit?usp=sharing"",""พัทลุง!I317"")"),3)</f>
        <v>3</v>
      </c>
      <c r="AC82" s="177">
        <f ca="1">IFERROR(__xludf.DUMMYFUNCTION("IMPORTRANGE(""https://docs.google.com/spreadsheets/d/17ht0gPKzzT3PObBL1XJkeRmntBXI7wGjpLV7QorqlTk/edit?usp=sharing"",""พัทลุง!J317"")"),0)</f>
        <v>0</v>
      </c>
      <c r="AD82" s="345">
        <f t="shared" ca="1" si="39"/>
        <v>0</v>
      </c>
    </row>
    <row r="83" spans="1:30" ht="21" customHeight="1" x14ac:dyDescent="0.3">
      <c r="A83" s="84">
        <v>9</v>
      </c>
      <c r="B83" s="85" t="s">
        <v>105</v>
      </c>
      <c r="C83" s="174">
        <f t="shared" ca="1" si="24"/>
        <v>0</v>
      </c>
      <c r="D83" s="175">
        <f t="shared" ca="1" si="58"/>
        <v>0</v>
      </c>
      <c r="E83" s="176">
        <f ca="1">IFERROR(__xludf.DUMMYFUNCTION("IMPORTRANGE(""https://docs.google.com/spreadsheets/d/1-uDff_7J0KD5mKrp0Vvzr7lt3OU09vwQwhkpOPPYv2Y/edit?usp=sharing"",""งบพรบ!DZ83"")"),0)</f>
        <v>0</v>
      </c>
      <c r="F83" s="176">
        <f ca="1">IFERROR(__xludf.DUMMYFUNCTION("IMPORTRANGE(""https://docs.google.com/spreadsheets/d/1-uDff_7J0KD5mKrp0Vvzr7lt3OU09vwQwhkpOPPYv2Y/edit?usp=sharing"",""งบพรบ!EA83"")"),0)</f>
        <v>0</v>
      </c>
      <c r="G83" s="176">
        <f ca="1">IFERROR(__xludf.DUMMYFUNCTION("IMPORTRANGE(""https://docs.google.com/spreadsheets/d/1-uDff_7J0KD5mKrp0Vvzr7lt3OU09vwQwhkpOPPYv2Y/edit?usp=sharing"",""งบพรบ!EB83"")"),0)</f>
        <v>0</v>
      </c>
      <c r="H83" s="176">
        <f ca="1">IFERROR(__xludf.DUMMYFUNCTION("IMPORTRANGE(""https://docs.google.com/spreadsheets/d/1-uDff_7J0KD5mKrp0Vvzr7lt3OU09vwQwhkpOPPYv2Y/edit?usp=sharing"",""งบพรบ!ED83"")"),0)</f>
        <v>0</v>
      </c>
      <c r="I83" s="176">
        <f ca="1">IFERROR(__xludf.DUMMYFUNCTION("IMPORTRANGE(""https://docs.google.com/spreadsheets/d/1-uDff_7J0KD5mKrp0Vvzr7lt3OU09vwQwhkpOPPYv2Y/edit?usp=sharing"",""งบพรบ!EE83"")"),0)</f>
        <v>0</v>
      </c>
      <c r="J83" s="176">
        <f t="shared" ca="1" si="26"/>
        <v>0</v>
      </c>
      <c r="K83" s="181">
        <f t="shared" ca="1" si="27"/>
        <v>0</v>
      </c>
      <c r="L83" s="176">
        <f ca="1">IFERROR(__xludf.DUMMYFUNCTION("IMPORTRANGE(""https://docs.google.com/spreadsheets/d/1-uDff_7J0KD5mKrp0Vvzr7lt3OU09vwQwhkpOPPYv2Y/edit?usp=sharing"",""งบพรบ!EF83"")"),0)</f>
        <v>0</v>
      </c>
      <c r="M83" s="179">
        <f t="shared" ca="1" si="28"/>
        <v>0</v>
      </c>
      <c r="N83" s="179">
        <f t="shared" ca="1" si="29"/>
        <v>0</v>
      </c>
      <c r="O83" s="180">
        <f ca="1">IFERROR(__xludf.DUMMYFUNCTION("IMPORTRANGE(""https://docs.google.com/spreadsheets/d/1-uDff_7J0KD5mKrp0Vvzr7lt3OU09vwQwhkpOPPYv2Y/edit?usp=sharing"",""งบพรบ!EG83"")"),0)</f>
        <v>0</v>
      </c>
      <c r="P83" s="180">
        <f t="shared" ca="1" si="30"/>
        <v>0</v>
      </c>
      <c r="Q83" s="179">
        <f t="shared" ca="1" si="31"/>
        <v>0</v>
      </c>
      <c r="R83" s="344">
        <f ca="1">IFERROR(__xludf.DUMMYFUNCTION("IMPORTRANGE(""https://docs.google.com/spreadsheets/d/1rd4qoM1q_hsgaolqNGfrim9gbsoLxQsda4-vOz5x_BM/edit?usp=sharing"",""ภูเก็ต!J313"")"),0)</f>
        <v>0</v>
      </c>
      <c r="S83" s="344">
        <f ca="1">IFERROR(__xludf.DUMMYFUNCTION("IMPORTRANGE(""https://docs.google.com/spreadsheets/d/1rd4qoM1q_hsgaolqNGfrim9gbsoLxQsda4-vOz5x_BM/edit?usp=sharing"",""ภูเก็ต!I314"")"),0)</f>
        <v>0</v>
      </c>
      <c r="T83" s="177">
        <f ca="1">IFERROR(__xludf.DUMMYFUNCTION("IMPORTRANGE(""https://docs.google.com/spreadsheets/d/1rd4qoM1q_hsgaolqNGfrim9gbsoLxQsda4-vOz5x_BM/edit?usp=sharing"",""ภูเก็ต!J314"")"),0)</f>
        <v>0</v>
      </c>
      <c r="U83" s="345">
        <f t="shared" ca="1" si="33"/>
        <v>0</v>
      </c>
      <c r="V83" s="344">
        <f ca="1">IFERROR(__xludf.DUMMYFUNCTION("IMPORTRANGE(""https://docs.google.com/spreadsheets/d/1rd4qoM1q_hsgaolqNGfrim9gbsoLxQsda4-vOz5x_BM/edit?usp=sharing"",""ภูเก็ต!I315"")"),0)</f>
        <v>0</v>
      </c>
      <c r="W83" s="177">
        <f ca="1">IFERROR(__xludf.DUMMYFUNCTION("IMPORTRANGE(""https://docs.google.com/spreadsheets/d/1rd4qoM1q_hsgaolqNGfrim9gbsoLxQsda4-vOz5x_BM/edit?usp=sharing"",""ภูเก็ต!J315"")"),0)</f>
        <v>0</v>
      </c>
      <c r="X83" s="345">
        <f t="shared" ca="1" si="35"/>
        <v>0</v>
      </c>
      <c r="Y83" s="344">
        <f ca="1">IFERROR(__xludf.DUMMYFUNCTION("IMPORTRANGE(""https://docs.google.com/spreadsheets/d/1rd4qoM1q_hsgaolqNGfrim9gbsoLxQsda4-vOz5x_BM/edit?usp=sharing"",""ภูเก็ต!I316"")"),0)</f>
        <v>0</v>
      </c>
      <c r="Z83" s="177">
        <f ca="1">IFERROR(__xludf.DUMMYFUNCTION("IMPORTRANGE(""https://docs.google.com/spreadsheets/d/1rd4qoM1q_hsgaolqNGfrim9gbsoLxQsda4-vOz5x_BM/edit?usp=sharing"",""ภูเก็ต!J316"")"),0)</f>
        <v>0</v>
      </c>
      <c r="AA83" s="345">
        <f t="shared" ca="1" si="37"/>
        <v>0</v>
      </c>
      <c r="AB83" s="344">
        <f ca="1">IFERROR(__xludf.DUMMYFUNCTION("IMPORTRANGE(""https://docs.google.com/spreadsheets/d/1rd4qoM1q_hsgaolqNGfrim9gbsoLxQsda4-vOz5x_BM/edit?usp=sharing"",""ภูเก็ต!I317"")"),0)</f>
        <v>0</v>
      </c>
      <c r="AC83" s="177">
        <f ca="1">IFERROR(__xludf.DUMMYFUNCTION("IMPORTRANGE(""https://docs.google.com/spreadsheets/d/1rd4qoM1q_hsgaolqNGfrim9gbsoLxQsda4-vOz5x_BM/edit?usp=sharing"",""ภูเก็ต!J317"")"),0)</f>
        <v>0</v>
      </c>
      <c r="AD83" s="345">
        <f t="shared" ca="1" si="39"/>
        <v>0</v>
      </c>
    </row>
    <row r="84" spans="1:30" ht="21" customHeight="1" x14ac:dyDescent="0.3">
      <c r="A84" s="84">
        <v>10</v>
      </c>
      <c r="B84" s="85" t="s">
        <v>106</v>
      </c>
      <c r="C84" s="174">
        <f t="shared" ca="1" si="24"/>
        <v>0</v>
      </c>
      <c r="D84" s="175">
        <f t="shared" ca="1" si="58"/>
        <v>0</v>
      </c>
      <c r="E84" s="176">
        <f ca="1">IFERROR(__xludf.DUMMYFUNCTION("IMPORTRANGE(""https://docs.google.com/spreadsheets/d/1-uDff_7J0KD5mKrp0Vvzr7lt3OU09vwQwhkpOPPYv2Y/edit?usp=sharing"",""งบพรบ!DZ84"")"),0)</f>
        <v>0</v>
      </c>
      <c r="F84" s="176">
        <f ca="1">IFERROR(__xludf.DUMMYFUNCTION("IMPORTRANGE(""https://docs.google.com/spreadsheets/d/1-uDff_7J0KD5mKrp0Vvzr7lt3OU09vwQwhkpOPPYv2Y/edit?usp=sharing"",""งบพรบ!EA84"")"),0)</f>
        <v>0</v>
      </c>
      <c r="G84" s="176">
        <f ca="1">IFERROR(__xludf.DUMMYFUNCTION("IMPORTRANGE(""https://docs.google.com/spreadsheets/d/1-uDff_7J0KD5mKrp0Vvzr7lt3OU09vwQwhkpOPPYv2Y/edit?usp=sharing"",""งบพรบ!EB84"")"),0)</f>
        <v>0</v>
      </c>
      <c r="H84" s="176">
        <f ca="1">IFERROR(__xludf.DUMMYFUNCTION("IMPORTRANGE(""https://docs.google.com/spreadsheets/d/1-uDff_7J0KD5mKrp0Vvzr7lt3OU09vwQwhkpOPPYv2Y/edit?usp=sharing"",""งบพรบ!ED84"")"),0)</f>
        <v>0</v>
      </c>
      <c r="I84" s="176">
        <f ca="1">IFERROR(__xludf.DUMMYFUNCTION("IMPORTRANGE(""https://docs.google.com/spreadsheets/d/1-uDff_7J0KD5mKrp0Vvzr7lt3OU09vwQwhkpOPPYv2Y/edit?usp=sharing"",""งบพรบ!EE84"")"),0)</f>
        <v>0</v>
      </c>
      <c r="J84" s="176">
        <f t="shared" ca="1" si="26"/>
        <v>0</v>
      </c>
      <c r="K84" s="181">
        <f t="shared" ca="1" si="27"/>
        <v>0</v>
      </c>
      <c r="L84" s="176">
        <f ca="1">IFERROR(__xludf.DUMMYFUNCTION("IMPORTRANGE(""https://docs.google.com/spreadsheets/d/1-uDff_7J0KD5mKrp0Vvzr7lt3OU09vwQwhkpOPPYv2Y/edit?usp=sharing"",""งบพรบ!EF84"")"),0)</f>
        <v>0</v>
      </c>
      <c r="M84" s="179">
        <f t="shared" ca="1" si="28"/>
        <v>0</v>
      </c>
      <c r="N84" s="179">
        <f t="shared" ca="1" si="29"/>
        <v>0</v>
      </c>
      <c r="O84" s="180">
        <f ca="1">IFERROR(__xludf.DUMMYFUNCTION("IMPORTRANGE(""https://docs.google.com/spreadsheets/d/1-uDff_7J0KD5mKrp0Vvzr7lt3OU09vwQwhkpOPPYv2Y/edit?usp=sharing"",""งบพรบ!EG84"")"),0)</f>
        <v>0</v>
      </c>
      <c r="P84" s="180">
        <f t="shared" ca="1" si="30"/>
        <v>0</v>
      </c>
      <c r="Q84" s="179">
        <f t="shared" ca="1" si="31"/>
        <v>0</v>
      </c>
      <c r="R84" s="344">
        <f ca="1">IFERROR(__xludf.DUMMYFUNCTION("IMPORTRANGE(""https://docs.google.com/spreadsheets/d/1woKwKjgoLssDvPcPeVyezB5izizAn4X1JDrys69n6xI/edit?usp=sharing"",""ยะลา!J313"")"),0)</f>
        <v>0</v>
      </c>
      <c r="S84" s="344">
        <f ca="1">IFERROR(__xludf.DUMMYFUNCTION("IMPORTRANGE(""https://docs.google.com/spreadsheets/d/1woKwKjgoLssDvPcPeVyezB5izizAn4X1JDrys69n6xI/edit?usp=sharing"",""ยะลา!I314"")"),0)</f>
        <v>0</v>
      </c>
      <c r="T84" s="177">
        <f ca="1">IFERROR(__xludf.DUMMYFUNCTION("IMPORTRANGE(""https://docs.google.com/spreadsheets/d/1woKwKjgoLssDvPcPeVyezB5izizAn4X1JDrys69n6xI/edit?usp=sharing"",""ยะลา!J314"")"),0)</f>
        <v>0</v>
      </c>
      <c r="U84" s="345">
        <f t="shared" ca="1" si="33"/>
        <v>0</v>
      </c>
      <c r="V84" s="344">
        <f ca="1">IFERROR(__xludf.DUMMYFUNCTION("IMPORTRANGE(""https://docs.google.com/spreadsheets/d/1woKwKjgoLssDvPcPeVyezB5izizAn4X1JDrys69n6xI/edit?usp=sharing"",""ยะลา!I315"")"),0)</f>
        <v>0</v>
      </c>
      <c r="W84" s="177">
        <f ca="1">IFERROR(__xludf.DUMMYFUNCTION("IMPORTRANGE(""https://docs.google.com/spreadsheets/d/1woKwKjgoLssDvPcPeVyezB5izizAn4X1JDrys69n6xI/edit?usp=sharing"",""ยะลา!J315"")"),0)</f>
        <v>0</v>
      </c>
      <c r="X84" s="345">
        <f t="shared" ca="1" si="35"/>
        <v>0</v>
      </c>
      <c r="Y84" s="344">
        <f ca="1">IFERROR(__xludf.DUMMYFUNCTION("IMPORTRANGE(""https://docs.google.com/spreadsheets/d/1woKwKjgoLssDvPcPeVyezB5izizAn4X1JDrys69n6xI/edit?usp=sharing"",""ยะลา!I316"")"),0)</f>
        <v>0</v>
      </c>
      <c r="Z84" s="177">
        <f ca="1">IFERROR(__xludf.DUMMYFUNCTION("IMPORTRANGE(""https://docs.google.com/spreadsheets/d/1woKwKjgoLssDvPcPeVyezB5izizAn4X1JDrys69n6xI/edit?usp=sharing"",""ยะลา!J316"")"),0)</f>
        <v>0</v>
      </c>
      <c r="AA84" s="345">
        <f t="shared" ca="1" si="37"/>
        <v>0</v>
      </c>
      <c r="AB84" s="344">
        <f ca="1">IFERROR(__xludf.DUMMYFUNCTION("IMPORTRANGE(""https://docs.google.com/spreadsheets/d/1woKwKjgoLssDvPcPeVyezB5izizAn4X1JDrys69n6xI/edit?usp=sharing"",""ยะลา!I317"")"),0)</f>
        <v>0</v>
      </c>
      <c r="AC84" s="177">
        <f ca="1">IFERROR(__xludf.DUMMYFUNCTION("IMPORTRANGE(""https://docs.google.com/spreadsheets/d/1woKwKjgoLssDvPcPeVyezB5izizAn4X1JDrys69n6xI/edit?usp=sharing"",""ยะลา!J317"")"),0)</f>
        <v>0</v>
      </c>
      <c r="AD84" s="345">
        <f t="shared" ca="1" si="39"/>
        <v>0</v>
      </c>
    </row>
    <row r="85" spans="1:30" ht="21" customHeight="1" x14ac:dyDescent="0.3">
      <c r="A85" s="84">
        <v>11</v>
      </c>
      <c r="B85" s="85" t="s">
        <v>107</v>
      </c>
      <c r="C85" s="174">
        <f t="shared" ca="1" si="24"/>
        <v>0</v>
      </c>
      <c r="D85" s="175">
        <f t="shared" ca="1" si="58"/>
        <v>0</v>
      </c>
      <c r="E85" s="176">
        <f ca="1">IFERROR(__xludf.DUMMYFUNCTION("IMPORTRANGE(""https://docs.google.com/spreadsheets/d/1-uDff_7J0KD5mKrp0Vvzr7lt3OU09vwQwhkpOPPYv2Y/edit?usp=sharing"",""งบพรบ!DZ85"")"),0)</f>
        <v>0</v>
      </c>
      <c r="F85" s="176">
        <f ca="1">IFERROR(__xludf.DUMMYFUNCTION("IMPORTRANGE(""https://docs.google.com/spreadsheets/d/1-uDff_7J0KD5mKrp0Vvzr7lt3OU09vwQwhkpOPPYv2Y/edit?usp=sharing"",""งบพรบ!EA85"")"),0)</f>
        <v>0</v>
      </c>
      <c r="G85" s="176">
        <f ca="1">IFERROR(__xludf.DUMMYFUNCTION("IMPORTRANGE(""https://docs.google.com/spreadsheets/d/1-uDff_7J0KD5mKrp0Vvzr7lt3OU09vwQwhkpOPPYv2Y/edit?usp=sharing"",""งบพรบ!EB85"")"),0)</f>
        <v>0</v>
      </c>
      <c r="H85" s="176">
        <f ca="1">IFERROR(__xludf.DUMMYFUNCTION("IMPORTRANGE(""https://docs.google.com/spreadsheets/d/1-uDff_7J0KD5mKrp0Vvzr7lt3OU09vwQwhkpOPPYv2Y/edit?usp=sharing"",""งบพรบ!ED85"")"),0)</f>
        <v>0</v>
      </c>
      <c r="I85" s="176">
        <f ca="1">IFERROR(__xludf.DUMMYFUNCTION("IMPORTRANGE(""https://docs.google.com/spreadsheets/d/1-uDff_7J0KD5mKrp0Vvzr7lt3OU09vwQwhkpOPPYv2Y/edit?usp=sharing"",""งบพรบ!EE85"")"),0)</f>
        <v>0</v>
      </c>
      <c r="J85" s="176">
        <f t="shared" ca="1" si="26"/>
        <v>0</v>
      </c>
      <c r="K85" s="181">
        <f t="shared" ca="1" si="27"/>
        <v>0</v>
      </c>
      <c r="L85" s="176">
        <f ca="1">IFERROR(__xludf.DUMMYFUNCTION("IMPORTRANGE(""https://docs.google.com/spreadsheets/d/1-uDff_7J0KD5mKrp0Vvzr7lt3OU09vwQwhkpOPPYv2Y/edit?usp=sharing"",""งบพรบ!EF85"")"),0)</f>
        <v>0</v>
      </c>
      <c r="M85" s="179">
        <f t="shared" ca="1" si="28"/>
        <v>0</v>
      </c>
      <c r="N85" s="179">
        <f t="shared" ca="1" si="29"/>
        <v>0</v>
      </c>
      <c r="O85" s="180">
        <f ca="1">IFERROR(__xludf.DUMMYFUNCTION("IMPORTRANGE(""https://docs.google.com/spreadsheets/d/1-uDff_7J0KD5mKrp0Vvzr7lt3OU09vwQwhkpOPPYv2Y/edit?usp=sharing"",""งบพรบ!EG85"")"),0)</f>
        <v>0</v>
      </c>
      <c r="P85" s="180">
        <f t="shared" ca="1" si="30"/>
        <v>0</v>
      </c>
      <c r="Q85" s="179">
        <f t="shared" ca="1" si="31"/>
        <v>0</v>
      </c>
      <c r="R85" s="344">
        <f ca="1">IFERROR(__xludf.DUMMYFUNCTION("IMPORTRANGE(""https://docs.google.com/spreadsheets/d/1qfrKjzMhm2HJfxQ-qVlJlJQ25Hne1d0khsySbZyGtPA/edit?usp=sharing"",""ระนอง!J313"")"),0)</f>
        <v>0</v>
      </c>
      <c r="S85" s="344">
        <f ca="1">IFERROR(__xludf.DUMMYFUNCTION("IMPORTRANGE(""https://docs.google.com/spreadsheets/d/1qfrKjzMhm2HJfxQ-qVlJlJQ25Hne1d0khsySbZyGtPA/edit?usp=sharing"",""ระนอง!I314"")"),0)</f>
        <v>0</v>
      </c>
      <c r="T85" s="177">
        <f ca="1">IFERROR(__xludf.DUMMYFUNCTION("IMPORTRANGE(""https://docs.google.com/spreadsheets/d/1qfrKjzMhm2HJfxQ-qVlJlJQ25Hne1d0khsySbZyGtPA/edit?usp=sharing"",""ระนอง!J314"")"),0)</f>
        <v>0</v>
      </c>
      <c r="U85" s="345">
        <f t="shared" ca="1" si="33"/>
        <v>0</v>
      </c>
      <c r="V85" s="344">
        <f ca="1">IFERROR(__xludf.DUMMYFUNCTION("IMPORTRANGE(""https://docs.google.com/spreadsheets/d/1qfrKjzMhm2HJfxQ-qVlJlJQ25Hne1d0khsySbZyGtPA/edit?usp=sharing"",""ระนอง!I315"")"),0)</f>
        <v>0</v>
      </c>
      <c r="W85" s="177">
        <f ca="1">IFERROR(__xludf.DUMMYFUNCTION("IMPORTRANGE(""https://docs.google.com/spreadsheets/d/1qfrKjzMhm2HJfxQ-qVlJlJQ25Hne1d0khsySbZyGtPA/edit?usp=sharing"",""ระนอง!J315"")"),0)</f>
        <v>0</v>
      </c>
      <c r="X85" s="345">
        <f t="shared" ca="1" si="35"/>
        <v>0</v>
      </c>
      <c r="Y85" s="344">
        <f ca="1">IFERROR(__xludf.DUMMYFUNCTION("IMPORTRANGE(""https://docs.google.com/spreadsheets/d/1qfrKjzMhm2HJfxQ-qVlJlJQ25Hne1d0khsySbZyGtPA/edit?usp=sharing"",""ระนอง!I316"")"),0)</f>
        <v>0</v>
      </c>
      <c r="Z85" s="177">
        <f ca="1">IFERROR(__xludf.DUMMYFUNCTION("IMPORTRANGE(""https://docs.google.com/spreadsheets/d/1qfrKjzMhm2HJfxQ-qVlJlJQ25Hne1d0khsySbZyGtPA/edit?usp=sharing"",""ระนอง!J316"")"),0)</f>
        <v>0</v>
      </c>
      <c r="AA85" s="345">
        <f t="shared" ca="1" si="37"/>
        <v>0</v>
      </c>
      <c r="AB85" s="344">
        <f ca="1">IFERROR(__xludf.DUMMYFUNCTION("IMPORTRANGE(""https://docs.google.com/spreadsheets/d/1qfrKjzMhm2HJfxQ-qVlJlJQ25Hne1d0khsySbZyGtPA/edit?usp=sharing"",""ระนอง!I317"")"),0)</f>
        <v>0</v>
      </c>
      <c r="AC85" s="177">
        <f ca="1">IFERROR(__xludf.DUMMYFUNCTION("IMPORTRANGE(""https://docs.google.com/spreadsheets/d/1qfrKjzMhm2HJfxQ-qVlJlJQ25Hne1d0khsySbZyGtPA/edit?usp=sharing"",""ระนอง!J317"")"),0)</f>
        <v>0</v>
      </c>
      <c r="AD85" s="345">
        <f t="shared" ca="1" si="39"/>
        <v>0</v>
      </c>
    </row>
    <row r="86" spans="1:30" ht="24" customHeight="1" x14ac:dyDescent="0.3">
      <c r="A86" s="84">
        <v>12</v>
      </c>
      <c r="B86" s="85" t="s">
        <v>108</v>
      </c>
      <c r="C86" s="174">
        <f t="shared" ca="1" si="24"/>
        <v>0</v>
      </c>
      <c r="D86" s="175">
        <f t="shared" ca="1" si="58"/>
        <v>0</v>
      </c>
      <c r="E86" s="176">
        <f ca="1">IFERROR(__xludf.DUMMYFUNCTION("IMPORTRANGE(""https://docs.google.com/spreadsheets/d/1-uDff_7J0KD5mKrp0Vvzr7lt3OU09vwQwhkpOPPYv2Y/edit?usp=sharing"",""งบพรบ!DZ86"")"),0)</f>
        <v>0</v>
      </c>
      <c r="F86" s="176">
        <f ca="1">IFERROR(__xludf.DUMMYFUNCTION("IMPORTRANGE(""https://docs.google.com/spreadsheets/d/1-uDff_7J0KD5mKrp0Vvzr7lt3OU09vwQwhkpOPPYv2Y/edit?usp=sharing"",""งบพรบ!EA86"")"),0)</f>
        <v>0</v>
      </c>
      <c r="G86" s="176">
        <f ca="1">IFERROR(__xludf.DUMMYFUNCTION("IMPORTRANGE(""https://docs.google.com/spreadsheets/d/1-uDff_7J0KD5mKrp0Vvzr7lt3OU09vwQwhkpOPPYv2Y/edit?usp=sharing"",""งบพรบ!EB86"")"),0)</f>
        <v>0</v>
      </c>
      <c r="H86" s="176">
        <f ca="1">IFERROR(__xludf.DUMMYFUNCTION("IMPORTRANGE(""https://docs.google.com/spreadsheets/d/1-uDff_7J0KD5mKrp0Vvzr7lt3OU09vwQwhkpOPPYv2Y/edit?usp=sharing"",""งบพรบ!ED86"")"),0)</f>
        <v>0</v>
      </c>
      <c r="I86" s="176">
        <f ca="1">IFERROR(__xludf.DUMMYFUNCTION("IMPORTRANGE(""https://docs.google.com/spreadsheets/d/1-uDff_7J0KD5mKrp0Vvzr7lt3OU09vwQwhkpOPPYv2Y/edit?usp=sharing"",""งบพรบ!EE86"")"),0)</f>
        <v>0</v>
      </c>
      <c r="J86" s="176">
        <f t="shared" ca="1" si="26"/>
        <v>0</v>
      </c>
      <c r="K86" s="181">
        <f t="shared" ca="1" si="27"/>
        <v>0</v>
      </c>
      <c r="L86" s="176">
        <f ca="1">IFERROR(__xludf.DUMMYFUNCTION("IMPORTRANGE(""https://docs.google.com/spreadsheets/d/1-uDff_7J0KD5mKrp0Vvzr7lt3OU09vwQwhkpOPPYv2Y/edit?usp=sharing"",""งบพรบ!EF86"")"),0)</f>
        <v>0</v>
      </c>
      <c r="M86" s="179">
        <f t="shared" ca="1" si="28"/>
        <v>0</v>
      </c>
      <c r="N86" s="179">
        <f t="shared" ca="1" si="29"/>
        <v>0</v>
      </c>
      <c r="O86" s="180">
        <f ca="1">IFERROR(__xludf.DUMMYFUNCTION("IMPORTRANGE(""https://docs.google.com/spreadsheets/d/1-uDff_7J0KD5mKrp0Vvzr7lt3OU09vwQwhkpOPPYv2Y/edit?usp=sharing"",""งบพรบ!EG86"")"),0)</f>
        <v>0</v>
      </c>
      <c r="P86" s="180">
        <f t="shared" ca="1" si="30"/>
        <v>0</v>
      </c>
      <c r="Q86" s="179">
        <f t="shared" ca="1" si="31"/>
        <v>0</v>
      </c>
      <c r="R86" s="344">
        <f ca="1">IFERROR(__xludf.DUMMYFUNCTION("IMPORTRANGE(""https://docs.google.com/spreadsheets/d/1IbSCnFOKpZsnFogBHJnL_isstZVaOMnFiIN0fGTPZZw/edit?usp=sharing"",""สงขลา!J313"")"),0)</f>
        <v>0</v>
      </c>
      <c r="S86" s="344">
        <f ca="1">IFERROR(__xludf.DUMMYFUNCTION("IMPORTRANGE(""https://docs.google.com/spreadsheets/d/1IbSCnFOKpZsnFogBHJnL_isstZVaOMnFiIN0fGTPZZw/edit?usp=sharing"",""สงขลา!I314"")"),0)</f>
        <v>0</v>
      </c>
      <c r="T86" s="177">
        <f ca="1">IFERROR(__xludf.DUMMYFUNCTION("IMPORTRANGE(""https://docs.google.com/spreadsheets/d/1IbSCnFOKpZsnFogBHJnL_isstZVaOMnFiIN0fGTPZZw/edit?usp=sharing"",""สงขลา!J314"")"),0)</f>
        <v>0</v>
      </c>
      <c r="U86" s="345">
        <f t="shared" ca="1" si="33"/>
        <v>0</v>
      </c>
      <c r="V86" s="344">
        <f ca="1">IFERROR(__xludf.DUMMYFUNCTION("IMPORTRANGE(""https://docs.google.com/spreadsheets/d/1IbSCnFOKpZsnFogBHJnL_isstZVaOMnFiIN0fGTPZZw/edit?usp=sharing"",""สงขลา!I315"")"),0)</f>
        <v>0</v>
      </c>
      <c r="W86" s="177">
        <f ca="1">IFERROR(__xludf.DUMMYFUNCTION("IMPORTRANGE(""https://docs.google.com/spreadsheets/d/1IbSCnFOKpZsnFogBHJnL_isstZVaOMnFiIN0fGTPZZw/edit?usp=sharing"",""สงขลา!J315"")"),0)</f>
        <v>0</v>
      </c>
      <c r="X86" s="345">
        <f t="shared" ca="1" si="35"/>
        <v>0</v>
      </c>
      <c r="Y86" s="344">
        <f ca="1">IFERROR(__xludf.DUMMYFUNCTION("IMPORTRANGE(""https://docs.google.com/spreadsheets/d/1IbSCnFOKpZsnFogBHJnL_isstZVaOMnFiIN0fGTPZZw/edit?usp=sharing"",""สงขลา!I316"")"),0)</f>
        <v>0</v>
      </c>
      <c r="Z86" s="177">
        <f ca="1">IFERROR(__xludf.DUMMYFUNCTION("IMPORTRANGE(""https://docs.google.com/spreadsheets/d/1IbSCnFOKpZsnFogBHJnL_isstZVaOMnFiIN0fGTPZZw/edit?usp=sharing"",""สงขลา!J316"")"),0)</f>
        <v>0</v>
      </c>
      <c r="AA86" s="345">
        <f t="shared" ca="1" si="37"/>
        <v>0</v>
      </c>
      <c r="AB86" s="344">
        <f ca="1">IFERROR(__xludf.DUMMYFUNCTION("IMPORTRANGE(""https://docs.google.com/spreadsheets/d/1IbSCnFOKpZsnFogBHJnL_isstZVaOMnFiIN0fGTPZZw/edit?usp=sharing"",""สงขลา!I317"")"),0)</f>
        <v>0</v>
      </c>
      <c r="AC86" s="177">
        <f ca="1">IFERROR(__xludf.DUMMYFUNCTION("IMPORTRANGE(""https://docs.google.com/spreadsheets/d/1IbSCnFOKpZsnFogBHJnL_isstZVaOMnFiIN0fGTPZZw/edit?usp=sharing"",""สงขลา!J317"")"),0)</f>
        <v>0</v>
      </c>
      <c r="AD86" s="345">
        <f t="shared" ca="1" si="39"/>
        <v>0</v>
      </c>
    </row>
    <row r="87" spans="1:30" ht="24" customHeight="1" x14ac:dyDescent="0.3">
      <c r="A87" s="84">
        <v>13</v>
      </c>
      <c r="B87" s="85" t="s">
        <v>109</v>
      </c>
      <c r="C87" s="174">
        <f t="shared" ca="1" si="24"/>
        <v>0</v>
      </c>
      <c r="D87" s="175">
        <f t="shared" ca="1" si="58"/>
        <v>0</v>
      </c>
      <c r="E87" s="176">
        <f ca="1">IFERROR(__xludf.DUMMYFUNCTION("IMPORTRANGE(""https://docs.google.com/spreadsheets/d/1-uDff_7J0KD5mKrp0Vvzr7lt3OU09vwQwhkpOPPYv2Y/edit?usp=sharing"",""งบพรบ!DZ87"")"),0)</f>
        <v>0</v>
      </c>
      <c r="F87" s="176">
        <f ca="1">IFERROR(__xludf.DUMMYFUNCTION("IMPORTRANGE(""https://docs.google.com/spreadsheets/d/1-uDff_7J0KD5mKrp0Vvzr7lt3OU09vwQwhkpOPPYv2Y/edit?usp=sharing"",""งบพรบ!EA87"")"),0)</f>
        <v>0</v>
      </c>
      <c r="G87" s="176">
        <f ca="1">IFERROR(__xludf.DUMMYFUNCTION("IMPORTRANGE(""https://docs.google.com/spreadsheets/d/1-uDff_7J0KD5mKrp0Vvzr7lt3OU09vwQwhkpOPPYv2Y/edit?usp=sharing"",""งบพรบ!EB87"")"),0)</f>
        <v>0</v>
      </c>
      <c r="H87" s="176">
        <f ca="1">IFERROR(__xludf.DUMMYFUNCTION("IMPORTRANGE(""https://docs.google.com/spreadsheets/d/1-uDff_7J0KD5mKrp0Vvzr7lt3OU09vwQwhkpOPPYv2Y/edit?usp=sharing"",""งบพรบ!ED87"")"),0)</f>
        <v>0</v>
      </c>
      <c r="I87" s="176">
        <f ca="1">IFERROR(__xludf.DUMMYFUNCTION("IMPORTRANGE(""https://docs.google.com/spreadsheets/d/1-uDff_7J0KD5mKrp0Vvzr7lt3OU09vwQwhkpOPPYv2Y/edit?usp=sharing"",""งบพรบ!EE87"")"),0)</f>
        <v>0</v>
      </c>
      <c r="J87" s="176">
        <f t="shared" ca="1" si="26"/>
        <v>0</v>
      </c>
      <c r="K87" s="181">
        <f t="shared" ca="1" si="27"/>
        <v>0</v>
      </c>
      <c r="L87" s="176">
        <f ca="1">IFERROR(__xludf.DUMMYFUNCTION("IMPORTRANGE(""https://docs.google.com/spreadsheets/d/1-uDff_7J0KD5mKrp0Vvzr7lt3OU09vwQwhkpOPPYv2Y/edit?usp=sharing"",""งบพรบ!EF87"")"),0)</f>
        <v>0</v>
      </c>
      <c r="M87" s="179">
        <f t="shared" ca="1" si="28"/>
        <v>0</v>
      </c>
      <c r="N87" s="179">
        <f t="shared" ca="1" si="29"/>
        <v>0</v>
      </c>
      <c r="O87" s="180">
        <f ca="1">IFERROR(__xludf.DUMMYFUNCTION("IMPORTRANGE(""https://docs.google.com/spreadsheets/d/1-uDff_7J0KD5mKrp0Vvzr7lt3OU09vwQwhkpOPPYv2Y/edit?usp=sharing"",""งบพรบ!EG87"")"),0)</f>
        <v>0</v>
      </c>
      <c r="P87" s="180">
        <f t="shared" ca="1" si="30"/>
        <v>0</v>
      </c>
      <c r="Q87" s="179">
        <f t="shared" ca="1" si="31"/>
        <v>0</v>
      </c>
      <c r="R87" s="344">
        <f ca="1">IFERROR(__xludf.DUMMYFUNCTION("IMPORTRANGE(""https://docs.google.com/spreadsheets/d/1q9nWasZJ-K8bFGvbE9n0qSRuKGA4Toe3Y89cKCiVtCU/edit?usp=sharing"",""สตูล!J313"")"),0)</f>
        <v>0</v>
      </c>
      <c r="S87" s="344">
        <f ca="1">IFERROR(__xludf.DUMMYFUNCTION("IMPORTRANGE(""https://docs.google.com/spreadsheets/d/1q9nWasZJ-K8bFGvbE9n0qSRuKGA4Toe3Y89cKCiVtCU/edit?usp=sharing"",""สตูล!I314"")"),0)</f>
        <v>0</v>
      </c>
      <c r="T87" s="177">
        <f ca="1">IFERROR(__xludf.DUMMYFUNCTION("IMPORTRANGE(""https://docs.google.com/spreadsheets/d/1q9nWasZJ-K8bFGvbE9n0qSRuKGA4Toe3Y89cKCiVtCU/edit?usp=sharing"",""สตูล!J314"")"),0)</f>
        <v>0</v>
      </c>
      <c r="U87" s="345">
        <f t="shared" ca="1" si="33"/>
        <v>0</v>
      </c>
      <c r="V87" s="344">
        <f ca="1">IFERROR(__xludf.DUMMYFUNCTION("IMPORTRANGE(""https://docs.google.com/spreadsheets/d/1q9nWasZJ-K8bFGvbE9n0qSRuKGA4Toe3Y89cKCiVtCU/edit?usp=sharing"",""สตูล!I315"")"),0)</f>
        <v>0</v>
      </c>
      <c r="W87" s="177">
        <f ca="1">IFERROR(__xludf.DUMMYFUNCTION("IMPORTRANGE(""https://docs.google.com/spreadsheets/d/1q9nWasZJ-K8bFGvbE9n0qSRuKGA4Toe3Y89cKCiVtCU/edit?usp=sharing"",""สตูล!J315"")"),0)</f>
        <v>0</v>
      </c>
      <c r="X87" s="345">
        <f t="shared" ca="1" si="35"/>
        <v>0</v>
      </c>
      <c r="Y87" s="344">
        <f ca="1">IFERROR(__xludf.DUMMYFUNCTION("IMPORTRANGE(""https://docs.google.com/spreadsheets/d/1q9nWasZJ-K8bFGvbE9n0qSRuKGA4Toe3Y89cKCiVtCU/edit?usp=sharing"",""สตูล!I316"")"),0)</f>
        <v>0</v>
      </c>
      <c r="Z87" s="177">
        <f ca="1">IFERROR(__xludf.DUMMYFUNCTION("IMPORTRANGE(""https://docs.google.com/spreadsheets/d/1q9nWasZJ-K8bFGvbE9n0qSRuKGA4Toe3Y89cKCiVtCU/edit?usp=sharing"",""สตูล!J316"")"),0)</f>
        <v>0</v>
      </c>
      <c r="AA87" s="345">
        <f t="shared" ca="1" si="37"/>
        <v>0</v>
      </c>
      <c r="AB87" s="344">
        <f ca="1">IFERROR(__xludf.DUMMYFUNCTION("IMPORTRANGE(""https://docs.google.com/spreadsheets/d/1q9nWasZJ-K8bFGvbE9n0qSRuKGA4Toe3Y89cKCiVtCU/edit?usp=sharing"",""สตูล!I317"")"),0)</f>
        <v>0</v>
      </c>
      <c r="AC87" s="177">
        <f ca="1">IFERROR(__xludf.DUMMYFUNCTION("IMPORTRANGE(""https://docs.google.com/spreadsheets/d/1q9nWasZJ-K8bFGvbE9n0qSRuKGA4Toe3Y89cKCiVtCU/edit?usp=sharing"",""สตูล!J317"")"),0)</f>
        <v>0</v>
      </c>
      <c r="AD87" s="345">
        <f t="shared" ca="1" si="39"/>
        <v>0</v>
      </c>
    </row>
    <row r="88" spans="1:30" ht="24" customHeight="1" x14ac:dyDescent="0.3">
      <c r="A88" s="95">
        <v>14</v>
      </c>
      <c r="B88" s="96" t="s">
        <v>110</v>
      </c>
      <c r="C88" s="184">
        <f t="shared" ca="1" si="24"/>
        <v>184600</v>
      </c>
      <c r="D88" s="185">
        <f t="shared" ca="1" si="58"/>
        <v>184600</v>
      </c>
      <c r="E88" s="186">
        <f ca="1">IFERROR(__xludf.DUMMYFUNCTION("IMPORTRANGE(""https://docs.google.com/spreadsheets/d/1-uDff_7J0KD5mKrp0Vvzr7lt3OU09vwQwhkpOPPYv2Y/edit?usp=sharing"",""งบพรบ!DZ88"")"),102200)</f>
        <v>102200</v>
      </c>
      <c r="F88" s="186">
        <f ca="1">IFERROR(__xludf.DUMMYFUNCTION("IMPORTRANGE(""https://docs.google.com/spreadsheets/d/1-uDff_7J0KD5mKrp0Vvzr7lt3OU09vwQwhkpOPPYv2Y/edit?usp=sharing"",""งบพรบ!EA88"")"),82400)</f>
        <v>82400</v>
      </c>
      <c r="G88" s="186">
        <f ca="1">IFERROR(__xludf.DUMMYFUNCTION("IMPORTRANGE(""https://docs.google.com/spreadsheets/d/1-uDff_7J0KD5mKrp0Vvzr7lt3OU09vwQwhkpOPPYv2Y/edit?usp=sharing"",""งบพรบ!EB88"")"),0)</f>
        <v>0</v>
      </c>
      <c r="H88" s="186">
        <f ca="1">IFERROR(__xludf.DUMMYFUNCTION("IMPORTRANGE(""https://docs.google.com/spreadsheets/d/1-uDff_7J0KD5mKrp0Vvzr7lt3OU09vwQwhkpOPPYv2Y/edit?usp=sharing"",""งบพรบ!ED88"")"),137400)</f>
        <v>137400</v>
      </c>
      <c r="I88" s="186">
        <f ca="1">IFERROR(__xludf.DUMMYFUNCTION("IMPORTRANGE(""https://docs.google.com/spreadsheets/d/1-uDff_7J0KD5mKrp0Vvzr7lt3OU09vwQwhkpOPPYv2Y/edit?usp=sharing"",""งบพรบ!EE88"")"),0)</f>
        <v>0</v>
      </c>
      <c r="J88" s="186">
        <f t="shared" ca="1" si="26"/>
        <v>20899.990000000002</v>
      </c>
      <c r="K88" s="187">
        <f t="shared" ca="1" si="27"/>
        <v>11.32177139761647</v>
      </c>
      <c r="L88" s="186">
        <f ca="1">IFERROR(__xludf.DUMMYFUNCTION("IMPORTRANGE(""https://docs.google.com/spreadsheets/d/1-uDff_7J0KD5mKrp0Vvzr7lt3OU09vwQwhkpOPPYv2Y/edit?usp=sharing"",""งบพรบ!EF88"")"),20899.99)</f>
        <v>20899.990000000002</v>
      </c>
      <c r="M88" s="188">
        <f t="shared" ca="1" si="28"/>
        <v>11.32177139761647</v>
      </c>
      <c r="N88" s="188">
        <f t="shared" ca="1" si="29"/>
        <v>15.211055312954878</v>
      </c>
      <c r="O88" s="189">
        <f ca="1">IFERROR(__xludf.DUMMYFUNCTION("IMPORTRANGE(""https://docs.google.com/spreadsheets/d/1-uDff_7J0KD5mKrp0Vvzr7lt3OU09vwQwhkpOPPYv2Y/edit?usp=sharing"",""งบพรบ!EG88"")"),0)</f>
        <v>0</v>
      </c>
      <c r="P88" s="189">
        <f t="shared" ca="1" si="30"/>
        <v>0</v>
      </c>
      <c r="Q88" s="188">
        <f t="shared" ca="1" si="31"/>
        <v>0</v>
      </c>
      <c r="R88" s="347">
        <f ca="1">IFERROR(__xludf.DUMMYFUNCTION("IMPORTRANGE(""https://docs.google.com/spreadsheets/d/18T20gbkS_WBjdscyTOV05cvq_JqvqQ17C81mpxf7Ncs/edit?usp=sharing"",""สุราษฎร์ธานี!J313"")"),0)</f>
        <v>0</v>
      </c>
      <c r="S88" s="347">
        <f ca="1">IFERROR(__xludf.DUMMYFUNCTION("IMPORTRANGE(""https://docs.google.com/spreadsheets/d/18T20gbkS_WBjdscyTOV05cvq_JqvqQ17C81mpxf7Ncs/edit?usp=sharing"",""สุราษฎร์ธานี!I314"")"),20)</f>
        <v>20</v>
      </c>
      <c r="T88" s="190">
        <f ca="1">IFERROR(__xludf.DUMMYFUNCTION("IMPORTRANGE(""https://docs.google.com/spreadsheets/d/18T20gbkS_WBjdscyTOV05cvq_JqvqQ17C81mpxf7Ncs/edit?usp=sharing"",""สุราษฎร์ธานี!J314"")"),0)</f>
        <v>0</v>
      </c>
      <c r="U88" s="348">
        <f t="shared" ca="1" si="33"/>
        <v>0</v>
      </c>
      <c r="V88" s="347">
        <f ca="1">IFERROR(__xludf.DUMMYFUNCTION("IMPORTRANGE(""https://docs.google.com/spreadsheets/d/18T20gbkS_WBjdscyTOV05cvq_JqvqQ17C81mpxf7Ncs/edit?usp=sharing"",""สุราษฎร์ธานี!I315"")"),4)</f>
        <v>4</v>
      </c>
      <c r="W88" s="190">
        <f ca="1">IFERROR(__xludf.DUMMYFUNCTION("IMPORTRANGE(""https://docs.google.com/spreadsheets/d/18T20gbkS_WBjdscyTOV05cvq_JqvqQ17C81mpxf7Ncs/edit?usp=sharing"",""สุราษฎร์ธานี!J315"")"),0)</f>
        <v>0</v>
      </c>
      <c r="X88" s="348">
        <f t="shared" ca="1" si="35"/>
        <v>0</v>
      </c>
      <c r="Y88" s="347">
        <f ca="1">IFERROR(__xludf.DUMMYFUNCTION("IMPORTRANGE(""https://docs.google.com/spreadsheets/d/18T20gbkS_WBjdscyTOV05cvq_JqvqQ17C81mpxf7Ncs/edit?usp=sharing"",""สุราษฎร์ธานี!I316"")"),20)</f>
        <v>20</v>
      </c>
      <c r="Z88" s="190">
        <f ca="1">IFERROR(__xludf.DUMMYFUNCTION("IMPORTRANGE(""https://docs.google.com/spreadsheets/d/18T20gbkS_WBjdscyTOV05cvq_JqvqQ17C81mpxf7Ncs/edit?usp=sharing"",""สุราษฎร์ธานี!J316"")"),0)</f>
        <v>0</v>
      </c>
      <c r="AA88" s="348">
        <f t="shared" ca="1" si="37"/>
        <v>0</v>
      </c>
      <c r="AB88" s="347">
        <f ca="1">IFERROR(__xludf.DUMMYFUNCTION("IMPORTRANGE(""https://docs.google.com/spreadsheets/d/18T20gbkS_WBjdscyTOV05cvq_JqvqQ17C81mpxf7Ncs/edit?usp=sharing"",""สุราษฎร์ธานี!I317"")"),4)</f>
        <v>4</v>
      </c>
      <c r="AC88" s="190">
        <f ca="1">IFERROR(__xludf.DUMMYFUNCTION("IMPORTRANGE(""https://docs.google.com/spreadsheets/d/18T20gbkS_WBjdscyTOV05cvq_JqvqQ17C81mpxf7Ncs/edit?usp=sharing"",""สุราษฎร์ธานี!J317"")"),0)</f>
        <v>0</v>
      </c>
      <c r="AD88" s="348">
        <f t="shared" ca="1" si="39"/>
        <v>0</v>
      </c>
    </row>
    <row r="89" spans="1:30" ht="21" customHeight="1" x14ac:dyDescent="0.3">
      <c r="A89" s="424" t="s">
        <v>111</v>
      </c>
      <c r="B89" s="422"/>
      <c r="C89" s="47">
        <f t="shared" ref="C89:Q89" ca="1" si="59">SUM(C90:C106)</f>
        <v>1129300</v>
      </c>
      <c r="D89" s="46">
        <f t="shared" ca="1" si="59"/>
        <v>1129300</v>
      </c>
      <c r="E89" s="46">
        <f t="shared" ca="1" si="59"/>
        <v>252400</v>
      </c>
      <c r="F89" s="46">
        <f t="shared" ca="1" si="59"/>
        <v>876900</v>
      </c>
      <c r="G89" s="46">
        <f t="shared" ca="1" si="59"/>
        <v>0</v>
      </c>
      <c r="H89" s="46">
        <f t="shared" ca="1" si="59"/>
        <v>1077300</v>
      </c>
      <c r="I89" s="46">
        <f t="shared" ca="1" si="59"/>
        <v>0</v>
      </c>
      <c r="J89" s="46">
        <f t="shared" ca="1" si="59"/>
        <v>112674</v>
      </c>
      <c r="K89" s="48">
        <f t="shared" ca="1" si="59"/>
        <v>12.849127608621279</v>
      </c>
      <c r="L89" s="46">
        <f t="shared" ca="1" si="59"/>
        <v>112674</v>
      </c>
      <c r="M89" s="48">
        <f t="shared" ca="1" si="59"/>
        <v>12.849127608621279</v>
      </c>
      <c r="N89" s="48">
        <f t="shared" ca="1" si="59"/>
        <v>15.876285754544174</v>
      </c>
      <c r="O89" s="46">
        <f t="shared" ca="1" si="59"/>
        <v>0</v>
      </c>
      <c r="P89" s="46">
        <f t="shared" ca="1" si="59"/>
        <v>0</v>
      </c>
      <c r="Q89" s="46">
        <f t="shared" ca="1" si="59"/>
        <v>0</v>
      </c>
      <c r="R89" s="46"/>
      <c r="S89" s="284"/>
      <c r="T89" s="191"/>
      <c r="U89" s="340"/>
      <c r="V89" s="191"/>
      <c r="W89" s="191"/>
      <c r="X89" s="340"/>
      <c r="Y89" s="191"/>
      <c r="Z89" s="191"/>
      <c r="AA89" s="340"/>
      <c r="AB89" s="191"/>
      <c r="AC89" s="191"/>
      <c r="AD89" s="340"/>
    </row>
    <row r="90" spans="1:30" ht="24" customHeight="1" x14ac:dyDescent="0.3">
      <c r="A90" s="192"/>
      <c r="B90" s="114" t="s">
        <v>112</v>
      </c>
      <c r="C90" s="193">
        <f t="shared" ref="C90:C106" ca="1" si="60">D90+G90</f>
        <v>0</v>
      </c>
      <c r="D90" s="194">
        <f t="shared" ref="D90:D106" ca="1" si="61">+E90+F90</f>
        <v>0</v>
      </c>
      <c r="E90" s="78">
        <f ca="1">IFERROR(__xludf.DUMMYFUNCTION("IMPORTRANGE(""https://docs.google.com/spreadsheets/d/1-uDff_7J0KD5mKrp0Vvzr7lt3OU09vwQwhkpOPPYv2Y/edit?usp=sharing"",""งบพรบ!DZ90"")"),0)</f>
        <v>0</v>
      </c>
      <c r="F90" s="78">
        <f ca="1">IFERROR(__xludf.DUMMYFUNCTION("IMPORTRANGE(""https://docs.google.com/spreadsheets/d/1-uDff_7J0KD5mKrp0Vvzr7lt3OU09vwQwhkpOPPYv2Y/edit?usp=sharing"",""งบพรบ!EA90"")"),0)</f>
        <v>0</v>
      </c>
      <c r="G90" s="78">
        <f ca="1">IFERROR(__xludf.DUMMYFUNCTION("IMPORTRANGE(""https://docs.google.com/spreadsheets/d/1-uDff_7J0KD5mKrp0Vvzr7lt3OU09vwQwhkpOPPYv2Y/edit?usp=sharing"",""งบพรบ!EB90"")"),0)</f>
        <v>0</v>
      </c>
      <c r="H90" s="78">
        <f ca="1">IFERROR(__xludf.DUMMYFUNCTION("IMPORTRANGE(""https://docs.google.com/spreadsheets/d/1-uDff_7J0KD5mKrp0Vvzr7lt3OU09vwQwhkpOPPYv2Y/edit?usp=sharing"",""งบพรบ!ED90"")"),0)</f>
        <v>0</v>
      </c>
      <c r="I90" s="78">
        <f ca="1">IFERROR(__xludf.DUMMYFUNCTION("IMPORTRANGE(""https://docs.google.com/spreadsheets/d/1-uDff_7J0KD5mKrp0Vvzr7lt3OU09vwQwhkpOPPYv2Y/edit?usp=sharing"",""งบพรบ!EE90"")"),0)</f>
        <v>0</v>
      </c>
      <c r="J90" s="78">
        <f t="shared" ref="J90:J106" ca="1" si="62">L90+O90</f>
        <v>0</v>
      </c>
      <c r="K90" s="115">
        <f t="shared" ref="K90:K106" ca="1" si="63">IF(C90&gt;0,J90*100/C90,0)</f>
        <v>0</v>
      </c>
      <c r="L90" s="78">
        <f ca="1">IFERROR(__xludf.DUMMYFUNCTION("IMPORTRANGE(""https://docs.google.com/spreadsheets/d/1-uDff_7J0KD5mKrp0Vvzr7lt3OU09vwQwhkpOPPYv2Y/edit?usp=sharing"",""งบพรบ!EF90"")"),0)</f>
        <v>0</v>
      </c>
      <c r="M90" s="81">
        <f t="shared" ref="M90:M106" ca="1" si="64">IF(D90&gt;0,L90*100/D90,0)</f>
        <v>0</v>
      </c>
      <c r="N90" s="81">
        <f t="shared" ref="N90:N106" ca="1" si="65">IF(H90&gt;0,L90*100/H90,0)</f>
        <v>0</v>
      </c>
      <c r="O90" s="82">
        <f ca="1">IFERROR(__xludf.DUMMYFUNCTION("IMPORTRANGE(""https://docs.google.com/spreadsheets/d/1-uDff_7J0KD5mKrp0Vvzr7lt3OU09vwQwhkpOPPYv2Y/edit?usp=sharing"",""งบพรบ!EG90"")"),0)</f>
        <v>0</v>
      </c>
      <c r="P90" s="82">
        <f t="shared" ref="P90:P106" ca="1" si="66">IF(G90&gt;0,O90*100/G90,0)</f>
        <v>0</v>
      </c>
      <c r="Q90" s="81">
        <f t="shared" ref="Q90:Q106" ca="1" si="67">IF(I90&gt;0,O90*100/I90,0)</f>
        <v>0</v>
      </c>
      <c r="R90" s="78"/>
      <c r="S90" s="285"/>
      <c r="T90" s="349"/>
      <c r="U90" s="350"/>
      <c r="V90" s="349"/>
      <c r="W90" s="349"/>
      <c r="X90" s="350"/>
      <c r="Y90" s="349"/>
      <c r="Z90" s="349"/>
      <c r="AA90" s="350"/>
      <c r="AB90" s="349"/>
      <c r="AC90" s="349"/>
      <c r="AD90" s="350"/>
    </row>
    <row r="91" spans="1:30" ht="24" customHeight="1" x14ac:dyDescent="0.3">
      <c r="A91" s="196"/>
      <c r="B91" s="117" t="s">
        <v>113</v>
      </c>
      <c r="C91" s="197">
        <f t="shared" ca="1" si="60"/>
        <v>0</v>
      </c>
      <c r="D91" s="198">
        <f t="shared" ca="1" si="61"/>
        <v>0</v>
      </c>
      <c r="E91" s="88">
        <f ca="1">IFERROR(__xludf.DUMMYFUNCTION("IMPORTRANGE(""https://docs.google.com/spreadsheets/d/1-uDff_7J0KD5mKrp0Vvzr7lt3OU09vwQwhkpOPPYv2Y/edit?usp=sharing"",""งบพรบ!DZ91"")"),0)</f>
        <v>0</v>
      </c>
      <c r="F91" s="88">
        <f ca="1">IFERROR(__xludf.DUMMYFUNCTION("IMPORTRANGE(""https://docs.google.com/spreadsheets/d/1-uDff_7J0KD5mKrp0Vvzr7lt3OU09vwQwhkpOPPYv2Y/edit?usp=sharing"",""งบพรบ!EA91"")"),0)</f>
        <v>0</v>
      </c>
      <c r="G91" s="88">
        <f ca="1">IFERROR(__xludf.DUMMYFUNCTION("IMPORTRANGE(""https://docs.google.com/spreadsheets/d/1-uDff_7J0KD5mKrp0Vvzr7lt3OU09vwQwhkpOPPYv2Y/edit?usp=sharing"",""งบพรบ!EB91"")"),0)</f>
        <v>0</v>
      </c>
      <c r="H91" s="88">
        <f ca="1">IFERROR(__xludf.DUMMYFUNCTION("IMPORTRANGE(""https://docs.google.com/spreadsheets/d/1-uDff_7J0KD5mKrp0Vvzr7lt3OU09vwQwhkpOPPYv2Y/edit?usp=sharing"",""งบพรบ!ED91"")"),0)</f>
        <v>0</v>
      </c>
      <c r="I91" s="88">
        <f ca="1">IFERROR(__xludf.DUMMYFUNCTION("IMPORTRANGE(""https://docs.google.com/spreadsheets/d/1-uDff_7J0KD5mKrp0Vvzr7lt3OU09vwQwhkpOPPYv2Y/edit?usp=sharing"",""งบพรบ!EE91"")"),0)</f>
        <v>0</v>
      </c>
      <c r="J91" s="88">
        <f t="shared" ca="1" si="62"/>
        <v>0</v>
      </c>
      <c r="K91" s="89">
        <f t="shared" ca="1" si="63"/>
        <v>0</v>
      </c>
      <c r="L91" s="88">
        <f ca="1">IFERROR(__xludf.DUMMYFUNCTION("IMPORTRANGE(""https://docs.google.com/spreadsheets/d/1-uDff_7J0KD5mKrp0Vvzr7lt3OU09vwQwhkpOPPYv2Y/edit?usp=sharing"",""งบพรบ!EF91"")"),0)</f>
        <v>0</v>
      </c>
      <c r="M91" s="90">
        <f t="shared" ca="1" si="64"/>
        <v>0</v>
      </c>
      <c r="N91" s="90">
        <f t="shared" ca="1" si="65"/>
        <v>0</v>
      </c>
      <c r="O91" s="91">
        <f ca="1">IFERROR(__xludf.DUMMYFUNCTION("IMPORTRANGE(""https://docs.google.com/spreadsheets/d/1-uDff_7J0KD5mKrp0Vvzr7lt3OU09vwQwhkpOPPYv2Y/edit?usp=sharing"",""งบพรบ!EG91"")"),0)</f>
        <v>0</v>
      </c>
      <c r="P91" s="91">
        <f t="shared" ca="1" si="66"/>
        <v>0</v>
      </c>
      <c r="Q91" s="90">
        <f t="shared" ca="1" si="67"/>
        <v>0</v>
      </c>
      <c r="R91" s="88"/>
      <c r="S91" s="285"/>
      <c r="T91" s="349"/>
      <c r="U91" s="350"/>
      <c r="V91" s="349"/>
      <c r="W91" s="349"/>
      <c r="X91" s="350"/>
      <c r="Y91" s="349"/>
      <c r="Z91" s="349"/>
      <c r="AA91" s="350"/>
      <c r="AB91" s="349"/>
      <c r="AC91" s="349"/>
      <c r="AD91" s="350"/>
    </row>
    <row r="92" spans="1:30" ht="24" customHeight="1" x14ac:dyDescent="0.3">
      <c r="A92" s="196"/>
      <c r="B92" s="117" t="s">
        <v>114</v>
      </c>
      <c r="C92" s="197">
        <f t="shared" ca="1" si="60"/>
        <v>0</v>
      </c>
      <c r="D92" s="198">
        <f t="shared" ca="1" si="61"/>
        <v>0</v>
      </c>
      <c r="E92" s="88">
        <f ca="1">IFERROR(__xludf.DUMMYFUNCTION("IMPORTRANGE(""https://docs.google.com/spreadsheets/d/1-uDff_7J0KD5mKrp0Vvzr7lt3OU09vwQwhkpOPPYv2Y/edit?usp=sharing"",""งบพรบ!DZ92"")"),0)</f>
        <v>0</v>
      </c>
      <c r="F92" s="88">
        <f ca="1">IFERROR(__xludf.DUMMYFUNCTION("IMPORTRANGE(""https://docs.google.com/spreadsheets/d/1-uDff_7J0KD5mKrp0Vvzr7lt3OU09vwQwhkpOPPYv2Y/edit?usp=sharing"",""งบพรบ!EA92"")"),0)</f>
        <v>0</v>
      </c>
      <c r="G92" s="88">
        <f ca="1">IFERROR(__xludf.DUMMYFUNCTION("IMPORTRANGE(""https://docs.google.com/spreadsheets/d/1-uDff_7J0KD5mKrp0Vvzr7lt3OU09vwQwhkpOPPYv2Y/edit?usp=sharing"",""งบพรบ!EB92"")"),0)</f>
        <v>0</v>
      </c>
      <c r="H92" s="88">
        <f ca="1">IFERROR(__xludf.DUMMYFUNCTION("IMPORTRANGE(""https://docs.google.com/spreadsheets/d/1-uDff_7J0KD5mKrp0Vvzr7lt3OU09vwQwhkpOPPYv2Y/edit?usp=sharing"",""งบพรบ!ED92"")"),0)</f>
        <v>0</v>
      </c>
      <c r="I92" s="88">
        <f ca="1">IFERROR(__xludf.DUMMYFUNCTION("IMPORTRANGE(""https://docs.google.com/spreadsheets/d/1-uDff_7J0KD5mKrp0Vvzr7lt3OU09vwQwhkpOPPYv2Y/edit?usp=sharing"",""งบพรบ!EE92"")"),0)</f>
        <v>0</v>
      </c>
      <c r="J92" s="88">
        <f t="shared" ca="1" si="62"/>
        <v>0</v>
      </c>
      <c r="K92" s="89">
        <f t="shared" ca="1" si="63"/>
        <v>0</v>
      </c>
      <c r="L92" s="88">
        <f ca="1">IFERROR(__xludf.DUMMYFUNCTION("IMPORTRANGE(""https://docs.google.com/spreadsheets/d/1-uDff_7J0KD5mKrp0Vvzr7lt3OU09vwQwhkpOPPYv2Y/edit?usp=sharing"",""งบพรบ!EF92"")"),0)</f>
        <v>0</v>
      </c>
      <c r="M92" s="90">
        <f t="shared" ca="1" si="64"/>
        <v>0</v>
      </c>
      <c r="N92" s="90">
        <f t="shared" ca="1" si="65"/>
        <v>0</v>
      </c>
      <c r="O92" s="91">
        <f ca="1">IFERROR(__xludf.DUMMYFUNCTION("IMPORTRANGE(""https://docs.google.com/spreadsheets/d/1-uDff_7J0KD5mKrp0Vvzr7lt3OU09vwQwhkpOPPYv2Y/edit?usp=sharing"",""งบพรบ!EG92"")"),0)</f>
        <v>0</v>
      </c>
      <c r="P92" s="91">
        <f t="shared" ca="1" si="66"/>
        <v>0</v>
      </c>
      <c r="Q92" s="90">
        <f t="shared" ca="1" si="67"/>
        <v>0</v>
      </c>
      <c r="R92" s="88"/>
      <c r="S92" s="285"/>
      <c r="T92" s="349"/>
      <c r="U92" s="350"/>
      <c r="V92" s="349"/>
      <c r="W92" s="349"/>
      <c r="X92" s="350"/>
      <c r="Y92" s="349"/>
      <c r="Z92" s="349"/>
      <c r="AA92" s="350"/>
      <c r="AB92" s="349"/>
      <c r="AC92" s="349"/>
      <c r="AD92" s="350"/>
    </row>
    <row r="93" spans="1:30" ht="24" customHeight="1" x14ac:dyDescent="0.3">
      <c r="A93" s="196"/>
      <c r="B93" s="117" t="s">
        <v>115</v>
      </c>
      <c r="C93" s="197">
        <f t="shared" ca="1" si="60"/>
        <v>0</v>
      </c>
      <c r="D93" s="198">
        <f t="shared" ca="1" si="61"/>
        <v>0</v>
      </c>
      <c r="E93" s="88">
        <f ca="1">IFERROR(__xludf.DUMMYFUNCTION("IMPORTRANGE(""https://docs.google.com/spreadsheets/d/1-uDff_7J0KD5mKrp0Vvzr7lt3OU09vwQwhkpOPPYv2Y/edit?usp=sharing"",""งบพรบ!DZ93"")"),0)</f>
        <v>0</v>
      </c>
      <c r="F93" s="88">
        <f ca="1">IFERROR(__xludf.DUMMYFUNCTION("IMPORTRANGE(""https://docs.google.com/spreadsheets/d/1-uDff_7J0KD5mKrp0Vvzr7lt3OU09vwQwhkpOPPYv2Y/edit?usp=sharing"",""งบพรบ!EA93"")"),0)</f>
        <v>0</v>
      </c>
      <c r="G93" s="88">
        <f ca="1">IFERROR(__xludf.DUMMYFUNCTION("IMPORTRANGE(""https://docs.google.com/spreadsheets/d/1-uDff_7J0KD5mKrp0Vvzr7lt3OU09vwQwhkpOPPYv2Y/edit?usp=sharing"",""งบพรบ!EB93"")"),0)</f>
        <v>0</v>
      </c>
      <c r="H93" s="88">
        <f ca="1">IFERROR(__xludf.DUMMYFUNCTION("IMPORTRANGE(""https://docs.google.com/spreadsheets/d/1-uDff_7J0KD5mKrp0Vvzr7lt3OU09vwQwhkpOPPYv2Y/edit?usp=sharing"",""งบพรบ!ED93"")"),0)</f>
        <v>0</v>
      </c>
      <c r="I93" s="88">
        <f ca="1">IFERROR(__xludf.DUMMYFUNCTION("IMPORTRANGE(""https://docs.google.com/spreadsheets/d/1-uDff_7J0KD5mKrp0Vvzr7lt3OU09vwQwhkpOPPYv2Y/edit?usp=sharing"",""งบพรบ!EE93"")"),0)</f>
        <v>0</v>
      </c>
      <c r="J93" s="88">
        <f t="shared" ca="1" si="62"/>
        <v>0</v>
      </c>
      <c r="K93" s="89">
        <f t="shared" ca="1" si="63"/>
        <v>0</v>
      </c>
      <c r="L93" s="88">
        <f ca="1">IFERROR(__xludf.DUMMYFUNCTION("IMPORTRANGE(""https://docs.google.com/spreadsheets/d/1-uDff_7J0KD5mKrp0Vvzr7lt3OU09vwQwhkpOPPYv2Y/edit?usp=sharing"",""งบพรบ!EF93"")"),0)</f>
        <v>0</v>
      </c>
      <c r="M93" s="90">
        <f t="shared" ca="1" si="64"/>
        <v>0</v>
      </c>
      <c r="N93" s="90">
        <f t="shared" ca="1" si="65"/>
        <v>0</v>
      </c>
      <c r="O93" s="91">
        <f ca="1">IFERROR(__xludf.DUMMYFUNCTION("IMPORTRANGE(""https://docs.google.com/spreadsheets/d/1-uDff_7J0KD5mKrp0Vvzr7lt3OU09vwQwhkpOPPYv2Y/edit?usp=sharing"",""งบพรบ!EG93"")"),0)</f>
        <v>0</v>
      </c>
      <c r="P93" s="91">
        <f t="shared" ca="1" si="66"/>
        <v>0</v>
      </c>
      <c r="Q93" s="90">
        <f t="shared" ca="1" si="67"/>
        <v>0</v>
      </c>
      <c r="R93" s="88"/>
      <c r="S93" s="285"/>
      <c r="T93" s="349"/>
      <c r="U93" s="350"/>
      <c r="V93" s="349"/>
      <c r="W93" s="349"/>
      <c r="X93" s="350"/>
      <c r="Y93" s="349"/>
      <c r="Z93" s="349"/>
      <c r="AA93" s="350"/>
      <c r="AB93" s="349"/>
      <c r="AC93" s="349"/>
      <c r="AD93" s="350"/>
    </row>
    <row r="94" spans="1:30" ht="24" customHeight="1" x14ac:dyDescent="0.3">
      <c r="A94" s="196"/>
      <c r="B94" s="117" t="s">
        <v>116</v>
      </c>
      <c r="C94" s="197">
        <f t="shared" ca="1" si="60"/>
        <v>0</v>
      </c>
      <c r="D94" s="198">
        <f t="shared" ca="1" si="61"/>
        <v>0</v>
      </c>
      <c r="E94" s="88">
        <f ca="1">IFERROR(__xludf.DUMMYFUNCTION("IMPORTRANGE(""https://docs.google.com/spreadsheets/d/1-uDff_7J0KD5mKrp0Vvzr7lt3OU09vwQwhkpOPPYv2Y/edit?usp=sharing"",""งบพรบ!DZ94"")"),0)</f>
        <v>0</v>
      </c>
      <c r="F94" s="88">
        <f ca="1">IFERROR(__xludf.DUMMYFUNCTION("IMPORTRANGE(""https://docs.google.com/spreadsheets/d/1-uDff_7J0KD5mKrp0Vvzr7lt3OU09vwQwhkpOPPYv2Y/edit?usp=sharing"",""งบพรบ!EA94"")"),0)</f>
        <v>0</v>
      </c>
      <c r="G94" s="88">
        <f ca="1">IFERROR(__xludf.DUMMYFUNCTION("IMPORTRANGE(""https://docs.google.com/spreadsheets/d/1-uDff_7J0KD5mKrp0Vvzr7lt3OU09vwQwhkpOPPYv2Y/edit?usp=sharing"",""งบพรบ!EB94"")"),0)</f>
        <v>0</v>
      </c>
      <c r="H94" s="88">
        <f ca="1">IFERROR(__xludf.DUMMYFUNCTION("IMPORTRANGE(""https://docs.google.com/spreadsheets/d/1-uDff_7J0KD5mKrp0Vvzr7lt3OU09vwQwhkpOPPYv2Y/edit?usp=sharing"",""งบพรบ!ED94"")"),0)</f>
        <v>0</v>
      </c>
      <c r="I94" s="88">
        <f ca="1">IFERROR(__xludf.DUMMYFUNCTION("IMPORTRANGE(""https://docs.google.com/spreadsheets/d/1-uDff_7J0KD5mKrp0Vvzr7lt3OU09vwQwhkpOPPYv2Y/edit?usp=sharing"",""งบพรบ!EE94"")"),0)</f>
        <v>0</v>
      </c>
      <c r="J94" s="88">
        <f t="shared" ca="1" si="62"/>
        <v>0</v>
      </c>
      <c r="K94" s="89">
        <f t="shared" ca="1" si="63"/>
        <v>0</v>
      </c>
      <c r="L94" s="88">
        <f ca="1">IFERROR(__xludf.DUMMYFUNCTION("IMPORTRANGE(""https://docs.google.com/spreadsheets/d/1-uDff_7J0KD5mKrp0Vvzr7lt3OU09vwQwhkpOPPYv2Y/edit?usp=sharing"",""งบพรบ!EF94"")"),0)</f>
        <v>0</v>
      </c>
      <c r="M94" s="90">
        <f t="shared" ca="1" si="64"/>
        <v>0</v>
      </c>
      <c r="N94" s="90">
        <f t="shared" ca="1" si="65"/>
        <v>0</v>
      </c>
      <c r="O94" s="91">
        <f ca="1">IFERROR(__xludf.DUMMYFUNCTION("IMPORTRANGE(""https://docs.google.com/spreadsheets/d/1-uDff_7J0KD5mKrp0Vvzr7lt3OU09vwQwhkpOPPYv2Y/edit?usp=sharing"",""งบพรบ!EG94"")"),0)</f>
        <v>0</v>
      </c>
      <c r="P94" s="91">
        <f t="shared" ca="1" si="66"/>
        <v>0</v>
      </c>
      <c r="Q94" s="90">
        <f t="shared" ca="1" si="67"/>
        <v>0</v>
      </c>
      <c r="R94" s="88"/>
      <c r="S94" s="285"/>
      <c r="T94" s="349"/>
      <c r="U94" s="350"/>
      <c r="V94" s="349"/>
      <c r="W94" s="349"/>
      <c r="X94" s="350"/>
      <c r="Y94" s="349"/>
      <c r="Z94" s="349"/>
      <c r="AA94" s="350"/>
      <c r="AB94" s="349"/>
      <c r="AC94" s="349"/>
      <c r="AD94" s="350"/>
    </row>
    <row r="95" spans="1:30" ht="24" customHeight="1" x14ac:dyDescent="0.3">
      <c r="A95" s="196"/>
      <c r="B95" s="117" t="s">
        <v>117</v>
      </c>
      <c r="C95" s="197">
        <f t="shared" ca="1" si="60"/>
        <v>205500</v>
      </c>
      <c r="D95" s="198">
        <f t="shared" ca="1" si="61"/>
        <v>205500</v>
      </c>
      <c r="E95" s="88">
        <f ca="1">IFERROR(__xludf.DUMMYFUNCTION("IMPORTRANGE(""https://docs.google.com/spreadsheets/d/1-uDff_7J0KD5mKrp0Vvzr7lt3OU09vwQwhkpOPPYv2Y/edit?usp=sharing"",""งบพรบ!DZ95"")"),205500)</f>
        <v>205500</v>
      </c>
      <c r="F95" s="88">
        <f ca="1">IFERROR(__xludf.DUMMYFUNCTION("IMPORTRANGE(""https://docs.google.com/spreadsheets/d/1-uDff_7J0KD5mKrp0Vvzr7lt3OU09vwQwhkpOPPYv2Y/edit?usp=sharing"",""งบพรบ!EA95"")"),0)</f>
        <v>0</v>
      </c>
      <c r="G95" s="88">
        <f ca="1">IFERROR(__xludf.DUMMYFUNCTION("IMPORTRANGE(""https://docs.google.com/spreadsheets/d/1-uDff_7J0KD5mKrp0Vvzr7lt3OU09vwQwhkpOPPYv2Y/edit?usp=sharing"",""งบพรบ!EB95"")"),0)</f>
        <v>0</v>
      </c>
      <c r="H95" s="88">
        <f ca="1">IFERROR(__xludf.DUMMYFUNCTION("IMPORTRANGE(""https://docs.google.com/spreadsheets/d/1-uDff_7J0KD5mKrp0Vvzr7lt3OU09vwQwhkpOPPYv2Y/edit?usp=sharing"",""งบพรบ!ED95"")"),146700)</f>
        <v>146700</v>
      </c>
      <c r="I95" s="88">
        <f ca="1">IFERROR(__xludf.DUMMYFUNCTION("IMPORTRANGE(""https://docs.google.com/spreadsheets/d/1-uDff_7J0KD5mKrp0Vvzr7lt3OU09vwQwhkpOPPYv2Y/edit?usp=sharing"",""งบพรบ!EE95"")"),0)</f>
        <v>0</v>
      </c>
      <c r="J95" s="88">
        <f t="shared" ca="1" si="62"/>
        <v>0</v>
      </c>
      <c r="K95" s="89">
        <f t="shared" ca="1" si="63"/>
        <v>0</v>
      </c>
      <c r="L95" s="88">
        <f ca="1">IFERROR(__xludf.DUMMYFUNCTION("IMPORTRANGE(""https://docs.google.com/spreadsheets/d/1-uDff_7J0KD5mKrp0Vvzr7lt3OU09vwQwhkpOPPYv2Y/edit?usp=sharing"",""งบพรบ!EF95"")"),0)</f>
        <v>0</v>
      </c>
      <c r="M95" s="90">
        <f t="shared" ca="1" si="64"/>
        <v>0</v>
      </c>
      <c r="N95" s="90">
        <f t="shared" ca="1" si="65"/>
        <v>0</v>
      </c>
      <c r="O95" s="91">
        <f ca="1">IFERROR(__xludf.DUMMYFUNCTION("IMPORTRANGE(""https://docs.google.com/spreadsheets/d/1-uDff_7J0KD5mKrp0Vvzr7lt3OU09vwQwhkpOPPYv2Y/edit?usp=sharing"",""งบพรบ!EG95"")"),0)</f>
        <v>0</v>
      </c>
      <c r="P95" s="91">
        <f t="shared" ca="1" si="66"/>
        <v>0</v>
      </c>
      <c r="Q95" s="90">
        <f t="shared" ca="1" si="67"/>
        <v>0</v>
      </c>
      <c r="R95" s="88"/>
      <c r="S95" s="285"/>
      <c r="T95" s="349"/>
      <c r="U95" s="350"/>
      <c r="V95" s="349"/>
      <c r="W95" s="349"/>
      <c r="X95" s="350"/>
      <c r="Y95" s="349"/>
      <c r="Z95" s="349"/>
      <c r="AA95" s="350"/>
      <c r="AB95" s="349"/>
      <c r="AC95" s="349"/>
      <c r="AD95" s="350"/>
    </row>
    <row r="96" spans="1:30" ht="24" customHeight="1" x14ac:dyDescent="0.3">
      <c r="A96" s="196"/>
      <c r="B96" s="117" t="s">
        <v>118</v>
      </c>
      <c r="C96" s="197">
        <f t="shared" ca="1" si="60"/>
        <v>0</v>
      </c>
      <c r="D96" s="198">
        <f t="shared" ca="1" si="61"/>
        <v>0</v>
      </c>
      <c r="E96" s="88">
        <f ca="1">IFERROR(__xludf.DUMMYFUNCTION("IMPORTRANGE(""https://docs.google.com/spreadsheets/d/1-uDff_7J0KD5mKrp0Vvzr7lt3OU09vwQwhkpOPPYv2Y/edit?usp=sharing"",""งบพรบ!DZ96"")"),0)</f>
        <v>0</v>
      </c>
      <c r="F96" s="88">
        <f ca="1">IFERROR(__xludf.DUMMYFUNCTION("IMPORTRANGE(""https://docs.google.com/spreadsheets/d/1-uDff_7J0KD5mKrp0Vvzr7lt3OU09vwQwhkpOPPYv2Y/edit?usp=sharing"",""งบพรบ!EA96"")"),0)</f>
        <v>0</v>
      </c>
      <c r="G96" s="88">
        <f ca="1">IFERROR(__xludf.DUMMYFUNCTION("IMPORTRANGE(""https://docs.google.com/spreadsheets/d/1-uDff_7J0KD5mKrp0Vvzr7lt3OU09vwQwhkpOPPYv2Y/edit?usp=sharing"",""งบพรบ!EB96"")"),0)</f>
        <v>0</v>
      </c>
      <c r="H96" s="88">
        <f ca="1">IFERROR(__xludf.DUMMYFUNCTION("IMPORTRANGE(""https://docs.google.com/spreadsheets/d/1-uDff_7J0KD5mKrp0Vvzr7lt3OU09vwQwhkpOPPYv2Y/edit?usp=sharing"",""งบพรบ!ED96"")"),0)</f>
        <v>0</v>
      </c>
      <c r="I96" s="88">
        <f ca="1">IFERROR(__xludf.DUMMYFUNCTION("IMPORTRANGE(""https://docs.google.com/spreadsheets/d/1-uDff_7J0KD5mKrp0Vvzr7lt3OU09vwQwhkpOPPYv2Y/edit?usp=sharing"",""งบพรบ!EE96"")"),0)</f>
        <v>0</v>
      </c>
      <c r="J96" s="88">
        <f t="shared" ca="1" si="62"/>
        <v>0</v>
      </c>
      <c r="K96" s="89">
        <f t="shared" ca="1" si="63"/>
        <v>0</v>
      </c>
      <c r="L96" s="88">
        <f ca="1">IFERROR(__xludf.DUMMYFUNCTION("IMPORTRANGE(""https://docs.google.com/spreadsheets/d/1-uDff_7J0KD5mKrp0Vvzr7lt3OU09vwQwhkpOPPYv2Y/edit?usp=sharing"",""งบพรบ!EF96"")"),0)</f>
        <v>0</v>
      </c>
      <c r="M96" s="90">
        <f t="shared" ca="1" si="64"/>
        <v>0</v>
      </c>
      <c r="N96" s="90">
        <f t="shared" ca="1" si="65"/>
        <v>0</v>
      </c>
      <c r="O96" s="91">
        <f ca="1">IFERROR(__xludf.DUMMYFUNCTION("IMPORTRANGE(""https://docs.google.com/spreadsheets/d/1-uDff_7J0KD5mKrp0Vvzr7lt3OU09vwQwhkpOPPYv2Y/edit?usp=sharing"",""งบพรบ!EG96"")"),0)</f>
        <v>0</v>
      </c>
      <c r="P96" s="91">
        <f t="shared" ca="1" si="66"/>
        <v>0</v>
      </c>
      <c r="Q96" s="90">
        <f t="shared" ca="1" si="67"/>
        <v>0</v>
      </c>
      <c r="R96" s="88"/>
      <c r="S96" s="285"/>
      <c r="T96" s="349"/>
      <c r="U96" s="350"/>
      <c r="V96" s="349"/>
      <c r="W96" s="349"/>
      <c r="X96" s="350"/>
      <c r="Y96" s="349"/>
      <c r="Z96" s="349"/>
      <c r="AA96" s="350"/>
      <c r="AB96" s="349"/>
      <c r="AC96" s="349"/>
      <c r="AD96" s="350"/>
    </row>
    <row r="97" spans="1:30" ht="24" customHeight="1" x14ac:dyDescent="0.3">
      <c r="A97" s="196"/>
      <c r="B97" s="117" t="s">
        <v>119</v>
      </c>
      <c r="C97" s="197">
        <f t="shared" ca="1" si="60"/>
        <v>0</v>
      </c>
      <c r="D97" s="198">
        <f t="shared" ca="1" si="61"/>
        <v>0</v>
      </c>
      <c r="E97" s="88">
        <f ca="1">IFERROR(__xludf.DUMMYFUNCTION("IMPORTRANGE(""https://docs.google.com/spreadsheets/d/1-uDff_7J0KD5mKrp0Vvzr7lt3OU09vwQwhkpOPPYv2Y/edit?usp=sharing"",""งบพรบ!DZ97"")"),0)</f>
        <v>0</v>
      </c>
      <c r="F97" s="88">
        <f ca="1">IFERROR(__xludf.DUMMYFUNCTION("IMPORTRANGE(""https://docs.google.com/spreadsheets/d/1-uDff_7J0KD5mKrp0Vvzr7lt3OU09vwQwhkpOPPYv2Y/edit?usp=sharing"",""งบพรบ!EA97"")"),0)</f>
        <v>0</v>
      </c>
      <c r="G97" s="88">
        <f ca="1">IFERROR(__xludf.DUMMYFUNCTION("IMPORTRANGE(""https://docs.google.com/spreadsheets/d/1-uDff_7J0KD5mKrp0Vvzr7lt3OU09vwQwhkpOPPYv2Y/edit?usp=sharing"",""งบพรบ!EB97"")"),0)</f>
        <v>0</v>
      </c>
      <c r="H97" s="88">
        <f ca="1">IFERROR(__xludf.DUMMYFUNCTION("IMPORTRANGE(""https://docs.google.com/spreadsheets/d/1-uDff_7J0KD5mKrp0Vvzr7lt3OU09vwQwhkpOPPYv2Y/edit?usp=sharing"",""งบพรบ!ED97"")"),0)</f>
        <v>0</v>
      </c>
      <c r="I97" s="88">
        <f ca="1">IFERROR(__xludf.DUMMYFUNCTION("IMPORTRANGE(""https://docs.google.com/spreadsheets/d/1-uDff_7J0KD5mKrp0Vvzr7lt3OU09vwQwhkpOPPYv2Y/edit?usp=sharing"",""งบพรบ!EE97"")"),0)</f>
        <v>0</v>
      </c>
      <c r="J97" s="88">
        <f t="shared" ca="1" si="62"/>
        <v>0</v>
      </c>
      <c r="K97" s="89">
        <f t="shared" ca="1" si="63"/>
        <v>0</v>
      </c>
      <c r="L97" s="88">
        <f ca="1">IFERROR(__xludf.DUMMYFUNCTION("IMPORTRANGE(""https://docs.google.com/spreadsheets/d/1-uDff_7J0KD5mKrp0Vvzr7lt3OU09vwQwhkpOPPYv2Y/edit?usp=sharing"",""งบพรบ!EF97"")"),0)</f>
        <v>0</v>
      </c>
      <c r="M97" s="90">
        <f t="shared" ca="1" si="64"/>
        <v>0</v>
      </c>
      <c r="N97" s="90">
        <f t="shared" ca="1" si="65"/>
        <v>0</v>
      </c>
      <c r="O97" s="91">
        <f ca="1">IFERROR(__xludf.DUMMYFUNCTION("IMPORTRANGE(""https://docs.google.com/spreadsheets/d/1-uDff_7J0KD5mKrp0Vvzr7lt3OU09vwQwhkpOPPYv2Y/edit?usp=sharing"",""งบพรบ!EG97"")"),0)</f>
        <v>0</v>
      </c>
      <c r="P97" s="91">
        <f t="shared" ca="1" si="66"/>
        <v>0</v>
      </c>
      <c r="Q97" s="90">
        <f t="shared" ca="1" si="67"/>
        <v>0</v>
      </c>
      <c r="R97" s="88"/>
      <c r="S97" s="285"/>
      <c r="T97" s="349"/>
      <c r="U97" s="350"/>
      <c r="V97" s="349"/>
      <c r="W97" s="349"/>
      <c r="X97" s="350"/>
      <c r="Y97" s="349"/>
      <c r="Z97" s="349"/>
      <c r="AA97" s="350"/>
      <c r="AB97" s="349"/>
      <c r="AC97" s="349"/>
      <c r="AD97" s="350"/>
    </row>
    <row r="98" spans="1:30" ht="24" customHeight="1" x14ac:dyDescent="0.3">
      <c r="A98" s="196"/>
      <c r="B98" s="117" t="s">
        <v>120</v>
      </c>
      <c r="C98" s="197">
        <f t="shared" ca="1" si="60"/>
        <v>0</v>
      </c>
      <c r="D98" s="198">
        <f t="shared" ca="1" si="61"/>
        <v>0</v>
      </c>
      <c r="E98" s="88">
        <f ca="1">IFERROR(__xludf.DUMMYFUNCTION("IMPORTRANGE(""https://docs.google.com/spreadsheets/d/1-uDff_7J0KD5mKrp0Vvzr7lt3OU09vwQwhkpOPPYv2Y/edit?usp=sharing"",""งบพรบ!DZ98"")"),0)</f>
        <v>0</v>
      </c>
      <c r="F98" s="88">
        <f ca="1">IFERROR(__xludf.DUMMYFUNCTION("IMPORTRANGE(""https://docs.google.com/spreadsheets/d/1-uDff_7J0KD5mKrp0Vvzr7lt3OU09vwQwhkpOPPYv2Y/edit?usp=sharing"",""งบพรบ!EA98"")"),0)</f>
        <v>0</v>
      </c>
      <c r="G98" s="88">
        <f ca="1">IFERROR(__xludf.DUMMYFUNCTION("IMPORTRANGE(""https://docs.google.com/spreadsheets/d/1-uDff_7J0KD5mKrp0Vvzr7lt3OU09vwQwhkpOPPYv2Y/edit?usp=sharing"",""งบพรบ!EB98"")"),0)</f>
        <v>0</v>
      </c>
      <c r="H98" s="88">
        <f ca="1">IFERROR(__xludf.DUMMYFUNCTION("IMPORTRANGE(""https://docs.google.com/spreadsheets/d/1-uDff_7J0KD5mKrp0Vvzr7lt3OU09vwQwhkpOPPYv2Y/edit?usp=sharing"",""งบพรบ!ED98"")"),0)</f>
        <v>0</v>
      </c>
      <c r="I98" s="88">
        <f ca="1">IFERROR(__xludf.DUMMYFUNCTION("IMPORTRANGE(""https://docs.google.com/spreadsheets/d/1-uDff_7J0KD5mKrp0Vvzr7lt3OU09vwQwhkpOPPYv2Y/edit?usp=sharing"",""งบพรบ!EE98"")"),0)</f>
        <v>0</v>
      </c>
      <c r="J98" s="88">
        <f t="shared" ca="1" si="62"/>
        <v>0</v>
      </c>
      <c r="K98" s="89">
        <f t="shared" ca="1" si="63"/>
        <v>0</v>
      </c>
      <c r="L98" s="88">
        <f ca="1">IFERROR(__xludf.DUMMYFUNCTION("IMPORTRANGE(""https://docs.google.com/spreadsheets/d/1-uDff_7J0KD5mKrp0Vvzr7lt3OU09vwQwhkpOPPYv2Y/edit?usp=sharing"",""งบพรบ!EF98"")"),0)</f>
        <v>0</v>
      </c>
      <c r="M98" s="90">
        <f t="shared" ca="1" si="64"/>
        <v>0</v>
      </c>
      <c r="N98" s="90">
        <f t="shared" ca="1" si="65"/>
        <v>0</v>
      </c>
      <c r="O98" s="91">
        <f ca="1">IFERROR(__xludf.DUMMYFUNCTION("IMPORTRANGE(""https://docs.google.com/spreadsheets/d/1-uDff_7J0KD5mKrp0Vvzr7lt3OU09vwQwhkpOPPYv2Y/edit?usp=sharing"",""งบพรบ!EG98"")"),0)</f>
        <v>0</v>
      </c>
      <c r="P98" s="91">
        <f t="shared" ca="1" si="66"/>
        <v>0</v>
      </c>
      <c r="Q98" s="90">
        <f t="shared" ca="1" si="67"/>
        <v>0</v>
      </c>
      <c r="R98" s="88"/>
      <c r="S98" s="285"/>
      <c r="T98" s="349"/>
      <c r="U98" s="350"/>
      <c r="V98" s="349"/>
      <c r="W98" s="349"/>
      <c r="X98" s="350"/>
      <c r="Y98" s="349"/>
      <c r="Z98" s="349"/>
      <c r="AA98" s="350"/>
      <c r="AB98" s="349"/>
      <c r="AC98" s="349"/>
      <c r="AD98" s="350"/>
    </row>
    <row r="99" spans="1:30" ht="24" customHeight="1" x14ac:dyDescent="0.3">
      <c r="A99" s="196"/>
      <c r="B99" s="117" t="s">
        <v>121</v>
      </c>
      <c r="C99" s="197">
        <f t="shared" ca="1" si="60"/>
        <v>0</v>
      </c>
      <c r="D99" s="198">
        <f t="shared" ca="1" si="61"/>
        <v>0</v>
      </c>
      <c r="E99" s="88">
        <f ca="1">IFERROR(__xludf.DUMMYFUNCTION("IMPORTRANGE(""https://docs.google.com/spreadsheets/d/1-uDff_7J0KD5mKrp0Vvzr7lt3OU09vwQwhkpOPPYv2Y/edit?usp=sharing"",""งบพรบ!DZ99"")"),0)</f>
        <v>0</v>
      </c>
      <c r="F99" s="88">
        <f ca="1">IFERROR(__xludf.DUMMYFUNCTION("IMPORTRANGE(""https://docs.google.com/spreadsheets/d/1-uDff_7J0KD5mKrp0Vvzr7lt3OU09vwQwhkpOPPYv2Y/edit?usp=sharing"",""งบพรบ!EA99"")"),0)</f>
        <v>0</v>
      </c>
      <c r="G99" s="88">
        <f ca="1">IFERROR(__xludf.DUMMYFUNCTION("IMPORTRANGE(""https://docs.google.com/spreadsheets/d/1-uDff_7J0KD5mKrp0Vvzr7lt3OU09vwQwhkpOPPYv2Y/edit?usp=sharing"",""งบพรบ!EB99"")"),0)</f>
        <v>0</v>
      </c>
      <c r="H99" s="88">
        <f ca="1">IFERROR(__xludf.DUMMYFUNCTION("IMPORTRANGE(""https://docs.google.com/spreadsheets/d/1-uDff_7J0KD5mKrp0Vvzr7lt3OU09vwQwhkpOPPYv2Y/edit?usp=sharing"",""งบพรบ!ED99"")"),0)</f>
        <v>0</v>
      </c>
      <c r="I99" s="88">
        <f ca="1">IFERROR(__xludf.DUMMYFUNCTION("IMPORTRANGE(""https://docs.google.com/spreadsheets/d/1-uDff_7J0KD5mKrp0Vvzr7lt3OU09vwQwhkpOPPYv2Y/edit?usp=sharing"",""งบพรบ!EE99"")"),0)</f>
        <v>0</v>
      </c>
      <c r="J99" s="88">
        <f t="shared" ca="1" si="62"/>
        <v>0</v>
      </c>
      <c r="K99" s="89">
        <f t="shared" ca="1" si="63"/>
        <v>0</v>
      </c>
      <c r="L99" s="88">
        <f ca="1">IFERROR(__xludf.DUMMYFUNCTION("IMPORTRANGE(""https://docs.google.com/spreadsheets/d/1-uDff_7J0KD5mKrp0Vvzr7lt3OU09vwQwhkpOPPYv2Y/edit?usp=sharing"",""งบพรบ!EF99"")"),0)</f>
        <v>0</v>
      </c>
      <c r="M99" s="90">
        <f t="shared" ca="1" si="64"/>
        <v>0</v>
      </c>
      <c r="N99" s="90">
        <f t="shared" ca="1" si="65"/>
        <v>0</v>
      </c>
      <c r="O99" s="91">
        <f ca="1">IFERROR(__xludf.DUMMYFUNCTION("IMPORTRANGE(""https://docs.google.com/spreadsheets/d/1-uDff_7J0KD5mKrp0Vvzr7lt3OU09vwQwhkpOPPYv2Y/edit?usp=sharing"",""งบพรบ!EG99"")"),0)</f>
        <v>0</v>
      </c>
      <c r="P99" s="91">
        <f t="shared" ca="1" si="66"/>
        <v>0</v>
      </c>
      <c r="Q99" s="90">
        <f t="shared" ca="1" si="67"/>
        <v>0</v>
      </c>
      <c r="R99" s="88"/>
      <c r="S99" s="285"/>
      <c r="T99" s="349"/>
      <c r="U99" s="350"/>
      <c r="V99" s="349"/>
      <c r="W99" s="349"/>
      <c r="X99" s="350"/>
      <c r="Y99" s="349"/>
      <c r="Z99" s="349"/>
      <c r="AA99" s="350"/>
      <c r="AB99" s="349"/>
      <c r="AC99" s="349"/>
      <c r="AD99" s="350"/>
    </row>
    <row r="100" spans="1:30" ht="24" customHeight="1" x14ac:dyDescent="0.3">
      <c r="A100" s="196"/>
      <c r="B100" s="117" t="s">
        <v>122</v>
      </c>
      <c r="C100" s="197">
        <f t="shared" ca="1" si="60"/>
        <v>0</v>
      </c>
      <c r="D100" s="198">
        <f t="shared" ca="1" si="61"/>
        <v>0</v>
      </c>
      <c r="E100" s="88">
        <f ca="1">IFERROR(__xludf.DUMMYFUNCTION("IMPORTRANGE(""https://docs.google.com/spreadsheets/d/1-uDff_7J0KD5mKrp0Vvzr7lt3OU09vwQwhkpOPPYv2Y/edit?usp=sharing"",""งบพรบ!DZ100"")"),0)</f>
        <v>0</v>
      </c>
      <c r="F100" s="88">
        <f ca="1">IFERROR(__xludf.DUMMYFUNCTION("IMPORTRANGE(""https://docs.google.com/spreadsheets/d/1-uDff_7J0KD5mKrp0Vvzr7lt3OU09vwQwhkpOPPYv2Y/edit?usp=sharing"",""งบพรบ!EA100"")"),0)</f>
        <v>0</v>
      </c>
      <c r="G100" s="88">
        <f ca="1">IFERROR(__xludf.DUMMYFUNCTION("IMPORTRANGE(""https://docs.google.com/spreadsheets/d/1-uDff_7J0KD5mKrp0Vvzr7lt3OU09vwQwhkpOPPYv2Y/edit?usp=sharing"",""งบพรบ!EB100"")"),0)</f>
        <v>0</v>
      </c>
      <c r="H100" s="88">
        <f ca="1">IFERROR(__xludf.DUMMYFUNCTION("IMPORTRANGE(""https://docs.google.com/spreadsheets/d/1-uDff_7J0KD5mKrp0Vvzr7lt3OU09vwQwhkpOPPYv2Y/edit?usp=sharing"",""งบพรบ!ED100"")"),0)</f>
        <v>0</v>
      </c>
      <c r="I100" s="88">
        <f ca="1">IFERROR(__xludf.DUMMYFUNCTION("IMPORTRANGE(""https://docs.google.com/spreadsheets/d/1-uDff_7J0KD5mKrp0Vvzr7lt3OU09vwQwhkpOPPYv2Y/edit?usp=sharing"",""งบพรบ!EE100"")"),0)</f>
        <v>0</v>
      </c>
      <c r="J100" s="88">
        <f t="shared" ca="1" si="62"/>
        <v>0</v>
      </c>
      <c r="K100" s="89">
        <f t="shared" ca="1" si="63"/>
        <v>0</v>
      </c>
      <c r="L100" s="88">
        <f ca="1">IFERROR(__xludf.DUMMYFUNCTION("IMPORTRANGE(""https://docs.google.com/spreadsheets/d/1-uDff_7J0KD5mKrp0Vvzr7lt3OU09vwQwhkpOPPYv2Y/edit?usp=sharing"",""งบพรบ!EF100"")"),0)</f>
        <v>0</v>
      </c>
      <c r="M100" s="90">
        <f t="shared" ca="1" si="64"/>
        <v>0</v>
      </c>
      <c r="N100" s="90">
        <f t="shared" ca="1" si="65"/>
        <v>0</v>
      </c>
      <c r="O100" s="91">
        <f ca="1">IFERROR(__xludf.DUMMYFUNCTION("IMPORTRANGE(""https://docs.google.com/spreadsheets/d/1-uDff_7J0KD5mKrp0Vvzr7lt3OU09vwQwhkpOPPYv2Y/edit?usp=sharing"",""งบพรบ!EG100"")"),0)</f>
        <v>0</v>
      </c>
      <c r="P100" s="91">
        <f t="shared" ca="1" si="66"/>
        <v>0</v>
      </c>
      <c r="Q100" s="90">
        <f t="shared" ca="1" si="67"/>
        <v>0</v>
      </c>
      <c r="R100" s="88"/>
      <c r="S100" s="285"/>
      <c r="T100" s="349"/>
      <c r="U100" s="350"/>
      <c r="V100" s="349"/>
      <c r="W100" s="349"/>
      <c r="X100" s="350"/>
      <c r="Y100" s="349"/>
      <c r="Z100" s="349"/>
      <c r="AA100" s="350"/>
      <c r="AB100" s="349"/>
      <c r="AC100" s="349"/>
      <c r="AD100" s="350"/>
    </row>
    <row r="101" spans="1:30" ht="24" customHeight="1" x14ac:dyDescent="0.3">
      <c r="A101" s="196"/>
      <c r="B101" s="117" t="s">
        <v>123</v>
      </c>
      <c r="C101" s="197">
        <f t="shared" ca="1" si="60"/>
        <v>876900</v>
      </c>
      <c r="D101" s="198">
        <f t="shared" ca="1" si="61"/>
        <v>876900</v>
      </c>
      <c r="E101" s="88">
        <f ca="1">IFERROR(__xludf.DUMMYFUNCTION("IMPORTRANGE(""https://docs.google.com/spreadsheets/d/1-uDff_7J0KD5mKrp0Vvzr7lt3OU09vwQwhkpOPPYv2Y/edit?usp=sharing"",""งบพรบ!DZ101"")"),0)</f>
        <v>0</v>
      </c>
      <c r="F101" s="88">
        <f ca="1">IFERROR(__xludf.DUMMYFUNCTION("IMPORTRANGE(""https://docs.google.com/spreadsheets/d/1-uDff_7J0KD5mKrp0Vvzr7lt3OU09vwQwhkpOPPYv2Y/edit?usp=sharing"",""งบพรบ!EA101"")"),876900)</f>
        <v>876900</v>
      </c>
      <c r="G101" s="88">
        <f ca="1">IFERROR(__xludf.DUMMYFUNCTION("IMPORTRANGE(""https://docs.google.com/spreadsheets/d/1-uDff_7J0KD5mKrp0Vvzr7lt3OU09vwQwhkpOPPYv2Y/edit?usp=sharing"",""งบพรบ!EB101"")"),0)</f>
        <v>0</v>
      </c>
      <c r="H101" s="88">
        <f ca="1">IFERROR(__xludf.DUMMYFUNCTION("IMPORTRANGE(""https://docs.google.com/spreadsheets/d/1-uDff_7J0KD5mKrp0Vvzr7lt3OU09vwQwhkpOPPYv2Y/edit?usp=sharing"",""งบพรบ!ED101"")"),709700)</f>
        <v>709700</v>
      </c>
      <c r="I101" s="88">
        <f ca="1">IFERROR(__xludf.DUMMYFUNCTION("IMPORTRANGE(""https://docs.google.com/spreadsheets/d/1-uDff_7J0KD5mKrp0Vvzr7lt3OU09vwQwhkpOPPYv2Y/edit?usp=sharing"",""งบพรบ!EE101"")"),0)</f>
        <v>0</v>
      </c>
      <c r="J101" s="88">
        <f t="shared" ca="1" si="62"/>
        <v>112674</v>
      </c>
      <c r="K101" s="89">
        <f t="shared" ca="1" si="63"/>
        <v>12.849127608621279</v>
      </c>
      <c r="L101" s="88">
        <f ca="1">IFERROR(__xludf.DUMMYFUNCTION("IMPORTRANGE(""https://docs.google.com/spreadsheets/d/1-uDff_7J0KD5mKrp0Vvzr7lt3OU09vwQwhkpOPPYv2Y/edit?usp=sharing"",""งบพรบ!EF101"")"),112674)</f>
        <v>112674</v>
      </c>
      <c r="M101" s="90">
        <f t="shared" ca="1" si="64"/>
        <v>12.849127608621279</v>
      </c>
      <c r="N101" s="90">
        <f t="shared" ca="1" si="65"/>
        <v>15.876285754544174</v>
      </c>
      <c r="O101" s="91">
        <f ca="1">IFERROR(__xludf.DUMMYFUNCTION("IMPORTRANGE(""https://docs.google.com/spreadsheets/d/1-uDff_7J0KD5mKrp0Vvzr7lt3OU09vwQwhkpOPPYv2Y/edit?usp=sharing"",""งบพรบ!EG101"")"),0)</f>
        <v>0</v>
      </c>
      <c r="P101" s="91">
        <f t="shared" ca="1" si="66"/>
        <v>0</v>
      </c>
      <c r="Q101" s="90">
        <f t="shared" ca="1" si="67"/>
        <v>0</v>
      </c>
      <c r="R101" s="88"/>
      <c r="S101" s="285"/>
      <c r="T101" s="349"/>
      <c r="U101" s="350"/>
      <c r="V101" s="349"/>
      <c r="W101" s="349"/>
      <c r="X101" s="350"/>
      <c r="Y101" s="349"/>
      <c r="Z101" s="349"/>
      <c r="AA101" s="350"/>
      <c r="AB101" s="349"/>
      <c r="AC101" s="349"/>
      <c r="AD101" s="350"/>
    </row>
    <row r="102" spans="1:30" ht="24" customHeight="1" x14ac:dyDescent="0.3">
      <c r="A102" s="196"/>
      <c r="B102" s="117" t="s">
        <v>124</v>
      </c>
      <c r="C102" s="197">
        <f t="shared" ca="1" si="60"/>
        <v>0</v>
      </c>
      <c r="D102" s="198">
        <f t="shared" ca="1" si="61"/>
        <v>0</v>
      </c>
      <c r="E102" s="88">
        <f ca="1">IFERROR(__xludf.DUMMYFUNCTION("IMPORTRANGE(""https://docs.google.com/spreadsheets/d/1-uDff_7J0KD5mKrp0Vvzr7lt3OU09vwQwhkpOPPYv2Y/edit?usp=sharing"",""งบพรบ!DZ102"")"),0)</f>
        <v>0</v>
      </c>
      <c r="F102" s="88">
        <f ca="1">IFERROR(__xludf.DUMMYFUNCTION("IMPORTRANGE(""https://docs.google.com/spreadsheets/d/1-uDff_7J0KD5mKrp0Vvzr7lt3OU09vwQwhkpOPPYv2Y/edit?usp=sharing"",""งบพรบ!EA102"")"),0)</f>
        <v>0</v>
      </c>
      <c r="G102" s="88">
        <f ca="1">IFERROR(__xludf.DUMMYFUNCTION("IMPORTRANGE(""https://docs.google.com/spreadsheets/d/1-uDff_7J0KD5mKrp0Vvzr7lt3OU09vwQwhkpOPPYv2Y/edit?usp=sharing"",""งบพรบ!EB102"")"),0)</f>
        <v>0</v>
      </c>
      <c r="H102" s="88">
        <f ca="1">IFERROR(__xludf.DUMMYFUNCTION("IMPORTRANGE(""https://docs.google.com/spreadsheets/d/1-uDff_7J0KD5mKrp0Vvzr7lt3OU09vwQwhkpOPPYv2Y/edit?usp=sharing"",""งบพรบ!ED102"")"),0)</f>
        <v>0</v>
      </c>
      <c r="I102" s="88">
        <f ca="1">IFERROR(__xludf.DUMMYFUNCTION("IMPORTRANGE(""https://docs.google.com/spreadsheets/d/1-uDff_7J0KD5mKrp0Vvzr7lt3OU09vwQwhkpOPPYv2Y/edit?usp=sharing"",""งบพรบ!EE102"")"),0)</f>
        <v>0</v>
      </c>
      <c r="J102" s="88">
        <f t="shared" ca="1" si="62"/>
        <v>0</v>
      </c>
      <c r="K102" s="89">
        <f t="shared" ca="1" si="63"/>
        <v>0</v>
      </c>
      <c r="L102" s="88">
        <f ca="1">IFERROR(__xludf.DUMMYFUNCTION("IMPORTRANGE(""https://docs.google.com/spreadsheets/d/1-uDff_7J0KD5mKrp0Vvzr7lt3OU09vwQwhkpOPPYv2Y/edit?usp=sharing"",""งบพรบ!EF102"")"),0)</f>
        <v>0</v>
      </c>
      <c r="M102" s="90">
        <f t="shared" ca="1" si="64"/>
        <v>0</v>
      </c>
      <c r="N102" s="90">
        <f t="shared" ca="1" si="65"/>
        <v>0</v>
      </c>
      <c r="O102" s="91">
        <f ca="1">IFERROR(__xludf.DUMMYFUNCTION("IMPORTRANGE(""https://docs.google.com/spreadsheets/d/1-uDff_7J0KD5mKrp0Vvzr7lt3OU09vwQwhkpOPPYv2Y/edit?usp=sharing"",""งบพรบ!EG102"")"),0)</f>
        <v>0</v>
      </c>
      <c r="P102" s="91">
        <f t="shared" ca="1" si="66"/>
        <v>0</v>
      </c>
      <c r="Q102" s="90">
        <f t="shared" ca="1" si="67"/>
        <v>0</v>
      </c>
      <c r="R102" s="88"/>
      <c r="S102" s="285"/>
      <c r="T102" s="349"/>
      <c r="U102" s="350"/>
      <c r="V102" s="349"/>
      <c r="W102" s="349"/>
      <c r="X102" s="350"/>
      <c r="Y102" s="349"/>
      <c r="Z102" s="349"/>
      <c r="AA102" s="350"/>
      <c r="AB102" s="349"/>
      <c r="AC102" s="349"/>
      <c r="AD102" s="350"/>
    </row>
    <row r="103" spans="1:30" ht="24" customHeight="1" x14ac:dyDescent="0.3">
      <c r="A103" s="196"/>
      <c r="B103" s="117" t="s">
        <v>125</v>
      </c>
      <c r="C103" s="197">
        <f t="shared" ca="1" si="60"/>
        <v>0</v>
      </c>
      <c r="D103" s="198">
        <f t="shared" ca="1" si="61"/>
        <v>0</v>
      </c>
      <c r="E103" s="88">
        <f ca="1">IFERROR(__xludf.DUMMYFUNCTION("IMPORTRANGE(""https://docs.google.com/spreadsheets/d/1-uDff_7J0KD5mKrp0Vvzr7lt3OU09vwQwhkpOPPYv2Y/edit?usp=sharing"",""งบพรบ!DZ103"")"),0)</f>
        <v>0</v>
      </c>
      <c r="F103" s="88">
        <f ca="1">IFERROR(__xludf.DUMMYFUNCTION("IMPORTRANGE(""https://docs.google.com/spreadsheets/d/1-uDff_7J0KD5mKrp0Vvzr7lt3OU09vwQwhkpOPPYv2Y/edit?usp=sharing"",""งบพรบ!EA103"")"),0)</f>
        <v>0</v>
      </c>
      <c r="G103" s="88">
        <f ca="1">IFERROR(__xludf.DUMMYFUNCTION("IMPORTRANGE(""https://docs.google.com/spreadsheets/d/1-uDff_7J0KD5mKrp0Vvzr7lt3OU09vwQwhkpOPPYv2Y/edit?usp=sharing"",""งบพรบ!EB103"")"),0)</f>
        <v>0</v>
      </c>
      <c r="H103" s="88">
        <f ca="1">IFERROR(__xludf.DUMMYFUNCTION("IMPORTRANGE(""https://docs.google.com/spreadsheets/d/1-uDff_7J0KD5mKrp0Vvzr7lt3OU09vwQwhkpOPPYv2Y/edit?usp=sharing"",""งบพรบ!ED103"")"),0)</f>
        <v>0</v>
      </c>
      <c r="I103" s="88">
        <f ca="1">IFERROR(__xludf.DUMMYFUNCTION("IMPORTRANGE(""https://docs.google.com/spreadsheets/d/1-uDff_7J0KD5mKrp0Vvzr7lt3OU09vwQwhkpOPPYv2Y/edit?usp=sharing"",""งบพรบ!EE103"")"),0)</f>
        <v>0</v>
      </c>
      <c r="J103" s="88">
        <f t="shared" ca="1" si="62"/>
        <v>0</v>
      </c>
      <c r="K103" s="89">
        <f t="shared" ca="1" si="63"/>
        <v>0</v>
      </c>
      <c r="L103" s="88">
        <f ca="1">IFERROR(__xludf.DUMMYFUNCTION("IMPORTRANGE(""https://docs.google.com/spreadsheets/d/1-uDff_7J0KD5mKrp0Vvzr7lt3OU09vwQwhkpOPPYv2Y/edit?usp=sharing"",""งบพรบ!EF103"")"),0)</f>
        <v>0</v>
      </c>
      <c r="M103" s="90">
        <f t="shared" ca="1" si="64"/>
        <v>0</v>
      </c>
      <c r="N103" s="90">
        <f t="shared" ca="1" si="65"/>
        <v>0</v>
      </c>
      <c r="O103" s="91">
        <f ca="1">IFERROR(__xludf.DUMMYFUNCTION("IMPORTRANGE(""https://docs.google.com/spreadsheets/d/1-uDff_7J0KD5mKrp0Vvzr7lt3OU09vwQwhkpOPPYv2Y/edit?usp=sharing"",""งบพรบ!EG103"")"),0)</f>
        <v>0</v>
      </c>
      <c r="P103" s="91">
        <f t="shared" ca="1" si="66"/>
        <v>0</v>
      </c>
      <c r="Q103" s="90">
        <f t="shared" ca="1" si="67"/>
        <v>0</v>
      </c>
      <c r="R103" s="233"/>
      <c r="S103" s="286"/>
      <c r="T103" s="351"/>
      <c r="U103" s="352"/>
      <c r="V103" s="351"/>
      <c r="W103" s="351"/>
      <c r="X103" s="352"/>
      <c r="Y103" s="351"/>
      <c r="Z103" s="351"/>
      <c r="AA103" s="352"/>
      <c r="AB103" s="351"/>
      <c r="AC103" s="351"/>
      <c r="AD103" s="352"/>
    </row>
    <row r="104" spans="1:30" ht="21" customHeight="1" x14ac:dyDescent="0.3">
      <c r="A104" s="196"/>
      <c r="B104" s="117" t="s">
        <v>126</v>
      </c>
      <c r="C104" s="197">
        <f t="shared" ca="1" si="60"/>
        <v>46900</v>
      </c>
      <c r="D104" s="198">
        <f t="shared" ca="1" si="61"/>
        <v>46900</v>
      </c>
      <c r="E104" s="88">
        <f ca="1">IFERROR(__xludf.DUMMYFUNCTION("IMPORTRANGE(""https://docs.google.com/spreadsheets/d/1-uDff_7J0KD5mKrp0Vvzr7lt3OU09vwQwhkpOPPYv2Y/edit?usp=sharing"",""งบพรบ!DZ104"")"),46900)</f>
        <v>46900</v>
      </c>
      <c r="F104" s="88">
        <f ca="1">IFERROR(__xludf.DUMMYFUNCTION("IMPORTRANGE(""https://docs.google.com/spreadsheets/d/1-uDff_7J0KD5mKrp0Vvzr7lt3OU09vwQwhkpOPPYv2Y/edit?usp=sharing"",""งบพรบ!EA104"")"),0)</f>
        <v>0</v>
      </c>
      <c r="G104" s="88">
        <f ca="1">IFERROR(__xludf.DUMMYFUNCTION("IMPORTRANGE(""https://docs.google.com/spreadsheets/d/1-uDff_7J0KD5mKrp0Vvzr7lt3OU09vwQwhkpOPPYv2Y/edit?usp=sharing"",""งบพรบ!EB104"")"),0)</f>
        <v>0</v>
      </c>
      <c r="H104" s="88">
        <f ca="1">IFERROR(__xludf.DUMMYFUNCTION("IMPORTRANGE(""https://docs.google.com/spreadsheets/d/1-uDff_7J0KD5mKrp0Vvzr7lt3OU09vwQwhkpOPPYv2Y/edit?usp=sharing"",""งบพรบ!ED104"")"),220900)</f>
        <v>220900</v>
      </c>
      <c r="I104" s="88">
        <f ca="1">IFERROR(__xludf.DUMMYFUNCTION("IMPORTRANGE(""https://docs.google.com/spreadsheets/d/1-uDff_7J0KD5mKrp0Vvzr7lt3OU09vwQwhkpOPPYv2Y/edit?usp=sharing"",""งบพรบ!EE104"")"),0)</f>
        <v>0</v>
      </c>
      <c r="J104" s="88">
        <f t="shared" ca="1" si="62"/>
        <v>0</v>
      </c>
      <c r="K104" s="89">
        <f t="shared" ca="1" si="63"/>
        <v>0</v>
      </c>
      <c r="L104" s="88">
        <f ca="1">IFERROR(__xludf.DUMMYFUNCTION("IMPORTRANGE(""https://docs.google.com/spreadsheets/d/1-uDff_7J0KD5mKrp0Vvzr7lt3OU09vwQwhkpOPPYv2Y/edit?usp=sharing"",""งบพรบ!EF104"")"),0)</f>
        <v>0</v>
      </c>
      <c r="M104" s="90">
        <f t="shared" ca="1" si="64"/>
        <v>0</v>
      </c>
      <c r="N104" s="90">
        <f t="shared" ca="1" si="65"/>
        <v>0</v>
      </c>
      <c r="O104" s="91">
        <f ca="1">IFERROR(__xludf.DUMMYFUNCTION("IMPORTRANGE(""https://docs.google.com/spreadsheets/d/1-uDff_7J0KD5mKrp0Vvzr7lt3OU09vwQwhkpOPPYv2Y/edit?usp=sharing"",""งบพรบ!EG104"")"),0)</f>
        <v>0</v>
      </c>
      <c r="P104" s="91">
        <f t="shared" ca="1" si="66"/>
        <v>0</v>
      </c>
      <c r="Q104" s="90">
        <f t="shared" ca="1" si="67"/>
        <v>0</v>
      </c>
      <c r="R104" s="353"/>
      <c r="S104" s="354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</row>
    <row r="105" spans="1:30" ht="24" customHeight="1" x14ac:dyDescent="0.3">
      <c r="A105" s="196"/>
      <c r="B105" s="118" t="s">
        <v>127</v>
      </c>
      <c r="C105" s="197">
        <f t="shared" ca="1" si="60"/>
        <v>0</v>
      </c>
      <c r="D105" s="198">
        <f t="shared" ca="1" si="61"/>
        <v>0</v>
      </c>
      <c r="E105" s="88">
        <f ca="1">IFERROR(__xludf.DUMMYFUNCTION("IMPORTRANGE(""https://docs.google.com/spreadsheets/d/1-uDff_7J0KD5mKrp0Vvzr7lt3OU09vwQwhkpOPPYv2Y/edit?usp=sharing"",""งบพรบ!DZ105"")"),0)</f>
        <v>0</v>
      </c>
      <c r="F105" s="88">
        <f ca="1">IFERROR(__xludf.DUMMYFUNCTION("IMPORTRANGE(""https://docs.google.com/spreadsheets/d/1-uDff_7J0KD5mKrp0Vvzr7lt3OU09vwQwhkpOPPYv2Y/edit?usp=sharing"",""งบพรบ!EA105"")"),0)</f>
        <v>0</v>
      </c>
      <c r="G105" s="88">
        <f ca="1">IFERROR(__xludf.DUMMYFUNCTION("IMPORTRANGE(""https://docs.google.com/spreadsheets/d/1-uDff_7J0KD5mKrp0Vvzr7lt3OU09vwQwhkpOPPYv2Y/edit?usp=sharing"",""งบพรบ!EB105"")"),0)</f>
        <v>0</v>
      </c>
      <c r="H105" s="88">
        <f ca="1">IFERROR(__xludf.DUMMYFUNCTION("IMPORTRANGE(""https://docs.google.com/spreadsheets/d/1-uDff_7J0KD5mKrp0Vvzr7lt3OU09vwQwhkpOPPYv2Y/edit?usp=sharing"",""งบพรบ!ED105"")"),0)</f>
        <v>0</v>
      </c>
      <c r="I105" s="88">
        <f ca="1">IFERROR(__xludf.DUMMYFUNCTION("IMPORTRANGE(""https://docs.google.com/spreadsheets/d/1-uDff_7J0KD5mKrp0Vvzr7lt3OU09vwQwhkpOPPYv2Y/edit?usp=sharing"",""งบพรบ!EE105"")"),0)</f>
        <v>0</v>
      </c>
      <c r="J105" s="88">
        <f t="shared" ca="1" si="62"/>
        <v>0</v>
      </c>
      <c r="K105" s="89">
        <f t="shared" ca="1" si="63"/>
        <v>0</v>
      </c>
      <c r="L105" s="88">
        <f ca="1">IFERROR(__xludf.DUMMYFUNCTION("IMPORTRANGE(""https://docs.google.com/spreadsheets/d/1-uDff_7J0KD5mKrp0Vvzr7lt3OU09vwQwhkpOPPYv2Y/edit?usp=sharing"",""งบพรบ!EF105"")"),0)</f>
        <v>0</v>
      </c>
      <c r="M105" s="90">
        <f t="shared" ca="1" si="64"/>
        <v>0</v>
      </c>
      <c r="N105" s="90">
        <f t="shared" ca="1" si="65"/>
        <v>0</v>
      </c>
      <c r="O105" s="91">
        <f ca="1">IFERROR(__xludf.DUMMYFUNCTION("IMPORTRANGE(""https://docs.google.com/spreadsheets/d/1-uDff_7J0KD5mKrp0Vvzr7lt3OU09vwQwhkpOPPYv2Y/edit?usp=sharing"",""งบพรบ!EG105"")"),0)</f>
        <v>0</v>
      </c>
      <c r="P105" s="91">
        <f t="shared" ca="1" si="66"/>
        <v>0</v>
      </c>
      <c r="Q105" s="90">
        <f t="shared" ca="1" si="67"/>
        <v>0</v>
      </c>
      <c r="R105" s="111"/>
      <c r="S105" s="285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</row>
    <row r="106" spans="1:30" ht="24" customHeight="1" x14ac:dyDescent="0.3">
      <c r="A106" s="200"/>
      <c r="B106" s="120" t="s">
        <v>128</v>
      </c>
      <c r="C106" s="201">
        <f t="shared" ca="1" si="60"/>
        <v>0</v>
      </c>
      <c r="D106" s="202">
        <f t="shared" ca="1" si="61"/>
        <v>0</v>
      </c>
      <c r="E106" s="99">
        <f ca="1">IFERROR(__xludf.DUMMYFUNCTION("IMPORTRANGE(""https://docs.google.com/spreadsheets/d/1-uDff_7J0KD5mKrp0Vvzr7lt3OU09vwQwhkpOPPYv2Y/edit?usp=sharing"",""งบพรบ!DZ106"")"),0)</f>
        <v>0</v>
      </c>
      <c r="F106" s="99">
        <f ca="1">IFERROR(__xludf.DUMMYFUNCTION("IMPORTRANGE(""https://docs.google.com/spreadsheets/d/1-uDff_7J0KD5mKrp0Vvzr7lt3OU09vwQwhkpOPPYv2Y/edit?usp=sharing"",""งบพรบ!EA106"")"),0)</f>
        <v>0</v>
      </c>
      <c r="G106" s="99">
        <f ca="1">IFERROR(__xludf.DUMMYFUNCTION("IMPORTRANGE(""https://docs.google.com/spreadsheets/d/1-uDff_7J0KD5mKrp0Vvzr7lt3OU09vwQwhkpOPPYv2Y/edit?usp=sharing"",""งบพรบ!EB106"")"),0)</f>
        <v>0</v>
      </c>
      <c r="H106" s="99">
        <f ca="1">IFERROR(__xludf.DUMMYFUNCTION("IMPORTRANGE(""https://docs.google.com/spreadsheets/d/1-uDff_7J0KD5mKrp0Vvzr7lt3OU09vwQwhkpOPPYv2Y/edit?usp=sharing"",""งบพรบ!ED106"")"),0)</f>
        <v>0</v>
      </c>
      <c r="I106" s="99">
        <f ca="1">IFERROR(__xludf.DUMMYFUNCTION("IMPORTRANGE(""https://docs.google.com/spreadsheets/d/1-uDff_7J0KD5mKrp0Vvzr7lt3OU09vwQwhkpOPPYv2Y/edit?usp=sharing"",""งบพรบ!EE106"")"),0)</f>
        <v>0</v>
      </c>
      <c r="J106" s="99">
        <f t="shared" ca="1" si="62"/>
        <v>0</v>
      </c>
      <c r="K106" s="100">
        <f t="shared" ca="1" si="63"/>
        <v>0</v>
      </c>
      <c r="L106" s="99">
        <f ca="1">IFERROR(__xludf.DUMMYFUNCTION("IMPORTRANGE(""https://docs.google.com/spreadsheets/d/1-uDff_7J0KD5mKrp0Vvzr7lt3OU09vwQwhkpOPPYv2Y/edit?usp=sharing"",""งบพรบ!EF106"")"),0)</f>
        <v>0</v>
      </c>
      <c r="M106" s="101">
        <f t="shared" ca="1" si="64"/>
        <v>0</v>
      </c>
      <c r="N106" s="101">
        <f t="shared" ca="1" si="65"/>
        <v>0</v>
      </c>
      <c r="O106" s="102">
        <f ca="1">IFERROR(__xludf.DUMMYFUNCTION("IMPORTRANGE(""https://docs.google.com/spreadsheets/d/1-uDff_7J0KD5mKrp0Vvzr7lt3OU09vwQwhkpOPPYv2Y/edit?usp=sharing"",""งบพรบ!EG106"")"),0)</f>
        <v>0</v>
      </c>
      <c r="P106" s="102">
        <f t="shared" ca="1" si="66"/>
        <v>0</v>
      </c>
      <c r="Q106" s="101">
        <f t="shared" ca="1" si="67"/>
        <v>0</v>
      </c>
      <c r="R106" s="99"/>
      <c r="S106" s="288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</row>
    <row r="107" spans="1:30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206"/>
      <c r="T107" s="206"/>
      <c r="U107" s="204"/>
      <c r="V107" s="206"/>
      <c r="W107" s="206"/>
      <c r="X107" s="204"/>
      <c r="Y107" s="206"/>
      <c r="Z107" s="206"/>
      <c r="AA107" s="204"/>
      <c r="AB107" s="206"/>
      <c r="AC107" s="206"/>
      <c r="AD107" s="204"/>
    </row>
    <row r="108" spans="1:30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"/>
      <c r="S108" s="206"/>
      <c r="T108" s="206"/>
      <c r="U108" s="204"/>
      <c r="V108" s="206"/>
      <c r="W108" s="206"/>
      <c r="X108" s="204"/>
      <c r="Y108" s="206"/>
      <c r="Z108" s="206"/>
      <c r="AA108" s="204"/>
      <c r="AB108" s="206"/>
      <c r="AC108" s="206"/>
      <c r="AD108" s="204"/>
    </row>
    <row r="109" spans="1:30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206"/>
      <c r="T109" s="206"/>
      <c r="U109" s="204"/>
      <c r="V109" s="206"/>
      <c r="W109" s="206"/>
      <c r="X109" s="204"/>
      <c r="Y109" s="206"/>
      <c r="Z109" s="206"/>
      <c r="AA109" s="204"/>
      <c r="AB109" s="206"/>
      <c r="AC109" s="206"/>
      <c r="AD109" s="204"/>
    </row>
    <row r="110" spans="1:30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206"/>
      <c r="T110" s="206"/>
      <c r="U110" s="204"/>
      <c r="V110" s="206"/>
      <c r="W110" s="206"/>
      <c r="X110" s="204"/>
      <c r="Y110" s="206"/>
      <c r="Z110" s="206"/>
      <c r="AA110" s="204"/>
      <c r="AB110" s="206"/>
      <c r="AC110" s="206"/>
      <c r="AD110" s="204"/>
    </row>
    <row r="111" spans="1:30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206"/>
      <c r="T111" s="206"/>
      <c r="U111" s="204"/>
      <c r="V111" s="206"/>
      <c r="W111" s="206"/>
      <c r="X111" s="204"/>
      <c r="Y111" s="206"/>
      <c r="Z111" s="206"/>
      <c r="AA111" s="204"/>
      <c r="AB111" s="206"/>
      <c r="AC111" s="206"/>
      <c r="AD111" s="204"/>
    </row>
    <row r="112" spans="1:30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206"/>
      <c r="T112" s="206"/>
      <c r="U112" s="204"/>
      <c r="V112" s="206"/>
      <c r="W112" s="206"/>
      <c r="X112" s="204"/>
      <c r="Y112" s="206"/>
      <c r="Z112" s="206"/>
      <c r="AA112" s="204"/>
      <c r="AB112" s="206"/>
      <c r="AC112" s="206"/>
      <c r="AD112" s="204"/>
    </row>
    <row r="113" spans="1:30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206"/>
      <c r="T113" s="206"/>
      <c r="U113" s="204"/>
      <c r="V113" s="206"/>
      <c r="W113" s="206"/>
      <c r="X113" s="204"/>
      <c r="Y113" s="206"/>
      <c r="Z113" s="206"/>
      <c r="AA113" s="204"/>
      <c r="AB113" s="206"/>
      <c r="AC113" s="206"/>
      <c r="AD113" s="204"/>
    </row>
    <row r="114" spans="1:30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206"/>
      <c r="T114" s="206"/>
      <c r="U114" s="204"/>
      <c r="V114" s="206"/>
      <c r="W114" s="206"/>
      <c r="X114" s="204"/>
      <c r="Y114" s="206"/>
      <c r="Z114" s="206"/>
      <c r="AA114" s="204"/>
      <c r="AB114" s="206"/>
      <c r="AC114" s="206"/>
      <c r="AD114" s="204"/>
    </row>
    <row r="115" spans="1:30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206"/>
      <c r="T115" s="206"/>
      <c r="U115" s="204"/>
      <c r="V115" s="206"/>
      <c r="W115" s="206"/>
      <c r="X115" s="204"/>
      <c r="Y115" s="206"/>
      <c r="Z115" s="206"/>
      <c r="AA115" s="204"/>
      <c r="AB115" s="206"/>
      <c r="AC115" s="206"/>
      <c r="AD115" s="204"/>
    </row>
    <row r="116" spans="1:30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206"/>
      <c r="T116" s="206"/>
      <c r="U116" s="204"/>
      <c r="V116" s="206"/>
      <c r="W116" s="206"/>
      <c r="X116" s="204"/>
      <c r="Y116" s="206"/>
      <c r="Z116" s="206"/>
      <c r="AA116" s="204"/>
      <c r="AB116" s="206"/>
      <c r="AC116" s="206"/>
      <c r="AD116" s="204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06"/>
      <c r="T117" s="206"/>
      <c r="U117" s="204"/>
      <c r="V117" s="206"/>
      <c r="W117" s="206"/>
      <c r="X117" s="204"/>
      <c r="Y117" s="206"/>
      <c r="Z117" s="206"/>
      <c r="AA117" s="204"/>
      <c r="AB117" s="206"/>
      <c r="AC117" s="206"/>
      <c r="AD117" s="20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06"/>
      <c r="T118" s="206"/>
      <c r="U118" s="204"/>
      <c r="V118" s="206"/>
      <c r="W118" s="206"/>
      <c r="X118" s="204"/>
      <c r="Y118" s="206"/>
      <c r="Z118" s="206"/>
      <c r="AA118" s="204"/>
      <c r="AB118" s="206"/>
      <c r="AC118" s="206"/>
      <c r="AD118" s="20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06"/>
      <c r="T119" s="206"/>
      <c r="U119" s="204"/>
      <c r="V119" s="206"/>
      <c r="W119" s="206"/>
      <c r="X119" s="204"/>
      <c r="Y119" s="206"/>
      <c r="Z119" s="206"/>
      <c r="AA119" s="204"/>
      <c r="AB119" s="206"/>
      <c r="AC119" s="206"/>
      <c r="AD119" s="20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06"/>
      <c r="T120" s="206"/>
      <c r="U120" s="204"/>
      <c r="V120" s="206"/>
      <c r="W120" s="206"/>
      <c r="X120" s="204"/>
      <c r="Y120" s="206"/>
      <c r="Z120" s="206"/>
      <c r="AA120" s="204"/>
      <c r="AB120" s="206"/>
      <c r="AC120" s="206"/>
      <c r="AD120" s="20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06"/>
      <c r="T121" s="206"/>
      <c r="U121" s="204"/>
      <c r="V121" s="206"/>
      <c r="W121" s="206"/>
      <c r="X121" s="204"/>
      <c r="Y121" s="206"/>
      <c r="Z121" s="206"/>
      <c r="AA121" s="204"/>
      <c r="AB121" s="206"/>
      <c r="AC121" s="206"/>
      <c r="AD121" s="20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06"/>
      <c r="T122" s="206"/>
      <c r="U122" s="204"/>
      <c r="V122" s="206"/>
      <c r="W122" s="206"/>
      <c r="X122" s="204"/>
      <c r="Y122" s="206"/>
      <c r="Z122" s="206"/>
      <c r="AA122" s="204"/>
      <c r="AB122" s="206"/>
      <c r="AC122" s="206"/>
      <c r="AD122" s="20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06"/>
      <c r="T123" s="206"/>
      <c r="U123" s="204"/>
      <c r="V123" s="206"/>
      <c r="W123" s="206"/>
      <c r="X123" s="204"/>
      <c r="Y123" s="206"/>
      <c r="Z123" s="206"/>
      <c r="AA123" s="204"/>
      <c r="AB123" s="206"/>
      <c r="AC123" s="206"/>
      <c r="AD123" s="20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06"/>
      <c r="T124" s="206"/>
      <c r="U124" s="204"/>
      <c r="V124" s="206"/>
      <c r="W124" s="206"/>
      <c r="X124" s="204"/>
      <c r="Y124" s="206"/>
      <c r="Z124" s="206"/>
      <c r="AA124" s="204"/>
      <c r="AB124" s="206"/>
      <c r="AC124" s="206"/>
      <c r="AD124" s="20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06"/>
      <c r="T125" s="206"/>
      <c r="U125" s="204"/>
      <c r="V125" s="206"/>
      <c r="W125" s="206"/>
      <c r="X125" s="204"/>
      <c r="Y125" s="206"/>
      <c r="Z125" s="206"/>
      <c r="AA125" s="204"/>
      <c r="AB125" s="206"/>
      <c r="AC125" s="206"/>
      <c r="AD125" s="20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06"/>
      <c r="T126" s="206"/>
      <c r="U126" s="204"/>
      <c r="V126" s="206"/>
      <c r="W126" s="206"/>
      <c r="X126" s="204"/>
      <c r="Y126" s="206"/>
      <c r="Z126" s="206"/>
      <c r="AA126" s="204"/>
      <c r="AB126" s="206"/>
      <c r="AC126" s="206"/>
      <c r="AD126" s="20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06"/>
      <c r="T127" s="206"/>
      <c r="U127" s="204"/>
      <c r="V127" s="206"/>
      <c r="W127" s="206"/>
      <c r="X127" s="204"/>
      <c r="Y127" s="206"/>
      <c r="Z127" s="206"/>
      <c r="AA127" s="204"/>
      <c r="AB127" s="206"/>
      <c r="AC127" s="206"/>
      <c r="AD127" s="20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06"/>
      <c r="T128" s="206"/>
      <c r="U128" s="204"/>
      <c r="V128" s="206"/>
      <c r="W128" s="206"/>
      <c r="X128" s="204"/>
      <c r="Y128" s="206"/>
      <c r="Z128" s="206"/>
      <c r="AA128" s="204"/>
      <c r="AB128" s="206"/>
      <c r="AC128" s="206"/>
      <c r="AD128" s="20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06"/>
      <c r="T129" s="206"/>
      <c r="U129" s="204"/>
      <c r="V129" s="206"/>
      <c r="W129" s="206"/>
      <c r="X129" s="204"/>
      <c r="Y129" s="206"/>
      <c r="Z129" s="206"/>
      <c r="AA129" s="204"/>
      <c r="AB129" s="206"/>
      <c r="AC129" s="206"/>
      <c r="AD129" s="20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06"/>
      <c r="T130" s="206"/>
      <c r="U130" s="204"/>
      <c r="V130" s="206"/>
      <c r="W130" s="206"/>
      <c r="X130" s="204"/>
      <c r="Y130" s="206"/>
      <c r="Z130" s="206"/>
      <c r="AA130" s="204"/>
      <c r="AB130" s="206"/>
      <c r="AC130" s="206"/>
      <c r="AD130" s="20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06"/>
      <c r="T131" s="206"/>
      <c r="U131" s="204"/>
      <c r="V131" s="206"/>
      <c r="W131" s="206"/>
      <c r="X131" s="204"/>
      <c r="Y131" s="206"/>
      <c r="Z131" s="206"/>
      <c r="AA131" s="204"/>
      <c r="AB131" s="206"/>
      <c r="AC131" s="206"/>
      <c r="AD131" s="20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06"/>
      <c r="T132" s="206"/>
      <c r="U132" s="204"/>
      <c r="V132" s="206"/>
      <c r="W132" s="206"/>
      <c r="X132" s="204"/>
      <c r="Y132" s="206"/>
      <c r="Z132" s="206"/>
      <c r="AA132" s="204"/>
      <c r="AB132" s="206"/>
      <c r="AC132" s="206"/>
      <c r="AD132" s="20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06"/>
      <c r="T133" s="206"/>
      <c r="U133" s="204"/>
      <c r="V133" s="206"/>
      <c r="W133" s="206"/>
      <c r="X133" s="204"/>
      <c r="Y133" s="206"/>
      <c r="Z133" s="206"/>
      <c r="AA133" s="204"/>
      <c r="AB133" s="206"/>
      <c r="AC133" s="206"/>
      <c r="AD133" s="20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06"/>
      <c r="T134" s="206"/>
      <c r="U134" s="204"/>
      <c r="V134" s="206"/>
      <c r="W134" s="206"/>
      <c r="X134" s="204"/>
      <c r="Y134" s="206"/>
      <c r="Z134" s="206"/>
      <c r="AA134" s="204"/>
      <c r="AB134" s="206"/>
      <c r="AC134" s="206"/>
      <c r="AD134" s="20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06"/>
      <c r="T135" s="206"/>
      <c r="U135" s="204"/>
      <c r="V135" s="206"/>
      <c r="W135" s="206"/>
      <c r="X135" s="204"/>
      <c r="Y135" s="206"/>
      <c r="Z135" s="206"/>
      <c r="AA135" s="204"/>
      <c r="AB135" s="206"/>
      <c r="AC135" s="206"/>
      <c r="AD135" s="20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06"/>
      <c r="T136" s="206"/>
      <c r="U136" s="204"/>
      <c r="V136" s="206"/>
      <c r="W136" s="206"/>
      <c r="X136" s="204"/>
      <c r="Y136" s="206"/>
      <c r="Z136" s="206"/>
      <c r="AA136" s="204"/>
      <c r="AB136" s="206"/>
      <c r="AC136" s="206"/>
      <c r="AD136" s="20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06"/>
      <c r="T137" s="206"/>
      <c r="U137" s="204"/>
      <c r="V137" s="206"/>
      <c r="W137" s="206"/>
      <c r="X137" s="204"/>
      <c r="Y137" s="206"/>
      <c r="Z137" s="206"/>
      <c r="AA137" s="204"/>
      <c r="AB137" s="206"/>
      <c r="AC137" s="206"/>
      <c r="AD137" s="20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06"/>
      <c r="T138" s="206"/>
      <c r="U138" s="204"/>
      <c r="V138" s="206"/>
      <c r="W138" s="206"/>
      <c r="X138" s="204"/>
      <c r="Y138" s="206"/>
      <c r="Z138" s="206"/>
      <c r="AA138" s="204"/>
      <c r="AB138" s="206"/>
      <c r="AC138" s="206"/>
      <c r="AD138" s="20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06"/>
      <c r="T139" s="206"/>
      <c r="U139" s="204"/>
      <c r="V139" s="206"/>
      <c r="W139" s="206"/>
      <c r="X139" s="204"/>
      <c r="Y139" s="206"/>
      <c r="Z139" s="206"/>
      <c r="AA139" s="204"/>
      <c r="AB139" s="206"/>
      <c r="AC139" s="206"/>
      <c r="AD139" s="20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06"/>
      <c r="T140" s="206"/>
      <c r="U140" s="204"/>
      <c r="V140" s="206"/>
      <c r="W140" s="206"/>
      <c r="X140" s="204"/>
      <c r="Y140" s="206"/>
      <c r="Z140" s="206"/>
      <c r="AA140" s="204"/>
      <c r="AB140" s="206"/>
      <c r="AC140" s="206"/>
      <c r="AD140" s="20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06"/>
      <c r="T141" s="206"/>
      <c r="U141" s="204"/>
      <c r="V141" s="206"/>
      <c r="W141" s="206"/>
      <c r="X141" s="204"/>
      <c r="Y141" s="206"/>
      <c r="Z141" s="206"/>
      <c r="AA141" s="204"/>
      <c r="AB141" s="206"/>
      <c r="AC141" s="206"/>
      <c r="AD141" s="20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06"/>
      <c r="T142" s="206"/>
      <c r="U142" s="204"/>
      <c r="V142" s="206"/>
      <c r="W142" s="206"/>
      <c r="X142" s="204"/>
      <c r="Y142" s="206"/>
      <c r="Z142" s="206"/>
      <c r="AA142" s="204"/>
      <c r="AB142" s="206"/>
      <c r="AC142" s="206"/>
      <c r="AD142" s="20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06"/>
      <c r="T143" s="206"/>
      <c r="U143" s="204"/>
      <c r="V143" s="206"/>
      <c r="W143" s="206"/>
      <c r="X143" s="204"/>
      <c r="Y143" s="206"/>
      <c r="Z143" s="206"/>
      <c r="AA143" s="204"/>
      <c r="AB143" s="206"/>
      <c r="AC143" s="206"/>
      <c r="AD143" s="20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06"/>
      <c r="T144" s="206"/>
      <c r="U144" s="204"/>
      <c r="V144" s="206"/>
      <c r="W144" s="206"/>
      <c r="X144" s="204"/>
      <c r="Y144" s="206"/>
      <c r="Z144" s="206"/>
      <c r="AA144" s="204"/>
      <c r="AB144" s="206"/>
      <c r="AC144" s="206"/>
      <c r="AD144" s="20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06"/>
      <c r="T145" s="206"/>
      <c r="U145" s="204"/>
      <c r="V145" s="206"/>
      <c r="W145" s="206"/>
      <c r="X145" s="204"/>
      <c r="Y145" s="206"/>
      <c r="Z145" s="206"/>
      <c r="AA145" s="204"/>
      <c r="AB145" s="206"/>
      <c r="AC145" s="206"/>
      <c r="AD145" s="20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06"/>
      <c r="T146" s="206"/>
      <c r="U146" s="204"/>
      <c r="V146" s="206"/>
      <c r="W146" s="206"/>
      <c r="X146" s="204"/>
      <c r="Y146" s="206"/>
      <c r="Z146" s="206"/>
      <c r="AA146" s="204"/>
      <c r="AB146" s="206"/>
      <c r="AC146" s="206"/>
      <c r="AD146" s="20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06"/>
      <c r="T147" s="206"/>
      <c r="U147" s="204"/>
      <c r="V147" s="206"/>
      <c r="W147" s="206"/>
      <c r="X147" s="204"/>
      <c r="Y147" s="206"/>
      <c r="Z147" s="206"/>
      <c r="AA147" s="204"/>
      <c r="AB147" s="206"/>
      <c r="AC147" s="206"/>
      <c r="AD147" s="20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06"/>
      <c r="T148" s="206"/>
      <c r="U148" s="204"/>
      <c r="V148" s="206"/>
      <c r="W148" s="206"/>
      <c r="X148" s="204"/>
      <c r="Y148" s="206"/>
      <c r="Z148" s="206"/>
      <c r="AA148" s="204"/>
      <c r="AB148" s="206"/>
      <c r="AC148" s="206"/>
      <c r="AD148" s="20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06"/>
      <c r="T149" s="206"/>
      <c r="U149" s="204"/>
      <c r="V149" s="206"/>
      <c r="W149" s="206"/>
      <c r="X149" s="204"/>
      <c r="Y149" s="206"/>
      <c r="Z149" s="206"/>
      <c r="AA149" s="204"/>
      <c r="AB149" s="206"/>
      <c r="AC149" s="206"/>
      <c r="AD149" s="20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06"/>
      <c r="T150" s="206"/>
      <c r="U150" s="204"/>
      <c r="V150" s="206"/>
      <c r="W150" s="206"/>
      <c r="X150" s="204"/>
      <c r="Y150" s="206"/>
      <c r="Z150" s="206"/>
      <c r="AA150" s="204"/>
      <c r="AB150" s="206"/>
      <c r="AC150" s="206"/>
      <c r="AD150" s="20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06"/>
      <c r="T151" s="206"/>
      <c r="U151" s="204"/>
      <c r="V151" s="206"/>
      <c r="W151" s="206"/>
      <c r="X151" s="204"/>
      <c r="Y151" s="206"/>
      <c r="Z151" s="206"/>
      <c r="AA151" s="204"/>
      <c r="AB151" s="206"/>
      <c r="AC151" s="206"/>
      <c r="AD151" s="20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06"/>
      <c r="T152" s="206"/>
      <c r="U152" s="204"/>
      <c r="V152" s="206"/>
      <c r="W152" s="206"/>
      <c r="X152" s="204"/>
      <c r="Y152" s="206"/>
      <c r="Z152" s="206"/>
      <c r="AA152" s="204"/>
      <c r="AB152" s="206"/>
      <c r="AC152" s="206"/>
      <c r="AD152" s="20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06"/>
      <c r="T153" s="206"/>
      <c r="U153" s="204"/>
      <c r="V153" s="206"/>
      <c r="W153" s="206"/>
      <c r="X153" s="204"/>
      <c r="Y153" s="206"/>
      <c r="Z153" s="206"/>
      <c r="AA153" s="204"/>
      <c r="AB153" s="206"/>
      <c r="AC153" s="206"/>
      <c r="AD153" s="20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06"/>
      <c r="T154" s="206"/>
      <c r="U154" s="204"/>
      <c r="V154" s="206"/>
      <c r="W154" s="206"/>
      <c r="X154" s="204"/>
      <c r="Y154" s="206"/>
      <c r="Z154" s="206"/>
      <c r="AA154" s="204"/>
      <c r="AB154" s="206"/>
      <c r="AC154" s="206"/>
      <c r="AD154" s="20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06"/>
      <c r="T155" s="206"/>
      <c r="U155" s="204"/>
      <c r="V155" s="206"/>
      <c r="W155" s="206"/>
      <c r="X155" s="204"/>
      <c r="Y155" s="206"/>
      <c r="Z155" s="206"/>
      <c r="AA155" s="204"/>
      <c r="AB155" s="206"/>
      <c r="AC155" s="206"/>
      <c r="AD155" s="20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06"/>
      <c r="T156" s="206"/>
      <c r="U156" s="204"/>
      <c r="V156" s="206"/>
      <c r="W156" s="206"/>
      <c r="X156" s="204"/>
      <c r="Y156" s="206"/>
      <c r="Z156" s="206"/>
      <c r="AA156" s="204"/>
      <c r="AB156" s="206"/>
      <c r="AC156" s="206"/>
      <c r="AD156" s="20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06"/>
      <c r="T157" s="206"/>
      <c r="U157" s="204"/>
      <c r="V157" s="206"/>
      <c r="W157" s="206"/>
      <c r="X157" s="204"/>
      <c r="Y157" s="206"/>
      <c r="Z157" s="206"/>
      <c r="AA157" s="204"/>
      <c r="AB157" s="206"/>
      <c r="AC157" s="206"/>
      <c r="AD157" s="20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06"/>
      <c r="T158" s="206"/>
      <c r="U158" s="204"/>
      <c r="V158" s="206"/>
      <c r="W158" s="206"/>
      <c r="X158" s="204"/>
      <c r="Y158" s="206"/>
      <c r="Z158" s="206"/>
      <c r="AA158" s="204"/>
      <c r="AB158" s="206"/>
      <c r="AC158" s="206"/>
      <c r="AD158" s="20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06"/>
      <c r="T159" s="206"/>
      <c r="U159" s="204"/>
      <c r="V159" s="206"/>
      <c r="W159" s="206"/>
      <c r="X159" s="204"/>
      <c r="Y159" s="206"/>
      <c r="Z159" s="206"/>
      <c r="AA159" s="204"/>
      <c r="AB159" s="206"/>
      <c r="AC159" s="206"/>
      <c r="AD159" s="20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06"/>
      <c r="T160" s="206"/>
      <c r="U160" s="204"/>
      <c r="V160" s="206"/>
      <c r="W160" s="206"/>
      <c r="X160" s="204"/>
      <c r="Y160" s="206"/>
      <c r="Z160" s="206"/>
      <c r="AA160" s="204"/>
      <c r="AB160" s="206"/>
      <c r="AC160" s="206"/>
      <c r="AD160" s="20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06"/>
      <c r="T161" s="206"/>
      <c r="U161" s="204"/>
      <c r="V161" s="206"/>
      <c r="W161" s="206"/>
      <c r="X161" s="204"/>
      <c r="Y161" s="206"/>
      <c r="Z161" s="206"/>
      <c r="AA161" s="204"/>
      <c r="AB161" s="206"/>
      <c r="AC161" s="206"/>
      <c r="AD161" s="20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06"/>
      <c r="T162" s="206"/>
      <c r="U162" s="204"/>
      <c r="V162" s="206"/>
      <c r="W162" s="206"/>
      <c r="X162" s="204"/>
      <c r="Y162" s="206"/>
      <c r="Z162" s="206"/>
      <c r="AA162" s="204"/>
      <c r="AB162" s="206"/>
      <c r="AC162" s="206"/>
      <c r="AD162" s="20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06"/>
      <c r="T163" s="206"/>
      <c r="U163" s="204"/>
      <c r="V163" s="206"/>
      <c r="W163" s="206"/>
      <c r="X163" s="204"/>
      <c r="Y163" s="206"/>
      <c r="Z163" s="206"/>
      <c r="AA163" s="204"/>
      <c r="AB163" s="206"/>
      <c r="AC163" s="206"/>
      <c r="AD163" s="20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06"/>
      <c r="T164" s="206"/>
      <c r="U164" s="204"/>
      <c r="V164" s="206"/>
      <c r="W164" s="206"/>
      <c r="X164" s="204"/>
      <c r="Y164" s="206"/>
      <c r="Z164" s="206"/>
      <c r="AA164" s="204"/>
      <c r="AB164" s="206"/>
      <c r="AC164" s="206"/>
      <c r="AD164" s="20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06"/>
      <c r="T165" s="206"/>
      <c r="U165" s="204"/>
      <c r="V165" s="206"/>
      <c r="W165" s="206"/>
      <c r="X165" s="204"/>
      <c r="Y165" s="206"/>
      <c r="Z165" s="206"/>
      <c r="AA165" s="204"/>
      <c r="AB165" s="206"/>
      <c r="AC165" s="206"/>
      <c r="AD165" s="20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06"/>
      <c r="T166" s="206"/>
      <c r="U166" s="204"/>
      <c r="V166" s="206"/>
      <c r="W166" s="206"/>
      <c r="X166" s="204"/>
      <c r="Y166" s="206"/>
      <c r="Z166" s="206"/>
      <c r="AA166" s="204"/>
      <c r="AB166" s="206"/>
      <c r="AC166" s="206"/>
      <c r="AD166" s="20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06"/>
      <c r="T167" s="206"/>
      <c r="U167" s="204"/>
      <c r="V167" s="206"/>
      <c r="W167" s="206"/>
      <c r="X167" s="204"/>
      <c r="Y167" s="206"/>
      <c r="Z167" s="206"/>
      <c r="AA167" s="204"/>
      <c r="AB167" s="206"/>
      <c r="AC167" s="206"/>
      <c r="AD167" s="20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06"/>
      <c r="T168" s="206"/>
      <c r="U168" s="204"/>
      <c r="V168" s="206"/>
      <c r="W168" s="206"/>
      <c r="X168" s="204"/>
      <c r="Y168" s="206"/>
      <c r="Z168" s="206"/>
      <c r="AA168" s="204"/>
      <c r="AB168" s="206"/>
      <c r="AC168" s="206"/>
      <c r="AD168" s="20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06"/>
      <c r="T169" s="206"/>
      <c r="U169" s="204"/>
      <c r="V169" s="206"/>
      <c r="W169" s="206"/>
      <c r="X169" s="204"/>
      <c r="Y169" s="206"/>
      <c r="Z169" s="206"/>
      <c r="AA169" s="204"/>
      <c r="AB169" s="206"/>
      <c r="AC169" s="206"/>
      <c r="AD169" s="20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06"/>
      <c r="T170" s="206"/>
      <c r="U170" s="204"/>
      <c r="V170" s="206"/>
      <c r="W170" s="206"/>
      <c r="X170" s="204"/>
      <c r="Y170" s="206"/>
      <c r="Z170" s="206"/>
      <c r="AA170" s="204"/>
      <c r="AB170" s="206"/>
      <c r="AC170" s="206"/>
      <c r="AD170" s="20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06"/>
      <c r="T171" s="206"/>
      <c r="U171" s="204"/>
      <c r="V171" s="206"/>
      <c r="W171" s="206"/>
      <c r="X171" s="204"/>
      <c r="Y171" s="206"/>
      <c r="Z171" s="206"/>
      <c r="AA171" s="204"/>
      <c r="AB171" s="206"/>
      <c r="AC171" s="206"/>
      <c r="AD171" s="20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06"/>
      <c r="T172" s="206"/>
      <c r="U172" s="204"/>
      <c r="V172" s="206"/>
      <c r="W172" s="206"/>
      <c r="X172" s="204"/>
      <c r="Y172" s="206"/>
      <c r="Z172" s="206"/>
      <c r="AA172" s="204"/>
      <c r="AB172" s="206"/>
      <c r="AC172" s="206"/>
      <c r="AD172" s="20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06"/>
      <c r="T173" s="206"/>
      <c r="U173" s="204"/>
      <c r="V173" s="206"/>
      <c r="W173" s="206"/>
      <c r="X173" s="204"/>
      <c r="Y173" s="206"/>
      <c r="Z173" s="206"/>
      <c r="AA173" s="204"/>
      <c r="AB173" s="206"/>
      <c r="AC173" s="206"/>
      <c r="AD173" s="20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06"/>
      <c r="T174" s="206"/>
      <c r="U174" s="204"/>
      <c r="V174" s="206"/>
      <c r="W174" s="206"/>
      <c r="X174" s="204"/>
      <c r="Y174" s="206"/>
      <c r="Z174" s="206"/>
      <c r="AA174" s="204"/>
      <c r="AB174" s="206"/>
      <c r="AC174" s="206"/>
      <c r="AD174" s="20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06"/>
      <c r="T175" s="206"/>
      <c r="U175" s="204"/>
      <c r="V175" s="206"/>
      <c r="W175" s="206"/>
      <c r="X175" s="204"/>
      <c r="Y175" s="206"/>
      <c r="Z175" s="206"/>
      <c r="AA175" s="204"/>
      <c r="AB175" s="206"/>
      <c r="AC175" s="206"/>
      <c r="AD175" s="20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06"/>
      <c r="T176" s="206"/>
      <c r="U176" s="204"/>
      <c r="V176" s="206"/>
      <c r="W176" s="206"/>
      <c r="X176" s="204"/>
      <c r="Y176" s="206"/>
      <c r="Z176" s="206"/>
      <c r="AA176" s="204"/>
      <c r="AB176" s="206"/>
      <c r="AC176" s="206"/>
      <c r="AD176" s="20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06"/>
      <c r="T177" s="206"/>
      <c r="U177" s="204"/>
      <c r="V177" s="206"/>
      <c r="W177" s="206"/>
      <c r="X177" s="204"/>
      <c r="Y177" s="206"/>
      <c r="Z177" s="206"/>
      <c r="AA177" s="204"/>
      <c r="AB177" s="206"/>
      <c r="AC177" s="206"/>
      <c r="AD177" s="20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06"/>
      <c r="T178" s="206"/>
      <c r="U178" s="204"/>
      <c r="V178" s="206"/>
      <c r="W178" s="206"/>
      <c r="X178" s="204"/>
      <c r="Y178" s="206"/>
      <c r="Z178" s="206"/>
      <c r="AA178" s="204"/>
      <c r="AB178" s="206"/>
      <c r="AC178" s="206"/>
      <c r="AD178" s="20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06"/>
      <c r="T179" s="206"/>
      <c r="U179" s="204"/>
      <c r="V179" s="206"/>
      <c r="W179" s="206"/>
      <c r="X179" s="204"/>
      <c r="Y179" s="206"/>
      <c r="Z179" s="206"/>
      <c r="AA179" s="204"/>
      <c r="AB179" s="206"/>
      <c r="AC179" s="206"/>
      <c r="AD179" s="20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06"/>
      <c r="T180" s="206"/>
      <c r="U180" s="204"/>
      <c r="V180" s="206"/>
      <c r="W180" s="206"/>
      <c r="X180" s="204"/>
      <c r="Y180" s="206"/>
      <c r="Z180" s="206"/>
      <c r="AA180" s="204"/>
      <c r="AB180" s="206"/>
      <c r="AC180" s="206"/>
      <c r="AD180" s="20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06"/>
      <c r="T181" s="206"/>
      <c r="U181" s="204"/>
      <c r="V181" s="206"/>
      <c r="W181" s="206"/>
      <c r="X181" s="204"/>
      <c r="Y181" s="206"/>
      <c r="Z181" s="206"/>
      <c r="AA181" s="204"/>
      <c r="AB181" s="206"/>
      <c r="AC181" s="206"/>
      <c r="AD181" s="20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06"/>
      <c r="T182" s="206"/>
      <c r="U182" s="204"/>
      <c r="V182" s="206"/>
      <c r="W182" s="206"/>
      <c r="X182" s="204"/>
      <c r="Y182" s="206"/>
      <c r="Z182" s="206"/>
      <c r="AA182" s="204"/>
      <c r="AB182" s="206"/>
      <c r="AC182" s="206"/>
      <c r="AD182" s="20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06"/>
      <c r="T183" s="206"/>
      <c r="U183" s="204"/>
      <c r="V183" s="206"/>
      <c r="W183" s="206"/>
      <c r="X183" s="204"/>
      <c r="Y183" s="206"/>
      <c r="Z183" s="206"/>
      <c r="AA183" s="204"/>
      <c r="AB183" s="206"/>
      <c r="AC183" s="206"/>
      <c r="AD183" s="20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06"/>
      <c r="T184" s="206"/>
      <c r="U184" s="204"/>
      <c r="V184" s="206"/>
      <c r="W184" s="206"/>
      <c r="X184" s="204"/>
      <c r="Y184" s="206"/>
      <c r="Z184" s="206"/>
      <c r="AA184" s="204"/>
      <c r="AB184" s="206"/>
      <c r="AC184" s="206"/>
      <c r="AD184" s="20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06"/>
      <c r="T185" s="206"/>
      <c r="U185" s="204"/>
      <c r="V185" s="206"/>
      <c r="W185" s="206"/>
      <c r="X185" s="204"/>
      <c r="Y185" s="206"/>
      <c r="Z185" s="206"/>
      <c r="AA185" s="204"/>
      <c r="AB185" s="206"/>
      <c r="AC185" s="206"/>
      <c r="AD185" s="20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06"/>
      <c r="T186" s="206"/>
      <c r="U186" s="204"/>
      <c r="V186" s="206"/>
      <c r="W186" s="206"/>
      <c r="X186" s="204"/>
      <c r="Y186" s="206"/>
      <c r="Z186" s="206"/>
      <c r="AA186" s="204"/>
      <c r="AB186" s="206"/>
      <c r="AC186" s="206"/>
      <c r="AD186" s="20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06"/>
      <c r="T187" s="206"/>
      <c r="U187" s="204"/>
      <c r="V187" s="206"/>
      <c r="W187" s="206"/>
      <c r="X187" s="204"/>
      <c r="Y187" s="206"/>
      <c r="Z187" s="206"/>
      <c r="AA187" s="204"/>
      <c r="AB187" s="206"/>
      <c r="AC187" s="206"/>
      <c r="AD187" s="20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06"/>
      <c r="T188" s="206"/>
      <c r="U188" s="204"/>
      <c r="V188" s="206"/>
      <c r="W188" s="206"/>
      <c r="X188" s="204"/>
      <c r="Y188" s="206"/>
      <c r="Z188" s="206"/>
      <c r="AA188" s="204"/>
      <c r="AB188" s="206"/>
      <c r="AC188" s="206"/>
      <c r="AD188" s="20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06"/>
      <c r="T189" s="206"/>
      <c r="U189" s="204"/>
      <c r="V189" s="206"/>
      <c r="W189" s="206"/>
      <c r="X189" s="204"/>
      <c r="Y189" s="206"/>
      <c r="Z189" s="206"/>
      <c r="AA189" s="204"/>
      <c r="AB189" s="206"/>
      <c r="AC189" s="206"/>
      <c r="AD189" s="20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06"/>
      <c r="T190" s="206"/>
      <c r="U190" s="204"/>
      <c r="V190" s="206"/>
      <c r="W190" s="206"/>
      <c r="X190" s="204"/>
      <c r="Y190" s="206"/>
      <c r="Z190" s="206"/>
      <c r="AA190" s="204"/>
      <c r="AB190" s="206"/>
      <c r="AC190" s="206"/>
      <c r="AD190" s="20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06"/>
      <c r="T191" s="206"/>
      <c r="U191" s="204"/>
      <c r="V191" s="206"/>
      <c r="W191" s="206"/>
      <c r="X191" s="204"/>
      <c r="Y191" s="206"/>
      <c r="Z191" s="206"/>
      <c r="AA191" s="204"/>
      <c r="AB191" s="206"/>
      <c r="AC191" s="206"/>
      <c r="AD191" s="20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06"/>
      <c r="T192" s="206"/>
      <c r="U192" s="204"/>
      <c r="V192" s="206"/>
      <c r="W192" s="206"/>
      <c r="X192" s="204"/>
      <c r="Y192" s="206"/>
      <c r="Z192" s="206"/>
      <c r="AA192" s="204"/>
      <c r="AB192" s="206"/>
      <c r="AC192" s="206"/>
      <c r="AD192" s="20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06"/>
      <c r="T193" s="206"/>
      <c r="U193" s="204"/>
      <c r="V193" s="206"/>
      <c r="W193" s="206"/>
      <c r="X193" s="204"/>
      <c r="Y193" s="206"/>
      <c r="Z193" s="206"/>
      <c r="AA193" s="204"/>
      <c r="AB193" s="206"/>
      <c r="AC193" s="206"/>
      <c r="AD193" s="20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06"/>
      <c r="T194" s="206"/>
      <c r="U194" s="204"/>
      <c r="V194" s="206"/>
      <c r="W194" s="206"/>
      <c r="X194" s="204"/>
      <c r="Y194" s="206"/>
      <c r="Z194" s="206"/>
      <c r="AA194" s="204"/>
      <c r="AB194" s="206"/>
      <c r="AC194" s="206"/>
      <c r="AD194" s="20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06"/>
      <c r="T195" s="206"/>
      <c r="U195" s="204"/>
      <c r="V195" s="206"/>
      <c r="W195" s="206"/>
      <c r="X195" s="204"/>
      <c r="Y195" s="206"/>
      <c r="Z195" s="206"/>
      <c r="AA195" s="204"/>
      <c r="AB195" s="206"/>
      <c r="AC195" s="206"/>
      <c r="AD195" s="20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06"/>
      <c r="T196" s="206"/>
      <c r="U196" s="204"/>
      <c r="V196" s="206"/>
      <c r="W196" s="206"/>
      <c r="X196" s="204"/>
      <c r="Y196" s="206"/>
      <c r="Z196" s="206"/>
      <c r="AA196" s="204"/>
      <c r="AB196" s="206"/>
      <c r="AC196" s="206"/>
      <c r="AD196" s="20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06"/>
      <c r="T197" s="206"/>
      <c r="U197" s="204"/>
      <c r="V197" s="206"/>
      <c r="W197" s="206"/>
      <c r="X197" s="204"/>
      <c r="Y197" s="206"/>
      <c r="Z197" s="206"/>
      <c r="AA197" s="204"/>
      <c r="AB197" s="206"/>
      <c r="AC197" s="206"/>
      <c r="AD197" s="20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06"/>
      <c r="T198" s="206"/>
      <c r="U198" s="204"/>
      <c r="V198" s="206"/>
      <c r="W198" s="206"/>
      <c r="X198" s="204"/>
      <c r="Y198" s="206"/>
      <c r="Z198" s="206"/>
      <c r="AA198" s="204"/>
      <c r="AB198" s="206"/>
      <c r="AC198" s="206"/>
      <c r="AD198" s="20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06"/>
      <c r="T199" s="206"/>
      <c r="U199" s="204"/>
      <c r="V199" s="206"/>
      <c r="W199" s="206"/>
      <c r="X199" s="204"/>
      <c r="Y199" s="206"/>
      <c r="Z199" s="206"/>
      <c r="AA199" s="204"/>
      <c r="AB199" s="206"/>
      <c r="AC199" s="206"/>
      <c r="AD199" s="20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06"/>
      <c r="T200" s="206"/>
      <c r="U200" s="204"/>
      <c r="V200" s="206"/>
      <c r="W200" s="206"/>
      <c r="X200" s="204"/>
      <c r="Y200" s="206"/>
      <c r="Z200" s="206"/>
      <c r="AA200" s="204"/>
      <c r="AB200" s="206"/>
      <c r="AC200" s="206"/>
      <c r="AD200" s="20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06"/>
      <c r="T201" s="206"/>
      <c r="U201" s="204"/>
      <c r="V201" s="206"/>
      <c r="W201" s="206"/>
      <c r="X201" s="204"/>
      <c r="Y201" s="206"/>
      <c r="Z201" s="206"/>
      <c r="AA201" s="204"/>
      <c r="AB201" s="206"/>
      <c r="AC201" s="206"/>
      <c r="AD201" s="20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06"/>
      <c r="T202" s="206"/>
      <c r="U202" s="204"/>
      <c r="V202" s="206"/>
      <c r="W202" s="206"/>
      <c r="X202" s="204"/>
      <c r="Y202" s="206"/>
      <c r="Z202" s="206"/>
      <c r="AA202" s="204"/>
      <c r="AB202" s="206"/>
      <c r="AC202" s="206"/>
      <c r="AD202" s="20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06"/>
      <c r="T203" s="206"/>
      <c r="U203" s="204"/>
      <c r="V203" s="206"/>
      <c r="W203" s="206"/>
      <c r="X203" s="204"/>
      <c r="Y203" s="206"/>
      <c r="Z203" s="206"/>
      <c r="AA203" s="204"/>
      <c r="AB203" s="206"/>
      <c r="AC203" s="206"/>
      <c r="AD203" s="20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06"/>
      <c r="T204" s="206"/>
      <c r="U204" s="204"/>
      <c r="V204" s="206"/>
      <c r="W204" s="206"/>
      <c r="X204" s="204"/>
      <c r="Y204" s="206"/>
      <c r="Z204" s="206"/>
      <c r="AA204" s="204"/>
      <c r="AB204" s="206"/>
      <c r="AC204" s="206"/>
      <c r="AD204" s="20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06"/>
      <c r="T205" s="206"/>
      <c r="U205" s="204"/>
      <c r="V205" s="206"/>
      <c r="W205" s="206"/>
      <c r="X205" s="204"/>
      <c r="Y205" s="206"/>
      <c r="Z205" s="206"/>
      <c r="AA205" s="204"/>
      <c r="AB205" s="206"/>
      <c r="AC205" s="206"/>
      <c r="AD205" s="20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06"/>
      <c r="T206" s="206"/>
      <c r="U206" s="204"/>
      <c r="V206" s="206"/>
      <c r="W206" s="206"/>
      <c r="X206" s="204"/>
      <c r="Y206" s="206"/>
      <c r="Z206" s="206"/>
      <c r="AA206" s="204"/>
      <c r="AB206" s="206"/>
      <c r="AC206" s="206"/>
      <c r="AD206" s="20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06"/>
      <c r="T207" s="206"/>
      <c r="U207" s="204"/>
      <c r="V207" s="206"/>
      <c r="W207" s="206"/>
      <c r="X207" s="204"/>
      <c r="Y207" s="206"/>
      <c r="Z207" s="206"/>
      <c r="AA207" s="204"/>
      <c r="AB207" s="206"/>
      <c r="AC207" s="206"/>
      <c r="AD207" s="20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06"/>
      <c r="T208" s="206"/>
      <c r="U208" s="204"/>
      <c r="V208" s="206"/>
      <c r="W208" s="206"/>
      <c r="X208" s="204"/>
      <c r="Y208" s="206"/>
      <c r="Z208" s="206"/>
      <c r="AA208" s="204"/>
      <c r="AB208" s="206"/>
      <c r="AC208" s="206"/>
      <c r="AD208" s="20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06"/>
      <c r="T209" s="206"/>
      <c r="U209" s="204"/>
      <c r="V209" s="206"/>
      <c r="W209" s="206"/>
      <c r="X209" s="204"/>
      <c r="Y209" s="206"/>
      <c r="Z209" s="206"/>
      <c r="AA209" s="204"/>
      <c r="AB209" s="206"/>
      <c r="AC209" s="206"/>
      <c r="AD209" s="20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06"/>
      <c r="T210" s="206"/>
      <c r="U210" s="204"/>
      <c r="V210" s="206"/>
      <c r="W210" s="206"/>
      <c r="X210" s="204"/>
      <c r="Y210" s="206"/>
      <c r="Z210" s="206"/>
      <c r="AA210" s="204"/>
      <c r="AB210" s="206"/>
      <c r="AC210" s="206"/>
      <c r="AD210" s="20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06"/>
      <c r="T211" s="206"/>
      <c r="U211" s="204"/>
      <c r="V211" s="206"/>
      <c r="W211" s="206"/>
      <c r="X211" s="204"/>
      <c r="Y211" s="206"/>
      <c r="Z211" s="206"/>
      <c r="AA211" s="204"/>
      <c r="AB211" s="206"/>
      <c r="AC211" s="206"/>
      <c r="AD211" s="20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06"/>
      <c r="T212" s="206"/>
      <c r="U212" s="204"/>
      <c r="V212" s="206"/>
      <c r="W212" s="206"/>
      <c r="X212" s="204"/>
      <c r="Y212" s="206"/>
      <c r="Z212" s="206"/>
      <c r="AA212" s="204"/>
      <c r="AB212" s="206"/>
      <c r="AC212" s="206"/>
      <c r="AD212" s="20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06"/>
      <c r="T213" s="206"/>
      <c r="U213" s="204"/>
      <c r="V213" s="206"/>
      <c r="W213" s="206"/>
      <c r="X213" s="204"/>
      <c r="Y213" s="206"/>
      <c r="Z213" s="206"/>
      <c r="AA213" s="204"/>
      <c r="AB213" s="206"/>
      <c r="AC213" s="206"/>
      <c r="AD213" s="20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06"/>
      <c r="T214" s="206"/>
      <c r="U214" s="204"/>
      <c r="V214" s="206"/>
      <c r="W214" s="206"/>
      <c r="X214" s="204"/>
      <c r="Y214" s="206"/>
      <c r="Z214" s="206"/>
      <c r="AA214" s="204"/>
      <c r="AB214" s="206"/>
      <c r="AC214" s="206"/>
      <c r="AD214" s="20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06"/>
      <c r="T215" s="206"/>
      <c r="U215" s="204"/>
      <c r="V215" s="206"/>
      <c r="W215" s="206"/>
      <c r="X215" s="204"/>
      <c r="Y215" s="206"/>
      <c r="Z215" s="206"/>
      <c r="AA215" s="204"/>
      <c r="AB215" s="206"/>
      <c r="AC215" s="206"/>
      <c r="AD215" s="20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06"/>
      <c r="T216" s="206"/>
      <c r="U216" s="204"/>
      <c r="V216" s="206"/>
      <c r="W216" s="206"/>
      <c r="X216" s="204"/>
      <c r="Y216" s="206"/>
      <c r="Z216" s="206"/>
      <c r="AA216" s="204"/>
      <c r="AB216" s="206"/>
      <c r="AC216" s="206"/>
      <c r="AD216" s="20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06"/>
      <c r="T217" s="206"/>
      <c r="U217" s="204"/>
      <c r="V217" s="206"/>
      <c r="W217" s="206"/>
      <c r="X217" s="204"/>
      <c r="Y217" s="206"/>
      <c r="Z217" s="206"/>
      <c r="AA217" s="204"/>
      <c r="AB217" s="206"/>
      <c r="AC217" s="206"/>
      <c r="AD217" s="20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06"/>
      <c r="T218" s="206"/>
      <c r="U218" s="204"/>
      <c r="V218" s="206"/>
      <c r="W218" s="206"/>
      <c r="X218" s="204"/>
      <c r="Y218" s="206"/>
      <c r="Z218" s="206"/>
      <c r="AA218" s="204"/>
      <c r="AB218" s="206"/>
      <c r="AC218" s="206"/>
      <c r="AD218" s="20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06"/>
      <c r="T219" s="206"/>
      <c r="U219" s="204"/>
      <c r="V219" s="206"/>
      <c r="W219" s="206"/>
      <c r="X219" s="204"/>
      <c r="Y219" s="206"/>
      <c r="Z219" s="206"/>
      <c r="AA219" s="204"/>
      <c r="AB219" s="206"/>
      <c r="AC219" s="206"/>
      <c r="AD219" s="20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06"/>
      <c r="T220" s="206"/>
      <c r="U220" s="204"/>
      <c r="V220" s="206"/>
      <c r="W220" s="206"/>
      <c r="X220" s="204"/>
      <c r="Y220" s="206"/>
      <c r="Z220" s="206"/>
      <c r="AA220" s="204"/>
      <c r="AB220" s="206"/>
      <c r="AC220" s="206"/>
      <c r="AD220" s="20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06"/>
      <c r="T221" s="206"/>
      <c r="U221" s="204"/>
      <c r="V221" s="206"/>
      <c r="W221" s="206"/>
      <c r="X221" s="204"/>
      <c r="Y221" s="206"/>
      <c r="Z221" s="206"/>
      <c r="AA221" s="204"/>
      <c r="AB221" s="206"/>
      <c r="AC221" s="206"/>
      <c r="AD221" s="20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06"/>
      <c r="T222" s="206"/>
      <c r="U222" s="204"/>
      <c r="V222" s="206"/>
      <c r="W222" s="206"/>
      <c r="X222" s="204"/>
      <c r="Y222" s="206"/>
      <c r="Z222" s="206"/>
      <c r="AA222" s="204"/>
      <c r="AB222" s="206"/>
      <c r="AC222" s="206"/>
      <c r="AD222" s="20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06"/>
      <c r="T223" s="206"/>
      <c r="U223" s="204"/>
      <c r="V223" s="206"/>
      <c r="W223" s="206"/>
      <c r="X223" s="204"/>
      <c r="Y223" s="206"/>
      <c r="Z223" s="206"/>
      <c r="AA223" s="204"/>
      <c r="AB223" s="206"/>
      <c r="AC223" s="206"/>
      <c r="AD223" s="20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06"/>
      <c r="T224" s="206"/>
      <c r="U224" s="204"/>
      <c r="V224" s="206"/>
      <c r="W224" s="206"/>
      <c r="X224" s="204"/>
      <c r="Y224" s="206"/>
      <c r="Z224" s="206"/>
      <c r="AA224" s="204"/>
      <c r="AB224" s="206"/>
      <c r="AC224" s="206"/>
      <c r="AD224" s="20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06"/>
      <c r="T225" s="206"/>
      <c r="U225" s="204"/>
      <c r="V225" s="206"/>
      <c r="W225" s="206"/>
      <c r="X225" s="204"/>
      <c r="Y225" s="206"/>
      <c r="Z225" s="206"/>
      <c r="AA225" s="204"/>
      <c r="AB225" s="206"/>
      <c r="AC225" s="206"/>
      <c r="AD225" s="20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06"/>
      <c r="T226" s="206"/>
      <c r="U226" s="204"/>
      <c r="V226" s="206"/>
      <c r="W226" s="206"/>
      <c r="X226" s="204"/>
      <c r="Y226" s="206"/>
      <c r="Z226" s="206"/>
      <c r="AA226" s="204"/>
      <c r="AB226" s="206"/>
      <c r="AC226" s="206"/>
      <c r="AD226" s="20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06"/>
      <c r="T227" s="206"/>
      <c r="U227" s="204"/>
      <c r="V227" s="206"/>
      <c r="W227" s="206"/>
      <c r="X227" s="204"/>
      <c r="Y227" s="206"/>
      <c r="Z227" s="206"/>
      <c r="AA227" s="204"/>
      <c r="AB227" s="206"/>
      <c r="AC227" s="206"/>
      <c r="AD227" s="20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06"/>
      <c r="T228" s="206"/>
      <c r="U228" s="204"/>
      <c r="V228" s="206"/>
      <c r="W228" s="206"/>
      <c r="X228" s="204"/>
      <c r="Y228" s="206"/>
      <c r="Z228" s="206"/>
      <c r="AA228" s="204"/>
      <c r="AB228" s="206"/>
      <c r="AC228" s="206"/>
      <c r="AD228" s="20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06"/>
      <c r="T229" s="206"/>
      <c r="U229" s="204"/>
      <c r="V229" s="206"/>
      <c r="W229" s="206"/>
      <c r="X229" s="204"/>
      <c r="Y229" s="206"/>
      <c r="Z229" s="206"/>
      <c r="AA229" s="204"/>
      <c r="AB229" s="206"/>
      <c r="AC229" s="206"/>
      <c r="AD229" s="20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06"/>
      <c r="T230" s="206"/>
      <c r="U230" s="204"/>
      <c r="V230" s="206"/>
      <c r="W230" s="206"/>
      <c r="X230" s="204"/>
      <c r="Y230" s="206"/>
      <c r="Z230" s="206"/>
      <c r="AA230" s="204"/>
      <c r="AB230" s="206"/>
      <c r="AC230" s="206"/>
      <c r="AD230" s="20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06"/>
      <c r="T231" s="206"/>
      <c r="U231" s="204"/>
      <c r="V231" s="206"/>
      <c r="W231" s="206"/>
      <c r="X231" s="204"/>
      <c r="Y231" s="206"/>
      <c r="Z231" s="206"/>
      <c r="AA231" s="204"/>
      <c r="AB231" s="206"/>
      <c r="AC231" s="206"/>
      <c r="AD231" s="20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06"/>
      <c r="T232" s="206"/>
      <c r="U232" s="204"/>
      <c r="V232" s="206"/>
      <c r="W232" s="206"/>
      <c r="X232" s="204"/>
      <c r="Y232" s="206"/>
      <c r="Z232" s="206"/>
      <c r="AA232" s="204"/>
      <c r="AB232" s="206"/>
      <c r="AC232" s="206"/>
      <c r="AD232" s="20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06"/>
      <c r="T233" s="206"/>
      <c r="U233" s="204"/>
      <c r="V233" s="206"/>
      <c r="W233" s="206"/>
      <c r="X233" s="204"/>
      <c r="Y233" s="206"/>
      <c r="Z233" s="206"/>
      <c r="AA233" s="204"/>
      <c r="AB233" s="206"/>
      <c r="AC233" s="206"/>
      <c r="AD233" s="20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06"/>
      <c r="T234" s="206"/>
      <c r="U234" s="204"/>
      <c r="V234" s="206"/>
      <c r="W234" s="206"/>
      <c r="X234" s="204"/>
      <c r="Y234" s="206"/>
      <c r="Z234" s="206"/>
      <c r="AA234" s="204"/>
      <c r="AB234" s="206"/>
      <c r="AC234" s="206"/>
      <c r="AD234" s="20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06"/>
      <c r="T235" s="206"/>
      <c r="U235" s="204"/>
      <c r="V235" s="206"/>
      <c r="W235" s="206"/>
      <c r="X235" s="204"/>
      <c r="Y235" s="206"/>
      <c r="Z235" s="206"/>
      <c r="AA235" s="204"/>
      <c r="AB235" s="206"/>
      <c r="AC235" s="206"/>
      <c r="AD235" s="20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06"/>
      <c r="T236" s="206"/>
      <c r="U236" s="204"/>
      <c r="V236" s="206"/>
      <c r="W236" s="206"/>
      <c r="X236" s="204"/>
      <c r="Y236" s="206"/>
      <c r="Z236" s="206"/>
      <c r="AA236" s="204"/>
      <c r="AB236" s="206"/>
      <c r="AC236" s="206"/>
      <c r="AD236" s="20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06"/>
      <c r="T237" s="206"/>
      <c r="U237" s="204"/>
      <c r="V237" s="206"/>
      <c r="W237" s="206"/>
      <c r="X237" s="204"/>
      <c r="Y237" s="206"/>
      <c r="Z237" s="206"/>
      <c r="AA237" s="204"/>
      <c r="AB237" s="206"/>
      <c r="AC237" s="206"/>
      <c r="AD237" s="20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06"/>
      <c r="T238" s="206"/>
      <c r="U238" s="204"/>
      <c r="V238" s="206"/>
      <c r="W238" s="206"/>
      <c r="X238" s="204"/>
      <c r="Y238" s="206"/>
      <c r="Z238" s="206"/>
      <c r="AA238" s="204"/>
      <c r="AB238" s="206"/>
      <c r="AC238" s="206"/>
      <c r="AD238" s="20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06"/>
      <c r="T239" s="206"/>
      <c r="U239" s="204"/>
      <c r="V239" s="206"/>
      <c r="W239" s="206"/>
      <c r="X239" s="204"/>
      <c r="Y239" s="206"/>
      <c r="Z239" s="206"/>
      <c r="AA239" s="204"/>
      <c r="AB239" s="206"/>
      <c r="AC239" s="206"/>
      <c r="AD239" s="20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06"/>
      <c r="T240" s="206"/>
      <c r="U240" s="204"/>
      <c r="V240" s="206"/>
      <c r="W240" s="206"/>
      <c r="X240" s="204"/>
      <c r="Y240" s="206"/>
      <c r="Z240" s="206"/>
      <c r="AA240" s="204"/>
      <c r="AB240" s="206"/>
      <c r="AC240" s="206"/>
      <c r="AD240" s="20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06"/>
      <c r="T241" s="206"/>
      <c r="U241" s="204"/>
      <c r="V241" s="206"/>
      <c r="W241" s="206"/>
      <c r="X241" s="204"/>
      <c r="Y241" s="206"/>
      <c r="Z241" s="206"/>
      <c r="AA241" s="204"/>
      <c r="AB241" s="206"/>
      <c r="AC241" s="206"/>
      <c r="AD241" s="20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06"/>
      <c r="T242" s="206"/>
      <c r="U242" s="204"/>
      <c r="V242" s="206"/>
      <c r="W242" s="206"/>
      <c r="X242" s="204"/>
      <c r="Y242" s="206"/>
      <c r="Z242" s="206"/>
      <c r="AA242" s="204"/>
      <c r="AB242" s="206"/>
      <c r="AC242" s="206"/>
      <c r="AD242" s="20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06"/>
      <c r="T243" s="206"/>
      <c r="U243" s="204"/>
      <c r="V243" s="206"/>
      <c r="W243" s="206"/>
      <c r="X243" s="204"/>
      <c r="Y243" s="206"/>
      <c r="Z243" s="206"/>
      <c r="AA243" s="204"/>
      <c r="AB243" s="206"/>
      <c r="AC243" s="206"/>
      <c r="AD243" s="20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06"/>
      <c r="T244" s="206"/>
      <c r="U244" s="204"/>
      <c r="V244" s="206"/>
      <c r="W244" s="206"/>
      <c r="X244" s="204"/>
      <c r="Y244" s="206"/>
      <c r="Z244" s="206"/>
      <c r="AA244" s="204"/>
      <c r="AB244" s="206"/>
      <c r="AC244" s="206"/>
      <c r="AD244" s="20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06"/>
      <c r="T245" s="206"/>
      <c r="U245" s="204"/>
      <c r="V245" s="206"/>
      <c r="W245" s="206"/>
      <c r="X245" s="204"/>
      <c r="Y245" s="206"/>
      <c r="Z245" s="206"/>
      <c r="AA245" s="204"/>
      <c r="AB245" s="206"/>
      <c r="AC245" s="206"/>
      <c r="AD245" s="20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06"/>
      <c r="T246" s="206"/>
      <c r="U246" s="204"/>
      <c r="V246" s="206"/>
      <c r="W246" s="206"/>
      <c r="X246" s="204"/>
      <c r="Y246" s="206"/>
      <c r="Z246" s="206"/>
      <c r="AA246" s="204"/>
      <c r="AB246" s="206"/>
      <c r="AC246" s="206"/>
      <c r="AD246" s="20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06"/>
      <c r="T247" s="206"/>
      <c r="U247" s="204"/>
      <c r="V247" s="206"/>
      <c r="W247" s="206"/>
      <c r="X247" s="204"/>
      <c r="Y247" s="206"/>
      <c r="Z247" s="206"/>
      <c r="AA247" s="204"/>
      <c r="AB247" s="206"/>
      <c r="AC247" s="206"/>
      <c r="AD247" s="20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06"/>
      <c r="T248" s="206"/>
      <c r="U248" s="204"/>
      <c r="V248" s="206"/>
      <c r="W248" s="206"/>
      <c r="X248" s="204"/>
      <c r="Y248" s="206"/>
      <c r="Z248" s="206"/>
      <c r="AA248" s="204"/>
      <c r="AB248" s="206"/>
      <c r="AC248" s="206"/>
      <c r="AD248" s="20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06"/>
      <c r="T249" s="206"/>
      <c r="U249" s="204"/>
      <c r="V249" s="206"/>
      <c r="W249" s="206"/>
      <c r="X249" s="204"/>
      <c r="Y249" s="206"/>
      <c r="Z249" s="206"/>
      <c r="AA249" s="204"/>
      <c r="AB249" s="206"/>
      <c r="AC249" s="206"/>
      <c r="AD249" s="20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06"/>
      <c r="T250" s="206"/>
      <c r="U250" s="204"/>
      <c r="V250" s="206"/>
      <c r="W250" s="206"/>
      <c r="X250" s="204"/>
      <c r="Y250" s="206"/>
      <c r="Z250" s="206"/>
      <c r="AA250" s="204"/>
      <c r="AB250" s="206"/>
      <c r="AC250" s="206"/>
      <c r="AD250" s="20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06"/>
      <c r="T251" s="206"/>
      <c r="U251" s="204"/>
      <c r="V251" s="206"/>
      <c r="W251" s="206"/>
      <c r="X251" s="204"/>
      <c r="Y251" s="206"/>
      <c r="Z251" s="206"/>
      <c r="AA251" s="204"/>
      <c r="AB251" s="206"/>
      <c r="AC251" s="206"/>
      <c r="AD251" s="20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06"/>
      <c r="T252" s="206"/>
      <c r="U252" s="204"/>
      <c r="V252" s="206"/>
      <c r="W252" s="206"/>
      <c r="X252" s="204"/>
      <c r="Y252" s="206"/>
      <c r="Z252" s="206"/>
      <c r="AA252" s="204"/>
      <c r="AB252" s="206"/>
      <c r="AC252" s="206"/>
      <c r="AD252" s="20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06"/>
      <c r="T253" s="206"/>
      <c r="U253" s="204"/>
      <c r="V253" s="206"/>
      <c r="W253" s="206"/>
      <c r="X253" s="204"/>
      <c r="Y253" s="206"/>
      <c r="Z253" s="206"/>
      <c r="AA253" s="204"/>
      <c r="AB253" s="206"/>
      <c r="AC253" s="206"/>
      <c r="AD253" s="20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06"/>
      <c r="T254" s="206"/>
      <c r="U254" s="204"/>
      <c r="V254" s="206"/>
      <c r="W254" s="206"/>
      <c r="X254" s="204"/>
      <c r="Y254" s="206"/>
      <c r="Z254" s="206"/>
      <c r="AA254" s="204"/>
      <c r="AB254" s="206"/>
      <c r="AC254" s="206"/>
      <c r="AD254" s="20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06"/>
      <c r="T255" s="206"/>
      <c r="U255" s="204"/>
      <c r="V255" s="206"/>
      <c r="W255" s="206"/>
      <c r="X255" s="204"/>
      <c r="Y255" s="206"/>
      <c r="Z255" s="206"/>
      <c r="AA255" s="204"/>
      <c r="AB255" s="206"/>
      <c r="AC255" s="206"/>
      <c r="AD255" s="20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06"/>
      <c r="T256" s="206"/>
      <c r="U256" s="204"/>
      <c r="V256" s="206"/>
      <c r="W256" s="206"/>
      <c r="X256" s="204"/>
      <c r="Y256" s="206"/>
      <c r="Z256" s="206"/>
      <c r="AA256" s="204"/>
      <c r="AB256" s="206"/>
      <c r="AC256" s="206"/>
      <c r="AD256" s="20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06"/>
      <c r="T257" s="206"/>
      <c r="U257" s="204"/>
      <c r="V257" s="206"/>
      <c r="W257" s="206"/>
      <c r="X257" s="204"/>
      <c r="Y257" s="206"/>
      <c r="Z257" s="206"/>
      <c r="AA257" s="204"/>
      <c r="AB257" s="206"/>
      <c r="AC257" s="206"/>
      <c r="AD257" s="20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06"/>
      <c r="T258" s="206"/>
      <c r="U258" s="204"/>
      <c r="V258" s="206"/>
      <c r="W258" s="206"/>
      <c r="X258" s="204"/>
      <c r="Y258" s="206"/>
      <c r="Z258" s="206"/>
      <c r="AA258" s="204"/>
      <c r="AB258" s="206"/>
      <c r="AC258" s="206"/>
      <c r="AD258" s="20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06"/>
      <c r="T259" s="206"/>
      <c r="U259" s="204"/>
      <c r="V259" s="206"/>
      <c r="W259" s="206"/>
      <c r="X259" s="204"/>
      <c r="Y259" s="206"/>
      <c r="Z259" s="206"/>
      <c r="AA259" s="204"/>
      <c r="AB259" s="206"/>
      <c r="AC259" s="206"/>
      <c r="AD259" s="20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06"/>
      <c r="T260" s="206"/>
      <c r="U260" s="204"/>
      <c r="V260" s="206"/>
      <c r="W260" s="206"/>
      <c r="X260" s="204"/>
      <c r="Y260" s="206"/>
      <c r="Z260" s="206"/>
      <c r="AA260" s="204"/>
      <c r="AB260" s="206"/>
      <c r="AC260" s="206"/>
      <c r="AD260" s="20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06"/>
      <c r="T261" s="206"/>
      <c r="U261" s="204"/>
      <c r="V261" s="206"/>
      <c r="W261" s="206"/>
      <c r="X261" s="204"/>
      <c r="Y261" s="206"/>
      <c r="Z261" s="206"/>
      <c r="AA261" s="204"/>
      <c r="AB261" s="206"/>
      <c r="AC261" s="206"/>
      <c r="AD261" s="20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06"/>
      <c r="T262" s="206"/>
      <c r="U262" s="204"/>
      <c r="V262" s="206"/>
      <c r="W262" s="206"/>
      <c r="X262" s="204"/>
      <c r="Y262" s="206"/>
      <c r="Z262" s="206"/>
      <c r="AA262" s="204"/>
      <c r="AB262" s="206"/>
      <c r="AC262" s="206"/>
      <c r="AD262" s="20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06"/>
      <c r="T263" s="206"/>
      <c r="U263" s="204"/>
      <c r="V263" s="206"/>
      <c r="W263" s="206"/>
      <c r="X263" s="204"/>
      <c r="Y263" s="206"/>
      <c r="Z263" s="206"/>
      <c r="AA263" s="204"/>
      <c r="AB263" s="206"/>
      <c r="AC263" s="206"/>
      <c r="AD263" s="20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06"/>
      <c r="T264" s="206"/>
      <c r="U264" s="204"/>
      <c r="V264" s="206"/>
      <c r="W264" s="206"/>
      <c r="X264" s="204"/>
      <c r="Y264" s="206"/>
      <c r="Z264" s="206"/>
      <c r="AA264" s="204"/>
      <c r="AB264" s="206"/>
      <c r="AC264" s="206"/>
      <c r="AD264" s="20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06"/>
      <c r="T265" s="206"/>
      <c r="U265" s="204"/>
      <c r="V265" s="206"/>
      <c r="W265" s="206"/>
      <c r="X265" s="204"/>
      <c r="Y265" s="206"/>
      <c r="Z265" s="206"/>
      <c r="AA265" s="204"/>
      <c r="AB265" s="206"/>
      <c r="AC265" s="206"/>
      <c r="AD265" s="20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06"/>
      <c r="T266" s="206"/>
      <c r="U266" s="204"/>
      <c r="V266" s="206"/>
      <c r="W266" s="206"/>
      <c r="X266" s="204"/>
      <c r="Y266" s="206"/>
      <c r="Z266" s="206"/>
      <c r="AA266" s="204"/>
      <c r="AB266" s="206"/>
      <c r="AC266" s="206"/>
      <c r="AD266" s="20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06"/>
      <c r="T267" s="206"/>
      <c r="U267" s="204"/>
      <c r="V267" s="206"/>
      <c r="W267" s="206"/>
      <c r="X267" s="204"/>
      <c r="Y267" s="206"/>
      <c r="Z267" s="206"/>
      <c r="AA267" s="204"/>
      <c r="AB267" s="206"/>
      <c r="AC267" s="206"/>
      <c r="AD267" s="20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06"/>
      <c r="T268" s="206"/>
      <c r="U268" s="204"/>
      <c r="V268" s="206"/>
      <c r="W268" s="206"/>
      <c r="X268" s="204"/>
      <c r="Y268" s="206"/>
      <c r="Z268" s="206"/>
      <c r="AA268" s="204"/>
      <c r="AB268" s="206"/>
      <c r="AC268" s="206"/>
      <c r="AD268" s="20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06"/>
      <c r="T269" s="206"/>
      <c r="U269" s="204"/>
      <c r="V269" s="206"/>
      <c r="W269" s="206"/>
      <c r="X269" s="204"/>
      <c r="Y269" s="206"/>
      <c r="Z269" s="206"/>
      <c r="AA269" s="204"/>
      <c r="AB269" s="206"/>
      <c r="AC269" s="206"/>
      <c r="AD269" s="20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06"/>
      <c r="T270" s="206"/>
      <c r="U270" s="204"/>
      <c r="V270" s="206"/>
      <c r="W270" s="206"/>
      <c r="X270" s="204"/>
      <c r="Y270" s="206"/>
      <c r="Z270" s="206"/>
      <c r="AA270" s="204"/>
      <c r="AB270" s="206"/>
      <c r="AC270" s="206"/>
      <c r="AD270" s="20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06"/>
      <c r="T271" s="206"/>
      <c r="U271" s="204"/>
      <c r="V271" s="206"/>
      <c r="W271" s="206"/>
      <c r="X271" s="204"/>
      <c r="Y271" s="206"/>
      <c r="Z271" s="206"/>
      <c r="AA271" s="204"/>
      <c r="AB271" s="206"/>
      <c r="AC271" s="206"/>
      <c r="AD271" s="20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06"/>
      <c r="T272" s="206"/>
      <c r="U272" s="204"/>
      <c r="V272" s="206"/>
      <c r="W272" s="206"/>
      <c r="X272" s="204"/>
      <c r="Y272" s="206"/>
      <c r="Z272" s="206"/>
      <c r="AA272" s="204"/>
      <c r="AB272" s="206"/>
      <c r="AC272" s="206"/>
      <c r="AD272" s="20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06"/>
      <c r="T273" s="206"/>
      <c r="U273" s="204"/>
      <c r="V273" s="206"/>
      <c r="W273" s="206"/>
      <c r="X273" s="204"/>
      <c r="Y273" s="206"/>
      <c r="Z273" s="206"/>
      <c r="AA273" s="204"/>
      <c r="AB273" s="206"/>
      <c r="AC273" s="206"/>
      <c r="AD273" s="20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06"/>
      <c r="T274" s="206"/>
      <c r="U274" s="204"/>
      <c r="V274" s="206"/>
      <c r="W274" s="206"/>
      <c r="X274" s="204"/>
      <c r="Y274" s="206"/>
      <c r="Z274" s="206"/>
      <c r="AA274" s="204"/>
      <c r="AB274" s="206"/>
      <c r="AC274" s="206"/>
      <c r="AD274" s="20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06"/>
      <c r="T275" s="206"/>
      <c r="U275" s="204"/>
      <c r="V275" s="206"/>
      <c r="W275" s="206"/>
      <c r="X275" s="204"/>
      <c r="Y275" s="206"/>
      <c r="Z275" s="206"/>
      <c r="AA275" s="204"/>
      <c r="AB275" s="206"/>
      <c r="AC275" s="206"/>
      <c r="AD275" s="20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06"/>
      <c r="T276" s="206"/>
      <c r="U276" s="204"/>
      <c r="V276" s="206"/>
      <c r="W276" s="206"/>
      <c r="X276" s="204"/>
      <c r="Y276" s="206"/>
      <c r="Z276" s="206"/>
      <c r="AA276" s="204"/>
      <c r="AB276" s="206"/>
      <c r="AC276" s="206"/>
      <c r="AD276" s="20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06"/>
      <c r="T277" s="206"/>
      <c r="U277" s="204"/>
      <c r="V277" s="206"/>
      <c r="W277" s="206"/>
      <c r="X277" s="204"/>
      <c r="Y277" s="206"/>
      <c r="Z277" s="206"/>
      <c r="AA277" s="204"/>
      <c r="AB277" s="206"/>
      <c r="AC277" s="206"/>
      <c r="AD277" s="20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06"/>
      <c r="T278" s="206"/>
      <c r="U278" s="204"/>
      <c r="V278" s="206"/>
      <c r="W278" s="206"/>
      <c r="X278" s="204"/>
      <c r="Y278" s="206"/>
      <c r="Z278" s="206"/>
      <c r="AA278" s="204"/>
      <c r="AB278" s="206"/>
      <c r="AC278" s="206"/>
      <c r="AD278" s="20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06"/>
      <c r="T279" s="206"/>
      <c r="U279" s="204"/>
      <c r="V279" s="206"/>
      <c r="W279" s="206"/>
      <c r="X279" s="204"/>
      <c r="Y279" s="206"/>
      <c r="Z279" s="206"/>
      <c r="AA279" s="204"/>
      <c r="AB279" s="206"/>
      <c r="AC279" s="206"/>
      <c r="AD279" s="20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06"/>
      <c r="T280" s="206"/>
      <c r="U280" s="204"/>
      <c r="V280" s="206"/>
      <c r="W280" s="206"/>
      <c r="X280" s="204"/>
      <c r="Y280" s="206"/>
      <c r="Z280" s="206"/>
      <c r="AA280" s="204"/>
      <c r="AB280" s="206"/>
      <c r="AC280" s="206"/>
      <c r="AD280" s="20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06"/>
      <c r="T281" s="206"/>
      <c r="U281" s="204"/>
      <c r="V281" s="206"/>
      <c r="W281" s="206"/>
      <c r="X281" s="204"/>
      <c r="Y281" s="206"/>
      <c r="Z281" s="206"/>
      <c r="AA281" s="204"/>
      <c r="AB281" s="206"/>
      <c r="AC281" s="206"/>
      <c r="AD281" s="20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06"/>
      <c r="T282" s="206"/>
      <c r="U282" s="204"/>
      <c r="V282" s="206"/>
      <c r="W282" s="206"/>
      <c r="X282" s="204"/>
      <c r="Y282" s="206"/>
      <c r="Z282" s="206"/>
      <c r="AA282" s="204"/>
      <c r="AB282" s="206"/>
      <c r="AC282" s="206"/>
      <c r="AD282" s="20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06"/>
      <c r="T283" s="206"/>
      <c r="U283" s="204"/>
      <c r="V283" s="206"/>
      <c r="W283" s="206"/>
      <c r="X283" s="204"/>
      <c r="Y283" s="206"/>
      <c r="Z283" s="206"/>
      <c r="AA283" s="204"/>
      <c r="AB283" s="206"/>
      <c r="AC283" s="206"/>
      <c r="AD283" s="20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06"/>
      <c r="T284" s="206"/>
      <c r="U284" s="204"/>
      <c r="V284" s="206"/>
      <c r="W284" s="206"/>
      <c r="X284" s="204"/>
      <c r="Y284" s="206"/>
      <c r="Z284" s="206"/>
      <c r="AA284" s="204"/>
      <c r="AB284" s="206"/>
      <c r="AC284" s="206"/>
      <c r="AD284" s="20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06"/>
      <c r="T285" s="206"/>
      <c r="U285" s="204"/>
      <c r="V285" s="206"/>
      <c r="W285" s="206"/>
      <c r="X285" s="204"/>
      <c r="Y285" s="206"/>
      <c r="Z285" s="206"/>
      <c r="AA285" s="204"/>
      <c r="AB285" s="206"/>
      <c r="AC285" s="206"/>
      <c r="AD285" s="20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06"/>
      <c r="T286" s="206"/>
      <c r="U286" s="204"/>
      <c r="V286" s="206"/>
      <c r="W286" s="206"/>
      <c r="X286" s="204"/>
      <c r="Y286" s="206"/>
      <c r="Z286" s="206"/>
      <c r="AA286" s="204"/>
      <c r="AB286" s="206"/>
      <c r="AC286" s="206"/>
      <c r="AD286" s="20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06"/>
      <c r="T287" s="206"/>
      <c r="U287" s="204"/>
      <c r="V287" s="206"/>
      <c r="W287" s="206"/>
      <c r="X287" s="204"/>
      <c r="Y287" s="206"/>
      <c r="Z287" s="206"/>
      <c r="AA287" s="204"/>
      <c r="AB287" s="206"/>
      <c r="AC287" s="206"/>
      <c r="AD287" s="20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06"/>
      <c r="T288" s="206"/>
      <c r="U288" s="204"/>
      <c r="V288" s="206"/>
      <c r="W288" s="206"/>
      <c r="X288" s="204"/>
      <c r="Y288" s="206"/>
      <c r="Z288" s="206"/>
      <c r="AA288" s="204"/>
      <c r="AB288" s="206"/>
      <c r="AC288" s="206"/>
      <c r="AD288" s="20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06"/>
      <c r="T289" s="206"/>
      <c r="U289" s="204"/>
      <c r="V289" s="206"/>
      <c r="W289" s="206"/>
      <c r="X289" s="204"/>
      <c r="Y289" s="206"/>
      <c r="Z289" s="206"/>
      <c r="AA289" s="204"/>
      <c r="AB289" s="206"/>
      <c r="AC289" s="206"/>
      <c r="AD289" s="20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06"/>
      <c r="T290" s="206"/>
      <c r="U290" s="204"/>
      <c r="V290" s="206"/>
      <c r="W290" s="206"/>
      <c r="X290" s="204"/>
      <c r="Y290" s="206"/>
      <c r="Z290" s="206"/>
      <c r="AA290" s="204"/>
      <c r="AB290" s="206"/>
      <c r="AC290" s="206"/>
      <c r="AD290" s="20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06"/>
      <c r="T291" s="206"/>
      <c r="U291" s="204"/>
      <c r="V291" s="206"/>
      <c r="W291" s="206"/>
      <c r="X291" s="204"/>
      <c r="Y291" s="206"/>
      <c r="Z291" s="206"/>
      <c r="AA291" s="204"/>
      <c r="AB291" s="206"/>
      <c r="AC291" s="206"/>
      <c r="AD291" s="20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06"/>
      <c r="T292" s="206"/>
      <c r="U292" s="204"/>
      <c r="V292" s="206"/>
      <c r="W292" s="206"/>
      <c r="X292" s="204"/>
      <c r="Y292" s="206"/>
      <c r="Z292" s="206"/>
      <c r="AA292" s="204"/>
      <c r="AB292" s="206"/>
      <c r="AC292" s="206"/>
      <c r="AD292" s="20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06"/>
      <c r="T293" s="206"/>
      <c r="U293" s="204"/>
      <c r="V293" s="206"/>
      <c r="W293" s="206"/>
      <c r="X293" s="204"/>
      <c r="Y293" s="206"/>
      <c r="Z293" s="206"/>
      <c r="AA293" s="204"/>
      <c r="AB293" s="206"/>
      <c r="AC293" s="206"/>
      <c r="AD293" s="20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06"/>
      <c r="T294" s="206"/>
      <c r="U294" s="204"/>
      <c r="V294" s="206"/>
      <c r="W294" s="206"/>
      <c r="X294" s="204"/>
      <c r="Y294" s="206"/>
      <c r="Z294" s="206"/>
      <c r="AA294" s="204"/>
      <c r="AB294" s="206"/>
      <c r="AC294" s="206"/>
      <c r="AD294" s="20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06"/>
      <c r="T295" s="206"/>
      <c r="U295" s="204"/>
      <c r="V295" s="206"/>
      <c r="W295" s="206"/>
      <c r="X295" s="204"/>
      <c r="Y295" s="206"/>
      <c r="Z295" s="206"/>
      <c r="AA295" s="204"/>
      <c r="AB295" s="206"/>
      <c r="AC295" s="206"/>
      <c r="AD295" s="20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06"/>
      <c r="T296" s="206"/>
      <c r="U296" s="204"/>
      <c r="V296" s="206"/>
      <c r="W296" s="206"/>
      <c r="X296" s="204"/>
      <c r="Y296" s="206"/>
      <c r="Z296" s="206"/>
      <c r="AA296" s="204"/>
      <c r="AB296" s="206"/>
      <c r="AC296" s="206"/>
      <c r="AD296" s="20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06"/>
      <c r="T297" s="206"/>
      <c r="U297" s="204"/>
      <c r="V297" s="206"/>
      <c r="W297" s="206"/>
      <c r="X297" s="204"/>
      <c r="Y297" s="206"/>
      <c r="Z297" s="206"/>
      <c r="AA297" s="204"/>
      <c r="AB297" s="206"/>
      <c r="AC297" s="206"/>
      <c r="AD297" s="20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06"/>
      <c r="T298" s="206"/>
      <c r="U298" s="204"/>
      <c r="V298" s="206"/>
      <c r="W298" s="206"/>
      <c r="X298" s="204"/>
      <c r="Y298" s="206"/>
      <c r="Z298" s="206"/>
      <c r="AA298" s="204"/>
      <c r="AB298" s="206"/>
      <c r="AC298" s="206"/>
      <c r="AD298" s="20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06"/>
      <c r="T299" s="206"/>
      <c r="U299" s="204"/>
      <c r="V299" s="206"/>
      <c r="W299" s="206"/>
      <c r="X299" s="204"/>
      <c r="Y299" s="206"/>
      <c r="Z299" s="206"/>
      <c r="AA299" s="204"/>
      <c r="AB299" s="206"/>
      <c r="AC299" s="206"/>
      <c r="AD299" s="20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06"/>
      <c r="T300" s="206"/>
      <c r="U300" s="204"/>
      <c r="V300" s="206"/>
      <c r="W300" s="206"/>
      <c r="X300" s="204"/>
      <c r="Y300" s="206"/>
      <c r="Z300" s="206"/>
      <c r="AA300" s="204"/>
      <c r="AB300" s="206"/>
      <c r="AC300" s="206"/>
      <c r="AD300" s="20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06"/>
      <c r="T301" s="206"/>
      <c r="U301" s="204"/>
      <c r="V301" s="206"/>
      <c r="W301" s="206"/>
      <c r="X301" s="204"/>
      <c r="Y301" s="206"/>
      <c r="Z301" s="206"/>
      <c r="AA301" s="204"/>
      <c r="AB301" s="206"/>
      <c r="AC301" s="206"/>
      <c r="AD301" s="20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06"/>
      <c r="T302" s="206"/>
      <c r="U302" s="204"/>
      <c r="V302" s="206"/>
      <c r="W302" s="206"/>
      <c r="X302" s="204"/>
      <c r="Y302" s="206"/>
      <c r="Z302" s="206"/>
      <c r="AA302" s="204"/>
      <c r="AB302" s="206"/>
      <c r="AC302" s="206"/>
      <c r="AD302" s="20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06"/>
      <c r="T303" s="206"/>
      <c r="U303" s="204"/>
      <c r="V303" s="206"/>
      <c r="W303" s="206"/>
      <c r="X303" s="204"/>
      <c r="Y303" s="206"/>
      <c r="Z303" s="206"/>
      <c r="AA303" s="204"/>
      <c r="AB303" s="206"/>
      <c r="AC303" s="206"/>
      <c r="AD303" s="204"/>
    </row>
    <row r="304" spans="1:30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206"/>
      <c r="T304" s="206"/>
      <c r="U304" s="204"/>
      <c r="V304" s="206"/>
      <c r="W304" s="206"/>
      <c r="X304" s="204"/>
      <c r="Y304" s="206"/>
      <c r="Z304" s="206"/>
      <c r="AA304" s="204"/>
      <c r="AB304" s="206"/>
      <c r="AC304" s="206"/>
      <c r="AD304" s="204"/>
    </row>
    <row r="305" spans="1:30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206"/>
      <c r="T305" s="206"/>
      <c r="U305" s="204"/>
      <c r="V305" s="206"/>
      <c r="W305" s="206"/>
      <c r="X305" s="204"/>
      <c r="Y305" s="206"/>
      <c r="Z305" s="206"/>
      <c r="AA305" s="204"/>
      <c r="AB305" s="206"/>
      <c r="AC305" s="206"/>
      <c r="AD305" s="204"/>
    </row>
    <row r="306" spans="1:30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206"/>
      <c r="T306" s="206"/>
      <c r="U306" s="204"/>
      <c r="V306" s="206"/>
      <c r="W306" s="206"/>
      <c r="X306" s="204"/>
      <c r="Y306" s="206"/>
      <c r="Z306" s="206"/>
      <c r="AA306" s="204"/>
      <c r="AB306" s="206"/>
      <c r="AC306" s="206"/>
      <c r="AD306" s="204"/>
    </row>
    <row r="307" spans="1:30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206"/>
      <c r="T307" s="206"/>
      <c r="U307" s="204"/>
      <c r="V307" s="206"/>
      <c r="W307" s="206"/>
      <c r="X307" s="204"/>
      <c r="Y307" s="206"/>
      <c r="Z307" s="206"/>
      <c r="AA307" s="204"/>
      <c r="AB307" s="206"/>
      <c r="AC307" s="206"/>
      <c r="AD307" s="204"/>
    </row>
    <row r="308" spans="1:30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206"/>
      <c r="T308" s="206"/>
      <c r="U308" s="204"/>
      <c r="V308" s="206"/>
      <c r="W308" s="206"/>
      <c r="X308" s="204"/>
      <c r="Y308" s="206"/>
      <c r="Z308" s="206"/>
      <c r="AA308" s="204"/>
      <c r="AB308" s="206"/>
      <c r="AC308" s="206"/>
      <c r="AD308" s="204"/>
    </row>
    <row r="309" spans="1:30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206"/>
      <c r="T309" s="206"/>
      <c r="U309" s="204"/>
      <c r="V309" s="206"/>
      <c r="W309" s="206"/>
      <c r="X309" s="204"/>
      <c r="Y309" s="206"/>
      <c r="Z309" s="206"/>
      <c r="AA309" s="204"/>
      <c r="AB309" s="206"/>
      <c r="AC309" s="206"/>
      <c r="AD309" s="204"/>
    </row>
    <row r="310" spans="1:30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206"/>
      <c r="T310" s="206"/>
      <c r="U310" s="204"/>
      <c r="V310" s="206"/>
      <c r="W310" s="206"/>
      <c r="X310" s="204"/>
      <c r="Y310" s="206"/>
      <c r="Z310" s="206"/>
      <c r="AA310" s="204"/>
      <c r="AB310" s="206"/>
      <c r="AC310" s="206"/>
      <c r="AD310" s="204"/>
    </row>
    <row r="311" spans="1:30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206"/>
      <c r="T311" s="206"/>
      <c r="U311" s="204"/>
      <c r="V311" s="206"/>
      <c r="W311" s="206"/>
      <c r="X311" s="204"/>
      <c r="Y311" s="206"/>
      <c r="Z311" s="206"/>
      <c r="AA311" s="204"/>
      <c r="AB311" s="206"/>
      <c r="AC311" s="206"/>
      <c r="AD311" s="204"/>
    </row>
    <row r="312" spans="1:30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206"/>
      <c r="T312" s="206"/>
      <c r="U312" s="204"/>
      <c r="V312" s="206"/>
      <c r="W312" s="206"/>
      <c r="X312" s="204"/>
      <c r="Y312" s="206"/>
      <c r="Z312" s="206"/>
      <c r="AA312" s="204"/>
      <c r="AB312" s="206"/>
      <c r="AC312" s="206"/>
      <c r="AD312" s="204"/>
    </row>
    <row r="313" spans="1:30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206"/>
      <c r="T313" s="206"/>
      <c r="U313" s="204"/>
      <c r="V313" s="206"/>
      <c r="W313" s="206"/>
      <c r="X313" s="204"/>
      <c r="Y313" s="206"/>
      <c r="Z313" s="206"/>
      <c r="AA313" s="204"/>
      <c r="AB313" s="206"/>
      <c r="AC313" s="206"/>
      <c r="AD313" s="204"/>
    </row>
    <row r="314" spans="1:30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206"/>
      <c r="T314" s="206"/>
      <c r="U314" s="204"/>
      <c r="V314" s="206"/>
      <c r="W314" s="206"/>
      <c r="X314" s="204"/>
      <c r="Y314" s="206"/>
      <c r="Z314" s="206"/>
      <c r="AA314" s="204"/>
      <c r="AB314" s="206"/>
      <c r="AC314" s="206"/>
      <c r="AD314" s="204"/>
    </row>
    <row r="315" spans="1:30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206"/>
      <c r="T315" s="206"/>
      <c r="U315" s="204"/>
      <c r="V315" s="206"/>
      <c r="W315" s="206"/>
      <c r="X315" s="204"/>
      <c r="Y315" s="206"/>
      <c r="Z315" s="206"/>
      <c r="AA315" s="204"/>
      <c r="AB315" s="206"/>
      <c r="AC315" s="206"/>
      <c r="AD315" s="204"/>
    </row>
    <row r="316" spans="1:30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206"/>
      <c r="T316" s="206"/>
      <c r="U316" s="204"/>
      <c r="V316" s="206"/>
      <c r="W316" s="206"/>
      <c r="X316" s="204"/>
      <c r="Y316" s="206"/>
      <c r="Z316" s="206"/>
      <c r="AA316" s="204"/>
      <c r="AB316" s="206"/>
      <c r="AC316" s="206"/>
      <c r="AD316" s="204"/>
    </row>
    <row r="317" spans="1:30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206"/>
      <c r="T317" s="206"/>
      <c r="U317" s="204"/>
      <c r="V317" s="206"/>
      <c r="W317" s="206"/>
      <c r="X317" s="204"/>
      <c r="Y317" s="206"/>
      <c r="Z317" s="206"/>
      <c r="AA317" s="204"/>
      <c r="AB317" s="206"/>
      <c r="AC317" s="206"/>
      <c r="AD317" s="204"/>
    </row>
    <row r="318" spans="1:30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206"/>
      <c r="T318" s="206"/>
      <c r="U318" s="204"/>
      <c r="V318" s="206"/>
      <c r="W318" s="206"/>
      <c r="X318" s="204"/>
      <c r="Y318" s="206"/>
      <c r="Z318" s="206"/>
      <c r="AA318" s="204"/>
      <c r="AB318" s="206"/>
      <c r="AC318" s="206"/>
      <c r="AD318" s="204"/>
    </row>
    <row r="319" spans="1:30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206"/>
      <c r="T319" s="206"/>
      <c r="U319" s="204"/>
      <c r="V319" s="206"/>
      <c r="W319" s="206"/>
      <c r="X319" s="204"/>
      <c r="Y319" s="206"/>
      <c r="Z319" s="206"/>
      <c r="AA319" s="204"/>
      <c r="AB319" s="206"/>
      <c r="AC319" s="206"/>
      <c r="AD319" s="204"/>
    </row>
    <row r="320" spans="1:30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206"/>
      <c r="T320" s="206"/>
      <c r="U320" s="204"/>
      <c r="V320" s="206"/>
      <c r="W320" s="206"/>
      <c r="X320" s="204"/>
      <c r="Y320" s="206"/>
      <c r="Z320" s="206"/>
      <c r="AA320" s="204"/>
      <c r="AB320" s="206"/>
      <c r="AC320" s="206"/>
      <c r="AD320" s="204"/>
    </row>
    <row r="321" spans="1:30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206"/>
      <c r="T321" s="206"/>
      <c r="U321" s="204"/>
      <c r="V321" s="206"/>
      <c r="W321" s="206"/>
      <c r="X321" s="204"/>
      <c r="Y321" s="206"/>
      <c r="Z321" s="206"/>
      <c r="AA321" s="204"/>
      <c r="AB321" s="206"/>
      <c r="AC321" s="206"/>
      <c r="AD321" s="204"/>
    </row>
    <row r="322" spans="1:30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206"/>
      <c r="T322" s="206"/>
      <c r="U322" s="204"/>
      <c r="V322" s="206"/>
      <c r="W322" s="206"/>
      <c r="X322" s="204"/>
      <c r="Y322" s="206"/>
      <c r="Z322" s="206"/>
      <c r="AA322" s="204"/>
      <c r="AB322" s="206"/>
      <c r="AC322" s="206"/>
      <c r="AD322" s="204"/>
    </row>
    <row r="323" spans="1:30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206"/>
      <c r="T323" s="206"/>
      <c r="U323" s="204"/>
      <c r="V323" s="206"/>
      <c r="W323" s="206"/>
      <c r="X323" s="204"/>
      <c r="Y323" s="206"/>
      <c r="Z323" s="206"/>
      <c r="AA323" s="204"/>
      <c r="AB323" s="206"/>
      <c r="AC323" s="206"/>
      <c r="AD323" s="204"/>
    </row>
    <row r="324" spans="1:30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206"/>
      <c r="T324" s="206"/>
      <c r="U324" s="204"/>
      <c r="V324" s="206"/>
      <c r="W324" s="206"/>
      <c r="X324" s="204"/>
      <c r="Y324" s="206"/>
      <c r="Z324" s="206"/>
      <c r="AA324" s="204"/>
      <c r="AB324" s="206"/>
      <c r="AC324" s="206"/>
      <c r="AD324" s="204"/>
    </row>
    <row r="325" spans="1:30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206"/>
      <c r="T325" s="206"/>
      <c r="U325" s="204"/>
      <c r="V325" s="206"/>
      <c r="W325" s="206"/>
      <c r="X325" s="204"/>
      <c r="Y325" s="206"/>
      <c r="Z325" s="206"/>
      <c r="AA325" s="204"/>
      <c r="AB325" s="206"/>
      <c r="AC325" s="206"/>
      <c r="AD325" s="204"/>
    </row>
    <row r="326" spans="1:30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206"/>
      <c r="T326" s="206"/>
      <c r="U326" s="204"/>
      <c r="V326" s="206"/>
      <c r="W326" s="206"/>
      <c r="X326" s="204"/>
      <c r="Y326" s="206"/>
      <c r="Z326" s="206"/>
      <c r="AA326" s="204"/>
      <c r="AB326" s="206"/>
      <c r="AC326" s="206"/>
      <c r="AD326" s="204"/>
    </row>
    <row r="327" spans="1:30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206"/>
      <c r="T327" s="206"/>
      <c r="U327" s="204"/>
      <c r="V327" s="206"/>
      <c r="W327" s="206"/>
      <c r="X327" s="204"/>
      <c r="Y327" s="206"/>
      <c r="Z327" s="206"/>
      <c r="AA327" s="204"/>
      <c r="AB327" s="206"/>
      <c r="AC327" s="206"/>
      <c r="AD327" s="204"/>
    </row>
    <row r="328" spans="1:30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206"/>
      <c r="T328" s="206"/>
      <c r="U328" s="204"/>
      <c r="V328" s="206"/>
      <c r="W328" s="206"/>
      <c r="X328" s="204"/>
      <c r="Y328" s="206"/>
      <c r="Z328" s="206"/>
      <c r="AA328" s="204"/>
      <c r="AB328" s="206"/>
      <c r="AC328" s="206"/>
      <c r="AD328" s="204"/>
    </row>
    <row r="329" spans="1:30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206"/>
      <c r="T329" s="206"/>
      <c r="U329" s="204"/>
      <c r="V329" s="206"/>
      <c r="W329" s="206"/>
      <c r="X329" s="204"/>
      <c r="Y329" s="206"/>
      <c r="Z329" s="206"/>
      <c r="AA329" s="204"/>
      <c r="AB329" s="206"/>
      <c r="AC329" s="206"/>
      <c r="AD329" s="204"/>
    </row>
    <row r="330" spans="1:30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206"/>
      <c r="T330" s="206"/>
      <c r="U330" s="204"/>
      <c r="V330" s="206"/>
      <c r="W330" s="206"/>
      <c r="X330" s="204"/>
      <c r="Y330" s="206"/>
      <c r="Z330" s="206"/>
      <c r="AA330" s="204"/>
      <c r="AB330" s="206"/>
      <c r="AC330" s="206"/>
      <c r="AD330" s="204"/>
    </row>
    <row r="331" spans="1:30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206"/>
      <c r="T331" s="206"/>
      <c r="U331" s="204"/>
      <c r="V331" s="206"/>
      <c r="W331" s="206"/>
      <c r="X331" s="204"/>
      <c r="Y331" s="206"/>
      <c r="Z331" s="206"/>
      <c r="AA331" s="204"/>
      <c r="AB331" s="206"/>
      <c r="AC331" s="206"/>
      <c r="AD331" s="204"/>
    </row>
    <row r="332" spans="1:30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206"/>
      <c r="T332" s="206"/>
      <c r="U332" s="204"/>
      <c r="V332" s="206"/>
      <c r="W332" s="206"/>
      <c r="X332" s="204"/>
      <c r="Y332" s="206"/>
      <c r="Z332" s="206"/>
      <c r="AA332" s="204"/>
      <c r="AB332" s="206"/>
      <c r="AC332" s="206"/>
      <c r="AD332" s="204"/>
    </row>
    <row r="333" spans="1:30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206"/>
      <c r="T333" s="206"/>
      <c r="U333" s="204"/>
      <c r="V333" s="206"/>
      <c r="W333" s="206"/>
      <c r="X333" s="204"/>
      <c r="Y333" s="206"/>
      <c r="Z333" s="206"/>
      <c r="AA333" s="204"/>
      <c r="AB333" s="206"/>
      <c r="AC333" s="206"/>
      <c r="AD333" s="204"/>
    </row>
    <row r="334" spans="1:30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206"/>
      <c r="T334" s="206"/>
      <c r="U334" s="204"/>
      <c r="V334" s="206"/>
      <c r="W334" s="206"/>
      <c r="X334" s="204"/>
      <c r="Y334" s="206"/>
      <c r="Z334" s="206"/>
      <c r="AA334" s="204"/>
      <c r="AB334" s="206"/>
      <c r="AC334" s="206"/>
      <c r="AD334" s="204"/>
    </row>
    <row r="335" spans="1:30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206"/>
      <c r="T335" s="206"/>
      <c r="U335" s="204"/>
      <c r="V335" s="206"/>
      <c r="W335" s="206"/>
      <c r="X335" s="204"/>
      <c r="Y335" s="206"/>
      <c r="Z335" s="206"/>
      <c r="AA335" s="204"/>
      <c r="AB335" s="206"/>
      <c r="AC335" s="206"/>
      <c r="AD335" s="204"/>
    </row>
    <row r="336" spans="1:30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206"/>
      <c r="T336" s="206"/>
      <c r="U336" s="204"/>
      <c r="V336" s="206"/>
      <c r="W336" s="206"/>
      <c r="X336" s="204"/>
      <c r="Y336" s="206"/>
      <c r="Z336" s="206"/>
      <c r="AA336" s="204"/>
      <c r="AB336" s="206"/>
      <c r="AC336" s="206"/>
      <c r="AD336" s="204"/>
    </row>
    <row r="337" spans="1:30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206"/>
      <c r="T337" s="206"/>
      <c r="U337" s="204"/>
      <c r="V337" s="206"/>
      <c r="W337" s="206"/>
      <c r="X337" s="204"/>
      <c r="Y337" s="206"/>
      <c r="Z337" s="206"/>
      <c r="AA337" s="204"/>
      <c r="AB337" s="206"/>
      <c r="AC337" s="206"/>
      <c r="AD337" s="204"/>
    </row>
    <row r="338" spans="1:30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206"/>
      <c r="T338" s="206"/>
      <c r="U338" s="204"/>
      <c r="V338" s="206"/>
      <c r="W338" s="206"/>
      <c r="X338" s="204"/>
      <c r="Y338" s="206"/>
      <c r="Z338" s="206"/>
      <c r="AA338" s="204"/>
      <c r="AB338" s="206"/>
      <c r="AC338" s="206"/>
      <c r="AD338" s="204"/>
    </row>
    <row r="339" spans="1:30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206"/>
      <c r="T339" s="206"/>
      <c r="U339" s="204"/>
      <c r="V339" s="206"/>
      <c r="W339" s="206"/>
      <c r="X339" s="204"/>
      <c r="Y339" s="206"/>
      <c r="Z339" s="206"/>
      <c r="AA339" s="204"/>
      <c r="AB339" s="206"/>
      <c r="AC339" s="206"/>
      <c r="AD339" s="204"/>
    </row>
    <row r="340" spans="1:30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206"/>
      <c r="T340" s="206"/>
      <c r="U340" s="204"/>
      <c r="V340" s="206"/>
      <c r="W340" s="206"/>
      <c r="X340" s="204"/>
      <c r="Y340" s="206"/>
      <c r="Z340" s="206"/>
      <c r="AA340" s="204"/>
      <c r="AB340" s="206"/>
      <c r="AC340" s="206"/>
      <c r="AD340" s="204"/>
    </row>
    <row r="341" spans="1:30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206"/>
      <c r="T341" s="206"/>
      <c r="U341" s="204"/>
      <c r="V341" s="206"/>
      <c r="W341" s="206"/>
      <c r="X341" s="204"/>
      <c r="Y341" s="206"/>
      <c r="Z341" s="206"/>
      <c r="AA341" s="204"/>
      <c r="AB341" s="206"/>
      <c r="AC341" s="206"/>
      <c r="AD341" s="204"/>
    </row>
    <row r="342" spans="1:30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206"/>
      <c r="T342" s="206"/>
      <c r="U342" s="204"/>
      <c r="V342" s="206"/>
      <c r="W342" s="206"/>
      <c r="X342" s="204"/>
      <c r="Y342" s="206"/>
      <c r="Z342" s="206"/>
      <c r="AA342" s="204"/>
      <c r="AB342" s="206"/>
      <c r="AC342" s="206"/>
      <c r="AD342" s="204"/>
    </row>
    <row r="343" spans="1:30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206"/>
      <c r="T343" s="206"/>
      <c r="U343" s="204"/>
      <c r="V343" s="206"/>
      <c r="W343" s="206"/>
      <c r="X343" s="204"/>
      <c r="Y343" s="206"/>
      <c r="Z343" s="206"/>
      <c r="AA343" s="204"/>
      <c r="AB343" s="206"/>
      <c r="AC343" s="206"/>
      <c r="AD343" s="204"/>
    </row>
    <row r="344" spans="1:30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206"/>
      <c r="T344" s="206"/>
      <c r="U344" s="204"/>
      <c r="V344" s="206"/>
      <c r="W344" s="206"/>
      <c r="X344" s="204"/>
      <c r="Y344" s="206"/>
      <c r="Z344" s="206"/>
      <c r="AA344" s="204"/>
      <c r="AB344" s="206"/>
      <c r="AC344" s="206"/>
      <c r="AD344" s="204"/>
    </row>
    <row r="345" spans="1:30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206"/>
      <c r="T345" s="206"/>
      <c r="U345" s="204"/>
      <c r="V345" s="206"/>
      <c r="W345" s="206"/>
      <c r="X345" s="204"/>
      <c r="Y345" s="206"/>
      <c r="Z345" s="206"/>
      <c r="AA345" s="204"/>
      <c r="AB345" s="206"/>
      <c r="AC345" s="206"/>
      <c r="AD345" s="204"/>
    </row>
    <row r="346" spans="1:30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206"/>
      <c r="T346" s="206"/>
      <c r="U346" s="204"/>
      <c r="V346" s="206"/>
      <c r="W346" s="206"/>
      <c r="X346" s="204"/>
      <c r="Y346" s="206"/>
      <c r="Z346" s="206"/>
      <c r="AA346" s="204"/>
      <c r="AB346" s="206"/>
      <c r="AC346" s="206"/>
      <c r="AD346" s="204"/>
    </row>
    <row r="347" spans="1:30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206"/>
      <c r="T347" s="206"/>
      <c r="U347" s="204"/>
      <c r="V347" s="206"/>
      <c r="W347" s="206"/>
      <c r="X347" s="204"/>
      <c r="Y347" s="206"/>
      <c r="Z347" s="206"/>
      <c r="AA347" s="204"/>
      <c r="AB347" s="206"/>
      <c r="AC347" s="206"/>
      <c r="AD347" s="204"/>
    </row>
    <row r="348" spans="1:30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206"/>
      <c r="T348" s="206"/>
      <c r="U348" s="204"/>
      <c r="V348" s="206"/>
      <c r="W348" s="206"/>
      <c r="X348" s="204"/>
      <c r="Y348" s="206"/>
      <c r="Z348" s="206"/>
      <c r="AA348" s="204"/>
      <c r="AB348" s="206"/>
      <c r="AC348" s="206"/>
      <c r="AD348" s="204"/>
    </row>
    <row r="349" spans="1:30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206"/>
      <c r="T349" s="206"/>
      <c r="U349" s="204"/>
      <c r="V349" s="206"/>
      <c r="W349" s="206"/>
      <c r="X349" s="204"/>
      <c r="Y349" s="206"/>
      <c r="Z349" s="206"/>
      <c r="AA349" s="204"/>
      <c r="AB349" s="206"/>
      <c r="AC349" s="206"/>
      <c r="AD349" s="204"/>
    </row>
    <row r="350" spans="1:30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206"/>
      <c r="T350" s="206"/>
      <c r="U350" s="204"/>
      <c r="V350" s="206"/>
      <c r="W350" s="206"/>
      <c r="X350" s="204"/>
      <c r="Y350" s="206"/>
      <c r="Z350" s="206"/>
      <c r="AA350" s="204"/>
      <c r="AB350" s="206"/>
      <c r="AC350" s="206"/>
      <c r="AD350" s="204"/>
    </row>
    <row r="351" spans="1:30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206"/>
      <c r="T351" s="206"/>
      <c r="U351" s="204"/>
      <c r="V351" s="206"/>
      <c r="W351" s="206"/>
      <c r="X351" s="204"/>
      <c r="Y351" s="206"/>
      <c r="Z351" s="206"/>
      <c r="AA351" s="204"/>
      <c r="AB351" s="206"/>
      <c r="AC351" s="206"/>
      <c r="AD351" s="204"/>
    </row>
    <row r="352" spans="1:30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206"/>
      <c r="T352" s="206"/>
      <c r="U352" s="204"/>
      <c r="V352" s="206"/>
      <c r="W352" s="206"/>
      <c r="X352" s="204"/>
      <c r="Y352" s="206"/>
      <c r="Z352" s="206"/>
      <c r="AA352" s="204"/>
      <c r="AB352" s="206"/>
      <c r="AC352" s="206"/>
      <c r="AD352" s="204"/>
    </row>
    <row r="353" spans="1:30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206"/>
      <c r="T353" s="206"/>
      <c r="U353" s="204"/>
      <c r="V353" s="206"/>
      <c r="W353" s="206"/>
      <c r="X353" s="204"/>
      <c r="Y353" s="206"/>
      <c r="Z353" s="206"/>
      <c r="AA353" s="204"/>
      <c r="AB353" s="206"/>
      <c r="AC353" s="206"/>
      <c r="AD353" s="204"/>
    </row>
    <row r="354" spans="1:30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206"/>
      <c r="T354" s="206"/>
      <c r="U354" s="204"/>
      <c r="V354" s="206"/>
      <c r="W354" s="206"/>
      <c r="X354" s="204"/>
      <c r="Y354" s="206"/>
      <c r="Z354" s="206"/>
      <c r="AA354" s="204"/>
      <c r="AB354" s="206"/>
      <c r="AC354" s="206"/>
      <c r="AD354" s="204"/>
    </row>
    <row r="355" spans="1:30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206"/>
      <c r="T355" s="206"/>
      <c r="U355" s="204"/>
      <c r="V355" s="206"/>
      <c r="W355" s="206"/>
      <c r="X355" s="204"/>
      <c r="Y355" s="206"/>
      <c r="Z355" s="206"/>
      <c r="AA355" s="204"/>
      <c r="AB355" s="206"/>
      <c r="AC355" s="206"/>
      <c r="AD355" s="204"/>
    </row>
    <row r="356" spans="1:30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206"/>
      <c r="T356" s="206"/>
      <c r="U356" s="204"/>
      <c r="V356" s="206"/>
      <c r="W356" s="206"/>
      <c r="X356" s="204"/>
      <c r="Y356" s="206"/>
      <c r="Z356" s="206"/>
      <c r="AA356" s="204"/>
      <c r="AB356" s="206"/>
      <c r="AC356" s="206"/>
      <c r="AD356" s="204"/>
    </row>
    <row r="357" spans="1:30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206"/>
      <c r="T357" s="206"/>
      <c r="U357" s="204"/>
      <c r="V357" s="206"/>
      <c r="W357" s="206"/>
      <c r="X357" s="204"/>
      <c r="Y357" s="206"/>
      <c r="Z357" s="206"/>
      <c r="AA357" s="204"/>
      <c r="AB357" s="206"/>
      <c r="AC357" s="206"/>
      <c r="AD357" s="204"/>
    </row>
    <row r="358" spans="1:30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206"/>
      <c r="T358" s="206"/>
      <c r="U358" s="204"/>
      <c r="V358" s="206"/>
      <c r="W358" s="206"/>
      <c r="X358" s="204"/>
      <c r="Y358" s="206"/>
      <c r="Z358" s="206"/>
      <c r="AA358" s="204"/>
      <c r="AB358" s="206"/>
      <c r="AC358" s="206"/>
      <c r="AD358" s="204"/>
    </row>
    <row r="359" spans="1:30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206"/>
      <c r="T359" s="206"/>
      <c r="U359" s="204"/>
      <c r="V359" s="206"/>
      <c r="W359" s="206"/>
      <c r="X359" s="204"/>
      <c r="Y359" s="206"/>
      <c r="Z359" s="206"/>
      <c r="AA359" s="204"/>
      <c r="AB359" s="206"/>
      <c r="AC359" s="206"/>
      <c r="AD359" s="204"/>
    </row>
    <row r="360" spans="1:30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206"/>
      <c r="T360" s="206"/>
      <c r="U360" s="204"/>
      <c r="V360" s="206"/>
      <c r="W360" s="206"/>
      <c r="X360" s="204"/>
      <c r="Y360" s="206"/>
      <c r="Z360" s="206"/>
      <c r="AA360" s="204"/>
      <c r="AB360" s="206"/>
      <c r="AC360" s="206"/>
      <c r="AD360" s="204"/>
    </row>
    <row r="361" spans="1:30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206"/>
      <c r="T361" s="206"/>
      <c r="U361" s="204"/>
      <c r="V361" s="206"/>
      <c r="W361" s="206"/>
      <c r="X361" s="204"/>
      <c r="Y361" s="206"/>
      <c r="Z361" s="206"/>
      <c r="AA361" s="204"/>
      <c r="AB361" s="206"/>
      <c r="AC361" s="206"/>
      <c r="AD361" s="204"/>
    </row>
    <row r="362" spans="1:30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206"/>
      <c r="T362" s="206"/>
      <c r="U362" s="204"/>
      <c r="V362" s="206"/>
      <c r="W362" s="206"/>
      <c r="X362" s="204"/>
      <c r="Y362" s="206"/>
      <c r="Z362" s="206"/>
      <c r="AA362" s="204"/>
      <c r="AB362" s="206"/>
      <c r="AC362" s="206"/>
      <c r="AD362" s="204"/>
    </row>
    <row r="363" spans="1:30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206"/>
      <c r="T363" s="206"/>
      <c r="U363" s="204"/>
      <c r="V363" s="206"/>
      <c r="W363" s="206"/>
      <c r="X363" s="204"/>
      <c r="Y363" s="206"/>
      <c r="Z363" s="206"/>
      <c r="AA363" s="204"/>
      <c r="AB363" s="206"/>
      <c r="AC363" s="206"/>
      <c r="AD363" s="204"/>
    </row>
    <row r="364" spans="1:30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206"/>
      <c r="T364" s="206"/>
      <c r="U364" s="204"/>
      <c r="V364" s="206"/>
      <c r="W364" s="206"/>
      <c r="X364" s="204"/>
      <c r="Y364" s="206"/>
      <c r="Z364" s="206"/>
      <c r="AA364" s="204"/>
      <c r="AB364" s="206"/>
      <c r="AC364" s="206"/>
      <c r="AD364" s="204"/>
    </row>
    <row r="365" spans="1:30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206"/>
      <c r="T365" s="206"/>
      <c r="U365" s="204"/>
      <c r="V365" s="206"/>
      <c r="W365" s="206"/>
      <c r="X365" s="204"/>
      <c r="Y365" s="206"/>
      <c r="Z365" s="206"/>
      <c r="AA365" s="204"/>
      <c r="AB365" s="206"/>
      <c r="AC365" s="206"/>
      <c r="AD365" s="204"/>
    </row>
    <row r="366" spans="1:30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206"/>
      <c r="T366" s="206"/>
      <c r="U366" s="204"/>
      <c r="V366" s="206"/>
      <c r="W366" s="206"/>
      <c r="X366" s="204"/>
      <c r="Y366" s="206"/>
      <c r="Z366" s="206"/>
      <c r="AA366" s="204"/>
      <c r="AB366" s="206"/>
      <c r="AC366" s="206"/>
      <c r="AD366" s="204"/>
    </row>
    <row r="367" spans="1:30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206"/>
      <c r="T367" s="206"/>
      <c r="U367" s="204"/>
      <c r="V367" s="206"/>
      <c r="W367" s="206"/>
      <c r="X367" s="204"/>
      <c r="Y367" s="206"/>
      <c r="Z367" s="206"/>
      <c r="AA367" s="204"/>
      <c r="AB367" s="206"/>
      <c r="AC367" s="206"/>
      <c r="AD367" s="204"/>
    </row>
    <row r="368" spans="1:30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206"/>
      <c r="T368" s="206"/>
      <c r="U368" s="204"/>
      <c r="V368" s="206"/>
      <c r="W368" s="206"/>
      <c r="X368" s="204"/>
      <c r="Y368" s="206"/>
      <c r="Z368" s="206"/>
      <c r="AA368" s="204"/>
      <c r="AB368" s="206"/>
      <c r="AC368" s="206"/>
      <c r="AD368" s="204"/>
    </row>
    <row r="369" spans="1:30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206"/>
      <c r="T369" s="206"/>
      <c r="U369" s="204"/>
      <c r="V369" s="206"/>
      <c r="W369" s="206"/>
      <c r="X369" s="204"/>
      <c r="Y369" s="206"/>
      <c r="Z369" s="206"/>
      <c r="AA369" s="204"/>
      <c r="AB369" s="206"/>
      <c r="AC369" s="206"/>
      <c r="AD369" s="204"/>
    </row>
    <row r="370" spans="1:30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206"/>
      <c r="T370" s="206"/>
      <c r="U370" s="204"/>
      <c r="V370" s="206"/>
      <c r="W370" s="206"/>
      <c r="X370" s="204"/>
      <c r="Y370" s="206"/>
      <c r="Z370" s="206"/>
      <c r="AA370" s="204"/>
      <c r="AB370" s="206"/>
      <c r="AC370" s="206"/>
      <c r="AD370" s="204"/>
    </row>
    <row r="371" spans="1:30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206"/>
      <c r="T371" s="206"/>
      <c r="U371" s="204"/>
      <c r="V371" s="206"/>
      <c r="W371" s="206"/>
      <c r="X371" s="204"/>
      <c r="Y371" s="206"/>
      <c r="Z371" s="206"/>
      <c r="AA371" s="204"/>
      <c r="AB371" s="206"/>
      <c r="AC371" s="206"/>
      <c r="AD371" s="204"/>
    </row>
    <row r="372" spans="1:30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206"/>
      <c r="T372" s="206"/>
      <c r="U372" s="204"/>
      <c r="V372" s="206"/>
      <c r="W372" s="206"/>
      <c r="X372" s="204"/>
      <c r="Y372" s="206"/>
      <c r="Z372" s="206"/>
      <c r="AA372" s="204"/>
      <c r="AB372" s="206"/>
      <c r="AC372" s="206"/>
      <c r="AD372" s="204"/>
    </row>
    <row r="373" spans="1:30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206"/>
      <c r="T373" s="206"/>
      <c r="U373" s="204"/>
      <c r="V373" s="206"/>
      <c r="W373" s="206"/>
      <c r="X373" s="204"/>
      <c r="Y373" s="206"/>
      <c r="Z373" s="206"/>
      <c r="AA373" s="204"/>
      <c r="AB373" s="206"/>
      <c r="AC373" s="206"/>
      <c r="AD373" s="204"/>
    </row>
    <row r="374" spans="1:30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206"/>
      <c r="T374" s="206"/>
      <c r="U374" s="204"/>
      <c r="V374" s="206"/>
      <c r="W374" s="206"/>
      <c r="X374" s="204"/>
      <c r="Y374" s="206"/>
      <c r="Z374" s="206"/>
      <c r="AA374" s="204"/>
      <c r="AB374" s="206"/>
      <c r="AC374" s="206"/>
      <c r="AD374" s="204"/>
    </row>
    <row r="375" spans="1:30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206"/>
      <c r="T375" s="206"/>
      <c r="U375" s="204"/>
      <c r="V375" s="206"/>
      <c r="W375" s="206"/>
      <c r="X375" s="204"/>
      <c r="Y375" s="206"/>
      <c r="Z375" s="206"/>
      <c r="AA375" s="204"/>
      <c r="AB375" s="206"/>
      <c r="AC375" s="206"/>
      <c r="AD375" s="204"/>
    </row>
    <row r="376" spans="1:30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206"/>
      <c r="T376" s="206"/>
      <c r="U376" s="204"/>
      <c r="V376" s="206"/>
      <c r="W376" s="206"/>
      <c r="X376" s="204"/>
      <c r="Y376" s="206"/>
      <c r="Z376" s="206"/>
      <c r="AA376" s="204"/>
      <c r="AB376" s="206"/>
      <c r="AC376" s="206"/>
      <c r="AD376" s="204"/>
    </row>
    <row r="377" spans="1:30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206"/>
      <c r="T377" s="206"/>
      <c r="U377" s="204"/>
      <c r="V377" s="206"/>
      <c r="W377" s="206"/>
      <c r="X377" s="204"/>
      <c r="Y377" s="206"/>
      <c r="Z377" s="206"/>
      <c r="AA377" s="204"/>
      <c r="AB377" s="206"/>
      <c r="AC377" s="206"/>
      <c r="AD377" s="204"/>
    </row>
    <row r="378" spans="1:30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206"/>
      <c r="T378" s="206"/>
      <c r="U378" s="204"/>
      <c r="V378" s="206"/>
      <c r="W378" s="206"/>
      <c r="X378" s="204"/>
      <c r="Y378" s="206"/>
      <c r="Z378" s="206"/>
      <c r="AA378" s="204"/>
      <c r="AB378" s="206"/>
      <c r="AC378" s="206"/>
      <c r="AD378" s="204"/>
    </row>
    <row r="379" spans="1:30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206"/>
      <c r="T379" s="206"/>
      <c r="U379" s="204"/>
      <c r="V379" s="206"/>
      <c r="W379" s="206"/>
      <c r="X379" s="204"/>
      <c r="Y379" s="206"/>
      <c r="Z379" s="206"/>
      <c r="AA379" s="204"/>
      <c r="AB379" s="206"/>
      <c r="AC379" s="206"/>
      <c r="AD379" s="204"/>
    </row>
    <row r="380" spans="1:30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206"/>
      <c r="T380" s="206"/>
      <c r="U380" s="204"/>
      <c r="V380" s="206"/>
      <c r="W380" s="206"/>
      <c r="X380" s="204"/>
      <c r="Y380" s="206"/>
      <c r="Z380" s="206"/>
      <c r="AA380" s="204"/>
      <c r="AB380" s="206"/>
      <c r="AC380" s="206"/>
      <c r="AD380" s="204"/>
    </row>
    <row r="381" spans="1:30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206"/>
      <c r="T381" s="206"/>
      <c r="U381" s="204"/>
      <c r="V381" s="206"/>
      <c r="W381" s="206"/>
      <c r="X381" s="204"/>
      <c r="Y381" s="206"/>
      <c r="Z381" s="206"/>
      <c r="AA381" s="204"/>
      <c r="AB381" s="206"/>
      <c r="AC381" s="206"/>
      <c r="AD381" s="204"/>
    </row>
    <row r="382" spans="1:30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206"/>
      <c r="T382" s="206"/>
      <c r="U382" s="204"/>
      <c r="V382" s="206"/>
      <c r="W382" s="206"/>
      <c r="X382" s="204"/>
      <c r="Y382" s="206"/>
      <c r="Z382" s="206"/>
      <c r="AA382" s="204"/>
      <c r="AB382" s="206"/>
      <c r="AC382" s="206"/>
      <c r="AD382" s="204"/>
    </row>
    <row r="383" spans="1:30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206"/>
      <c r="T383" s="206"/>
      <c r="U383" s="204"/>
      <c r="V383" s="206"/>
      <c r="W383" s="206"/>
      <c r="X383" s="204"/>
      <c r="Y383" s="206"/>
      <c r="Z383" s="206"/>
      <c r="AA383" s="204"/>
      <c r="AB383" s="206"/>
      <c r="AC383" s="206"/>
      <c r="AD383" s="204"/>
    </row>
    <row r="384" spans="1:30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206"/>
      <c r="T384" s="206"/>
      <c r="U384" s="204"/>
      <c r="V384" s="206"/>
      <c r="W384" s="206"/>
      <c r="X384" s="204"/>
      <c r="Y384" s="206"/>
      <c r="Z384" s="206"/>
      <c r="AA384" s="204"/>
      <c r="AB384" s="206"/>
      <c r="AC384" s="206"/>
      <c r="AD384" s="204"/>
    </row>
    <row r="385" spans="1:30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206"/>
      <c r="T385" s="206"/>
      <c r="U385" s="204"/>
      <c r="V385" s="206"/>
      <c r="W385" s="206"/>
      <c r="X385" s="204"/>
      <c r="Y385" s="206"/>
      <c r="Z385" s="206"/>
      <c r="AA385" s="204"/>
      <c r="AB385" s="206"/>
      <c r="AC385" s="206"/>
      <c r="AD385" s="204"/>
    </row>
    <row r="386" spans="1:30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206"/>
      <c r="T386" s="206"/>
      <c r="U386" s="204"/>
      <c r="V386" s="206"/>
      <c r="W386" s="206"/>
      <c r="X386" s="204"/>
      <c r="Y386" s="206"/>
      <c r="Z386" s="206"/>
      <c r="AA386" s="204"/>
      <c r="AB386" s="206"/>
      <c r="AC386" s="206"/>
      <c r="AD386" s="204"/>
    </row>
    <row r="387" spans="1:30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206"/>
      <c r="T387" s="206"/>
      <c r="U387" s="204"/>
      <c r="V387" s="206"/>
      <c r="W387" s="206"/>
      <c r="X387" s="204"/>
      <c r="Y387" s="206"/>
      <c r="Z387" s="206"/>
      <c r="AA387" s="204"/>
      <c r="AB387" s="206"/>
      <c r="AC387" s="206"/>
      <c r="AD387" s="204"/>
    </row>
    <row r="388" spans="1:30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206"/>
      <c r="T388" s="206"/>
      <c r="U388" s="204"/>
      <c r="V388" s="206"/>
      <c r="W388" s="206"/>
      <c r="X388" s="204"/>
      <c r="Y388" s="206"/>
      <c r="Z388" s="206"/>
      <c r="AA388" s="204"/>
      <c r="AB388" s="206"/>
      <c r="AC388" s="206"/>
      <c r="AD388" s="204"/>
    </row>
    <row r="389" spans="1:30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206"/>
      <c r="T389" s="206"/>
      <c r="U389" s="204"/>
      <c r="V389" s="206"/>
      <c r="W389" s="206"/>
      <c r="X389" s="204"/>
      <c r="Y389" s="206"/>
      <c r="Z389" s="206"/>
      <c r="AA389" s="204"/>
      <c r="AB389" s="206"/>
      <c r="AC389" s="206"/>
      <c r="AD389" s="204"/>
    </row>
    <row r="390" spans="1:30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206"/>
      <c r="T390" s="206"/>
      <c r="U390" s="204"/>
      <c r="V390" s="206"/>
      <c r="W390" s="206"/>
      <c r="X390" s="204"/>
      <c r="Y390" s="206"/>
      <c r="Z390" s="206"/>
      <c r="AA390" s="204"/>
      <c r="AB390" s="206"/>
      <c r="AC390" s="206"/>
      <c r="AD390" s="204"/>
    </row>
    <row r="391" spans="1:30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206"/>
      <c r="T391" s="206"/>
      <c r="U391" s="204"/>
      <c r="V391" s="206"/>
      <c r="W391" s="206"/>
      <c r="X391" s="204"/>
      <c r="Y391" s="206"/>
      <c r="Z391" s="206"/>
      <c r="AA391" s="204"/>
      <c r="AB391" s="206"/>
      <c r="AC391" s="206"/>
      <c r="AD391" s="204"/>
    </row>
    <row r="392" spans="1:30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206"/>
      <c r="T392" s="206"/>
      <c r="U392" s="204"/>
      <c r="V392" s="206"/>
      <c r="W392" s="206"/>
      <c r="X392" s="204"/>
      <c r="Y392" s="206"/>
      <c r="Z392" s="206"/>
      <c r="AA392" s="204"/>
      <c r="AB392" s="206"/>
      <c r="AC392" s="206"/>
      <c r="AD392" s="204"/>
    </row>
    <row r="393" spans="1:30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206"/>
      <c r="T393" s="206"/>
      <c r="U393" s="204"/>
      <c r="V393" s="206"/>
      <c r="W393" s="206"/>
      <c r="X393" s="204"/>
      <c r="Y393" s="206"/>
      <c r="Z393" s="206"/>
      <c r="AA393" s="204"/>
      <c r="AB393" s="206"/>
      <c r="AC393" s="206"/>
      <c r="AD393" s="204"/>
    </row>
    <row r="394" spans="1:30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206"/>
      <c r="T394" s="206"/>
      <c r="U394" s="204"/>
      <c r="V394" s="206"/>
      <c r="W394" s="206"/>
      <c r="X394" s="204"/>
      <c r="Y394" s="206"/>
      <c r="Z394" s="206"/>
      <c r="AA394" s="204"/>
      <c r="AB394" s="206"/>
      <c r="AC394" s="206"/>
      <c r="AD394" s="204"/>
    </row>
    <row r="395" spans="1:30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206"/>
      <c r="T395" s="206"/>
      <c r="U395" s="204"/>
      <c r="V395" s="206"/>
      <c r="W395" s="206"/>
      <c r="X395" s="204"/>
      <c r="Y395" s="206"/>
      <c r="Z395" s="206"/>
      <c r="AA395" s="204"/>
      <c r="AB395" s="206"/>
      <c r="AC395" s="206"/>
      <c r="AD395" s="204"/>
    </row>
    <row r="396" spans="1:30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206"/>
      <c r="T396" s="206"/>
      <c r="U396" s="204"/>
      <c r="V396" s="206"/>
      <c r="W396" s="206"/>
      <c r="X396" s="204"/>
      <c r="Y396" s="206"/>
      <c r="Z396" s="206"/>
      <c r="AA396" s="204"/>
      <c r="AB396" s="206"/>
      <c r="AC396" s="206"/>
      <c r="AD396" s="204"/>
    </row>
    <row r="397" spans="1:30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206"/>
      <c r="T397" s="206"/>
      <c r="U397" s="204"/>
      <c r="V397" s="206"/>
      <c r="W397" s="206"/>
      <c r="X397" s="204"/>
      <c r="Y397" s="206"/>
      <c r="Z397" s="206"/>
      <c r="AA397" s="204"/>
      <c r="AB397" s="206"/>
      <c r="AC397" s="206"/>
      <c r="AD397" s="204"/>
    </row>
    <row r="398" spans="1:30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206"/>
      <c r="T398" s="206"/>
      <c r="U398" s="204"/>
      <c r="V398" s="206"/>
      <c r="W398" s="206"/>
      <c r="X398" s="204"/>
      <c r="Y398" s="206"/>
      <c r="Z398" s="206"/>
      <c r="AA398" s="204"/>
      <c r="AB398" s="206"/>
      <c r="AC398" s="206"/>
      <c r="AD398" s="204"/>
    </row>
    <row r="399" spans="1:30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206"/>
      <c r="T399" s="206"/>
      <c r="U399" s="204"/>
      <c r="V399" s="206"/>
      <c r="W399" s="206"/>
      <c r="X399" s="204"/>
      <c r="Y399" s="206"/>
      <c r="Z399" s="206"/>
      <c r="AA399" s="204"/>
      <c r="AB399" s="206"/>
      <c r="AC399" s="206"/>
      <c r="AD399" s="204"/>
    </row>
    <row r="400" spans="1:30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206"/>
      <c r="T400" s="206"/>
      <c r="U400" s="204"/>
      <c r="V400" s="206"/>
      <c r="W400" s="206"/>
      <c r="X400" s="204"/>
      <c r="Y400" s="206"/>
      <c r="Z400" s="206"/>
      <c r="AA400" s="204"/>
      <c r="AB400" s="206"/>
      <c r="AC400" s="206"/>
      <c r="AD400" s="204"/>
    </row>
    <row r="401" spans="1:30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206"/>
      <c r="T401" s="206"/>
      <c r="U401" s="204"/>
      <c r="V401" s="206"/>
      <c r="W401" s="206"/>
      <c r="X401" s="204"/>
      <c r="Y401" s="206"/>
      <c r="Z401" s="206"/>
      <c r="AA401" s="204"/>
      <c r="AB401" s="206"/>
      <c r="AC401" s="206"/>
      <c r="AD401" s="204"/>
    </row>
    <row r="402" spans="1:30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206"/>
      <c r="T402" s="206"/>
      <c r="U402" s="204"/>
      <c r="V402" s="206"/>
      <c r="W402" s="206"/>
      <c r="X402" s="204"/>
      <c r="Y402" s="206"/>
      <c r="Z402" s="206"/>
      <c r="AA402" s="204"/>
      <c r="AB402" s="206"/>
      <c r="AC402" s="206"/>
      <c r="AD402" s="204"/>
    </row>
    <row r="403" spans="1:30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206"/>
      <c r="T403" s="206"/>
      <c r="U403" s="204"/>
      <c r="V403" s="206"/>
      <c r="W403" s="206"/>
      <c r="X403" s="204"/>
      <c r="Y403" s="206"/>
      <c r="Z403" s="206"/>
      <c r="AA403" s="204"/>
      <c r="AB403" s="206"/>
      <c r="AC403" s="206"/>
      <c r="AD403" s="204"/>
    </row>
    <row r="404" spans="1:30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206"/>
      <c r="T404" s="206"/>
      <c r="U404" s="204"/>
      <c r="V404" s="206"/>
      <c r="W404" s="206"/>
      <c r="X404" s="204"/>
      <c r="Y404" s="206"/>
      <c r="Z404" s="206"/>
      <c r="AA404" s="204"/>
      <c r="AB404" s="206"/>
      <c r="AC404" s="206"/>
      <c r="AD404" s="204"/>
    </row>
    <row r="405" spans="1:30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206"/>
      <c r="T405" s="206"/>
      <c r="U405" s="204"/>
      <c r="V405" s="206"/>
      <c r="W405" s="206"/>
      <c r="X405" s="204"/>
      <c r="Y405" s="206"/>
      <c r="Z405" s="206"/>
      <c r="AA405" s="204"/>
      <c r="AB405" s="206"/>
      <c r="AC405" s="206"/>
      <c r="AD405" s="204"/>
    </row>
    <row r="406" spans="1:30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206"/>
      <c r="T406" s="206"/>
      <c r="U406" s="204"/>
      <c r="V406" s="206"/>
      <c r="W406" s="206"/>
      <c r="X406" s="204"/>
      <c r="Y406" s="206"/>
      <c r="Z406" s="206"/>
      <c r="AA406" s="204"/>
      <c r="AB406" s="206"/>
      <c r="AC406" s="206"/>
      <c r="AD406" s="204"/>
    </row>
    <row r="407" spans="1:30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206"/>
      <c r="T407" s="206"/>
      <c r="U407" s="204"/>
      <c r="V407" s="206"/>
      <c r="W407" s="206"/>
      <c r="X407" s="204"/>
      <c r="Y407" s="206"/>
      <c r="Z407" s="206"/>
      <c r="AA407" s="204"/>
      <c r="AB407" s="206"/>
      <c r="AC407" s="206"/>
      <c r="AD407" s="204"/>
    </row>
    <row r="408" spans="1:30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206"/>
      <c r="T408" s="206"/>
      <c r="U408" s="204"/>
      <c r="V408" s="206"/>
      <c r="W408" s="206"/>
      <c r="X408" s="204"/>
      <c r="Y408" s="206"/>
      <c r="Z408" s="206"/>
      <c r="AA408" s="204"/>
      <c r="AB408" s="206"/>
      <c r="AC408" s="206"/>
      <c r="AD408" s="204"/>
    </row>
    <row r="409" spans="1:30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206"/>
      <c r="T409" s="206"/>
      <c r="U409" s="204"/>
      <c r="V409" s="206"/>
      <c r="W409" s="206"/>
      <c r="X409" s="204"/>
      <c r="Y409" s="206"/>
      <c r="Z409" s="206"/>
      <c r="AA409" s="204"/>
      <c r="AB409" s="206"/>
      <c r="AC409" s="206"/>
      <c r="AD409" s="204"/>
    </row>
    <row r="410" spans="1:30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206"/>
      <c r="T410" s="206"/>
      <c r="U410" s="204"/>
      <c r="V410" s="206"/>
      <c r="W410" s="206"/>
      <c r="X410" s="204"/>
      <c r="Y410" s="206"/>
      <c r="Z410" s="206"/>
      <c r="AA410" s="204"/>
      <c r="AB410" s="206"/>
      <c r="AC410" s="206"/>
      <c r="AD410" s="204"/>
    </row>
    <row r="411" spans="1:30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206"/>
      <c r="T411" s="206"/>
      <c r="U411" s="204"/>
      <c r="V411" s="206"/>
      <c r="W411" s="206"/>
      <c r="X411" s="204"/>
      <c r="Y411" s="206"/>
      <c r="Z411" s="206"/>
      <c r="AA411" s="204"/>
      <c r="AB411" s="206"/>
      <c r="AC411" s="206"/>
      <c r="AD411" s="204"/>
    </row>
    <row r="412" spans="1:30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206"/>
      <c r="T412" s="206"/>
      <c r="U412" s="204"/>
      <c r="V412" s="206"/>
      <c r="W412" s="206"/>
      <c r="X412" s="204"/>
      <c r="Y412" s="206"/>
      <c r="Z412" s="206"/>
      <c r="AA412" s="204"/>
      <c r="AB412" s="206"/>
      <c r="AC412" s="206"/>
      <c r="AD412" s="204"/>
    </row>
    <row r="413" spans="1:30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206"/>
      <c r="T413" s="206"/>
      <c r="U413" s="204"/>
      <c r="V413" s="206"/>
      <c r="W413" s="206"/>
      <c r="X413" s="204"/>
      <c r="Y413" s="206"/>
      <c r="Z413" s="206"/>
      <c r="AA413" s="204"/>
      <c r="AB413" s="206"/>
      <c r="AC413" s="206"/>
      <c r="AD413" s="204"/>
    </row>
    <row r="414" spans="1:30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206"/>
      <c r="T414" s="206"/>
      <c r="U414" s="204"/>
      <c r="V414" s="206"/>
      <c r="W414" s="206"/>
      <c r="X414" s="204"/>
      <c r="Y414" s="206"/>
      <c r="Z414" s="206"/>
      <c r="AA414" s="204"/>
      <c r="AB414" s="206"/>
      <c r="AC414" s="206"/>
      <c r="AD414" s="204"/>
    </row>
    <row r="415" spans="1:30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206"/>
      <c r="T415" s="206"/>
      <c r="U415" s="204"/>
      <c r="V415" s="206"/>
      <c r="W415" s="206"/>
      <c r="X415" s="204"/>
      <c r="Y415" s="206"/>
      <c r="Z415" s="206"/>
      <c r="AA415" s="204"/>
      <c r="AB415" s="206"/>
      <c r="AC415" s="206"/>
      <c r="AD415" s="204"/>
    </row>
    <row r="416" spans="1:30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206"/>
      <c r="T416" s="206"/>
      <c r="U416" s="204"/>
      <c r="V416" s="206"/>
      <c r="W416" s="206"/>
      <c r="X416" s="204"/>
      <c r="Y416" s="206"/>
      <c r="Z416" s="206"/>
      <c r="AA416" s="204"/>
      <c r="AB416" s="206"/>
      <c r="AC416" s="206"/>
      <c r="AD416" s="204"/>
    </row>
    <row r="417" spans="1:30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206"/>
      <c r="T417" s="206"/>
      <c r="U417" s="204"/>
      <c r="V417" s="206"/>
      <c r="W417" s="206"/>
      <c r="X417" s="204"/>
      <c r="Y417" s="206"/>
      <c r="Z417" s="206"/>
      <c r="AA417" s="204"/>
      <c r="AB417" s="206"/>
      <c r="AC417" s="206"/>
      <c r="AD417" s="204"/>
    </row>
    <row r="418" spans="1:30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206"/>
      <c r="T418" s="206"/>
      <c r="U418" s="204"/>
      <c r="V418" s="206"/>
      <c r="W418" s="206"/>
      <c r="X418" s="204"/>
      <c r="Y418" s="206"/>
      <c r="Z418" s="206"/>
      <c r="AA418" s="204"/>
      <c r="AB418" s="206"/>
      <c r="AC418" s="206"/>
      <c r="AD418" s="204"/>
    </row>
    <row r="419" spans="1:30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206"/>
      <c r="T419" s="206"/>
      <c r="U419" s="204"/>
      <c r="V419" s="206"/>
      <c r="W419" s="206"/>
      <c r="X419" s="204"/>
      <c r="Y419" s="206"/>
      <c r="Z419" s="206"/>
      <c r="AA419" s="204"/>
      <c r="AB419" s="206"/>
      <c r="AC419" s="206"/>
      <c r="AD419" s="204"/>
    </row>
    <row r="420" spans="1:30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206"/>
      <c r="T420" s="206"/>
      <c r="U420" s="204"/>
      <c r="V420" s="206"/>
      <c r="W420" s="206"/>
      <c r="X420" s="204"/>
      <c r="Y420" s="206"/>
      <c r="Z420" s="206"/>
      <c r="AA420" s="204"/>
      <c r="AB420" s="206"/>
      <c r="AC420" s="206"/>
      <c r="AD420" s="204"/>
    </row>
    <row r="421" spans="1:30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206"/>
      <c r="T421" s="206"/>
      <c r="U421" s="204"/>
      <c r="V421" s="206"/>
      <c r="W421" s="206"/>
      <c r="X421" s="204"/>
      <c r="Y421" s="206"/>
      <c r="Z421" s="206"/>
      <c r="AA421" s="204"/>
      <c r="AB421" s="206"/>
      <c r="AC421" s="206"/>
      <c r="AD421" s="204"/>
    </row>
    <row r="422" spans="1:30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206"/>
      <c r="T422" s="206"/>
      <c r="U422" s="204"/>
      <c r="V422" s="206"/>
      <c r="W422" s="206"/>
      <c r="X422" s="204"/>
      <c r="Y422" s="206"/>
      <c r="Z422" s="206"/>
      <c r="AA422" s="204"/>
      <c r="AB422" s="206"/>
      <c r="AC422" s="206"/>
      <c r="AD422" s="204"/>
    </row>
    <row r="423" spans="1:30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206"/>
      <c r="T423" s="206"/>
      <c r="U423" s="204"/>
      <c r="V423" s="206"/>
      <c r="W423" s="206"/>
      <c r="X423" s="204"/>
      <c r="Y423" s="206"/>
      <c r="Z423" s="206"/>
      <c r="AA423" s="204"/>
      <c r="AB423" s="206"/>
      <c r="AC423" s="206"/>
      <c r="AD423" s="204"/>
    </row>
    <row r="424" spans="1:30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206"/>
      <c r="T424" s="206"/>
      <c r="U424" s="204"/>
      <c r="V424" s="206"/>
      <c r="W424" s="206"/>
      <c r="X424" s="204"/>
      <c r="Y424" s="206"/>
      <c r="Z424" s="206"/>
      <c r="AA424" s="204"/>
      <c r="AB424" s="206"/>
      <c r="AC424" s="206"/>
      <c r="AD424" s="204"/>
    </row>
    <row r="425" spans="1:30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206"/>
      <c r="T425" s="206"/>
      <c r="U425" s="204"/>
      <c r="V425" s="206"/>
      <c r="W425" s="206"/>
      <c r="X425" s="204"/>
      <c r="Y425" s="206"/>
      <c r="Z425" s="206"/>
      <c r="AA425" s="204"/>
      <c r="AB425" s="206"/>
      <c r="AC425" s="206"/>
      <c r="AD425" s="204"/>
    </row>
    <row r="426" spans="1:30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206"/>
      <c r="T426" s="206"/>
      <c r="U426" s="204"/>
      <c r="V426" s="206"/>
      <c r="W426" s="206"/>
      <c r="X426" s="204"/>
      <c r="Y426" s="206"/>
      <c r="Z426" s="206"/>
      <c r="AA426" s="204"/>
      <c r="AB426" s="206"/>
      <c r="AC426" s="206"/>
      <c r="AD426" s="204"/>
    </row>
    <row r="427" spans="1:30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206"/>
      <c r="T427" s="206"/>
      <c r="U427" s="204"/>
      <c r="V427" s="206"/>
      <c r="W427" s="206"/>
      <c r="X427" s="204"/>
      <c r="Y427" s="206"/>
      <c r="Z427" s="206"/>
      <c r="AA427" s="204"/>
      <c r="AB427" s="206"/>
      <c r="AC427" s="206"/>
      <c r="AD427" s="204"/>
    </row>
    <row r="428" spans="1:30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206"/>
      <c r="T428" s="206"/>
      <c r="U428" s="204"/>
      <c r="V428" s="206"/>
      <c r="W428" s="206"/>
      <c r="X428" s="204"/>
      <c r="Y428" s="206"/>
      <c r="Z428" s="206"/>
      <c r="AA428" s="204"/>
      <c r="AB428" s="206"/>
      <c r="AC428" s="206"/>
      <c r="AD428" s="204"/>
    </row>
    <row r="429" spans="1:30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206"/>
      <c r="T429" s="206"/>
      <c r="U429" s="204"/>
      <c r="V429" s="206"/>
      <c r="W429" s="206"/>
      <c r="X429" s="204"/>
      <c r="Y429" s="206"/>
      <c r="Z429" s="206"/>
      <c r="AA429" s="204"/>
      <c r="AB429" s="206"/>
      <c r="AC429" s="206"/>
      <c r="AD429" s="204"/>
    </row>
    <row r="430" spans="1:30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206"/>
      <c r="T430" s="206"/>
      <c r="U430" s="204"/>
      <c r="V430" s="206"/>
      <c r="W430" s="206"/>
      <c r="X430" s="204"/>
      <c r="Y430" s="206"/>
      <c r="Z430" s="206"/>
      <c r="AA430" s="204"/>
      <c r="AB430" s="206"/>
      <c r="AC430" s="206"/>
      <c r="AD430" s="204"/>
    </row>
    <row r="431" spans="1:30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206"/>
      <c r="T431" s="206"/>
      <c r="U431" s="204"/>
      <c r="V431" s="206"/>
      <c r="W431" s="206"/>
      <c r="X431" s="204"/>
      <c r="Y431" s="206"/>
      <c r="Z431" s="206"/>
      <c r="AA431" s="204"/>
      <c r="AB431" s="206"/>
      <c r="AC431" s="206"/>
      <c r="AD431" s="204"/>
    </row>
    <row r="432" spans="1:30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206"/>
      <c r="T432" s="206"/>
      <c r="U432" s="204"/>
      <c r="V432" s="206"/>
      <c r="W432" s="206"/>
      <c r="X432" s="204"/>
      <c r="Y432" s="206"/>
      <c r="Z432" s="206"/>
      <c r="AA432" s="204"/>
      <c r="AB432" s="206"/>
      <c r="AC432" s="206"/>
      <c r="AD432" s="204"/>
    </row>
    <row r="433" spans="1:30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206"/>
      <c r="T433" s="206"/>
      <c r="U433" s="204"/>
      <c r="V433" s="206"/>
      <c r="W433" s="206"/>
      <c r="X433" s="204"/>
      <c r="Y433" s="206"/>
      <c r="Z433" s="206"/>
      <c r="AA433" s="204"/>
      <c r="AB433" s="206"/>
      <c r="AC433" s="206"/>
      <c r="AD433" s="204"/>
    </row>
    <row r="434" spans="1:30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206"/>
      <c r="T434" s="206"/>
      <c r="U434" s="204"/>
      <c r="V434" s="206"/>
      <c r="W434" s="206"/>
      <c r="X434" s="204"/>
      <c r="Y434" s="206"/>
      <c r="Z434" s="206"/>
      <c r="AA434" s="204"/>
      <c r="AB434" s="206"/>
      <c r="AC434" s="206"/>
      <c r="AD434" s="204"/>
    </row>
    <row r="435" spans="1:30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206"/>
      <c r="T435" s="206"/>
      <c r="U435" s="204"/>
      <c r="V435" s="206"/>
      <c r="W435" s="206"/>
      <c r="X435" s="204"/>
      <c r="Y435" s="206"/>
      <c r="Z435" s="206"/>
      <c r="AA435" s="204"/>
      <c r="AB435" s="206"/>
      <c r="AC435" s="206"/>
      <c r="AD435" s="204"/>
    </row>
    <row r="436" spans="1:30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206"/>
      <c r="T436" s="206"/>
      <c r="U436" s="204"/>
      <c r="V436" s="206"/>
      <c r="W436" s="206"/>
      <c r="X436" s="204"/>
      <c r="Y436" s="206"/>
      <c r="Z436" s="206"/>
      <c r="AA436" s="204"/>
      <c r="AB436" s="206"/>
      <c r="AC436" s="206"/>
      <c r="AD436" s="204"/>
    </row>
    <row r="437" spans="1:30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206"/>
      <c r="T437" s="206"/>
      <c r="U437" s="204"/>
      <c r="V437" s="206"/>
      <c r="W437" s="206"/>
      <c r="X437" s="204"/>
      <c r="Y437" s="206"/>
      <c r="Z437" s="206"/>
      <c r="AA437" s="204"/>
      <c r="AB437" s="206"/>
      <c r="AC437" s="206"/>
      <c r="AD437" s="204"/>
    </row>
    <row r="438" spans="1:30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206"/>
      <c r="T438" s="206"/>
      <c r="U438" s="204"/>
      <c r="V438" s="206"/>
      <c r="W438" s="206"/>
      <c r="X438" s="204"/>
      <c r="Y438" s="206"/>
      <c r="Z438" s="206"/>
      <c r="AA438" s="204"/>
      <c r="AB438" s="206"/>
      <c r="AC438" s="206"/>
      <c r="AD438" s="204"/>
    </row>
    <row r="439" spans="1:30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206"/>
      <c r="T439" s="206"/>
      <c r="U439" s="204"/>
      <c r="V439" s="206"/>
      <c r="W439" s="206"/>
      <c r="X439" s="204"/>
      <c r="Y439" s="206"/>
      <c r="Z439" s="206"/>
      <c r="AA439" s="204"/>
      <c r="AB439" s="206"/>
      <c r="AC439" s="206"/>
      <c r="AD439" s="204"/>
    </row>
    <row r="440" spans="1:30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206"/>
      <c r="T440" s="206"/>
      <c r="U440" s="204"/>
      <c r="V440" s="206"/>
      <c r="W440" s="206"/>
      <c r="X440" s="204"/>
      <c r="Y440" s="206"/>
      <c r="Z440" s="206"/>
      <c r="AA440" s="204"/>
      <c r="AB440" s="206"/>
      <c r="AC440" s="206"/>
      <c r="AD440" s="204"/>
    </row>
    <row r="441" spans="1:30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206"/>
      <c r="T441" s="206"/>
      <c r="U441" s="204"/>
      <c r="V441" s="206"/>
      <c r="W441" s="206"/>
      <c r="X441" s="204"/>
      <c r="Y441" s="206"/>
      <c r="Z441" s="206"/>
      <c r="AA441" s="204"/>
      <c r="AB441" s="206"/>
      <c r="AC441" s="206"/>
      <c r="AD441" s="204"/>
    </row>
    <row r="442" spans="1:30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206"/>
      <c r="T442" s="206"/>
      <c r="U442" s="204"/>
      <c r="V442" s="206"/>
      <c r="W442" s="206"/>
      <c r="X442" s="204"/>
      <c r="Y442" s="206"/>
      <c r="Z442" s="206"/>
      <c r="AA442" s="204"/>
      <c r="AB442" s="206"/>
      <c r="AC442" s="206"/>
      <c r="AD442" s="204"/>
    </row>
    <row r="443" spans="1:30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206"/>
      <c r="T443" s="206"/>
      <c r="U443" s="204"/>
      <c r="V443" s="206"/>
      <c r="W443" s="206"/>
      <c r="X443" s="204"/>
      <c r="Y443" s="206"/>
      <c r="Z443" s="206"/>
      <c r="AA443" s="204"/>
      <c r="AB443" s="206"/>
      <c r="AC443" s="206"/>
      <c r="AD443" s="204"/>
    </row>
    <row r="444" spans="1:30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206"/>
      <c r="T444" s="206"/>
      <c r="U444" s="204"/>
      <c r="V444" s="206"/>
      <c r="W444" s="206"/>
      <c r="X444" s="204"/>
      <c r="Y444" s="206"/>
      <c r="Z444" s="206"/>
      <c r="AA444" s="204"/>
      <c r="AB444" s="206"/>
      <c r="AC444" s="206"/>
      <c r="AD444" s="204"/>
    </row>
    <row r="445" spans="1:30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206"/>
      <c r="T445" s="206"/>
      <c r="U445" s="204"/>
      <c r="V445" s="206"/>
      <c r="W445" s="206"/>
      <c r="X445" s="204"/>
      <c r="Y445" s="206"/>
      <c r="Z445" s="206"/>
      <c r="AA445" s="204"/>
      <c r="AB445" s="206"/>
      <c r="AC445" s="206"/>
      <c r="AD445" s="204"/>
    </row>
    <row r="446" spans="1:30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206"/>
      <c r="T446" s="206"/>
      <c r="U446" s="204"/>
      <c r="V446" s="206"/>
      <c r="W446" s="206"/>
      <c r="X446" s="204"/>
      <c r="Y446" s="206"/>
      <c r="Z446" s="206"/>
      <c r="AA446" s="204"/>
      <c r="AB446" s="206"/>
      <c r="AC446" s="206"/>
      <c r="AD446" s="204"/>
    </row>
    <row r="447" spans="1:30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206"/>
      <c r="T447" s="206"/>
      <c r="U447" s="204"/>
      <c r="V447" s="206"/>
      <c r="W447" s="206"/>
      <c r="X447" s="204"/>
      <c r="Y447" s="206"/>
      <c r="Z447" s="206"/>
      <c r="AA447" s="204"/>
      <c r="AB447" s="206"/>
      <c r="AC447" s="206"/>
      <c r="AD447" s="204"/>
    </row>
    <row r="448" spans="1:30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206"/>
      <c r="T448" s="206"/>
      <c r="U448" s="204"/>
      <c r="V448" s="206"/>
      <c r="W448" s="206"/>
      <c r="X448" s="204"/>
      <c r="Y448" s="206"/>
      <c r="Z448" s="206"/>
      <c r="AA448" s="204"/>
      <c r="AB448" s="206"/>
      <c r="AC448" s="206"/>
      <c r="AD448" s="204"/>
    </row>
    <row r="449" spans="1:30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206"/>
      <c r="T449" s="206"/>
      <c r="U449" s="204"/>
      <c r="V449" s="206"/>
      <c r="W449" s="206"/>
      <c r="X449" s="204"/>
      <c r="Y449" s="206"/>
      <c r="Z449" s="206"/>
      <c r="AA449" s="204"/>
      <c r="AB449" s="206"/>
      <c r="AC449" s="206"/>
      <c r="AD449" s="204"/>
    </row>
    <row r="450" spans="1:30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206"/>
      <c r="T450" s="206"/>
      <c r="U450" s="204"/>
      <c r="V450" s="206"/>
      <c r="W450" s="206"/>
      <c r="X450" s="204"/>
      <c r="Y450" s="206"/>
      <c r="Z450" s="206"/>
      <c r="AA450" s="204"/>
      <c r="AB450" s="206"/>
      <c r="AC450" s="206"/>
      <c r="AD450" s="204"/>
    </row>
    <row r="451" spans="1:30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206"/>
      <c r="T451" s="206"/>
      <c r="U451" s="204"/>
      <c r="V451" s="206"/>
      <c r="W451" s="206"/>
      <c r="X451" s="204"/>
      <c r="Y451" s="206"/>
      <c r="Z451" s="206"/>
      <c r="AA451" s="204"/>
      <c r="AB451" s="206"/>
      <c r="AC451" s="206"/>
      <c r="AD451" s="204"/>
    </row>
    <row r="452" spans="1:30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206"/>
      <c r="T452" s="206"/>
      <c r="U452" s="204"/>
      <c r="V452" s="206"/>
      <c r="W452" s="206"/>
      <c r="X452" s="204"/>
      <c r="Y452" s="206"/>
      <c r="Z452" s="206"/>
      <c r="AA452" s="204"/>
      <c r="AB452" s="206"/>
      <c r="AC452" s="206"/>
      <c r="AD452" s="204"/>
    </row>
    <row r="453" spans="1:30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206"/>
      <c r="T453" s="206"/>
      <c r="U453" s="204"/>
      <c r="V453" s="206"/>
      <c r="W453" s="206"/>
      <c r="X453" s="204"/>
      <c r="Y453" s="206"/>
      <c r="Z453" s="206"/>
      <c r="AA453" s="204"/>
      <c r="AB453" s="206"/>
      <c r="AC453" s="206"/>
      <c r="AD453" s="204"/>
    </row>
    <row r="454" spans="1:30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206"/>
      <c r="T454" s="206"/>
      <c r="U454" s="204"/>
      <c r="V454" s="206"/>
      <c r="W454" s="206"/>
      <c r="X454" s="204"/>
      <c r="Y454" s="206"/>
      <c r="Z454" s="206"/>
      <c r="AA454" s="204"/>
      <c r="AB454" s="206"/>
      <c r="AC454" s="206"/>
      <c r="AD454" s="204"/>
    </row>
    <row r="455" spans="1:30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206"/>
      <c r="T455" s="206"/>
      <c r="U455" s="204"/>
      <c r="V455" s="206"/>
      <c r="W455" s="206"/>
      <c r="X455" s="204"/>
      <c r="Y455" s="206"/>
      <c r="Z455" s="206"/>
      <c r="AA455" s="204"/>
      <c r="AB455" s="206"/>
      <c r="AC455" s="206"/>
      <c r="AD455" s="204"/>
    </row>
    <row r="456" spans="1:30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206"/>
      <c r="T456" s="206"/>
      <c r="U456" s="204"/>
      <c r="V456" s="206"/>
      <c r="W456" s="206"/>
      <c r="X456" s="204"/>
      <c r="Y456" s="206"/>
      <c r="Z456" s="206"/>
      <c r="AA456" s="204"/>
      <c r="AB456" s="206"/>
      <c r="AC456" s="206"/>
      <c r="AD456" s="204"/>
    </row>
    <row r="457" spans="1:30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206"/>
      <c r="T457" s="206"/>
      <c r="U457" s="204"/>
      <c r="V457" s="206"/>
      <c r="W457" s="206"/>
      <c r="X457" s="204"/>
      <c r="Y457" s="206"/>
      <c r="Z457" s="206"/>
      <c r="AA457" s="204"/>
      <c r="AB457" s="206"/>
      <c r="AC457" s="206"/>
      <c r="AD457" s="204"/>
    </row>
    <row r="458" spans="1:30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206"/>
      <c r="T458" s="206"/>
      <c r="U458" s="204"/>
      <c r="V458" s="206"/>
      <c r="W458" s="206"/>
      <c r="X458" s="204"/>
      <c r="Y458" s="206"/>
      <c r="Z458" s="206"/>
      <c r="AA458" s="204"/>
      <c r="AB458" s="206"/>
      <c r="AC458" s="206"/>
      <c r="AD458" s="204"/>
    </row>
    <row r="459" spans="1:30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206"/>
      <c r="T459" s="206"/>
      <c r="U459" s="204"/>
      <c r="V459" s="206"/>
      <c r="W459" s="206"/>
      <c r="X459" s="204"/>
      <c r="Y459" s="206"/>
      <c r="Z459" s="206"/>
      <c r="AA459" s="204"/>
      <c r="AB459" s="206"/>
      <c r="AC459" s="206"/>
      <c r="AD459" s="204"/>
    </row>
    <row r="460" spans="1:30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206"/>
      <c r="T460" s="206"/>
      <c r="U460" s="204"/>
      <c r="V460" s="206"/>
      <c r="W460" s="206"/>
      <c r="X460" s="204"/>
      <c r="Y460" s="206"/>
      <c r="Z460" s="206"/>
      <c r="AA460" s="204"/>
      <c r="AB460" s="206"/>
      <c r="AC460" s="206"/>
      <c r="AD460" s="204"/>
    </row>
    <row r="461" spans="1:30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206"/>
      <c r="T461" s="206"/>
      <c r="U461" s="204"/>
      <c r="V461" s="206"/>
      <c r="W461" s="206"/>
      <c r="X461" s="204"/>
      <c r="Y461" s="206"/>
      <c r="Z461" s="206"/>
      <c r="AA461" s="204"/>
      <c r="AB461" s="206"/>
      <c r="AC461" s="206"/>
      <c r="AD461" s="204"/>
    </row>
    <row r="462" spans="1:30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206"/>
      <c r="T462" s="206"/>
      <c r="U462" s="204"/>
      <c r="V462" s="206"/>
      <c r="W462" s="206"/>
      <c r="X462" s="204"/>
      <c r="Y462" s="206"/>
      <c r="Z462" s="206"/>
      <c r="AA462" s="204"/>
      <c r="AB462" s="206"/>
      <c r="AC462" s="206"/>
      <c r="AD462" s="204"/>
    </row>
    <row r="463" spans="1:30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206"/>
      <c r="T463" s="206"/>
      <c r="U463" s="204"/>
      <c r="V463" s="206"/>
      <c r="W463" s="206"/>
      <c r="X463" s="204"/>
      <c r="Y463" s="206"/>
      <c r="Z463" s="206"/>
      <c r="AA463" s="204"/>
      <c r="AB463" s="206"/>
      <c r="AC463" s="206"/>
      <c r="AD463" s="204"/>
    </row>
    <row r="464" spans="1:30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206"/>
      <c r="T464" s="206"/>
      <c r="U464" s="204"/>
      <c r="V464" s="206"/>
      <c r="W464" s="206"/>
      <c r="X464" s="204"/>
      <c r="Y464" s="206"/>
      <c r="Z464" s="206"/>
      <c r="AA464" s="204"/>
      <c r="AB464" s="206"/>
      <c r="AC464" s="206"/>
      <c r="AD464" s="204"/>
    </row>
    <row r="465" spans="1:30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206"/>
      <c r="T465" s="206"/>
      <c r="U465" s="204"/>
      <c r="V465" s="206"/>
      <c r="W465" s="206"/>
      <c r="X465" s="204"/>
      <c r="Y465" s="206"/>
      <c r="Z465" s="206"/>
      <c r="AA465" s="204"/>
      <c r="AB465" s="206"/>
      <c r="AC465" s="206"/>
      <c r="AD465" s="204"/>
    </row>
    <row r="466" spans="1:30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206"/>
      <c r="T466" s="206"/>
      <c r="U466" s="204"/>
      <c r="V466" s="206"/>
      <c r="W466" s="206"/>
      <c r="X466" s="204"/>
      <c r="Y466" s="206"/>
      <c r="Z466" s="206"/>
      <c r="AA466" s="204"/>
      <c r="AB466" s="206"/>
      <c r="AC466" s="206"/>
      <c r="AD466" s="204"/>
    </row>
    <row r="467" spans="1:30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206"/>
      <c r="T467" s="206"/>
      <c r="U467" s="204"/>
      <c r="V467" s="206"/>
      <c r="W467" s="206"/>
      <c r="X467" s="204"/>
      <c r="Y467" s="206"/>
      <c r="Z467" s="206"/>
      <c r="AA467" s="204"/>
      <c r="AB467" s="206"/>
      <c r="AC467" s="206"/>
      <c r="AD467" s="204"/>
    </row>
    <row r="468" spans="1:30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206"/>
      <c r="T468" s="206"/>
      <c r="U468" s="204"/>
      <c r="V468" s="206"/>
      <c r="W468" s="206"/>
      <c r="X468" s="204"/>
      <c r="Y468" s="206"/>
      <c r="Z468" s="206"/>
      <c r="AA468" s="204"/>
      <c r="AB468" s="206"/>
      <c r="AC468" s="206"/>
      <c r="AD468" s="204"/>
    </row>
    <row r="469" spans="1:30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206"/>
      <c r="T469" s="206"/>
      <c r="U469" s="204"/>
      <c r="V469" s="206"/>
      <c r="W469" s="206"/>
      <c r="X469" s="204"/>
      <c r="Y469" s="206"/>
      <c r="Z469" s="206"/>
      <c r="AA469" s="204"/>
      <c r="AB469" s="206"/>
      <c r="AC469" s="206"/>
      <c r="AD469" s="204"/>
    </row>
    <row r="470" spans="1:30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206"/>
      <c r="T470" s="206"/>
      <c r="U470" s="204"/>
      <c r="V470" s="206"/>
      <c r="W470" s="206"/>
      <c r="X470" s="204"/>
      <c r="Y470" s="206"/>
      <c r="Z470" s="206"/>
      <c r="AA470" s="204"/>
      <c r="AB470" s="206"/>
      <c r="AC470" s="206"/>
      <c r="AD470" s="204"/>
    </row>
    <row r="471" spans="1:30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206"/>
      <c r="T471" s="206"/>
      <c r="U471" s="204"/>
      <c r="V471" s="206"/>
      <c r="W471" s="206"/>
      <c r="X471" s="204"/>
      <c r="Y471" s="206"/>
      <c r="Z471" s="206"/>
      <c r="AA471" s="204"/>
      <c r="AB471" s="206"/>
      <c r="AC471" s="206"/>
      <c r="AD471" s="204"/>
    </row>
    <row r="472" spans="1:30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206"/>
      <c r="T472" s="206"/>
      <c r="U472" s="204"/>
      <c r="V472" s="206"/>
      <c r="W472" s="206"/>
      <c r="X472" s="204"/>
      <c r="Y472" s="206"/>
      <c r="Z472" s="206"/>
      <c r="AA472" s="204"/>
      <c r="AB472" s="206"/>
      <c r="AC472" s="206"/>
      <c r="AD472" s="204"/>
    </row>
    <row r="473" spans="1:30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206"/>
      <c r="T473" s="206"/>
      <c r="U473" s="204"/>
      <c r="V473" s="206"/>
      <c r="W473" s="206"/>
      <c r="X473" s="204"/>
      <c r="Y473" s="206"/>
      <c r="Z473" s="206"/>
      <c r="AA473" s="204"/>
      <c r="AB473" s="206"/>
      <c r="AC473" s="206"/>
      <c r="AD473" s="204"/>
    </row>
    <row r="474" spans="1:30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206"/>
      <c r="T474" s="206"/>
      <c r="U474" s="204"/>
      <c r="V474" s="206"/>
      <c r="W474" s="206"/>
      <c r="X474" s="204"/>
      <c r="Y474" s="206"/>
      <c r="Z474" s="206"/>
      <c r="AA474" s="204"/>
      <c r="AB474" s="206"/>
      <c r="AC474" s="206"/>
      <c r="AD474" s="204"/>
    </row>
    <row r="475" spans="1:30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206"/>
      <c r="T475" s="206"/>
      <c r="U475" s="204"/>
      <c r="V475" s="206"/>
      <c r="W475" s="206"/>
      <c r="X475" s="204"/>
      <c r="Y475" s="206"/>
      <c r="Z475" s="206"/>
      <c r="AA475" s="204"/>
      <c r="AB475" s="206"/>
      <c r="AC475" s="206"/>
      <c r="AD475" s="204"/>
    </row>
    <row r="476" spans="1:30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206"/>
      <c r="T476" s="206"/>
      <c r="U476" s="204"/>
      <c r="V476" s="206"/>
      <c r="W476" s="206"/>
      <c r="X476" s="204"/>
      <c r="Y476" s="206"/>
      <c r="Z476" s="206"/>
      <c r="AA476" s="204"/>
      <c r="AB476" s="206"/>
      <c r="AC476" s="206"/>
      <c r="AD476" s="204"/>
    </row>
    <row r="477" spans="1:30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206"/>
      <c r="T477" s="206"/>
      <c r="U477" s="204"/>
      <c r="V477" s="206"/>
      <c r="W477" s="206"/>
      <c r="X477" s="204"/>
      <c r="Y477" s="206"/>
      <c r="Z477" s="206"/>
      <c r="AA477" s="204"/>
      <c r="AB477" s="206"/>
      <c r="AC477" s="206"/>
      <c r="AD477" s="204"/>
    </row>
    <row r="478" spans="1:30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206"/>
      <c r="T478" s="206"/>
      <c r="U478" s="204"/>
      <c r="V478" s="206"/>
      <c r="W478" s="206"/>
      <c r="X478" s="204"/>
      <c r="Y478" s="206"/>
      <c r="Z478" s="206"/>
      <c r="AA478" s="204"/>
      <c r="AB478" s="206"/>
      <c r="AC478" s="206"/>
      <c r="AD478" s="204"/>
    </row>
    <row r="479" spans="1:30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206"/>
      <c r="T479" s="206"/>
      <c r="U479" s="204"/>
      <c r="V479" s="206"/>
      <c r="W479" s="206"/>
      <c r="X479" s="204"/>
      <c r="Y479" s="206"/>
      <c r="Z479" s="206"/>
      <c r="AA479" s="204"/>
      <c r="AB479" s="206"/>
      <c r="AC479" s="206"/>
      <c r="AD479" s="204"/>
    </row>
    <row r="480" spans="1:30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206"/>
      <c r="T480" s="206"/>
      <c r="U480" s="204"/>
      <c r="V480" s="206"/>
      <c r="W480" s="206"/>
      <c r="X480" s="204"/>
      <c r="Y480" s="206"/>
      <c r="Z480" s="206"/>
      <c r="AA480" s="204"/>
      <c r="AB480" s="206"/>
      <c r="AC480" s="206"/>
      <c r="AD480" s="204"/>
    </row>
    <row r="481" spans="1:30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206"/>
      <c r="T481" s="206"/>
      <c r="U481" s="204"/>
      <c r="V481" s="206"/>
      <c r="W481" s="206"/>
      <c r="X481" s="204"/>
      <c r="Y481" s="206"/>
      <c r="Z481" s="206"/>
      <c r="AA481" s="204"/>
      <c r="AB481" s="206"/>
      <c r="AC481" s="206"/>
      <c r="AD481" s="204"/>
    </row>
    <row r="482" spans="1:30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206"/>
      <c r="T482" s="206"/>
      <c r="U482" s="204"/>
      <c r="V482" s="206"/>
      <c r="W482" s="206"/>
      <c r="X482" s="204"/>
      <c r="Y482" s="206"/>
      <c r="Z482" s="206"/>
      <c r="AA482" s="204"/>
      <c r="AB482" s="206"/>
      <c r="AC482" s="206"/>
      <c r="AD482" s="204"/>
    </row>
    <row r="483" spans="1:30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206"/>
      <c r="T483" s="206"/>
      <c r="U483" s="204"/>
      <c r="V483" s="206"/>
      <c r="W483" s="206"/>
      <c r="X483" s="204"/>
      <c r="Y483" s="206"/>
      <c r="Z483" s="206"/>
      <c r="AA483" s="204"/>
      <c r="AB483" s="206"/>
      <c r="AC483" s="206"/>
      <c r="AD483" s="204"/>
    </row>
    <row r="484" spans="1:30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206"/>
      <c r="T484" s="206"/>
      <c r="U484" s="204"/>
      <c r="V484" s="206"/>
      <c r="W484" s="206"/>
      <c r="X484" s="204"/>
      <c r="Y484" s="206"/>
      <c r="Z484" s="206"/>
      <c r="AA484" s="204"/>
      <c r="AB484" s="206"/>
      <c r="AC484" s="206"/>
      <c r="AD484" s="204"/>
    </row>
    <row r="485" spans="1:30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206"/>
      <c r="T485" s="206"/>
      <c r="U485" s="204"/>
      <c r="V485" s="206"/>
      <c r="W485" s="206"/>
      <c r="X485" s="204"/>
      <c r="Y485" s="206"/>
      <c r="Z485" s="206"/>
      <c r="AA485" s="204"/>
      <c r="AB485" s="206"/>
      <c r="AC485" s="206"/>
      <c r="AD485" s="204"/>
    </row>
    <row r="486" spans="1:30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206"/>
      <c r="T486" s="206"/>
      <c r="U486" s="204"/>
      <c r="V486" s="206"/>
      <c r="W486" s="206"/>
      <c r="X486" s="204"/>
      <c r="Y486" s="206"/>
      <c r="Z486" s="206"/>
      <c r="AA486" s="204"/>
      <c r="AB486" s="206"/>
      <c r="AC486" s="206"/>
      <c r="AD486" s="204"/>
    </row>
    <row r="487" spans="1:30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206"/>
      <c r="T487" s="206"/>
      <c r="U487" s="204"/>
      <c r="V487" s="206"/>
      <c r="W487" s="206"/>
      <c r="X487" s="204"/>
      <c r="Y487" s="206"/>
      <c r="Z487" s="206"/>
      <c r="AA487" s="204"/>
      <c r="AB487" s="206"/>
      <c r="AC487" s="206"/>
      <c r="AD487" s="204"/>
    </row>
    <row r="488" spans="1:30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206"/>
      <c r="T488" s="206"/>
      <c r="U488" s="204"/>
      <c r="V488" s="206"/>
      <c r="W488" s="206"/>
      <c r="X488" s="204"/>
      <c r="Y488" s="206"/>
      <c r="Z488" s="206"/>
      <c r="AA488" s="204"/>
      <c r="AB488" s="206"/>
      <c r="AC488" s="206"/>
      <c r="AD488" s="204"/>
    </row>
    <row r="489" spans="1:30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206"/>
      <c r="T489" s="206"/>
      <c r="U489" s="204"/>
      <c r="V489" s="206"/>
      <c r="W489" s="206"/>
      <c r="X489" s="204"/>
      <c r="Y489" s="206"/>
      <c r="Z489" s="206"/>
      <c r="AA489" s="204"/>
      <c r="AB489" s="206"/>
      <c r="AC489" s="206"/>
      <c r="AD489" s="204"/>
    </row>
    <row r="490" spans="1:30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206"/>
      <c r="T490" s="206"/>
      <c r="U490" s="204"/>
      <c r="V490" s="206"/>
      <c r="W490" s="206"/>
      <c r="X490" s="204"/>
      <c r="Y490" s="206"/>
      <c r="Z490" s="206"/>
      <c r="AA490" s="204"/>
      <c r="AB490" s="206"/>
      <c r="AC490" s="206"/>
      <c r="AD490" s="204"/>
    </row>
    <row r="491" spans="1:30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206"/>
      <c r="T491" s="206"/>
      <c r="U491" s="204"/>
      <c r="V491" s="206"/>
      <c r="W491" s="206"/>
      <c r="X491" s="204"/>
      <c r="Y491" s="206"/>
      <c r="Z491" s="206"/>
      <c r="AA491" s="204"/>
      <c r="AB491" s="206"/>
      <c r="AC491" s="206"/>
      <c r="AD491" s="204"/>
    </row>
    <row r="492" spans="1:30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206"/>
      <c r="T492" s="206"/>
      <c r="U492" s="204"/>
      <c r="V492" s="206"/>
      <c r="W492" s="206"/>
      <c r="X492" s="204"/>
      <c r="Y492" s="206"/>
      <c r="Z492" s="206"/>
      <c r="AA492" s="204"/>
      <c r="AB492" s="206"/>
      <c r="AC492" s="206"/>
      <c r="AD492" s="204"/>
    </row>
    <row r="493" spans="1:30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206"/>
      <c r="T493" s="206"/>
      <c r="U493" s="204"/>
      <c r="V493" s="206"/>
      <c r="W493" s="206"/>
      <c r="X493" s="204"/>
      <c r="Y493" s="206"/>
      <c r="Z493" s="206"/>
      <c r="AA493" s="204"/>
      <c r="AB493" s="206"/>
      <c r="AC493" s="206"/>
      <c r="AD493" s="204"/>
    </row>
    <row r="494" spans="1:30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206"/>
      <c r="T494" s="206"/>
      <c r="U494" s="204"/>
      <c r="V494" s="206"/>
      <c r="W494" s="206"/>
      <c r="X494" s="204"/>
      <c r="Y494" s="206"/>
      <c r="Z494" s="206"/>
      <c r="AA494" s="204"/>
      <c r="AB494" s="206"/>
      <c r="AC494" s="206"/>
      <c r="AD494" s="204"/>
    </row>
    <row r="495" spans="1:30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206"/>
      <c r="T495" s="206"/>
      <c r="U495" s="204"/>
      <c r="V495" s="206"/>
      <c r="W495" s="206"/>
      <c r="X495" s="204"/>
      <c r="Y495" s="206"/>
      <c r="Z495" s="206"/>
      <c r="AA495" s="204"/>
      <c r="AB495" s="206"/>
      <c r="AC495" s="206"/>
      <c r="AD495" s="204"/>
    </row>
    <row r="496" spans="1:30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206"/>
      <c r="T496" s="206"/>
      <c r="U496" s="204"/>
      <c r="V496" s="206"/>
      <c r="W496" s="206"/>
      <c r="X496" s="204"/>
      <c r="Y496" s="206"/>
      <c r="Z496" s="206"/>
      <c r="AA496" s="204"/>
      <c r="AB496" s="206"/>
      <c r="AC496" s="206"/>
      <c r="AD496" s="204"/>
    </row>
    <row r="497" spans="1:30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206"/>
      <c r="T497" s="206"/>
      <c r="U497" s="204"/>
      <c r="V497" s="206"/>
      <c r="W497" s="206"/>
      <c r="X497" s="204"/>
      <c r="Y497" s="206"/>
      <c r="Z497" s="206"/>
      <c r="AA497" s="204"/>
      <c r="AB497" s="206"/>
      <c r="AC497" s="206"/>
      <c r="AD497" s="204"/>
    </row>
    <row r="498" spans="1:30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206"/>
      <c r="T498" s="206"/>
      <c r="U498" s="204"/>
      <c r="V498" s="206"/>
      <c r="W498" s="206"/>
      <c r="X498" s="204"/>
      <c r="Y498" s="206"/>
      <c r="Z498" s="206"/>
      <c r="AA498" s="204"/>
      <c r="AB498" s="206"/>
      <c r="AC498" s="206"/>
      <c r="AD498" s="204"/>
    </row>
    <row r="499" spans="1:30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206"/>
      <c r="T499" s="206"/>
      <c r="U499" s="204"/>
      <c r="V499" s="206"/>
      <c r="W499" s="206"/>
      <c r="X499" s="204"/>
      <c r="Y499" s="206"/>
      <c r="Z499" s="206"/>
      <c r="AA499" s="204"/>
      <c r="AB499" s="206"/>
      <c r="AC499" s="206"/>
      <c r="AD499" s="204"/>
    </row>
    <row r="500" spans="1:30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206"/>
      <c r="T500" s="206"/>
      <c r="U500" s="204"/>
      <c r="V500" s="206"/>
      <c r="W500" s="206"/>
      <c r="X500" s="204"/>
      <c r="Y500" s="206"/>
      <c r="Z500" s="206"/>
      <c r="AA500" s="204"/>
      <c r="AB500" s="206"/>
      <c r="AC500" s="206"/>
      <c r="AD500" s="204"/>
    </row>
    <row r="501" spans="1:30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206"/>
      <c r="T501" s="206"/>
      <c r="U501" s="204"/>
      <c r="V501" s="206"/>
      <c r="W501" s="206"/>
      <c r="X501" s="204"/>
      <c r="Y501" s="206"/>
      <c r="Z501" s="206"/>
      <c r="AA501" s="204"/>
      <c r="AB501" s="206"/>
      <c r="AC501" s="206"/>
      <c r="AD501" s="204"/>
    </row>
    <row r="502" spans="1:30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206"/>
      <c r="T502" s="206"/>
      <c r="U502" s="204"/>
      <c r="V502" s="206"/>
      <c r="W502" s="206"/>
      <c r="X502" s="204"/>
      <c r="Y502" s="206"/>
      <c r="Z502" s="206"/>
      <c r="AA502" s="204"/>
      <c r="AB502" s="206"/>
      <c r="AC502" s="206"/>
      <c r="AD502" s="204"/>
    </row>
    <row r="503" spans="1:30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206"/>
      <c r="T503" s="206"/>
      <c r="U503" s="204"/>
      <c r="V503" s="206"/>
      <c r="W503" s="206"/>
      <c r="X503" s="204"/>
      <c r="Y503" s="206"/>
      <c r="Z503" s="206"/>
      <c r="AA503" s="204"/>
      <c r="AB503" s="206"/>
      <c r="AC503" s="206"/>
      <c r="AD503" s="204"/>
    </row>
    <row r="504" spans="1:30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206"/>
      <c r="T504" s="206"/>
      <c r="U504" s="204"/>
      <c r="V504" s="206"/>
      <c r="W504" s="206"/>
      <c r="X504" s="204"/>
      <c r="Y504" s="206"/>
      <c r="Z504" s="206"/>
      <c r="AA504" s="204"/>
      <c r="AB504" s="206"/>
      <c r="AC504" s="206"/>
      <c r="AD504" s="204"/>
    </row>
    <row r="505" spans="1:30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206"/>
      <c r="T505" s="206"/>
      <c r="U505" s="204"/>
      <c r="V505" s="206"/>
      <c r="W505" s="206"/>
      <c r="X505" s="204"/>
      <c r="Y505" s="206"/>
      <c r="Z505" s="206"/>
      <c r="AA505" s="204"/>
      <c r="AB505" s="206"/>
      <c r="AC505" s="206"/>
      <c r="AD505" s="204"/>
    </row>
    <row r="506" spans="1:30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206"/>
      <c r="T506" s="206"/>
      <c r="U506" s="204"/>
      <c r="V506" s="206"/>
      <c r="W506" s="206"/>
      <c r="X506" s="204"/>
      <c r="Y506" s="206"/>
      <c r="Z506" s="206"/>
      <c r="AA506" s="204"/>
      <c r="AB506" s="206"/>
      <c r="AC506" s="206"/>
      <c r="AD506" s="204"/>
    </row>
    <row r="507" spans="1:30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206"/>
      <c r="T507" s="206"/>
      <c r="U507" s="204"/>
      <c r="V507" s="206"/>
      <c r="W507" s="206"/>
      <c r="X507" s="204"/>
      <c r="Y507" s="206"/>
      <c r="Z507" s="206"/>
      <c r="AA507" s="204"/>
      <c r="AB507" s="206"/>
      <c r="AC507" s="206"/>
      <c r="AD507" s="204"/>
    </row>
    <row r="508" spans="1:30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206"/>
      <c r="T508" s="206"/>
      <c r="U508" s="204"/>
      <c r="V508" s="206"/>
      <c r="W508" s="206"/>
      <c r="X508" s="204"/>
      <c r="Y508" s="206"/>
      <c r="Z508" s="206"/>
      <c r="AA508" s="204"/>
      <c r="AB508" s="206"/>
      <c r="AC508" s="206"/>
      <c r="AD508" s="204"/>
    </row>
    <row r="509" spans="1:30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206"/>
      <c r="T509" s="206"/>
      <c r="U509" s="204"/>
      <c r="V509" s="206"/>
      <c r="W509" s="206"/>
      <c r="X509" s="204"/>
      <c r="Y509" s="206"/>
      <c r="Z509" s="206"/>
      <c r="AA509" s="204"/>
      <c r="AB509" s="206"/>
      <c r="AC509" s="206"/>
      <c r="AD509" s="204"/>
    </row>
    <row r="510" spans="1:30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206"/>
      <c r="T510" s="206"/>
      <c r="U510" s="204"/>
      <c r="V510" s="206"/>
      <c r="W510" s="206"/>
      <c r="X510" s="204"/>
      <c r="Y510" s="206"/>
      <c r="Z510" s="206"/>
      <c r="AA510" s="204"/>
      <c r="AB510" s="206"/>
      <c r="AC510" s="206"/>
      <c r="AD510" s="204"/>
    </row>
    <row r="511" spans="1:30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206"/>
      <c r="T511" s="206"/>
      <c r="U511" s="204"/>
      <c r="V511" s="206"/>
      <c r="W511" s="206"/>
      <c r="X511" s="204"/>
      <c r="Y511" s="206"/>
      <c r="Z511" s="206"/>
      <c r="AA511" s="204"/>
      <c r="AB511" s="206"/>
      <c r="AC511" s="206"/>
      <c r="AD511" s="204"/>
    </row>
    <row r="512" spans="1:30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206"/>
      <c r="T512" s="206"/>
      <c r="U512" s="204"/>
      <c r="V512" s="206"/>
      <c r="W512" s="206"/>
      <c r="X512" s="204"/>
      <c r="Y512" s="206"/>
      <c r="Z512" s="206"/>
      <c r="AA512" s="204"/>
      <c r="AB512" s="206"/>
      <c r="AC512" s="206"/>
      <c r="AD512" s="204"/>
    </row>
    <row r="513" spans="1:30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206"/>
      <c r="T513" s="206"/>
      <c r="U513" s="204"/>
      <c r="V513" s="206"/>
      <c r="W513" s="206"/>
      <c r="X513" s="204"/>
      <c r="Y513" s="206"/>
      <c r="Z513" s="206"/>
      <c r="AA513" s="204"/>
      <c r="AB513" s="206"/>
      <c r="AC513" s="206"/>
      <c r="AD513" s="204"/>
    </row>
    <row r="514" spans="1:30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206"/>
      <c r="T514" s="206"/>
      <c r="U514" s="204"/>
      <c r="V514" s="206"/>
      <c r="W514" s="206"/>
      <c r="X514" s="204"/>
      <c r="Y514" s="206"/>
      <c r="Z514" s="206"/>
      <c r="AA514" s="204"/>
      <c r="AB514" s="206"/>
      <c r="AC514" s="206"/>
      <c r="AD514" s="204"/>
    </row>
    <row r="515" spans="1:30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206"/>
      <c r="T515" s="206"/>
      <c r="U515" s="204"/>
      <c r="V515" s="206"/>
      <c r="W515" s="206"/>
      <c r="X515" s="204"/>
      <c r="Y515" s="206"/>
      <c r="Z515" s="206"/>
      <c r="AA515" s="204"/>
      <c r="AB515" s="206"/>
      <c r="AC515" s="206"/>
      <c r="AD515" s="204"/>
    </row>
    <row r="516" spans="1:30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206"/>
      <c r="T516" s="206"/>
      <c r="U516" s="204"/>
      <c r="V516" s="206"/>
      <c r="W516" s="206"/>
      <c r="X516" s="204"/>
      <c r="Y516" s="206"/>
      <c r="Z516" s="206"/>
      <c r="AA516" s="204"/>
      <c r="AB516" s="206"/>
      <c r="AC516" s="206"/>
      <c r="AD516" s="204"/>
    </row>
    <row r="517" spans="1:30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206"/>
      <c r="T517" s="206"/>
      <c r="U517" s="204"/>
      <c r="V517" s="206"/>
      <c r="W517" s="206"/>
      <c r="X517" s="204"/>
      <c r="Y517" s="206"/>
      <c r="Z517" s="206"/>
      <c r="AA517" s="204"/>
      <c r="AB517" s="206"/>
      <c r="AC517" s="206"/>
      <c r="AD517" s="204"/>
    </row>
    <row r="518" spans="1:30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206"/>
      <c r="T518" s="206"/>
      <c r="U518" s="204"/>
      <c r="V518" s="206"/>
      <c r="W518" s="206"/>
      <c r="X518" s="204"/>
      <c r="Y518" s="206"/>
      <c r="Z518" s="206"/>
      <c r="AA518" s="204"/>
      <c r="AB518" s="206"/>
      <c r="AC518" s="206"/>
      <c r="AD518" s="204"/>
    </row>
    <row r="519" spans="1:30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206"/>
      <c r="T519" s="206"/>
      <c r="U519" s="204"/>
      <c r="V519" s="206"/>
      <c r="W519" s="206"/>
      <c r="X519" s="204"/>
      <c r="Y519" s="206"/>
      <c r="Z519" s="206"/>
      <c r="AA519" s="204"/>
      <c r="AB519" s="206"/>
      <c r="AC519" s="206"/>
      <c r="AD519" s="204"/>
    </row>
    <row r="520" spans="1:30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206"/>
      <c r="T520" s="206"/>
      <c r="U520" s="204"/>
      <c r="V520" s="206"/>
      <c r="W520" s="206"/>
      <c r="X520" s="204"/>
      <c r="Y520" s="206"/>
      <c r="Z520" s="206"/>
      <c r="AA520" s="204"/>
      <c r="AB520" s="206"/>
      <c r="AC520" s="206"/>
      <c r="AD520" s="204"/>
    </row>
    <row r="521" spans="1:30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206"/>
      <c r="T521" s="206"/>
      <c r="U521" s="204"/>
      <c r="V521" s="206"/>
      <c r="W521" s="206"/>
      <c r="X521" s="204"/>
      <c r="Y521" s="206"/>
      <c r="Z521" s="206"/>
      <c r="AA521" s="204"/>
      <c r="AB521" s="206"/>
      <c r="AC521" s="206"/>
      <c r="AD521" s="204"/>
    </row>
    <row r="522" spans="1:30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206"/>
      <c r="T522" s="206"/>
      <c r="U522" s="204"/>
      <c r="V522" s="206"/>
      <c r="W522" s="206"/>
      <c r="X522" s="204"/>
      <c r="Y522" s="206"/>
      <c r="Z522" s="206"/>
      <c r="AA522" s="204"/>
      <c r="AB522" s="206"/>
      <c r="AC522" s="206"/>
      <c r="AD522" s="204"/>
    </row>
    <row r="523" spans="1:30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206"/>
      <c r="T523" s="206"/>
      <c r="U523" s="204"/>
      <c r="V523" s="206"/>
      <c r="W523" s="206"/>
      <c r="X523" s="204"/>
      <c r="Y523" s="206"/>
      <c r="Z523" s="206"/>
      <c r="AA523" s="204"/>
      <c r="AB523" s="206"/>
      <c r="AC523" s="206"/>
      <c r="AD523" s="204"/>
    </row>
    <row r="524" spans="1:30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206"/>
      <c r="T524" s="206"/>
      <c r="U524" s="204"/>
      <c r="V524" s="206"/>
      <c r="W524" s="206"/>
      <c r="X524" s="204"/>
      <c r="Y524" s="206"/>
      <c r="Z524" s="206"/>
      <c r="AA524" s="204"/>
      <c r="AB524" s="206"/>
      <c r="AC524" s="206"/>
      <c r="AD524" s="204"/>
    </row>
    <row r="525" spans="1:30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206"/>
      <c r="T525" s="206"/>
      <c r="U525" s="204"/>
      <c r="V525" s="206"/>
      <c r="W525" s="206"/>
      <c r="X525" s="204"/>
      <c r="Y525" s="206"/>
      <c r="Z525" s="206"/>
      <c r="AA525" s="204"/>
      <c r="AB525" s="206"/>
      <c r="AC525" s="206"/>
      <c r="AD525" s="204"/>
    </row>
    <row r="526" spans="1:30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206"/>
      <c r="T526" s="206"/>
      <c r="U526" s="204"/>
      <c r="V526" s="206"/>
      <c r="W526" s="206"/>
      <c r="X526" s="204"/>
      <c r="Y526" s="206"/>
      <c r="Z526" s="206"/>
      <c r="AA526" s="204"/>
      <c r="AB526" s="206"/>
      <c r="AC526" s="206"/>
      <c r="AD526" s="204"/>
    </row>
    <row r="527" spans="1:30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206"/>
      <c r="T527" s="206"/>
      <c r="U527" s="204"/>
      <c r="V527" s="206"/>
      <c r="W527" s="206"/>
      <c r="X527" s="204"/>
      <c r="Y527" s="206"/>
      <c r="Z527" s="206"/>
      <c r="AA527" s="204"/>
      <c r="AB527" s="206"/>
      <c r="AC527" s="206"/>
      <c r="AD527" s="204"/>
    </row>
    <row r="528" spans="1:30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206"/>
      <c r="T528" s="206"/>
      <c r="U528" s="204"/>
      <c r="V528" s="206"/>
      <c r="W528" s="206"/>
      <c r="X528" s="204"/>
      <c r="Y528" s="206"/>
      <c r="Z528" s="206"/>
      <c r="AA528" s="204"/>
      <c r="AB528" s="206"/>
      <c r="AC528" s="206"/>
      <c r="AD528" s="204"/>
    </row>
    <row r="529" spans="1:30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206"/>
      <c r="T529" s="206"/>
      <c r="U529" s="204"/>
      <c r="V529" s="206"/>
      <c r="W529" s="206"/>
      <c r="X529" s="204"/>
      <c r="Y529" s="206"/>
      <c r="Z529" s="206"/>
      <c r="AA529" s="204"/>
      <c r="AB529" s="206"/>
      <c r="AC529" s="206"/>
      <c r="AD529" s="204"/>
    </row>
    <row r="530" spans="1:30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206"/>
      <c r="T530" s="206"/>
      <c r="U530" s="204"/>
      <c r="V530" s="206"/>
      <c r="W530" s="206"/>
      <c r="X530" s="204"/>
      <c r="Y530" s="206"/>
      <c r="Z530" s="206"/>
      <c r="AA530" s="204"/>
      <c r="AB530" s="206"/>
      <c r="AC530" s="206"/>
      <c r="AD530" s="204"/>
    </row>
    <row r="531" spans="1:30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206"/>
      <c r="T531" s="206"/>
      <c r="U531" s="204"/>
      <c r="V531" s="206"/>
      <c r="W531" s="206"/>
      <c r="X531" s="204"/>
      <c r="Y531" s="206"/>
      <c r="Z531" s="206"/>
      <c r="AA531" s="204"/>
      <c r="AB531" s="206"/>
      <c r="AC531" s="206"/>
      <c r="AD531" s="204"/>
    </row>
    <row r="532" spans="1:30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206"/>
      <c r="T532" s="206"/>
      <c r="U532" s="204"/>
      <c r="V532" s="206"/>
      <c r="W532" s="206"/>
      <c r="X532" s="204"/>
      <c r="Y532" s="206"/>
      <c r="Z532" s="206"/>
      <c r="AA532" s="204"/>
      <c r="AB532" s="206"/>
      <c r="AC532" s="206"/>
      <c r="AD532" s="204"/>
    </row>
    <row r="533" spans="1:30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206"/>
      <c r="T533" s="206"/>
      <c r="U533" s="204"/>
      <c r="V533" s="206"/>
      <c r="W533" s="206"/>
      <c r="X533" s="204"/>
      <c r="Y533" s="206"/>
      <c r="Z533" s="206"/>
      <c r="AA533" s="204"/>
      <c r="AB533" s="206"/>
      <c r="AC533" s="206"/>
      <c r="AD533" s="204"/>
    </row>
    <row r="534" spans="1:30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206"/>
      <c r="T534" s="206"/>
      <c r="U534" s="204"/>
      <c r="V534" s="206"/>
      <c r="W534" s="206"/>
      <c r="X534" s="204"/>
      <c r="Y534" s="206"/>
      <c r="Z534" s="206"/>
      <c r="AA534" s="204"/>
      <c r="AB534" s="206"/>
      <c r="AC534" s="206"/>
      <c r="AD534" s="204"/>
    </row>
    <row r="535" spans="1:30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206"/>
      <c r="T535" s="206"/>
      <c r="U535" s="204"/>
      <c r="V535" s="206"/>
      <c r="W535" s="206"/>
      <c r="X535" s="204"/>
      <c r="Y535" s="206"/>
      <c r="Z535" s="206"/>
      <c r="AA535" s="204"/>
      <c r="AB535" s="206"/>
      <c r="AC535" s="206"/>
      <c r="AD535" s="204"/>
    </row>
    <row r="536" spans="1:30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206"/>
      <c r="T536" s="206"/>
      <c r="U536" s="204"/>
      <c r="V536" s="206"/>
      <c r="W536" s="206"/>
      <c r="X536" s="204"/>
      <c r="Y536" s="206"/>
      <c r="Z536" s="206"/>
      <c r="AA536" s="204"/>
      <c r="AB536" s="206"/>
      <c r="AC536" s="206"/>
      <c r="AD536" s="204"/>
    </row>
    <row r="537" spans="1:30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206"/>
      <c r="T537" s="206"/>
      <c r="U537" s="204"/>
      <c r="V537" s="206"/>
      <c r="W537" s="206"/>
      <c r="X537" s="204"/>
      <c r="Y537" s="206"/>
      <c r="Z537" s="206"/>
      <c r="AA537" s="204"/>
      <c r="AB537" s="206"/>
      <c r="AC537" s="206"/>
      <c r="AD537" s="204"/>
    </row>
    <row r="538" spans="1:30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206"/>
      <c r="T538" s="206"/>
      <c r="U538" s="204"/>
      <c r="V538" s="206"/>
      <c r="W538" s="206"/>
      <c r="X538" s="204"/>
      <c r="Y538" s="206"/>
      <c r="Z538" s="206"/>
      <c r="AA538" s="204"/>
      <c r="AB538" s="206"/>
      <c r="AC538" s="206"/>
      <c r="AD538" s="204"/>
    </row>
    <row r="539" spans="1:30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206"/>
      <c r="T539" s="206"/>
      <c r="U539" s="204"/>
      <c r="V539" s="206"/>
      <c r="W539" s="206"/>
      <c r="X539" s="204"/>
      <c r="Y539" s="206"/>
      <c r="Z539" s="206"/>
      <c r="AA539" s="204"/>
      <c r="AB539" s="206"/>
      <c r="AC539" s="206"/>
      <c r="AD539" s="204"/>
    </row>
    <row r="540" spans="1:30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206"/>
      <c r="T540" s="206"/>
      <c r="U540" s="204"/>
      <c r="V540" s="206"/>
      <c r="W540" s="206"/>
      <c r="X540" s="204"/>
      <c r="Y540" s="206"/>
      <c r="Z540" s="206"/>
      <c r="AA540" s="204"/>
      <c r="AB540" s="206"/>
      <c r="AC540" s="206"/>
      <c r="AD540" s="204"/>
    </row>
    <row r="541" spans="1:30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206"/>
      <c r="T541" s="206"/>
      <c r="U541" s="204"/>
      <c r="V541" s="206"/>
      <c r="W541" s="206"/>
      <c r="X541" s="204"/>
      <c r="Y541" s="206"/>
      <c r="Z541" s="206"/>
      <c r="AA541" s="204"/>
      <c r="AB541" s="206"/>
      <c r="AC541" s="206"/>
      <c r="AD541" s="204"/>
    </row>
    <row r="542" spans="1:30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206"/>
      <c r="T542" s="206"/>
      <c r="U542" s="204"/>
      <c r="V542" s="206"/>
      <c r="W542" s="206"/>
      <c r="X542" s="204"/>
      <c r="Y542" s="206"/>
      <c r="Z542" s="206"/>
      <c r="AA542" s="204"/>
      <c r="AB542" s="206"/>
      <c r="AC542" s="206"/>
      <c r="AD542" s="204"/>
    </row>
    <row r="543" spans="1:30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206"/>
      <c r="T543" s="206"/>
      <c r="U543" s="204"/>
      <c r="V543" s="206"/>
      <c r="W543" s="206"/>
      <c r="X543" s="204"/>
      <c r="Y543" s="206"/>
      <c r="Z543" s="206"/>
      <c r="AA543" s="204"/>
      <c r="AB543" s="206"/>
      <c r="AC543" s="206"/>
      <c r="AD543" s="204"/>
    </row>
    <row r="544" spans="1:30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206"/>
      <c r="T544" s="206"/>
      <c r="U544" s="204"/>
      <c r="V544" s="206"/>
      <c r="W544" s="206"/>
      <c r="X544" s="204"/>
      <c r="Y544" s="206"/>
      <c r="Z544" s="206"/>
      <c r="AA544" s="204"/>
      <c r="AB544" s="206"/>
      <c r="AC544" s="206"/>
      <c r="AD544" s="204"/>
    </row>
    <row r="545" spans="1:30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206"/>
      <c r="T545" s="206"/>
      <c r="U545" s="204"/>
      <c r="V545" s="206"/>
      <c r="W545" s="206"/>
      <c r="X545" s="204"/>
      <c r="Y545" s="206"/>
      <c r="Z545" s="206"/>
      <c r="AA545" s="204"/>
      <c r="AB545" s="206"/>
      <c r="AC545" s="206"/>
      <c r="AD545" s="204"/>
    </row>
    <row r="546" spans="1:30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206"/>
      <c r="T546" s="206"/>
      <c r="U546" s="204"/>
      <c r="V546" s="206"/>
      <c r="W546" s="206"/>
      <c r="X546" s="204"/>
      <c r="Y546" s="206"/>
      <c r="Z546" s="206"/>
      <c r="AA546" s="204"/>
      <c r="AB546" s="206"/>
      <c r="AC546" s="206"/>
      <c r="AD546" s="204"/>
    </row>
    <row r="547" spans="1:30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206"/>
      <c r="T547" s="206"/>
      <c r="U547" s="204"/>
      <c r="V547" s="206"/>
      <c r="W547" s="206"/>
      <c r="X547" s="204"/>
      <c r="Y547" s="206"/>
      <c r="Z547" s="206"/>
      <c r="AA547" s="204"/>
      <c r="AB547" s="206"/>
      <c r="AC547" s="206"/>
      <c r="AD547" s="204"/>
    </row>
    <row r="548" spans="1:30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206"/>
      <c r="T548" s="206"/>
      <c r="U548" s="204"/>
      <c r="V548" s="206"/>
      <c r="W548" s="206"/>
      <c r="X548" s="204"/>
      <c r="Y548" s="206"/>
      <c r="Z548" s="206"/>
      <c r="AA548" s="204"/>
      <c r="AB548" s="206"/>
      <c r="AC548" s="206"/>
      <c r="AD548" s="204"/>
    </row>
    <row r="549" spans="1:30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206"/>
      <c r="T549" s="206"/>
      <c r="U549" s="204"/>
      <c r="V549" s="206"/>
      <c r="W549" s="206"/>
      <c r="X549" s="204"/>
      <c r="Y549" s="206"/>
      <c r="Z549" s="206"/>
      <c r="AA549" s="204"/>
      <c r="AB549" s="206"/>
      <c r="AC549" s="206"/>
      <c r="AD549" s="204"/>
    </row>
    <row r="550" spans="1:30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206"/>
      <c r="T550" s="206"/>
      <c r="U550" s="204"/>
      <c r="V550" s="206"/>
      <c r="W550" s="206"/>
      <c r="X550" s="204"/>
      <c r="Y550" s="206"/>
      <c r="Z550" s="206"/>
      <c r="AA550" s="204"/>
      <c r="AB550" s="206"/>
      <c r="AC550" s="206"/>
      <c r="AD550" s="204"/>
    </row>
    <row r="551" spans="1:30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206"/>
      <c r="T551" s="206"/>
      <c r="U551" s="204"/>
      <c r="V551" s="206"/>
      <c r="W551" s="206"/>
      <c r="X551" s="204"/>
      <c r="Y551" s="206"/>
      <c r="Z551" s="206"/>
      <c r="AA551" s="204"/>
      <c r="AB551" s="206"/>
      <c r="AC551" s="206"/>
      <c r="AD551" s="204"/>
    </row>
    <row r="552" spans="1:30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206"/>
      <c r="T552" s="206"/>
      <c r="U552" s="204"/>
      <c r="V552" s="206"/>
      <c r="W552" s="206"/>
      <c r="X552" s="204"/>
      <c r="Y552" s="206"/>
      <c r="Z552" s="206"/>
      <c r="AA552" s="204"/>
      <c r="AB552" s="206"/>
      <c r="AC552" s="206"/>
      <c r="AD552" s="204"/>
    </row>
    <row r="553" spans="1:30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206"/>
      <c r="T553" s="206"/>
      <c r="U553" s="204"/>
      <c r="V553" s="206"/>
      <c r="W553" s="206"/>
      <c r="X553" s="204"/>
      <c r="Y553" s="206"/>
      <c r="Z553" s="206"/>
      <c r="AA553" s="204"/>
      <c r="AB553" s="206"/>
      <c r="AC553" s="206"/>
      <c r="AD553" s="204"/>
    </row>
    <row r="554" spans="1:30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206"/>
      <c r="T554" s="206"/>
      <c r="U554" s="204"/>
      <c r="V554" s="206"/>
      <c r="W554" s="206"/>
      <c r="X554" s="204"/>
      <c r="Y554" s="206"/>
      <c r="Z554" s="206"/>
      <c r="AA554" s="204"/>
      <c r="AB554" s="206"/>
      <c r="AC554" s="206"/>
      <c r="AD554" s="204"/>
    </row>
    <row r="555" spans="1:30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206"/>
      <c r="T555" s="206"/>
      <c r="U555" s="204"/>
      <c r="V555" s="206"/>
      <c r="W555" s="206"/>
      <c r="X555" s="204"/>
      <c r="Y555" s="206"/>
      <c r="Z555" s="206"/>
      <c r="AA555" s="204"/>
      <c r="AB555" s="206"/>
      <c r="AC555" s="206"/>
      <c r="AD555" s="204"/>
    </row>
    <row r="556" spans="1:30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206"/>
      <c r="T556" s="206"/>
      <c r="U556" s="204"/>
      <c r="V556" s="206"/>
      <c r="W556" s="206"/>
      <c r="X556" s="204"/>
      <c r="Y556" s="206"/>
      <c r="Z556" s="206"/>
      <c r="AA556" s="204"/>
      <c r="AB556" s="206"/>
      <c r="AC556" s="206"/>
      <c r="AD556" s="204"/>
    </row>
    <row r="557" spans="1:30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206"/>
      <c r="T557" s="206"/>
      <c r="U557" s="204"/>
      <c r="V557" s="206"/>
      <c r="W557" s="206"/>
      <c r="X557" s="204"/>
      <c r="Y557" s="206"/>
      <c r="Z557" s="206"/>
      <c r="AA557" s="204"/>
      <c r="AB557" s="206"/>
      <c r="AC557" s="206"/>
      <c r="AD557" s="204"/>
    </row>
    <row r="558" spans="1:30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206"/>
      <c r="T558" s="206"/>
      <c r="U558" s="204"/>
      <c r="V558" s="206"/>
      <c r="W558" s="206"/>
      <c r="X558" s="204"/>
      <c r="Y558" s="206"/>
      <c r="Z558" s="206"/>
      <c r="AA558" s="204"/>
      <c r="AB558" s="206"/>
      <c r="AC558" s="206"/>
      <c r="AD558" s="204"/>
    </row>
    <row r="559" spans="1:30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206"/>
      <c r="T559" s="206"/>
      <c r="U559" s="204"/>
      <c r="V559" s="206"/>
      <c r="W559" s="206"/>
      <c r="X559" s="204"/>
      <c r="Y559" s="206"/>
      <c r="Z559" s="206"/>
      <c r="AA559" s="204"/>
      <c r="AB559" s="206"/>
      <c r="AC559" s="206"/>
      <c r="AD559" s="204"/>
    </row>
    <row r="560" spans="1:30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206"/>
      <c r="T560" s="206"/>
      <c r="U560" s="204"/>
      <c r="V560" s="206"/>
      <c r="W560" s="206"/>
      <c r="X560" s="204"/>
      <c r="Y560" s="206"/>
      <c r="Z560" s="206"/>
      <c r="AA560" s="204"/>
      <c r="AB560" s="206"/>
      <c r="AC560" s="206"/>
      <c r="AD560" s="204"/>
    </row>
    <row r="561" spans="1:30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206"/>
      <c r="T561" s="206"/>
      <c r="U561" s="204"/>
      <c r="V561" s="206"/>
      <c r="W561" s="206"/>
      <c r="X561" s="204"/>
      <c r="Y561" s="206"/>
      <c r="Z561" s="206"/>
      <c r="AA561" s="204"/>
      <c r="AB561" s="206"/>
      <c r="AC561" s="206"/>
      <c r="AD561" s="204"/>
    </row>
    <row r="562" spans="1:30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206"/>
      <c r="T562" s="206"/>
      <c r="U562" s="204"/>
      <c r="V562" s="206"/>
      <c r="W562" s="206"/>
      <c r="X562" s="204"/>
      <c r="Y562" s="206"/>
      <c r="Z562" s="206"/>
      <c r="AA562" s="204"/>
      <c r="AB562" s="206"/>
      <c r="AC562" s="206"/>
      <c r="AD562" s="204"/>
    </row>
    <row r="563" spans="1:30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206"/>
      <c r="T563" s="206"/>
      <c r="U563" s="204"/>
      <c r="V563" s="206"/>
      <c r="W563" s="206"/>
      <c r="X563" s="204"/>
      <c r="Y563" s="206"/>
      <c r="Z563" s="206"/>
      <c r="AA563" s="204"/>
      <c r="AB563" s="206"/>
      <c r="AC563" s="206"/>
      <c r="AD563" s="204"/>
    </row>
    <row r="564" spans="1:30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206"/>
      <c r="T564" s="206"/>
      <c r="U564" s="204"/>
      <c r="V564" s="206"/>
      <c r="W564" s="206"/>
      <c r="X564" s="204"/>
      <c r="Y564" s="206"/>
      <c r="Z564" s="206"/>
      <c r="AA564" s="204"/>
      <c r="AB564" s="206"/>
      <c r="AC564" s="206"/>
      <c r="AD564" s="204"/>
    </row>
    <row r="565" spans="1:30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206"/>
      <c r="T565" s="206"/>
      <c r="U565" s="204"/>
      <c r="V565" s="206"/>
      <c r="W565" s="206"/>
      <c r="X565" s="204"/>
      <c r="Y565" s="206"/>
      <c r="Z565" s="206"/>
      <c r="AA565" s="204"/>
      <c r="AB565" s="206"/>
      <c r="AC565" s="206"/>
      <c r="AD565" s="204"/>
    </row>
    <row r="566" spans="1:30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206"/>
      <c r="T566" s="206"/>
      <c r="U566" s="204"/>
      <c r="V566" s="206"/>
      <c r="W566" s="206"/>
      <c r="X566" s="204"/>
      <c r="Y566" s="206"/>
      <c r="Z566" s="206"/>
      <c r="AA566" s="204"/>
      <c r="AB566" s="206"/>
      <c r="AC566" s="206"/>
      <c r="AD566" s="204"/>
    </row>
    <row r="567" spans="1:30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206"/>
      <c r="T567" s="206"/>
      <c r="U567" s="204"/>
      <c r="V567" s="206"/>
      <c r="W567" s="206"/>
      <c r="X567" s="204"/>
      <c r="Y567" s="206"/>
      <c r="Z567" s="206"/>
      <c r="AA567" s="204"/>
      <c r="AB567" s="206"/>
      <c r="AC567" s="206"/>
      <c r="AD567" s="204"/>
    </row>
    <row r="568" spans="1:30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206"/>
      <c r="T568" s="206"/>
      <c r="U568" s="204"/>
      <c r="V568" s="206"/>
      <c r="W568" s="206"/>
      <c r="X568" s="204"/>
      <c r="Y568" s="206"/>
      <c r="Z568" s="206"/>
      <c r="AA568" s="204"/>
      <c r="AB568" s="206"/>
      <c r="AC568" s="206"/>
      <c r="AD568" s="204"/>
    </row>
    <row r="569" spans="1:30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206"/>
      <c r="T569" s="206"/>
      <c r="U569" s="204"/>
      <c r="V569" s="206"/>
      <c r="W569" s="206"/>
      <c r="X569" s="204"/>
      <c r="Y569" s="206"/>
      <c r="Z569" s="206"/>
      <c r="AA569" s="204"/>
      <c r="AB569" s="206"/>
      <c r="AC569" s="206"/>
      <c r="AD569" s="204"/>
    </row>
    <row r="570" spans="1:30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206"/>
      <c r="T570" s="206"/>
      <c r="U570" s="204"/>
      <c r="V570" s="206"/>
      <c r="W570" s="206"/>
      <c r="X570" s="204"/>
      <c r="Y570" s="206"/>
      <c r="Z570" s="206"/>
      <c r="AA570" s="204"/>
      <c r="AB570" s="206"/>
      <c r="AC570" s="206"/>
      <c r="AD570" s="204"/>
    </row>
    <row r="571" spans="1:30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206"/>
      <c r="T571" s="206"/>
      <c r="U571" s="204"/>
      <c r="V571" s="206"/>
      <c r="W571" s="206"/>
      <c r="X571" s="204"/>
      <c r="Y571" s="206"/>
      <c r="Z571" s="206"/>
      <c r="AA571" s="204"/>
      <c r="AB571" s="206"/>
      <c r="AC571" s="206"/>
      <c r="AD571" s="204"/>
    </row>
    <row r="572" spans="1:30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206"/>
      <c r="T572" s="206"/>
      <c r="U572" s="204"/>
      <c r="V572" s="206"/>
      <c r="W572" s="206"/>
      <c r="X572" s="204"/>
      <c r="Y572" s="206"/>
      <c r="Z572" s="206"/>
      <c r="AA572" s="204"/>
      <c r="AB572" s="206"/>
      <c r="AC572" s="206"/>
      <c r="AD572" s="204"/>
    </row>
    <row r="573" spans="1:30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206"/>
      <c r="T573" s="206"/>
      <c r="U573" s="204"/>
      <c r="V573" s="206"/>
      <c r="W573" s="206"/>
      <c r="X573" s="204"/>
      <c r="Y573" s="206"/>
      <c r="Z573" s="206"/>
      <c r="AA573" s="204"/>
      <c r="AB573" s="206"/>
      <c r="AC573" s="206"/>
      <c r="AD573" s="204"/>
    </row>
    <row r="574" spans="1:30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206"/>
      <c r="T574" s="206"/>
      <c r="U574" s="204"/>
      <c r="V574" s="206"/>
      <c r="W574" s="206"/>
      <c r="X574" s="204"/>
      <c r="Y574" s="206"/>
      <c r="Z574" s="206"/>
      <c r="AA574" s="204"/>
      <c r="AB574" s="206"/>
      <c r="AC574" s="206"/>
      <c r="AD574" s="204"/>
    </row>
    <row r="575" spans="1:30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206"/>
      <c r="T575" s="206"/>
      <c r="U575" s="204"/>
      <c r="V575" s="206"/>
      <c r="W575" s="206"/>
      <c r="X575" s="204"/>
      <c r="Y575" s="206"/>
      <c r="Z575" s="206"/>
      <c r="AA575" s="204"/>
      <c r="AB575" s="206"/>
      <c r="AC575" s="206"/>
      <c r="AD575" s="204"/>
    </row>
    <row r="576" spans="1:30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206"/>
      <c r="T576" s="206"/>
      <c r="U576" s="204"/>
      <c r="V576" s="206"/>
      <c r="W576" s="206"/>
      <c r="X576" s="204"/>
      <c r="Y576" s="206"/>
      <c r="Z576" s="206"/>
      <c r="AA576" s="204"/>
      <c r="AB576" s="206"/>
      <c r="AC576" s="206"/>
      <c r="AD576" s="204"/>
    </row>
    <row r="577" spans="1:30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206"/>
      <c r="T577" s="206"/>
      <c r="U577" s="204"/>
      <c r="V577" s="206"/>
      <c r="W577" s="206"/>
      <c r="X577" s="204"/>
      <c r="Y577" s="206"/>
      <c r="Z577" s="206"/>
      <c r="AA577" s="204"/>
      <c r="AB577" s="206"/>
      <c r="AC577" s="206"/>
      <c r="AD577" s="204"/>
    </row>
    <row r="578" spans="1:30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206"/>
      <c r="T578" s="206"/>
      <c r="U578" s="204"/>
      <c r="V578" s="206"/>
      <c r="W578" s="206"/>
      <c r="X578" s="204"/>
      <c r="Y578" s="206"/>
      <c r="Z578" s="206"/>
      <c r="AA578" s="204"/>
      <c r="AB578" s="206"/>
      <c r="AC578" s="206"/>
      <c r="AD578" s="204"/>
    </row>
    <row r="579" spans="1:30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206"/>
      <c r="T579" s="206"/>
      <c r="U579" s="204"/>
      <c r="V579" s="206"/>
      <c r="W579" s="206"/>
      <c r="X579" s="204"/>
      <c r="Y579" s="206"/>
      <c r="Z579" s="206"/>
      <c r="AA579" s="204"/>
      <c r="AB579" s="206"/>
      <c r="AC579" s="206"/>
      <c r="AD579" s="204"/>
    </row>
    <row r="580" spans="1:30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206"/>
      <c r="T580" s="206"/>
      <c r="U580" s="204"/>
      <c r="V580" s="206"/>
      <c r="W580" s="206"/>
      <c r="X580" s="204"/>
      <c r="Y580" s="206"/>
      <c r="Z580" s="206"/>
      <c r="AA580" s="204"/>
      <c r="AB580" s="206"/>
      <c r="AC580" s="206"/>
      <c r="AD580" s="204"/>
    </row>
    <row r="581" spans="1:30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206"/>
      <c r="T581" s="206"/>
      <c r="U581" s="204"/>
      <c r="V581" s="206"/>
      <c r="W581" s="206"/>
      <c r="X581" s="204"/>
      <c r="Y581" s="206"/>
      <c r="Z581" s="206"/>
      <c r="AA581" s="204"/>
      <c r="AB581" s="206"/>
      <c r="AC581" s="206"/>
      <c r="AD581" s="204"/>
    </row>
    <row r="582" spans="1:30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206"/>
      <c r="T582" s="206"/>
      <c r="U582" s="204"/>
      <c r="V582" s="206"/>
      <c r="W582" s="206"/>
      <c r="X582" s="204"/>
      <c r="Y582" s="206"/>
      <c r="Z582" s="206"/>
      <c r="AA582" s="204"/>
      <c r="AB582" s="206"/>
      <c r="AC582" s="206"/>
      <c r="AD582" s="204"/>
    </row>
    <row r="583" spans="1:30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206"/>
      <c r="T583" s="206"/>
      <c r="U583" s="204"/>
      <c r="V583" s="206"/>
      <c r="W583" s="206"/>
      <c r="X583" s="204"/>
      <c r="Y583" s="206"/>
      <c r="Z583" s="206"/>
      <c r="AA583" s="204"/>
      <c r="AB583" s="206"/>
      <c r="AC583" s="206"/>
      <c r="AD583" s="204"/>
    </row>
    <row r="584" spans="1:30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206"/>
      <c r="T584" s="206"/>
      <c r="U584" s="204"/>
      <c r="V584" s="206"/>
      <c r="W584" s="206"/>
      <c r="X584" s="204"/>
      <c r="Y584" s="206"/>
      <c r="Z584" s="206"/>
      <c r="AA584" s="204"/>
      <c r="AB584" s="206"/>
      <c r="AC584" s="206"/>
      <c r="AD584" s="204"/>
    </row>
    <row r="585" spans="1:30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206"/>
      <c r="T585" s="206"/>
      <c r="U585" s="204"/>
      <c r="V585" s="206"/>
      <c r="W585" s="206"/>
      <c r="X585" s="204"/>
      <c r="Y585" s="206"/>
      <c r="Z585" s="206"/>
      <c r="AA585" s="204"/>
      <c r="AB585" s="206"/>
      <c r="AC585" s="206"/>
      <c r="AD585" s="204"/>
    </row>
    <row r="586" spans="1:30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206"/>
      <c r="T586" s="206"/>
      <c r="U586" s="204"/>
      <c r="V586" s="206"/>
      <c r="W586" s="206"/>
      <c r="X586" s="204"/>
      <c r="Y586" s="206"/>
      <c r="Z586" s="206"/>
      <c r="AA586" s="204"/>
      <c r="AB586" s="206"/>
      <c r="AC586" s="206"/>
      <c r="AD586" s="204"/>
    </row>
    <row r="587" spans="1:30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206"/>
      <c r="T587" s="206"/>
      <c r="U587" s="204"/>
      <c r="V587" s="206"/>
      <c r="W587" s="206"/>
      <c r="X587" s="204"/>
      <c r="Y587" s="206"/>
      <c r="Z587" s="206"/>
      <c r="AA587" s="204"/>
      <c r="AB587" s="206"/>
      <c r="AC587" s="206"/>
      <c r="AD587" s="204"/>
    </row>
    <row r="588" spans="1:30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206"/>
      <c r="T588" s="206"/>
      <c r="U588" s="204"/>
      <c r="V588" s="206"/>
      <c r="W588" s="206"/>
      <c r="X588" s="204"/>
      <c r="Y588" s="206"/>
      <c r="Z588" s="206"/>
      <c r="AA588" s="204"/>
      <c r="AB588" s="206"/>
      <c r="AC588" s="206"/>
      <c r="AD588" s="204"/>
    </row>
    <row r="589" spans="1:30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206"/>
      <c r="T589" s="206"/>
      <c r="U589" s="204"/>
      <c r="V589" s="206"/>
      <c r="W589" s="206"/>
      <c r="X589" s="204"/>
      <c r="Y589" s="206"/>
      <c r="Z589" s="206"/>
      <c r="AA589" s="204"/>
      <c r="AB589" s="206"/>
      <c r="AC589" s="206"/>
      <c r="AD589" s="204"/>
    </row>
    <row r="590" spans="1:30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206"/>
      <c r="T590" s="206"/>
      <c r="U590" s="204"/>
      <c r="V590" s="206"/>
      <c r="W590" s="206"/>
      <c r="X590" s="204"/>
      <c r="Y590" s="206"/>
      <c r="Z590" s="206"/>
      <c r="AA590" s="204"/>
      <c r="AB590" s="206"/>
      <c r="AC590" s="206"/>
      <c r="AD590" s="204"/>
    </row>
    <row r="591" spans="1:30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206"/>
      <c r="T591" s="206"/>
      <c r="U591" s="204"/>
      <c r="V591" s="206"/>
      <c r="W591" s="206"/>
      <c r="X591" s="204"/>
      <c r="Y591" s="206"/>
      <c r="Z591" s="206"/>
      <c r="AA591" s="204"/>
      <c r="AB591" s="206"/>
      <c r="AC591" s="206"/>
      <c r="AD591" s="204"/>
    </row>
    <row r="592" spans="1:30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206"/>
      <c r="T592" s="206"/>
      <c r="U592" s="204"/>
      <c r="V592" s="206"/>
      <c r="W592" s="206"/>
      <c r="X592" s="204"/>
      <c r="Y592" s="206"/>
      <c r="Z592" s="206"/>
      <c r="AA592" s="204"/>
      <c r="AB592" s="206"/>
      <c r="AC592" s="206"/>
      <c r="AD592" s="204"/>
    </row>
    <row r="593" spans="1:30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206"/>
      <c r="T593" s="206"/>
      <c r="U593" s="204"/>
      <c r="V593" s="206"/>
      <c r="W593" s="206"/>
      <c r="X593" s="204"/>
      <c r="Y593" s="206"/>
      <c r="Z593" s="206"/>
      <c r="AA593" s="204"/>
      <c r="AB593" s="206"/>
      <c r="AC593" s="206"/>
      <c r="AD593" s="204"/>
    </row>
    <row r="594" spans="1:30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206"/>
      <c r="T594" s="206"/>
      <c r="U594" s="204"/>
      <c r="V594" s="206"/>
      <c r="W594" s="206"/>
      <c r="X594" s="204"/>
      <c r="Y594" s="206"/>
      <c r="Z594" s="206"/>
      <c r="AA594" s="204"/>
      <c r="AB594" s="206"/>
      <c r="AC594" s="206"/>
      <c r="AD594" s="204"/>
    </row>
    <row r="595" spans="1:30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206"/>
      <c r="T595" s="206"/>
      <c r="U595" s="204"/>
      <c r="V595" s="206"/>
      <c r="W595" s="206"/>
      <c r="X595" s="204"/>
      <c r="Y595" s="206"/>
      <c r="Z595" s="206"/>
      <c r="AA595" s="204"/>
      <c r="AB595" s="206"/>
      <c r="AC595" s="206"/>
      <c r="AD595" s="204"/>
    </row>
    <row r="596" spans="1:30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206"/>
      <c r="T596" s="206"/>
      <c r="U596" s="204"/>
      <c r="V596" s="206"/>
      <c r="W596" s="206"/>
      <c r="X596" s="204"/>
      <c r="Y596" s="206"/>
      <c r="Z596" s="206"/>
      <c r="AA596" s="204"/>
      <c r="AB596" s="206"/>
      <c r="AC596" s="206"/>
      <c r="AD596" s="204"/>
    </row>
    <row r="597" spans="1:30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206"/>
      <c r="T597" s="206"/>
      <c r="U597" s="204"/>
      <c r="V597" s="206"/>
      <c r="W597" s="206"/>
      <c r="X597" s="204"/>
      <c r="Y597" s="206"/>
      <c r="Z597" s="206"/>
      <c r="AA597" s="204"/>
      <c r="AB597" s="206"/>
      <c r="AC597" s="206"/>
      <c r="AD597" s="204"/>
    </row>
    <row r="598" spans="1:30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206"/>
      <c r="T598" s="206"/>
      <c r="U598" s="204"/>
      <c r="V598" s="206"/>
      <c r="W598" s="206"/>
      <c r="X598" s="204"/>
      <c r="Y598" s="206"/>
      <c r="Z598" s="206"/>
      <c r="AA598" s="204"/>
      <c r="AB598" s="206"/>
      <c r="AC598" s="206"/>
      <c r="AD598" s="204"/>
    </row>
    <row r="599" spans="1:30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206"/>
      <c r="T599" s="206"/>
      <c r="U599" s="204"/>
      <c r="V599" s="206"/>
      <c r="W599" s="206"/>
      <c r="X599" s="204"/>
      <c r="Y599" s="206"/>
      <c r="Z599" s="206"/>
      <c r="AA599" s="204"/>
      <c r="AB599" s="206"/>
      <c r="AC599" s="206"/>
      <c r="AD599" s="204"/>
    </row>
    <row r="600" spans="1:30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206"/>
      <c r="T600" s="206"/>
      <c r="U600" s="204"/>
      <c r="V600" s="206"/>
      <c r="W600" s="206"/>
      <c r="X600" s="204"/>
      <c r="Y600" s="206"/>
      <c r="Z600" s="206"/>
      <c r="AA600" s="204"/>
      <c r="AB600" s="206"/>
      <c r="AC600" s="206"/>
      <c r="AD600" s="204"/>
    </row>
    <row r="601" spans="1:30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206"/>
      <c r="T601" s="206"/>
      <c r="U601" s="204"/>
      <c r="V601" s="206"/>
      <c r="W601" s="206"/>
      <c r="X601" s="204"/>
      <c r="Y601" s="206"/>
      <c r="Z601" s="206"/>
      <c r="AA601" s="204"/>
      <c r="AB601" s="206"/>
      <c r="AC601" s="206"/>
      <c r="AD601" s="204"/>
    </row>
    <row r="602" spans="1:30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206"/>
      <c r="T602" s="206"/>
      <c r="U602" s="204"/>
      <c r="V602" s="206"/>
      <c r="W602" s="206"/>
      <c r="X602" s="204"/>
      <c r="Y602" s="206"/>
      <c r="Z602" s="206"/>
      <c r="AA602" s="204"/>
      <c r="AB602" s="206"/>
      <c r="AC602" s="206"/>
      <c r="AD602" s="204"/>
    </row>
    <row r="603" spans="1:30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206"/>
      <c r="T603" s="206"/>
      <c r="U603" s="204"/>
      <c r="V603" s="206"/>
      <c r="W603" s="206"/>
      <c r="X603" s="204"/>
      <c r="Y603" s="206"/>
      <c r="Z603" s="206"/>
      <c r="AA603" s="204"/>
      <c r="AB603" s="206"/>
      <c r="AC603" s="206"/>
      <c r="AD603" s="204"/>
    </row>
    <row r="604" spans="1:30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206"/>
      <c r="T604" s="206"/>
      <c r="U604" s="204"/>
      <c r="V604" s="206"/>
      <c r="W604" s="206"/>
      <c r="X604" s="204"/>
      <c r="Y604" s="206"/>
      <c r="Z604" s="206"/>
      <c r="AA604" s="204"/>
      <c r="AB604" s="206"/>
      <c r="AC604" s="206"/>
      <c r="AD604" s="204"/>
    </row>
    <row r="605" spans="1:30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206"/>
      <c r="T605" s="206"/>
      <c r="U605" s="204"/>
      <c r="V605" s="206"/>
      <c r="W605" s="206"/>
      <c r="X605" s="204"/>
      <c r="Y605" s="206"/>
      <c r="Z605" s="206"/>
      <c r="AA605" s="204"/>
      <c r="AB605" s="206"/>
      <c r="AC605" s="206"/>
      <c r="AD605" s="204"/>
    </row>
    <row r="606" spans="1:30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206"/>
      <c r="T606" s="206"/>
      <c r="U606" s="204"/>
      <c r="V606" s="206"/>
      <c r="W606" s="206"/>
      <c r="X606" s="204"/>
      <c r="Y606" s="206"/>
      <c r="Z606" s="206"/>
      <c r="AA606" s="204"/>
      <c r="AB606" s="206"/>
      <c r="AC606" s="206"/>
      <c r="AD606" s="204"/>
    </row>
    <row r="607" spans="1:30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206"/>
      <c r="T607" s="206"/>
      <c r="U607" s="204"/>
      <c r="V607" s="206"/>
      <c r="W607" s="206"/>
      <c r="X607" s="204"/>
      <c r="Y607" s="206"/>
      <c r="Z607" s="206"/>
      <c r="AA607" s="204"/>
      <c r="AB607" s="206"/>
      <c r="AC607" s="206"/>
      <c r="AD607" s="204"/>
    </row>
    <row r="608" spans="1:30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206"/>
      <c r="T608" s="206"/>
      <c r="U608" s="204"/>
      <c r="V608" s="206"/>
      <c r="W608" s="206"/>
      <c r="X608" s="204"/>
      <c r="Y608" s="206"/>
      <c r="Z608" s="206"/>
      <c r="AA608" s="204"/>
      <c r="AB608" s="206"/>
      <c r="AC608" s="206"/>
      <c r="AD608" s="204"/>
    </row>
    <row r="609" spans="1:30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206"/>
      <c r="T609" s="206"/>
      <c r="U609" s="204"/>
      <c r="V609" s="206"/>
      <c r="W609" s="206"/>
      <c r="X609" s="204"/>
      <c r="Y609" s="206"/>
      <c r="Z609" s="206"/>
      <c r="AA609" s="204"/>
      <c r="AB609" s="206"/>
      <c r="AC609" s="206"/>
      <c r="AD609" s="204"/>
    </row>
    <row r="610" spans="1:30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206"/>
      <c r="T610" s="206"/>
      <c r="U610" s="204"/>
      <c r="V610" s="206"/>
      <c r="W610" s="206"/>
      <c r="X610" s="204"/>
      <c r="Y610" s="206"/>
      <c r="Z610" s="206"/>
      <c r="AA610" s="204"/>
      <c r="AB610" s="206"/>
      <c r="AC610" s="206"/>
      <c r="AD610" s="204"/>
    </row>
    <row r="611" spans="1:30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206"/>
      <c r="T611" s="206"/>
      <c r="U611" s="204"/>
      <c r="V611" s="206"/>
      <c r="W611" s="206"/>
      <c r="X611" s="204"/>
      <c r="Y611" s="206"/>
      <c r="Z611" s="206"/>
      <c r="AA611" s="204"/>
      <c r="AB611" s="206"/>
      <c r="AC611" s="206"/>
      <c r="AD611" s="204"/>
    </row>
    <row r="612" spans="1:30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206"/>
      <c r="T612" s="206"/>
      <c r="U612" s="204"/>
      <c r="V612" s="206"/>
      <c r="W612" s="206"/>
      <c r="X612" s="204"/>
      <c r="Y612" s="206"/>
      <c r="Z612" s="206"/>
      <c r="AA612" s="204"/>
      <c r="AB612" s="206"/>
      <c r="AC612" s="206"/>
      <c r="AD612" s="204"/>
    </row>
    <row r="613" spans="1:30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206"/>
      <c r="T613" s="206"/>
      <c r="U613" s="204"/>
      <c r="V613" s="206"/>
      <c r="W613" s="206"/>
      <c r="X613" s="204"/>
      <c r="Y613" s="206"/>
      <c r="Z613" s="206"/>
      <c r="AA613" s="204"/>
      <c r="AB613" s="206"/>
      <c r="AC613" s="206"/>
      <c r="AD613" s="204"/>
    </row>
    <row r="614" spans="1:30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206"/>
      <c r="T614" s="206"/>
      <c r="U614" s="204"/>
      <c r="V614" s="206"/>
      <c r="W614" s="206"/>
      <c r="X614" s="204"/>
      <c r="Y614" s="206"/>
      <c r="Z614" s="206"/>
      <c r="AA614" s="204"/>
      <c r="AB614" s="206"/>
      <c r="AC614" s="206"/>
      <c r="AD614" s="204"/>
    </row>
    <row r="615" spans="1:30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206"/>
      <c r="T615" s="206"/>
      <c r="U615" s="204"/>
      <c r="V615" s="206"/>
      <c r="W615" s="206"/>
      <c r="X615" s="204"/>
      <c r="Y615" s="206"/>
      <c r="Z615" s="206"/>
      <c r="AA615" s="204"/>
      <c r="AB615" s="206"/>
      <c r="AC615" s="206"/>
      <c r="AD615" s="204"/>
    </row>
    <row r="616" spans="1:30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206"/>
      <c r="T616" s="206"/>
      <c r="U616" s="204"/>
      <c r="V616" s="206"/>
      <c r="W616" s="206"/>
      <c r="X616" s="204"/>
      <c r="Y616" s="206"/>
      <c r="Z616" s="206"/>
      <c r="AA616" s="204"/>
      <c r="AB616" s="206"/>
      <c r="AC616" s="206"/>
      <c r="AD616" s="204"/>
    </row>
    <row r="617" spans="1:30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206"/>
      <c r="T617" s="206"/>
      <c r="U617" s="204"/>
      <c r="V617" s="206"/>
      <c r="W617" s="206"/>
      <c r="X617" s="204"/>
      <c r="Y617" s="206"/>
      <c r="Z617" s="206"/>
      <c r="AA617" s="204"/>
      <c r="AB617" s="206"/>
      <c r="AC617" s="206"/>
      <c r="AD617" s="204"/>
    </row>
    <row r="618" spans="1:30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206"/>
      <c r="T618" s="206"/>
      <c r="U618" s="204"/>
      <c r="V618" s="206"/>
      <c r="W618" s="206"/>
      <c r="X618" s="204"/>
      <c r="Y618" s="206"/>
      <c r="Z618" s="206"/>
      <c r="AA618" s="204"/>
      <c r="AB618" s="206"/>
      <c r="AC618" s="206"/>
      <c r="AD618" s="204"/>
    </row>
    <row r="619" spans="1:30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206"/>
      <c r="T619" s="206"/>
      <c r="U619" s="204"/>
      <c r="V619" s="206"/>
      <c r="W619" s="206"/>
      <c r="X619" s="204"/>
      <c r="Y619" s="206"/>
      <c r="Z619" s="206"/>
      <c r="AA619" s="204"/>
      <c r="AB619" s="206"/>
      <c r="AC619" s="206"/>
      <c r="AD619" s="204"/>
    </row>
    <row r="620" spans="1:30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206"/>
      <c r="T620" s="206"/>
      <c r="U620" s="204"/>
      <c r="V620" s="206"/>
      <c r="W620" s="206"/>
      <c r="X620" s="204"/>
      <c r="Y620" s="206"/>
      <c r="Z620" s="206"/>
      <c r="AA620" s="204"/>
      <c r="AB620" s="206"/>
      <c r="AC620" s="206"/>
      <c r="AD620" s="204"/>
    </row>
    <row r="621" spans="1:30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206"/>
      <c r="T621" s="206"/>
      <c r="U621" s="204"/>
      <c r="V621" s="206"/>
      <c r="W621" s="206"/>
      <c r="X621" s="204"/>
      <c r="Y621" s="206"/>
      <c r="Z621" s="206"/>
      <c r="AA621" s="204"/>
      <c r="AB621" s="206"/>
      <c r="AC621" s="206"/>
      <c r="AD621" s="204"/>
    </row>
    <row r="622" spans="1:30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206"/>
      <c r="T622" s="206"/>
      <c r="U622" s="204"/>
      <c r="V622" s="206"/>
      <c r="W622" s="206"/>
      <c r="X622" s="204"/>
      <c r="Y622" s="206"/>
      <c r="Z622" s="206"/>
      <c r="AA622" s="204"/>
      <c r="AB622" s="206"/>
      <c r="AC622" s="206"/>
      <c r="AD622" s="204"/>
    </row>
    <row r="623" spans="1:30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206"/>
      <c r="T623" s="206"/>
      <c r="U623" s="204"/>
      <c r="V623" s="206"/>
      <c r="W623" s="206"/>
      <c r="X623" s="204"/>
      <c r="Y623" s="206"/>
      <c r="Z623" s="206"/>
      <c r="AA623" s="204"/>
      <c r="AB623" s="206"/>
      <c r="AC623" s="206"/>
      <c r="AD623" s="204"/>
    </row>
    <row r="624" spans="1:30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206"/>
      <c r="T624" s="206"/>
      <c r="U624" s="204"/>
      <c r="V624" s="206"/>
      <c r="W624" s="206"/>
      <c r="X624" s="204"/>
      <c r="Y624" s="206"/>
      <c r="Z624" s="206"/>
      <c r="AA624" s="204"/>
      <c r="AB624" s="206"/>
      <c r="AC624" s="206"/>
      <c r="AD624" s="204"/>
    </row>
    <row r="625" spans="1:30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206"/>
      <c r="T625" s="206"/>
      <c r="U625" s="204"/>
      <c r="V625" s="206"/>
      <c r="W625" s="206"/>
      <c r="X625" s="204"/>
      <c r="Y625" s="206"/>
      <c r="Z625" s="206"/>
      <c r="AA625" s="204"/>
      <c r="AB625" s="206"/>
      <c r="AC625" s="206"/>
      <c r="AD625" s="204"/>
    </row>
    <row r="626" spans="1:30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206"/>
      <c r="T626" s="206"/>
      <c r="U626" s="204"/>
      <c r="V626" s="206"/>
      <c r="W626" s="206"/>
      <c r="X626" s="204"/>
      <c r="Y626" s="206"/>
      <c r="Z626" s="206"/>
      <c r="AA626" s="204"/>
      <c r="AB626" s="206"/>
      <c r="AC626" s="206"/>
      <c r="AD626" s="204"/>
    </row>
    <row r="627" spans="1:30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206"/>
      <c r="T627" s="206"/>
      <c r="U627" s="204"/>
      <c r="V627" s="206"/>
      <c r="W627" s="206"/>
      <c r="X627" s="204"/>
      <c r="Y627" s="206"/>
      <c r="Z627" s="206"/>
      <c r="AA627" s="204"/>
      <c r="AB627" s="206"/>
      <c r="AC627" s="206"/>
      <c r="AD627" s="204"/>
    </row>
    <row r="628" spans="1:30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206"/>
      <c r="T628" s="206"/>
      <c r="U628" s="204"/>
      <c r="V628" s="206"/>
      <c r="W628" s="206"/>
      <c r="X628" s="204"/>
      <c r="Y628" s="206"/>
      <c r="Z628" s="206"/>
      <c r="AA628" s="204"/>
      <c r="AB628" s="206"/>
      <c r="AC628" s="206"/>
      <c r="AD628" s="204"/>
    </row>
    <row r="629" spans="1:30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206"/>
      <c r="T629" s="206"/>
      <c r="U629" s="204"/>
      <c r="V629" s="206"/>
      <c r="W629" s="206"/>
      <c r="X629" s="204"/>
      <c r="Y629" s="206"/>
      <c r="Z629" s="206"/>
      <c r="AA629" s="204"/>
      <c r="AB629" s="206"/>
      <c r="AC629" s="206"/>
      <c r="AD629" s="204"/>
    </row>
    <row r="630" spans="1:30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206"/>
      <c r="T630" s="206"/>
      <c r="U630" s="204"/>
      <c r="V630" s="206"/>
      <c r="W630" s="206"/>
      <c r="X630" s="204"/>
      <c r="Y630" s="206"/>
      <c r="Z630" s="206"/>
      <c r="AA630" s="204"/>
      <c r="AB630" s="206"/>
      <c r="AC630" s="206"/>
      <c r="AD630" s="204"/>
    </row>
    <row r="631" spans="1:30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206"/>
      <c r="T631" s="206"/>
      <c r="U631" s="204"/>
      <c r="V631" s="206"/>
      <c r="W631" s="206"/>
      <c r="X631" s="204"/>
      <c r="Y631" s="206"/>
      <c r="Z631" s="206"/>
      <c r="AA631" s="204"/>
      <c r="AB631" s="206"/>
      <c r="AC631" s="206"/>
      <c r="AD631" s="204"/>
    </row>
    <row r="632" spans="1:30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206"/>
      <c r="T632" s="206"/>
      <c r="U632" s="204"/>
      <c r="V632" s="206"/>
      <c r="W632" s="206"/>
      <c r="X632" s="204"/>
      <c r="Y632" s="206"/>
      <c r="Z632" s="206"/>
      <c r="AA632" s="204"/>
      <c r="AB632" s="206"/>
      <c r="AC632" s="206"/>
      <c r="AD632" s="204"/>
    </row>
    <row r="633" spans="1:30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206"/>
      <c r="T633" s="206"/>
      <c r="U633" s="204"/>
      <c r="V633" s="206"/>
      <c r="W633" s="206"/>
      <c r="X633" s="204"/>
      <c r="Y633" s="206"/>
      <c r="Z633" s="206"/>
      <c r="AA633" s="204"/>
      <c r="AB633" s="206"/>
      <c r="AC633" s="206"/>
      <c r="AD633" s="204"/>
    </row>
    <row r="634" spans="1:30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206"/>
      <c r="T634" s="206"/>
      <c r="U634" s="204"/>
      <c r="V634" s="206"/>
      <c r="W634" s="206"/>
      <c r="X634" s="204"/>
      <c r="Y634" s="206"/>
      <c r="Z634" s="206"/>
      <c r="AA634" s="204"/>
      <c r="AB634" s="206"/>
      <c r="AC634" s="206"/>
      <c r="AD634" s="204"/>
    </row>
    <row r="635" spans="1:30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206"/>
      <c r="T635" s="206"/>
      <c r="U635" s="204"/>
      <c r="V635" s="206"/>
      <c r="W635" s="206"/>
      <c r="X635" s="204"/>
      <c r="Y635" s="206"/>
      <c r="Z635" s="206"/>
      <c r="AA635" s="204"/>
      <c r="AB635" s="206"/>
      <c r="AC635" s="206"/>
      <c r="AD635" s="204"/>
    </row>
    <row r="636" spans="1:30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206"/>
      <c r="T636" s="206"/>
      <c r="U636" s="204"/>
      <c r="V636" s="206"/>
      <c r="W636" s="206"/>
      <c r="X636" s="204"/>
      <c r="Y636" s="206"/>
      <c r="Z636" s="206"/>
      <c r="AA636" s="204"/>
      <c r="AB636" s="206"/>
      <c r="AC636" s="206"/>
      <c r="AD636" s="204"/>
    </row>
    <row r="637" spans="1:30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206"/>
      <c r="T637" s="206"/>
      <c r="U637" s="204"/>
      <c r="V637" s="206"/>
      <c r="W637" s="206"/>
      <c r="X637" s="204"/>
      <c r="Y637" s="206"/>
      <c r="Z637" s="206"/>
      <c r="AA637" s="204"/>
      <c r="AB637" s="206"/>
      <c r="AC637" s="206"/>
      <c r="AD637" s="204"/>
    </row>
    <row r="638" spans="1:30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206"/>
      <c r="T638" s="206"/>
      <c r="U638" s="204"/>
      <c r="V638" s="206"/>
      <c r="W638" s="206"/>
      <c r="X638" s="204"/>
      <c r="Y638" s="206"/>
      <c r="Z638" s="206"/>
      <c r="AA638" s="204"/>
      <c r="AB638" s="206"/>
      <c r="AC638" s="206"/>
      <c r="AD638" s="204"/>
    </row>
    <row r="639" spans="1:30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206"/>
      <c r="T639" s="206"/>
      <c r="U639" s="204"/>
      <c r="V639" s="206"/>
      <c r="W639" s="206"/>
      <c r="X639" s="204"/>
      <c r="Y639" s="206"/>
      <c r="Z639" s="206"/>
      <c r="AA639" s="204"/>
      <c r="AB639" s="206"/>
      <c r="AC639" s="206"/>
      <c r="AD639" s="204"/>
    </row>
    <row r="640" spans="1:30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206"/>
      <c r="T640" s="206"/>
      <c r="U640" s="204"/>
      <c r="V640" s="206"/>
      <c r="W640" s="206"/>
      <c r="X640" s="204"/>
      <c r="Y640" s="206"/>
      <c r="Z640" s="206"/>
      <c r="AA640" s="204"/>
      <c r="AB640" s="206"/>
      <c r="AC640" s="206"/>
      <c r="AD640" s="204"/>
    </row>
    <row r="641" spans="1:30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206"/>
      <c r="T641" s="206"/>
      <c r="U641" s="204"/>
      <c r="V641" s="206"/>
      <c r="W641" s="206"/>
      <c r="X641" s="204"/>
      <c r="Y641" s="206"/>
      <c r="Z641" s="206"/>
      <c r="AA641" s="204"/>
      <c r="AB641" s="206"/>
      <c r="AC641" s="206"/>
      <c r="AD641" s="204"/>
    </row>
    <row r="642" spans="1:30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206"/>
      <c r="T642" s="206"/>
      <c r="U642" s="204"/>
      <c r="V642" s="206"/>
      <c r="W642" s="206"/>
      <c r="X642" s="204"/>
      <c r="Y642" s="206"/>
      <c r="Z642" s="206"/>
      <c r="AA642" s="204"/>
      <c r="AB642" s="206"/>
      <c r="AC642" s="206"/>
      <c r="AD642" s="204"/>
    </row>
    <row r="643" spans="1:30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206"/>
      <c r="T643" s="206"/>
      <c r="U643" s="204"/>
      <c r="V643" s="206"/>
      <c r="W643" s="206"/>
      <c r="X643" s="204"/>
      <c r="Y643" s="206"/>
      <c r="Z643" s="206"/>
      <c r="AA643" s="204"/>
      <c r="AB643" s="206"/>
      <c r="AC643" s="206"/>
      <c r="AD643" s="204"/>
    </row>
    <row r="644" spans="1:30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206"/>
      <c r="T644" s="206"/>
      <c r="U644" s="204"/>
      <c r="V644" s="206"/>
      <c r="W644" s="206"/>
      <c r="X644" s="204"/>
      <c r="Y644" s="206"/>
      <c r="Z644" s="206"/>
      <c r="AA644" s="204"/>
      <c r="AB644" s="206"/>
      <c r="AC644" s="206"/>
      <c r="AD644" s="204"/>
    </row>
    <row r="645" spans="1:30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206"/>
      <c r="T645" s="206"/>
      <c r="U645" s="204"/>
      <c r="V645" s="206"/>
      <c r="W645" s="206"/>
      <c r="X645" s="204"/>
      <c r="Y645" s="206"/>
      <c r="Z645" s="206"/>
      <c r="AA645" s="204"/>
      <c r="AB645" s="206"/>
      <c r="AC645" s="206"/>
      <c r="AD645" s="204"/>
    </row>
    <row r="646" spans="1:30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206"/>
      <c r="T646" s="206"/>
      <c r="U646" s="204"/>
      <c r="V646" s="206"/>
      <c r="W646" s="206"/>
      <c r="X646" s="204"/>
      <c r="Y646" s="206"/>
      <c r="Z646" s="206"/>
      <c r="AA646" s="204"/>
      <c r="AB646" s="206"/>
      <c r="AC646" s="206"/>
      <c r="AD646" s="204"/>
    </row>
    <row r="647" spans="1:30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206"/>
      <c r="T647" s="206"/>
      <c r="U647" s="204"/>
      <c r="V647" s="206"/>
      <c r="W647" s="206"/>
      <c r="X647" s="204"/>
      <c r="Y647" s="206"/>
      <c r="Z647" s="206"/>
      <c r="AA647" s="204"/>
      <c r="AB647" s="206"/>
      <c r="AC647" s="206"/>
      <c r="AD647" s="204"/>
    </row>
    <row r="648" spans="1:30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206"/>
      <c r="T648" s="206"/>
      <c r="U648" s="204"/>
      <c r="V648" s="206"/>
      <c r="W648" s="206"/>
      <c r="X648" s="204"/>
      <c r="Y648" s="206"/>
      <c r="Z648" s="206"/>
      <c r="AA648" s="204"/>
      <c r="AB648" s="206"/>
      <c r="AC648" s="206"/>
      <c r="AD648" s="204"/>
    </row>
    <row r="649" spans="1:30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206"/>
      <c r="T649" s="206"/>
      <c r="U649" s="204"/>
      <c r="V649" s="206"/>
      <c r="W649" s="206"/>
      <c r="X649" s="204"/>
      <c r="Y649" s="206"/>
      <c r="Z649" s="206"/>
      <c r="AA649" s="204"/>
      <c r="AB649" s="206"/>
      <c r="AC649" s="206"/>
      <c r="AD649" s="204"/>
    </row>
    <row r="650" spans="1:30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206"/>
      <c r="T650" s="206"/>
      <c r="U650" s="204"/>
      <c r="V650" s="206"/>
      <c r="W650" s="206"/>
      <c r="X650" s="204"/>
      <c r="Y650" s="206"/>
      <c r="Z650" s="206"/>
      <c r="AA650" s="204"/>
      <c r="AB650" s="206"/>
      <c r="AC650" s="206"/>
      <c r="AD650" s="204"/>
    </row>
    <row r="651" spans="1:30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206"/>
      <c r="T651" s="206"/>
      <c r="U651" s="204"/>
      <c r="V651" s="206"/>
      <c r="W651" s="206"/>
      <c r="X651" s="204"/>
      <c r="Y651" s="206"/>
      <c r="Z651" s="206"/>
      <c r="AA651" s="204"/>
      <c r="AB651" s="206"/>
      <c r="AC651" s="206"/>
      <c r="AD651" s="204"/>
    </row>
    <row r="652" spans="1:30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206"/>
      <c r="T652" s="206"/>
      <c r="U652" s="204"/>
      <c r="V652" s="206"/>
      <c r="W652" s="206"/>
      <c r="X652" s="204"/>
      <c r="Y652" s="206"/>
      <c r="Z652" s="206"/>
      <c r="AA652" s="204"/>
      <c r="AB652" s="206"/>
      <c r="AC652" s="206"/>
      <c r="AD652" s="204"/>
    </row>
    <row r="653" spans="1:30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206"/>
      <c r="T653" s="206"/>
      <c r="U653" s="204"/>
      <c r="V653" s="206"/>
      <c r="W653" s="206"/>
      <c r="X653" s="204"/>
      <c r="Y653" s="206"/>
      <c r="Z653" s="206"/>
      <c r="AA653" s="204"/>
      <c r="AB653" s="206"/>
      <c r="AC653" s="206"/>
      <c r="AD653" s="204"/>
    </row>
    <row r="654" spans="1:30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206"/>
      <c r="T654" s="206"/>
      <c r="U654" s="204"/>
      <c r="V654" s="206"/>
      <c r="W654" s="206"/>
      <c r="X654" s="204"/>
      <c r="Y654" s="206"/>
      <c r="Z654" s="206"/>
      <c r="AA654" s="204"/>
      <c r="AB654" s="206"/>
      <c r="AC654" s="206"/>
      <c r="AD654" s="204"/>
    </row>
    <row r="655" spans="1:30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206"/>
      <c r="T655" s="206"/>
      <c r="U655" s="204"/>
      <c r="V655" s="206"/>
      <c r="W655" s="206"/>
      <c r="X655" s="204"/>
      <c r="Y655" s="206"/>
      <c r="Z655" s="206"/>
      <c r="AA655" s="204"/>
      <c r="AB655" s="206"/>
      <c r="AC655" s="206"/>
      <c r="AD655" s="204"/>
    </row>
    <row r="656" spans="1:30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206"/>
      <c r="T656" s="206"/>
      <c r="U656" s="204"/>
      <c r="V656" s="206"/>
      <c r="W656" s="206"/>
      <c r="X656" s="204"/>
      <c r="Y656" s="206"/>
      <c r="Z656" s="206"/>
      <c r="AA656" s="204"/>
      <c r="AB656" s="206"/>
      <c r="AC656" s="206"/>
      <c r="AD656" s="204"/>
    </row>
    <row r="657" spans="1:30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206"/>
      <c r="T657" s="206"/>
      <c r="U657" s="204"/>
      <c r="V657" s="206"/>
      <c r="W657" s="206"/>
      <c r="X657" s="204"/>
      <c r="Y657" s="206"/>
      <c r="Z657" s="206"/>
      <c r="AA657" s="204"/>
      <c r="AB657" s="206"/>
      <c r="AC657" s="206"/>
      <c r="AD657" s="204"/>
    </row>
    <row r="658" spans="1:30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206"/>
      <c r="T658" s="206"/>
      <c r="U658" s="204"/>
      <c r="V658" s="206"/>
      <c r="W658" s="206"/>
      <c r="X658" s="204"/>
      <c r="Y658" s="206"/>
      <c r="Z658" s="206"/>
      <c r="AA658" s="204"/>
      <c r="AB658" s="206"/>
      <c r="AC658" s="206"/>
      <c r="AD658" s="204"/>
    </row>
    <row r="659" spans="1:30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206"/>
      <c r="T659" s="206"/>
      <c r="U659" s="204"/>
      <c r="V659" s="206"/>
      <c r="W659" s="206"/>
      <c r="X659" s="204"/>
      <c r="Y659" s="206"/>
      <c r="Z659" s="206"/>
      <c r="AA659" s="204"/>
      <c r="AB659" s="206"/>
      <c r="AC659" s="206"/>
      <c r="AD659" s="204"/>
    </row>
    <row r="660" spans="1:30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206"/>
      <c r="T660" s="206"/>
      <c r="U660" s="204"/>
      <c r="V660" s="206"/>
      <c r="W660" s="206"/>
      <c r="X660" s="204"/>
      <c r="Y660" s="206"/>
      <c r="Z660" s="206"/>
      <c r="AA660" s="204"/>
      <c r="AB660" s="206"/>
      <c r="AC660" s="206"/>
      <c r="AD660" s="204"/>
    </row>
    <row r="661" spans="1:30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206"/>
      <c r="T661" s="206"/>
      <c r="U661" s="204"/>
      <c r="V661" s="206"/>
      <c r="W661" s="206"/>
      <c r="X661" s="204"/>
      <c r="Y661" s="206"/>
      <c r="Z661" s="206"/>
      <c r="AA661" s="204"/>
      <c r="AB661" s="206"/>
      <c r="AC661" s="206"/>
      <c r="AD661" s="204"/>
    </row>
    <row r="662" spans="1:30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206"/>
      <c r="T662" s="206"/>
      <c r="U662" s="204"/>
      <c r="V662" s="206"/>
      <c r="W662" s="206"/>
      <c r="X662" s="204"/>
      <c r="Y662" s="206"/>
      <c r="Z662" s="206"/>
      <c r="AA662" s="204"/>
      <c r="AB662" s="206"/>
      <c r="AC662" s="206"/>
      <c r="AD662" s="204"/>
    </row>
    <row r="663" spans="1:30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206"/>
      <c r="T663" s="206"/>
      <c r="U663" s="204"/>
      <c r="V663" s="206"/>
      <c r="W663" s="206"/>
      <c r="X663" s="204"/>
      <c r="Y663" s="206"/>
      <c r="Z663" s="206"/>
      <c r="AA663" s="204"/>
      <c r="AB663" s="206"/>
      <c r="AC663" s="206"/>
      <c r="AD663" s="204"/>
    </row>
    <row r="664" spans="1:30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206"/>
      <c r="T664" s="206"/>
      <c r="U664" s="204"/>
      <c r="V664" s="206"/>
      <c r="W664" s="206"/>
      <c r="X664" s="204"/>
      <c r="Y664" s="206"/>
      <c r="Z664" s="206"/>
      <c r="AA664" s="204"/>
      <c r="AB664" s="206"/>
      <c r="AC664" s="206"/>
      <c r="AD664" s="204"/>
    </row>
    <row r="665" spans="1:30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206"/>
      <c r="T665" s="206"/>
      <c r="U665" s="204"/>
      <c r="V665" s="206"/>
      <c r="W665" s="206"/>
      <c r="X665" s="204"/>
      <c r="Y665" s="206"/>
      <c r="Z665" s="206"/>
      <c r="AA665" s="204"/>
      <c r="AB665" s="206"/>
      <c r="AC665" s="206"/>
      <c r="AD665" s="204"/>
    </row>
    <row r="666" spans="1:30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206"/>
      <c r="T666" s="206"/>
      <c r="U666" s="204"/>
      <c r="V666" s="206"/>
      <c r="W666" s="206"/>
      <c r="X666" s="204"/>
      <c r="Y666" s="206"/>
      <c r="Z666" s="206"/>
      <c r="AA666" s="204"/>
      <c r="AB666" s="206"/>
      <c r="AC666" s="206"/>
      <c r="AD666" s="204"/>
    </row>
    <row r="667" spans="1:30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206"/>
      <c r="T667" s="206"/>
      <c r="U667" s="204"/>
      <c r="V667" s="206"/>
      <c r="W667" s="206"/>
      <c r="X667" s="204"/>
      <c r="Y667" s="206"/>
      <c r="Z667" s="206"/>
      <c r="AA667" s="204"/>
      <c r="AB667" s="206"/>
      <c r="AC667" s="206"/>
      <c r="AD667" s="204"/>
    </row>
    <row r="668" spans="1:30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206"/>
      <c r="T668" s="206"/>
      <c r="U668" s="204"/>
      <c r="V668" s="206"/>
      <c r="W668" s="206"/>
      <c r="X668" s="204"/>
      <c r="Y668" s="206"/>
      <c r="Z668" s="206"/>
      <c r="AA668" s="204"/>
      <c r="AB668" s="206"/>
      <c r="AC668" s="206"/>
      <c r="AD668" s="204"/>
    </row>
    <row r="669" spans="1:30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206"/>
      <c r="T669" s="206"/>
      <c r="U669" s="204"/>
      <c r="V669" s="206"/>
      <c r="W669" s="206"/>
      <c r="X669" s="204"/>
      <c r="Y669" s="206"/>
      <c r="Z669" s="206"/>
      <c r="AA669" s="204"/>
      <c r="AB669" s="206"/>
      <c r="AC669" s="206"/>
      <c r="AD669" s="204"/>
    </row>
    <row r="670" spans="1:30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206"/>
      <c r="T670" s="206"/>
      <c r="U670" s="204"/>
      <c r="V670" s="206"/>
      <c r="W670" s="206"/>
      <c r="X670" s="204"/>
      <c r="Y670" s="206"/>
      <c r="Z670" s="206"/>
      <c r="AA670" s="204"/>
      <c r="AB670" s="206"/>
      <c r="AC670" s="206"/>
      <c r="AD670" s="204"/>
    </row>
    <row r="671" spans="1:30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206"/>
      <c r="T671" s="206"/>
      <c r="U671" s="204"/>
      <c r="V671" s="206"/>
      <c r="W671" s="206"/>
      <c r="X671" s="204"/>
      <c r="Y671" s="206"/>
      <c r="Z671" s="206"/>
      <c r="AA671" s="204"/>
      <c r="AB671" s="206"/>
      <c r="AC671" s="206"/>
      <c r="AD671" s="204"/>
    </row>
    <row r="672" spans="1:30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206"/>
      <c r="T672" s="206"/>
      <c r="U672" s="204"/>
      <c r="V672" s="206"/>
      <c r="W672" s="206"/>
      <c r="X672" s="204"/>
      <c r="Y672" s="206"/>
      <c r="Z672" s="206"/>
      <c r="AA672" s="204"/>
      <c r="AB672" s="206"/>
      <c r="AC672" s="206"/>
      <c r="AD672" s="204"/>
    </row>
    <row r="673" spans="1:30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206"/>
      <c r="T673" s="206"/>
      <c r="U673" s="204"/>
      <c r="V673" s="206"/>
      <c r="W673" s="206"/>
      <c r="X673" s="204"/>
      <c r="Y673" s="206"/>
      <c r="Z673" s="206"/>
      <c r="AA673" s="204"/>
      <c r="AB673" s="206"/>
      <c r="AC673" s="206"/>
      <c r="AD673" s="204"/>
    </row>
    <row r="674" spans="1:30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206"/>
      <c r="T674" s="206"/>
      <c r="U674" s="204"/>
      <c r="V674" s="206"/>
      <c r="W674" s="206"/>
      <c r="X674" s="204"/>
      <c r="Y674" s="206"/>
      <c r="Z674" s="206"/>
      <c r="AA674" s="204"/>
      <c r="AB674" s="206"/>
      <c r="AC674" s="206"/>
      <c r="AD674" s="204"/>
    </row>
    <row r="675" spans="1:30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206"/>
      <c r="T675" s="206"/>
      <c r="U675" s="204"/>
      <c r="V675" s="206"/>
      <c r="W675" s="206"/>
      <c r="X675" s="204"/>
      <c r="Y675" s="206"/>
      <c r="Z675" s="206"/>
      <c r="AA675" s="204"/>
      <c r="AB675" s="206"/>
      <c r="AC675" s="206"/>
      <c r="AD675" s="204"/>
    </row>
    <row r="676" spans="1:30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206"/>
      <c r="T676" s="206"/>
      <c r="U676" s="204"/>
      <c r="V676" s="206"/>
      <c r="W676" s="206"/>
      <c r="X676" s="204"/>
      <c r="Y676" s="206"/>
      <c r="Z676" s="206"/>
      <c r="AA676" s="204"/>
      <c r="AB676" s="206"/>
      <c r="AC676" s="206"/>
      <c r="AD676" s="204"/>
    </row>
    <row r="677" spans="1:30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206"/>
      <c r="T677" s="206"/>
      <c r="U677" s="204"/>
      <c r="V677" s="206"/>
      <c r="W677" s="206"/>
      <c r="X677" s="204"/>
      <c r="Y677" s="206"/>
      <c r="Z677" s="206"/>
      <c r="AA677" s="204"/>
      <c r="AB677" s="206"/>
      <c r="AC677" s="206"/>
      <c r="AD677" s="204"/>
    </row>
    <row r="678" spans="1:30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206"/>
      <c r="T678" s="206"/>
      <c r="U678" s="204"/>
      <c r="V678" s="206"/>
      <c r="W678" s="206"/>
      <c r="X678" s="204"/>
      <c r="Y678" s="206"/>
      <c r="Z678" s="206"/>
      <c r="AA678" s="204"/>
      <c r="AB678" s="206"/>
      <c r="AC678" s="206"/>
      <c r="AD678" s="204"/>
    </row>
    <row r="679" spans="1:30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206"/>
      <c r="T679" s="206"/>
      <c r="U679" s="204"/>
      <c r="V679" s="206"/>
      <c r="W679" s="206"/>
      <c r="X679" s="204"/>
      <c r="Y679" s="206"/>
      <c r="Z679" s="206"/>
      <c r="AA679" s="204"/>
      <c r="AB679" s="206"/>
      <c r="AC679" s="206"/>
      <c r="AD679" s="204"/>
    </row>
    <row r="680" spans="1:30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206"/>
      <c r="T680" s="206"/>
      <c r="U680" s="204"/>
      <c r="V680" s="206"/>
      <c r="W680" s="206"/>
      <c r="X680" s="204"/>
      <c r="Y680" s="206"/>
      <c r="Z680" s="206"/>
      <c r="AA680" s="204"/>
      <c r="AB680" s="206"/>
      <c r="AC680" s="206"/>
      <c r="AD680" s="204"/>
    </row>
    <row r="681" spans="1:30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206"/>
      <c r="T681" s="206"/>
      <c r="U681" s="204"/>
      <c r="V681" s="206"/>
      <c r="W681" s="206"/>
      <c r="X681" s="204"/>
      <c r="Y681" s="206"/>
      <c r="Z681" s="206"/>
      <c r="AA681" s="204"/>
      <c r="AB681" s="206"/>
      <c r="AC681" s="206"/>
      <c r="AD681" s="204"/>
    </row>
    <row r="682" spans="1:30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206"/>
      <c r="T682" s="206"/>
      <c r="U682" s="204"/>
      <c r="V682" s="206"/>
      <c r="W682" s="206"/>
      <c r="X682" s="204"/>
      <c r="Y682" s="206"/>
      <c r="Z682" s="206"/>
      <c r="AA682" s="204"/>
      <c r="AB682" s="206"/>
      <c r="AC682" s="206"/>
      <c r="AD682" s="204"/>
    </row>
    <row r="683" spans="1:30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206"/>
      <c r="T683" s="206"/>
      <c r="U683" s="204"/>
      <c r="V683" s="206"/>
      <c r="W683" s="206"/>
      <c r="X683" s="204"/>
      <c r="Y683" s="206"/>
      <c r="Z683" s="206"/>
      <c r="AA683" s="204"/>
      <c r="AB683" s="206"/>
      <c r="AC683" s="206"/>
      <c r="AD683" s="204"/>
    </row>
    <row r="684" spans="1:30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206"/>
      <c r="T684" s="206"/>
      <c r="U684" s="204"/>
      <c r="V684" s="206"/>
      <c r="W684" s="206"/>
      <c r="X684" s="204"/>
      <c r="Y684" s="206"/>
      <c r="Z684" s="206"/>
      <c r="AA684" s="204"/>
      <c r="AB684" s="206"/>
      <c r="AC684" s="206"/>
      <c r="AD684" s="204"/>
    </row>
    <row r="685" spans="1:30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206"/>
      <c r="T685" s="206"/>
      <c r="U685" s="204"/>
      <c r="V685" s="206"/>
      <c r="W685" s="206"/>
      <c r="X685" s="204"/>
      <c r="Y685" s="206"/>
      <c r="Z685" s="206"/>
      <c r="AA685" s="204"/>
      <c r="AB685" s="206"/>
      <c r="AC685" s="206"/>
      <c r="AD685" s="204"/>
    </row>
    <row r="686" spans="1:30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206"/>
      <c r="T686" s="206"/>
      <c r="U686" s="204"/>
      <c r="V686" s="206"/>
      <c r="W686" s="206"/>
      <c r="X686" s="204"/>
      <c r="Y686" s="206"/>
      <c r="Z686" s="206"/>
      <c r="AA686" s="204"/>
      <c r="AB686" s="206"/>
      <c r="AC686" s="206"/>
      <c r="AD686" s="204"/>
    </row>
    <row r="687" spans="1:30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206"/>
      <c r="T687" s="206"/>
      <c r="U687" s="204"/>
      <c r="V687" s="206"/>
      <c r="W687" s="206"/>
      <c r="X687" s="204"/>
      <c r="Y687" s="206"/>
      <c r="Z687" s="206"/>
      <c r="AA687" s="204"/>
      <c r="AB687" s="206"/>
      <c r="AC687" s="206"/>
      <c r="AD687" s="204"/>
    </row>
    <row r="688" spans="1:30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206"/>
      <c r="T688" s="206"/>
      <c r="U688" s="204"/>
      <c r="V688" s="206"/>
      <c r="W688" s="206"/>
      <c r="X688" s="204"/>
      <c r="Y688" s="206"/>
      <c r="Z688" s="206"/>
      <c r="AA688" s="204"/>
      <c r="AB688" s="206"/>
      <c r="AC688" s="206"/>
      <c r="AD688" s="204"/>
    </row>
    <row r="689" spans="1:30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206"/>
      <c r="T689" s="206"/>
      <c r="U689" s="204"/>
      <c r="V689" s="206"/>
      <c r="W689" s="206"/>
      <c r="X689" s="204"/>
      <c r="Y689" s="206"/>
      <c r="Z689" s="206"/>
      <c r="AA689" s="204"/>
      <c r="AB689" s="206"/>
      <c r="AC689" s="206"/>
      <c r="AD689" s="204"/>
    </row>
    <row r="690" spans="1:30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206"/>
      <c r="T690" s="206"/>
      <c r="U690" s="204"/>
      <c r="V690" s="206"/>
      <c r="W690" s="206"/>
      <c r="X690" s="204"/>
      <c r="Y690" s="206"/>
      <c r="Z690" s="206"/>
      <c r="AA690" s="204"/>
      <c r="AB690" s="206"/>
      <c r="AC690" s="206"/>
      <c r="AD690" s="204"/>
    </row>
    <row r="691" spans="1:30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206"/>
      <c r="T691" s="206"/>
      <c r="U691" s="204"/>
      <c r="V691" s="206"/>
      <c r="W691" s="206"/>
      <c r="X691" s="204"/>
      <c r="Y691" s="206"/>
      <c r="Z691" s="206"/>
      <c r="AA691" s="204"/>
      <c r="AB691" s="206"/>
      <c r="AC691" s="206"/>
      <c r="AD691" s="204"/>
    </row>
    <row r="692" spans="1:30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206"/>
      <c r="T692" s="206"/>
      <c r="U692" s="204"/>
      <c r="V692" s="206"/>
      <c r="W692" s="206"/>
      <c r="X692" s="204"/>
      <c r="Y692" s="206"/>
      <c r="Z692" s="206"/>
      <c r="AA692" s="204"/>
      <c r="AB692" s="206"/>
      <c r="AC692" s="206"/>
      <c r="AD692" s="204"/>
    </row>
    <row r="693" spans="1:30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206"/>
      <c r="T693" s="206"/>
      <c r="U693" s="204"/>
      <c r="V693" s="206"/>
      <c r="W693" s="206"/>
      <c r="X693" s="204"/>
      <c r="Y693" s="206"/>
      <c r="Z693" s="206"/>
      <c r="AA693" s="204"/>
      <c r="AB693" s="206"/>
      <c r="AC693" s="206"/>
      <c r="AD693" s="204"/>
    </row>
    <row r="694" spans="1:30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206"/>
      <c r="T694" s="206"/>
      <c r="U694" s="204"/>
      <c r="V694" s="206"/>
      <c r="W694" s="206"/>
      <c r="X694" s="204"/>
      <c r="Y694" s="206"/>
      <c r="Z694" s="206"/>
      <c r="AA694" s="204"/>
      <c r="AB694" s="206"/>
      <c r="AC694" s="206"/>
      <c r="AD694" s="204"/>
    </row>
    <row r="695" spans="1:30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206"/>
      <c r="T695" s="206"/>
      <c r="U695" s="204"/>
      <c r="V695" s="206"/>
      <c r="W695" s="206"/>
      <c r="X695" s="204"/>
      <c r="Y695" s="206"/>
      <c r="Z695" s="206"/>
      <c r="AA695" s="204"/>
      <c r="AB695" s="206"/>
      <c r="AC695" s="206"/>
      <c r="AD695" s="204"/>
    </row>
    <row r="696" spans="1:30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206"/>
      <c r="T696" s="206"/>
      <c r="U696" s="204"/>
      <c r="V696" s="206"/>
      <c r="W696" s="206"/>
      <c r="X696" s="204"/>
      <c r="Y696" s="206"/>
      <c r="Z696" s="206"/>
      <c r="AA696" s="204"/>
      <c r="AB696" s="206"/>
      <c r="AC696" s="206"/>
      <c r="AD696" s="204"/>
    </row>
    <row r="697" spans="1:30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206"/>
      <c r="T697" s="206"/>
      <c r="U697" s="204"/>
      <c r="V697" s="206"/>
      <c r="W697" s="206"/>
      <c r="X697" s="204"/>
      <c r="Y697" s="206"/>
      <c r="Z697" s="206"/>
      <c r="AA697" s="204"/>
      <c r="AB697" s="206"/>
      <c r="AC697" s="206"/>
      <c r="AD697" s="204"/>
    </row>
    <row r="698" spans="1:30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206"/>
      <c r="T698" s="206"/>
      <c r="U698" s="204"/>
      <c r="V698" s="206"/>
      <c r="W698" s="206"/>
      <c r="X698" s="204"/>
      <c r="Y698" s="206"/>
      <c r="Z698" s="206"/>
      <c r="AA698" s="204"/>
      <c r="AB698" s="206"/>
      <c r="AC698" s="206"/>
      <c r="AD698" s="204"/>
    </row>
    <row r="699" spans="1:30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206"/>
      <c r="T699" s="206"/>
      <c r="U699" s="204"/>
      <c r="V699" s="206"/>
      <c r="W699" s="206"/>
      <c r="X699" s="204"/>
      <c r="Y699" s="206"/>
      <c r="Z699" s="206"/>
      <c r="AA699" s="204"/>
      <c r="AB699" s="206"/>
      <c r="AC699" s="206"/>
      <c r="AD699" s="204"/>
    </row>
    <row r="700" spans="1:30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206"/>
      <c r="T700" s="206"/>
      <c r="U700" s="204"/>
      <c r="V700" s="206"/>
      <c r="W700" s="206"/>
      <c r="X700" s="204"/>
      <c r="Y700" s="206"/>
      <c r="Z700" s="206"/>
      <c r="AA700" s="204"/>
      <c r="AB700" s="206"/>
      <c r="AC700" s="206"/>
      <c r="AD700" s="204"/>
    </row>
    <row r="701" spans="1:30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206"/>
      <c r="T701" s="206"/>
      <c r="U701" s="204"/>
      <c r="V701" s="206"/>
      <c r="W701" s="206"/>
      <c r="X701" s="204"/>
      <c r="Y701" s="206"/>
      <c r="Z701" s="206"/>
      <c r="AA701" s="204"/>
      <c r="AB701" s="206"/>
      <c r="AC701" s="206"/>
      <c r="AD701" s="204"/>
    </row>
    <row r="702" spans="1:30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206"/>
      <c r="T702" s="206"/>
      <c r="U702" s="204"/>
      <c r="V702" s="206"/>
      <c r="W702" s="206"/>
      <c r="X702" s="204"/>
      <c r="Y702" s="206"/>
      <c r="Z702" s="206"/>
      <c r="AA702" s="204"/>
      <c r="AB702" s="206"/>
      <c r="AC702" s="206"/>
      <c r="AD702" s="204"/>
    </row>
    <row r="703" spans="1:30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206"/>
      <c r="T703" s="206"/>
      <c r="U703" s="204"/>
      <c r="V703" s="206"/>
      <c r="W703" s="206"/>
      <c r="X703" s="204"/>
      <c r="Y703" s="206"/>
      <c r="Z703" s="206"/>
      <c r="AA703" s="204"/>
      <c r="AB703" s="206"/>
      <c r="AC703" s="206"/>
      <c r="AD703" s="204"/>
    </row>
    <row r="704" spans="1:30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206"/>
      <c r="T704" s="206"/>
      <c r="U704" s="204"/>
      <c r="V704" s="206"/>
      <c r="W704" s="206"/>
      <c r="X704" s="204"/>
      <c r="Y704" s="206"/>
      <c r="Z704" s="206"/>
      <c r="AA704" s="204"/>
      <c r="AB704" s="206"/>
      <c r="AC704" s="206"/>
      <c r="AD704" s="204"/>
    </row>
    <row r="705" spans="1:30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206"/>
      <c r="T705" s="206"/>
      <c r="U705" s="204"/>
      <c r="V705" s="206"/>
      <c r="W705" s="206"/>
      <c r="X705" s="204"/>
      <c r="Y705" s="206"/>
      <c r="Z705" s="206"/>
      <c r="AA705" s="204"/>
      <c r="AB705" s="206"/>
      <c r="AC705" s="206"/>
      <c r="AD705" s="204"/>
    </row>
    <row r="706" spans="1:30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206"/>
      <c r="T706" s="206"/>
      <c r="U706" s="204"/>
      <c r="V706" s="206"/>
      <c r="W706" s="206"/>
      <c r="X706" s="204"/>
      <c r="Y706" s="206"/>
      <c r="Z706" s="206"/>
      <c r="AA706" s="204"/>
      <c r="AB706" s="206"/>
      <c r="AC706" s="206"/>
      <c r="AD706" s="204"/>
    </row>
    <row r="707" spans="1:30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206"/>
      <c r="T707" s="206"/>
      <c r="U707" s="204"/>
      <c r="V707" s="206"/>
      <c r="W707" s="206"/>
      <c r="X707" s="204"/>
      <c r="Y707" s="206"/>
      <c r="Z707" s="206"/>
      <c r="AA707" s="204"/>
      <c r="AB707" s="206"/>
      <c r="AC707" s="206"/>
      <c r="AD707" s="204"/>
    </row>
    <row r="708" spans="1:30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206"/>
      <c r="T708" s="206"/>
      <c r="U708" s="204"/>
      <c r="V708" s="206"/>
      <c r="W708" s="206"/>
      <c r="X708" s="204"/>
      <c r="Y708" s="206"/>
      <c r="Z708" s="206"/>
      <c r="AA708" s="204"/>
      <c r="AB708" s="206"/>
      <c r="AC708" s="206"/>
      <c r="AD708" s="204"/>
    </row>
    <row r="709" spans="1:30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206"/>
      <c r="T709" s="206"/>
      <c r="U709" s="204"/>
      <c r="V709" s="206"/>
      <c r="W709" s="206"/>
      <c r="X709" s="204"/>
      <c r="Y709" s="206"/>
      <c r="Z709" s="206"/>
      <c r="AA709" s="204"/>
      <c r="AB709" s="206"/>
      <c r="AC709" s="206"/>
      <c r="AD709" s="204"/>
    </row>
    <row r="710" spans="1:30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206"/>
      <c r="T710" s="206"/>
      <c r="U710" s="204"/>
      <c r="V710" s="206"/>
      <c r="W710" s="206"/>
      <c r="X710" s="204"/>
      <c r="Y710" s="206"/>
      <c r="Z710" s="206"/>
      <c r="AA710" s="204"/>
      <c r="AB710" s="206"/>
      <c r="AC710" s="206"/>
      <c r="AD710" s="204"/>
    </row>
    <row r="711" spans="1:30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206"/>
      <c r="T711" s="206"/>
      <c r="U711" s="204"/>
      <c r="V711" s="206"/>
      <c r="W711" s="206"/>
      <c r="X711" s="204"/>
      <c r="Y711" s="206"/>
      <c r="Z711" s="206"/>
      <c r="AA711" s="204"/>
      <c r="AB711" s="206"/>
      <c r="AC711" s="206"/>
      <c r="AD711" s="204"/>
    </row>
    <row r="712" spans="1:30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206"/>
      <c r="T712" s="206"/>
      <c r="U712" s="204"/>
      <c r="V712" s="206"/>
      <c r="W712" s="206"/>
      <c r="X712" s="204"/>
      <c r="Y712" s="206"/>
      <c r="Z712" s="206"/>
      <c r="AA712" s="204"/>
      <c r="AB712" s="206"/>
      <c r="AC712" s="206"/>
      <c r="AD712" s="204"/>
    </row>
    <row r="713" spans="1:30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206"/>
      <c r="T713" s="206"/>
      <c r="U713" s="204"/>
      <c r="V713" s="206"/>
      <c r="W713" s="206"/>
      <c r="X713" s="204"/>
      <c r="Y713" s="206"/>
      <c r="Z713" s="206"/>
      <c r="AA713" s="204"/>
      <c r="AB713" s="206"/>
      <c r="AC713" s="206"/>
      <c r="AD713" s="204"/>
    </row>
    <row r="714" spans="1:30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206"/>
      <c r="T714" s="206"/>
      <c r="U714" s="204"/>
      <c r="V714" s="206"/>
      <c r="W714" s="206"/>
      <c r="X714" s="204"/>
      <c r="Y714" s="206"/>
      <c r="Z714" s="206"/>
      <c r="AA714" s="204"/>
      <c r="AB714" s="206"/>
      <c r="AC714" s="206"/>
      <c r="AD714" s="204"/>
    </row>
    <row r="715" spans="1:30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206"/>
      <c r="T715" s="206"/>
      <c r="U715" s="204"/>
      <c r="V715" s="206"/>
      <c r="W715" s="206"/>
      <c r="X715" s="204"/>
      <c r="Y715" s="206"/>
      <c r="Z715" s="206"/>
      <c r="AA715" s="204"/>
      <c r="AB715" s="206"/>
      <c r="AC715" s="206"/>
      <c r="AD715" s="204"/>
    </row>
    <row r="716" spans="1:30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206"/>
      <c r="T716" s="206"/>
      <c r="U716" s="204"/>
      <c r="V716" s="206"/>
      <c r="W716" s="206"/>
      <c r="X716" s="204"/>
      <c r="Y716" s="206"/>
      <c r="Z716" s="206"/>
      <c r="AA716" s="204"/>
      <c r="AB716" s="206"/>
      <c r="AC716" s="206"/>
      <c r="AD716" s="204"/>
    </row>
    <row r="717" spans="1:30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206"/>
      <c r="T717" s="206"/>
      <c r="U717" s="204"/>
      <c r="V717" s="206"/>
      <c r="W717" s="206"/>
      <c r="X717" s="204"/>
      <c r="Y717" s="206"/>
      <c r="Z717" s="206"/>
      <c r="AA717" s="204"/>
      <c r="AB717" s="206"/>
      <c r="AC717" s="206"/>
      <c r="AD717" s="204"/>
    </row>
    <row r="718" spans="1:30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206"/>
      <c r="T718" s="206"/>
      <c r="U718" s="204"/>
      <c r="V718" s="206"/>
      <c r="W718" s="206"/>
      <c r="X718" s="204"/>
      <c r="Y718" s="206"/>
      <c r="Z718" s="206"/>
      <c r="AA718" s="204"/>
      <c r="AB718" s="206"/>
      <c r="AC718" s="206"/>
      <c r="AD718" s="204"/>
    </row>
    <row r="719" spans="1:30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206"/>
      <c r="T719" s="206"/>
      <c r="U719" s="204"/>
      <c r="V719" s="206"/>
      <c r="W719" s="206"/>
      <c r="X719" s="204"/>
      <c r="Y719" s="206"/>
      <c r="Z719" s="206"/>
      <c r="AA719" s="204"/>
      <c r="AB719" s="206"/>
      <c r="AC719" s="206"/>
      <c r="AD719" s="204"/>
    </row>
    <row r="720" spans="1:30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206"/>
      <c r="T720" s="206"/>
      <c r="U720" s="204"/>
      <c r="V720" s="206"/>
      <c r="W720" s="206"/>
      <c r="X720" s="204"/>
      <c r="Y720" s="206"/>
      <c r="Z720" s="206"/>
      <c r="AA720" s="204"/>
      <c r="AB720" s="206"/>
      <c r="AC720" s="206"/>
      <c r="AD720" s="204"/>
    </row>
    <row r="721" spans="1:30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206"/>
      <c r="T721" s="206"/>
      <c r="U721" s="204"/>
      <c r="V721" s="206"/>
      <c r="W721" s="206"/>
      <c r="X721" s="204"/>
      <c r="Y721" s="206"/>
      <c r="Z721" s="206"/>
      <c r="AA721" s="204"/>
      <c r="AB721" s="206"/>
      <c r="AC721" s="206"/>
      <c r="AD721" s="204"/>
    </row>
    <row r="722" spans="1:30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206"/>
      <c r="T722" s="206"/>
      <c r="U722" s="204"/>
      <c r="V722" s="206"/>
      <c r="W722" s="206"/>
      <c r="X722" s="204"/>
      <c r="Y722" s="206"/>
      <c r="Z722" s="206"/>
      <c r="AA722" s="204"/>
      <c r="AB722" s="206"/>
      <c r="AC722" s="206"/>
      <c r="AD722" s="204"/>
    </row>
    <row r="723" spans="1:30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206"/>
      <c r="T723" s="206"/>
      <c r="U723" s="204"/>
      <c r="V723" s="206"/>
      <c r="W723" s="206"/>
      <c r="X723" s="204"/>
      <c r="Y723" s="206"/>
      <c r="Z723" s="206"/>
      <c r="AA723" s="204"/>
      <c r="AB723" s="206"/>
      <c r="AC723" s="206"/>
      <c r="AD723" s="204"/>
    </row>
    <row r="724" spans="1:30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206"/>
      <c r="T724" s="206"/>
      <c r="U724" s="204"/>
      <c r="V724" s="206"/>
      <c r="W724" s="206"/>
      <c r="X724" s="204"/>
      <c r="Y724" s="206"/>
      <c r="Z724" s="206"/>
      <c r="AA724" s="204"/>
      <c r="AB724" s="206"/>
      <c r="AC724" s="206"/>
      <c r="AD724" s="204"/>
    </row>
    <row r="725" spans="1:30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206"/>
      <c r="T725" s="206"/>
      <c r="U725" s="204"/>
      <c r="V725" s="206"/>
      <c r="W725" s="206"/>
      <c r="X725" s="204"/>
      <c r="Y725" s="206"/>
      <c r="Z725" s="206"/>
      <c r="AA725" s="204"/>
      <c r="AB725" s="206"/>
      <c r="AC725" s="206"/>
      <c r="AD725" s="204"/>
    </row>
    <row r="726" spans="1:30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206"/>
      <c r="T726" s="206"/>
      <c r="U726" s="204"/>
      <c r="V726" s="206"/>
      <c r="W726" s="206"/>
      <c r="X726" s="204"/>
      <c r="Y726" s="206"/>
      <c r="Z726" s="206"/>
      <c r="AA726" s="204"/>
      <c r="AB726" s="206"/>
      <c r="AC726" s="206"/>
      <c r="AD726" s="204"/>
    </row>
    <row r="727" spans="1:30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206"/>
      <c r="T727" s="206"/>
      <c r="U727" s="204"/>
      <c r="V727" s="206"/>
      <c r="W727" s="206"/>
      <c r="X727" s="204"/>
      <c r="Y727" s="206"/>
      <c r="Z727" s="206"/>
      <c r="AA727" s="204"/>
      <c r="AB727" s="206"/>
      <c r="AC727" s="206"/>
      <c r="AD727" s="204"/>
    </row>
    <row r="728" spans="1:30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206"/>
      <c r="T728" s="206"/>
      <c r="U728" s="204"/>
      <c r="V728" s="206"/>
      <c r="W728" s="206"/>
      <c r="X728" s="204"/>
      <c r="Y728" s="206"/>
      <c r="Z728" s="206"/>
      <c r="AA728" s="204"/>
      <c r="AB728" s="206"/>
      <c r="AC728" s="206"/>
      <c r="AD728" s="204"/>
    </row>
    <row r="729" spans="1:30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206"/>
      <c r="T729" s="206"/>
      <c r="U729" s="204"/>
      <c r="V729" s="206"/>
      <c r="W729" s="206"/>
      <c r="X729" s="204"/>
      <c r="Y729" s="206"/>
      <c r="Z729" s="206"/>
      <c r="AA729" s="204"/>
      <c r="AB729" s="206"/>
      <c r="AC729" s="206"/>
      <c r="AD729" s="204"/>
    </row>
    <row r="730" spans="1:30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206"/>
      <c r="T730" s="206"/>
      <c r="U730" s="204"/>
      <c r="V730" s="206"/>
      <c r="W730" s="206"/>
      <c r="X730" s="204"/>
      <c r="Y730" s="206"/>
      <c r="Z730" s="206"/>
      <c r="AA730" s="204"/>
      <c r="AB730" s="206"/>
      <c r="AC730" s="206"/>
      <c r="AD730" s="204"/>
    </row>
    <row r="731" spans="1:30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206"/>
      <c r="T731" s="206"/>
      <c r="U731" s="204"/>
      <c r="V731" s="206"/>
      <c r="W731" s="206"/>
      <c r="X731" s="204"/>
      <c r="Y731" s="206"/>
      <c r="Z731" s="206"/>
      <c r="AA731" s="204"/>
      <c r="AB731" s="206"/>
      <c r="AC731" s="206"/>
      <c r="AD731" s="204"/>
    </row>
    <row r="732" spans="1:30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206"/>
      <c r="T732" s="206"/>
      <c r="U732" s="204"/>
      <c r="V732" s="206"/>
      <c r="W732" s="206"/>
      <c r="X732" s="204"/>
      <c r="Y732" s="206"/>
      <c r="Z732" s="206"/>
      <c r="AA732" s="204"/>
      <c r="AB732" s="206"/>
      <c r="AC732" s="206"/>
      <c r="AD732" s="204"/>
    </row>
    <row r="733" spans="1:30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206"/>
      <c r="T733" s="206"/>
      <c r="U733" s="204"/>
      <c r="V733" s="206"/>
      <c r="W733" s="206"/>
      <c r="X733" s="204"/>
      <c r="Y733" s="206"/>
      <c r="Z733" s="206"/>
      <c r="AA733" s="204"/>
      <c r="AB733" s="206"/>
      <c r="AC733" s="206"/>
      <c r="AD733" s="204"/>
    </row>
    <row r="734" spans="1:30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206"/>
      <c r="T734" s="206"/>
      <c r="U734" s="204"/>
      <c r="V734" s="206"/>
      <c r="W734" s="206"/>
      <c r="X734" s="204"/>
      <c r="Y734" s="206"/>
      <c r="Z734" s="206"/>
      <c r="AA734" s="204"/>
      <c r="AB734" s="206"/>
      <c r="AC734" s="206"/>
      <c r="AD734" s="204"/>
    </row>
    <row r="735" spans="1:30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206"/>
      <c r="T735" s="206"/>
      <c r="U735" s="204"/>
      <c r="V735" s="206"/>
      <c r="W735" s="206"/>
      <c r="X735" s="204"/>
      <c r="Y735" s="206"/>
      <c r="Z735" s="206"/>
      <c r="AA735" s="204"/>
      <c r="AB735" s="206"/>
      <c r="AC735" s="206"/>
      <c r="AD735" s="204"/>
    </row>
    <row r="736" spans="1:30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206"/>
      <c r="T736" s="206"/>
      <c r="U736" s="204"/>
      <c r="V736" s="206"/>
      <c r="W736" s="206"/>
      <c r="X736" s="204"/>
      <c r="Y736" s="206"/>
      <c r="Z736" s="206"/>
      <c r="AA736" s="204"/>
      <c r="AB736" s="206"/>
      <c r="AC736" s="206"/>
      <c r="AD736" s="204"/>
    </row>
    <row r="737" spans="1:30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206"/>
      <c r="T737" s="206"/>
      <c r="U737" s="204"/>
      <c r="V737" s="206"/>
      <c r="W737" s="206"/>
      <c r="X737" s="204"/>
      <c r="Y737" s="206"/>
      <c r="Z737" s="206"/>
      <c r="AA737" s="204"/>
      <c r="AB737" s="206"/>
      <c r="AC737" s="206"/>
      <c r="AD737" s="204"/>
    </row>
    <row r="738" spans="1:30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206"/>
      <c r="T738" s="206"/>
      <c r="U738" s="204"/>
      <c r="V738" s="206"/>
      <c r="W738" s="206"/>
      <c r="X738" s="204"/>
      <c r="Y738" s="206"/>
      <c r="Z738" s="206"/>
      <c r="AA738" s="204"/>
      <c r="AB738" s="206"/>
      <c r="AC738" s="206"/>
      <c r="AD738" s="204"/>
    </row>
    <row r="739" spans="1:30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206"/>
      <c r="T739" s="206"/>
      <c r="U739" s="204"/>
      <c r="V739" s="206"/>
      <c r="W739" s="206"/>
      <c r="X739" s="204"/>
      <c r="Y739" s="206"/>
      <c r="Z739" s="206"/>
      <c r="AA739" s="204"/>
      <c r="AB739" s="206"/>
      <c r="AC739" s="206"/>
      <c r="AD739" s="204"/>
    </row>
    <row r="740" spans="1:30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206"/>
      <c r="T740" s="206"/>
      <c r="U740" s="204"/>
      <c r="V740" s="206"/>
      <c r="W740" s="206"/>
      <c r="X740" s="204"/>
      <c r="Y740" s="206"/>
      <c r="Z740" s="206"/>
      <c r="AA740" s="204"/>
      <c r="AB740" s="206"/>
      <c r="AC740" s="206"/>
      <c r="AD740" s="204"/>
    </row>
    <row r="741" spans="1:30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206"/>
      <c r="T741" s="206"/>
      <c r="U741" s="204"/>
      <c r="V741" s="206"/>
      <c r="W741" s="206"/>
      <c r="X741" s="204"/>
      <c r="Y741" s="206"/>
      <c r="Z741" s="206"/>
      <c r="AA741" s="204"/>
      <c r="AB741" s="206"/>
      <c r="AC741" s="206"/>
      <c r="AD741" s="204"/>
    </row>
    <row r="742" spans="1:30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206"/>
      <c r="T742" s="206"/>
      <c r="U742" s="204"/>
      <c r="V742" s="206"/>
      <c r="W742" s="206"/>
      <c r="X742" s="204"/>
      <c r="Y742" s="206"/>
      <c r="Z742" s="206"/>
      <c r="AA742" s="204"/>
      <c r="AB742" s="206"/>
      <c r="AC742" s="206"/>
      <c r="AD742" s="204"/>
    </row>
    <row r="743" spans="1:30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206"/>
      <c r="T743" s="206"/>
      <c r="U743" s="204"/>
      <c r="V743" s="206"/>
      <c r="W743" s="206"/>
      <c r="X743" s="204"/>
      <c r="Y743" s="206"/>
      <c r="Z743" s="206"/>
      <c r="AA743" s="204"/>
      <c r="AB743" s="206"/>
      <c r="AC743" s="206"/>
      <c r="AD743" s="204"/>
    </row>
    <row r="744" spans="1:30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206"/>
      <c r="T744" s="206"/>
      <c r="U744" s="204"/>
      <c r="V744" s="206"/>
      <c r="W744" s="206"/>
      <c r="X744" s="204"/>
      <c r="Y744" s="206"/>
      <c r="Z744" s="206"/>
      <c r="AA744" s="204"/>
      <c r="AB744" s="206"/>
      <c r="AC744" s="206"/>
      <c r="AD744" s="204"/>
    </row>
    <row r="745" spans="1:30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206"/>
      <c r="T745" s="206"/>
      <c r="U745" s="204"/>
      <c r="V745" s="206"/>
      <c r="W745" s="206"/>
      <c r="X745" s="204"/>
      <c r="Y745" s="206"/>
      <c r="Z745" s="206"/>
      <c r="AA745" s="204"/>
      <c r="AB745" s="206"/>
      <c r="AC745" s="206"/>
      <c r="AD745" s="204"/>
    </row>
    <row r="746" spans="1:30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206"/>
      <c r="T746" s="206"/>
      <c r="U746" s="204"/>
      <c r="V746" s="206"/>
      <c r="W746" s="206"/>
      <c r="X746" s="204"/>
      <c r="Y746" s="206"/>
      <c r="Z746" s="206"/>
      <c r="AA746" s="204"/>
      <c r="AB746" s="206"/>
      <c r="AC746" s="206"/>
      <c r="AD746" s="204"/>
    </row>
    <row r="747" spans="1:30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206"/>
      <c r="T747" s="206"/>
      <c r="U747" s="204"/>
      <c r="V747" s="206"/>
      <c r="W747" s="206"/>
      <c r="X747" s="204"/>
      <c r="Y747" s="206"/>
      <c r="Z747" s="206"/>
      <c r="AA747" s="204"/>
      <c r="AB747" s="206"/>
      <c r="AC747" s="206"/>
      <c r="AD747" s="204"/>
    </row>
    <row r="748" spans="1:30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206"/>
      <c r="T748" s="206"/>
      <c r="U748" s="204"/>
      <c r="V748" s="206"/>
      <c r="W748" s="206"/>
      <c r="X748" s="204"/>
      <c r="Y748" s="206"/>
      <c r="Z748" s="206"/>
      <c r="AA748" s="204"/>
      <c r="AB748" s="206"/>
      <c r="AC748" s="206"/>
      <c r="AD748" s="204"/>
    </row>
    <row r="749" spans="1:30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206"/>
      <c r="T749" s="206"/>
      <c r="U749" s="204"/>
      <c r="V749" s="206"/>
      <c r="W749" s="206"/>
      <c r="X749" s="204"/>
      <c r="Y749" s="206"/>
      <c r="Z749" s="206"/>
      <c r="AA749" s="204"/>
      <c r="AB749" s="206"/>
      <c r="AC749" s="206"/>
      <c r="AD749" s="204"/>
    </row>
    <row r="750" spans="1:30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206"/>
      <c r="T750" s="206"/>
      <c r="U750" s="204"/>
      <c r="V750" s="206"/>
      <c r="W750" s="206"/>
      <c r="X750" s="204"/>
      <c r="Y750" s="206"/>
      <c r="Z750" s="206"/>
      <c r="AA750" s="204"/>
      <c r="AB750" s="206"/>
      <c r="AC750" s="206"/>
      <c r="AD750" s="204"/>
    </row>
    <row r="751" spans="1:30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206"/>
      <c r="T751" s="206"/>
      <c r="U751" s="204"/>
      <c r="V751" s="206"/>
      <c r="W751" s="206"/>
      <c r="X751" s="204"/>
      <c r="Y751" s="206"/>
      <c r="Z751" s="206"/>
      <c r="AA751" s="204"/>
      <c r="AB751" s="206"/>
      <c r="AC751" s="206"/>
      <c r="AD751" s="204"/>
    </row>
    <row r="752" spans="1:30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206"/>
      <c r="T752" s="206"/>
      <c r="U752" s="204"/>
      <c r="V752" s="206"/>
      <c r="W752" s="206"/>
      <c r="X752" s="204"/>
      <c r="Y752" s="206"/>
      <c r="Z752" s="206"/>
      <c r="AA752" s="204"/>
      <c r="AB752" s="206"/>
      <c r="AC752" s="206"/>
      <c r="AD752" s="204"/>
    </row>
    <row r="753" spans="1:30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206"/>
      <c r="T753" s="206"/>
      <c r="U753" s="204"/>
      <c r="V753" s="206"/>
      <c r="W753" s="206"/>
      <c r="X753" s="204"/>
      <c r="Y753" s="206"/>
      <c r="Z753" s="206"/>
      <c r="AA753" s="204"/>
      <c r="AB753" s="206"/>
      <c r="AC753" s="206"/>
      <c r="AD753" s="204"/>
    </row>
    <row r="754" spans="1:30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206"/>
      <c r="T754" s="206"/>
      <c r="U754" s="204"/>
      <c r="V754" s="206"/>
      <c r="W754" s="206"/>
      <c r="X754" s="204"/>
      <c r="Y754" s="206"/>
      <c r="Z754" s="206"/>
      <c r="AA754" s="204"/>
      <c r="AB754" s="206"/>
      <c r="AC754" s="206"/>
      <c r="AD754" s="204"/>
    </row>
    <row r="755" spans="1:30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206"/>
      <c r="T755" s="206"/>
      <c r="U755" s="204"/>
      <c r="V755" s="206"/>
      <c r="W755" s="206"/>
      <c r="X755" s="204"/>
      <c r="Y755" s="206"/>
      <c r="Z755" s="206"/>
      <c r="AA755" s="204"/>
      <c r="AB755" s="206"/>
      <c r="AC755" s="206"/>
      <c r="AD755" s="204"/>
    </row>
    <row r="756" spans="1:30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206"/>
      <c r="T756" s="206"/>
      <c r="U756" s="204"/>
      <c r="V756" s="206"/>
      <c r="W756" s="206"/>
      <c r="X756" s="204"/>
      <c r="Y756" s="206"/>
      <c r="Z756" s="206"/>
      <c r="AA756" s="204"/>
      <c r="AB756" s="206"/>
      <c r="AC756" s="206"/>
      <c r="AD756" s="204"/>
    </row>
    <row r="757" spans="1:30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206"/>
      <c r="T757" s="206"/>
      <c r="U757" s="204"/>
      <c r="V757" s="206"/>
      <c r="W757" s="206"/>
      <c r="X757" s="204"/>
      <c r="Y757" s="206"/>
      <c r="Z757" s="206"/>
      <c r="AA757" s="204"/>
      <c r="AB757" s="206"/>
      <c r="AC757" s="206"/>
      <c r="AD757" s="204"/>
    </row>
    <row r="758" spans="1:30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206"/>
      <c r="T758" s="206"/>
      <c r="U758" s="204"/>
      <c r="V758" s="206"/>
      <c r="W758" s="206"/>
      <c r="X758" s="204"/>
      <c r="Y758" s="206"/>
      <c r="Z758" s="206"/>
      <c r="AA758" s="204"/>
      <c r="AB758" s="206"/>
      <c r="AC758" s="206"/>
      <c r="AD758" s="204"/>
    </row>
    <row r="759" spans="1:30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206"/>
      <c r="T759" s="206"/>
      <c r="U759" s="204"/>
      <c r="V759" s="206"/>
      <c r="W759" s="206"/>
      <c r="X759" s="204"/>
      <c r="Y759" s="206"/>
      <c r="Z759" s="206"/>
      <c r="AA759" s="204"/>
      <c r="AB759" s="206"/>
      <c r="AC759" s="206"/>
      <c r="AD759" s="204"/>
    </row>
    <row r="760" spans="1:30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206"/>
      <c r="T760" s="206"/>
      <c r="U760" s="204"/>
      <c r="V760" s="206"/>
      <c r="W760" s="206"/>
      <c r="X760" s="204"/>
      <c r="Y760" s="206"/>
      <c r="Z760" s="206"/>
      <c r="AA760" s="204"/>
      <c r="AB760" s="206"/>
      <c r="AC760" s="206"/>
      <c r="AD760" s="204"/>
    </row>
    <row r="761" spans="1:30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206"/>
      <c r="T761" s="206"/>
      <c r="U761" s="204"/>
      <c r="V761" s="206"/>
      <c r="W761" s="206"/>
      <c r="X761" s="204"/>
      <c r="Y761" s="206"/>
      <c r="Z761" s="206"/>
      <c r="AA761" s="204"/>
      <c r="AB761" s="206"/>
      <c r="AC761" s="206"/>
      <c r="AD761" s="204"/>
    </row>
    <row r="762" spans="1:30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206"/>
      <c r="T762" s="206"/>
      <c r="U762" s="204"/>
      <c r="V762" s="206"/>
      <c r="W762" s="206"/>
      <c r="X762" s="204"/>
      <c r="Y762" s="206"/>
      <c r="Z762" s="206"/>
      <c r="AA762" s="204"/>
      <c r="AB762" s="206"/>
      <c r="AC762" s="206"/>
      <c r="AD762" s="204"/>
    </row>
    <row r="763" spans="1:30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206"/>
      <c r="T763" s="206"/>
      <c r="U763" s="204"/>
      <c r="V763" s="206"/>
      <c r="W763" s="206"/>
      <c r="X763" s="204"/>
      <c r="Y763" s="206"/>
      <c r="Z763" s="206"/>
      <c r="AA763" s="204"/>
      <c r="AB763" s="206"/>
      <c r="AC763" s="206"/>
      <c r="AD763" s="204"/>
    </row>
    <row r="764" spans="1:30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206"/>
      <c r="T764" s="206"/>
      <c r="U764" s="204"/>
      <c r="V764" s="206"/>
      <c r="W764" s="206"/>
      <c r="X764" s="204"/>
      <c r="Y764" s="206"/>
      <c r="Z764" s="206"/>
      <c r="AA764" s="204"/>
      <c r="AB764" s="206"/>
      <c r="AC764" s="206"/>
      <c r="AD764" s="204"/>
    </row>
    <row r="765" spans="1:30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206"/>
      <c r="T765" s="206"/>
      <c r="U765" s="204"/>
      <c r="V765" s="206"/>
      <c r="W765" s="206"/>
      <c r="X765" s="204"/>
      <c r="Y765" s="206"/>
      <c r="Z765" s="206"/>
      <c r="AA765" s="204"/>
      <c r="AB765" s="206"/>
      <c r="AC765" s="206"/>
      <c r="AD765" s="204"/>
    </row>
    <row r="766" spans="1:30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206"/>
      <c r="T766" s="206"/>
      <c r="U766" s="204"/>
      <c r="V766" s="206"/>
      <c r="W766" s="206"/>
      <c r="X766" s="204"/>
      <c r="Y766" s="206"/>
      <c r="Z766" s="206"/>
      <c r="AA766" s="204"/>
      <c r="AB766" s="206"/>
      <c r="AC766" s="206"/>
      <c r="AD766" s="204"/>
    </row>
    <row r="767" spans="1:30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206"/>
      <c r="T767" s="206"/>
      <c r="U767" s="204"/>
      <c r="V767" s="206"/>
      <c r="W767" s="206"/>
      <c r="X767" s="204"/>
      <c r="Y767" s="206"/>
      <c r="Z767" s="206"/>
      <c r="AA767" s="204"/>
      <c r="AB767" s="206"/>
      <c r="AC767" s="206"/>
      <c r="AD767" s="204"/>
    </row>
    <row r="768" spans="1:30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206"/>
      <c r="T768" s="206"/>
      <c r="U768" s="204"/>
      <c r="V768" s="206"/>
      <c r="W768" s="206"/>
      <c r="X768" s="204"/>
      <c r="Y768" s="206"/>
      <c r="Z768" s="206"/>
      <c r="AA768" s="204"/>
      <c r="AB768" s="206"/>
      <c r="AC768" s="206"/>
      <c r="AD768" s="204"/>
    </row>
    <row r="769" spans="1:30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206"/>
      <c r="T769" s="206"/>
      <c r="U769" s="204"/>
      <c r="V769" s="206"/>
      <c r="W769" s="206"/>
      <c r="X769" s="204"/>
      <c r="Y769" s="206"/>
      <c r="Z769" s="206"/>
      <c r="AA769" s="204"/>
      <c r="AB769" s="206"/>
      <c r="AC769" s="206"/>
      <c r="AD769" s="204"/>
    </row>
    <row r="770" spans="1:30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206"/>
      <c r="T770" s="206"/>
      <c r="U770" s="204"/>
      <c r="V770" s="206"/>
      <c r="W770" s="206"/>
      <c r="X770" s="204"/>
      <c r="Y770" s="206"/>
      <c r="Z770" s="206"/>
      <c r="AA770" s="204"/>
      <c r="AB770" s="206"/>
      <c r="AC770" s="206"/>
      <c r="AD770" s="204"/>
    </row>
    <row r="771" spans="1:30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206"/>
      <c r="T771" s="206"/>
      <c r="U771" s="204"/>
      <c r="V771" s="206"/>
      <c r="W771" s="206"/>
      <c r="X771" s="204"/>
      <c r="Y771" s="206"/>
      <c r="Z771" s="206"/>
      <c r="AA771" s="204"/>
      <c r="AB771" s="206"/>
      <c r="AC771" s="206"/>
      <c r="AD771" s="204"/>
    </row>
    <row r="772" spans="1:30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206"/>
      <c r="T772" s="206"/>
      <c r="U772" s="204"/>
      <c r="V772" s="206"/>
      <c r="W772" s="206"/>
      <c r="X772" s="204"/>
      <c r="Y772" s="206"/>
      <c r="Z772" s="206"/>
      <c r="AA772" s="204"/>
      <c r="AB772" s="206"/>
      <c r="AC772" s="206"/>
      <c r="AD772" s="204"/>
    </row>
    <row r="773" spans="1:30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206"/>
      <c r="T773" s="206"/>
      <c r="U773" s="204"/>
      <c r="V773" s="206"/>
      <c r="W773" s="206"/>
      <c r="X773" s="204"/>
      <c r="Y773" s="206"/>
      <c r="Z773" s="206"/>
      <c r="AA773" s="204"/>
      <c r="AB773" s="206"/>
      <c r="AC773" s="206"/>
      <c r="AD773" s="204"/>
    </row>
    <row r="774" spans="1:30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206"/>
      <c r="T774" s="206"/>
      <c r="U774" s="204"/>
      <c r="V774" s="206"/>
      <c r="W774" s="206"/>
      <c r="X774" s="204"/>
      <c r="Y774" s="206"/>
      <c r="Z774" s="206"/>
      <c r="AA774" s="204"/>
      <c r="AB774" s="206"/>
      <c r="AC774" s="206"/>
      <c r="AD774" s="204"/>
    </row>
    <row r="775" spans="1:30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206"/>
      <c r="T775" s="206"/>
      <c r="U775" s="204"/>
      <c r="V775" s="206"/>
      <c r="W775" s="206"/>
      <c r="X775" s="204"/>
      <c r="Y775" s="206"/>
      <c r="Z775" s="206"/>
      <c r="AA775" s="204"/>
      <c r="AB775" s="206"/>
      <c r="AC775" s="206"/>
      <c r="AD775" s="204"/>
    </row>
    <row r="776" spans="1:30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206"/>
      <c r="T776" s="206"/>
      <c r="U776" s="204"/>
      <c r="V776" s="206"/>
      <c r="W776" s="206"/>
      <c r="X776" s="204"/>
      <c r="Y776" s="206"/>
      <c r="Z776" s="206"/>
      <c r="AA776" s="204"/>
      <c r="AB776" s="206"/>
      <c r="AC776" s="206"/>
      <c r="AD776" s="204"/>
    </row>
    <row r="777" spans="1:30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206"/>
      <c r="T777" s="206"/>
      <c r="U777" s="204"/>
      <c r="V777" s="206"/>
      <c r="W777" s="206"/>
      <c r="X777" s="204"/>
      <c r="Y777" s="206"/>
      <c r="Z777" s="206"/>
      <c r="AA777" s="204"/>
      <c r="AB777" s="206"/>
      <c r="AC777" s="206"/>
      <c r="AD777" s="204"/>
    </row>
    <row r="778" spans="1:30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206"/>
      <c r="T778" s="206"/>
      <c r="U778" s="204"/>
      <c r="V778" s="206"/>
      <c r="W778" s="206"/>
      <c r="X778" s="204"/>
      <c r="Y778" s="206"/>
      <c r="Z778" s="206"/>
      <c r="AA778" s="204"/>
      <c r="AB778" s="206"/>
      <c r="AC778" s="206"/>
      <c r="AD778" s="204"/>
    </row>
    <row r="779" spans="1:30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206"/>
      <c r="T779" s="206"/>
      <c r="U779" s="204"/>
      <c r="V779" s="206"/>
      <c r="W779" s="206"/>
      <c r="X779" s="204"/>
      <c r="Y779" s="206"/>
      <c r="Z779" s="206"/>
      <c r="AA779" s="204"/>
      <c r="AB779" s="206"/>
      <c r="AC779" s="206"/>
      <c r="AD779" s="204"/>
    </row>
    <row r="780" spans="1:30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206"/>
      <c r="T780" s="206"/>
      <c r="U780" s="204"/>
      <c r="V780" s="206"/>
      <c r="W780" s="206"/>
      <c r="X780" s="204"/>
      <c r="Y780" s="206"/>
      <c r="Z780" s="206"/>
      <c r="AA780" s="204"/>
      <c r="AB780" s="206"/>
      <c r="AC780" s="206"/>
      <c r="AD780" s="204"/>
    </row>
    <row r="781" spans="1:30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206"/>
      <c r="T781" s="206"/>
      <c r="U781" s="204"/>
      <c r="V781" s="206"/>
      <c r="W781" s="206"/>
      <c r="X781" s="204"/>
      <c r="Y781" s="206"/>
      <c r="Z781" s="206"/>
      <c r="AA781" s="204"/>
      <c r="AB781" s="206"/>
      <c r="AC781" s="206"/>
      <c r="AD781" s="204"/>
    </row>
    <row r="782" spans="1:30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206"/>
      <c r="T782" s="206"/>
      <c r="U782" s="204"/>
      <c r="V782" s="206"/>
      <c r="W782" s="206"/>
      <c r="X782" s="204"/>
      <c r="Y782" s="206"/>
      <c r="Z782" s="206"/>
      <c r="AA782" s="204"/>
      <c r="AB782" s="206"/>
      <c r="AC782" s="206"/>
      <c r="AD782" s="204"/>
    </row>
    <row r="783" spans="1:30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206"/>
      <c r="T783" s="206"/>
      <c r="U783" s="204"/>
      <c r="V783" s="206"/>
      <c r="W783" s="206"/>
      <c r="X783" s="204"/>
      <c r="Y783" s="206"/>
      <c r="Z783" s="206"/>
      <c r="AA783" s="204"/>
      <c r="AB783" s="206"/>
      <c r="AC783" s="206"/>
      <c r="AD783" s="204"/>
    </row>
    <row r="784" spans="1:30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206"/>
      <c r="T784" s="206"/>
      <c r="U784" s="204"/>
      <c r="V784" s="206"/>
      <c r="W784" s="206"/>
      <c r="X784" s="204"/>
      <c r="Y784" s="206"/>
      <c r="Z784" s="206"/>
      <c r="AA784" s="204"/>
      <c r="AB784" s="206"/>
      <c r="AC784" s="206"/>
      <c r="AD784" s="204"/>
    </row>
    <row r="785" spans="1:30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206"/>
      <c r="T785" s="206"/>
      <c r="U785" s="204"/>
      <c r="V785" s="206"/>
      <c r="W785" s="206"/>
      <c r="X785" s="204"/>
      <c r="Y785" s="206"/>
      <c r="Z785" s="206"/>
      <c r="AA785" s="204"/>
      <c r="AB785" s="206"/>
      <c r="AC785" s="206"/>
      <c r="AD785" s="204"/>
    </row>
    <row r="786" spans="1:30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206"/>
      <c r="T786" s="206"/>
      <c r="U786" s="204"/>
      <c r="V786" s="206"/>
      <c r="W786" s="206"/>
      <c r="X786" s="204"/>
      <c r="Y786" s="206"/>
      <c r="Z786" s="206"/>
      <c r="AA786" s="204"/>
      <c r="AB786" s="206"/>
      <c r="AC786" s="206"/>
      <c r="AD786" s="204"/>
    </row>
    <row r="787" spans="1:30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206"/>
      <c r="T787" s="206"/>
      <c r="U787" s="204"/>
      <c r="V787" s="206"/>
      <c r="W787" s="206"/>
      <c r="X787" s="204"/>
      <c r="Y787" s="206"/>
      <c r="Z787" s="206"/>
      <c r="AA787" s="204"/>
      <c r="AB787" s="206"/>
      <c r="AC787" s="206"/>
      <c r="AD787" s="204"/>
    </row>
    <row r="788" spans="1:30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206"/>
      <c r="T788" s="206"/>
      <c r="U788" s="204"/>
      <c r="V788" s="206"/>
      <c r="W788" s="206"/>
      <c r="X788" s="204"/>
      <c r="Y788" s="206"/>
      <c r="Z788" s="206"/>
      <c r="AA788" s="204"/>
      <c r="AB788" s="206"/>
      <c r="AC788" s="206"/>
      <c r="AD788" s="204"/>
    </row>
    <row r="789" spans="1:30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206"/>
      <c r="T789" s="206"/>
      <c r="U789" s="204"/>
      <c r="V789" s="206"/>
      <c r="W789" s="206"/>
      <c r="X789" s="204"/>
      <c r="Y789" s="206"/>
      <c r="Z789" s="206"/>
      <c r="AA789" s="204"/>
      <c r="AB789" s="206"/>
      <c r="AC789" s="206"/>
      <c r="AD789" s="204"/>
    </row>
    <row r="790" spans="1:30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206"/>
      <c r="T790" s="206"/>
      <c r="U790" s="204"/>
      <c r="V790" s="206"/>
      <c r="W790" s="206"/>
      <c r="X790" s="204"/>
      <c r="Y790" s="206"/>
      <c r="Z790" s="206"/>
      <c r="AA790" s="204"/>
      <c r="AB790" s="206"/>
      <c r="AC790" s="206"/>
      <c r="AD790" s="204"/>
    </row>
    <row r="791" spans="1:30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206"/>
      <c r="T791" s="206"/>
      <c r="U791" s="204"/>
      <c r="V791" s="206"/>
      <c r="W791" s="206"/>
      <c r="X791" s="204"/>
      <c r="Y791" s="206"/>
      <c r="Z791" s="206"/>
      <c r="AA791" s="204"/>
      <c r="AB791" s="206"/>
      <c r="AC791" s="206"/>
      <c r="AD791" s="204"/>
    </row>
    <row r="792" spans="1:30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206"/>
      <c r="T792" s="206"/>
      <c r="U792" s="204"/>
      <c r="V792" s="206"/>
      <c r="W792" s="206"/>
      <c r="X792" s="204"/>
      <c r="Y792" s="206"/>
      <c r="Z792" s="206"/>
      <c r="AA792" s="204"/>
      <c r="AB792" s="206"/>
      <c r="AC792" s="206"/>
      <c r="AD792" s="204"/>
    </row>
    <row r="793" spans="1:30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206"/>
      <c r="T793" s="206"/>
      <c r="U793" s="204"/>
      <c r="V793" s="206"/>
      <c r="W793" s="206"/>
      <c r="X793" s="204"/>
      <c r="Y793" s="206"/>
      <c r="Z793" s="206"/>
      <c r="AA793" s="204"/>
      <c r="AB793" s="206"/>
      <c r="AC793" s="206"/>
      <c r="AD793" s="204"/>
    </row>
    <row r="794" spans="1:30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206"/>
      <c r="T794" s="206"/>
      <c r="U794" s="204"/>
      <c r="V794" s="206"/>
      <c r="W794" s="206"/>
      <c r="X794" s="204"/>
      <c r="Y794" s="206"/>
      <c r="Z794" s="206"/>
      <c r="AA794" s="204"/>
      <c r="AB794" s="206"/>
      <c r="AC794" s="206"/>
      <c r="AD794" s="204"/>
    </row>
    <row r="795" spans="1:30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206"/>
      <c r="T795" s="206"/>
      <c r="U795" s="204"/>
      <c r="V795" s="206"/>
      <c r="W795" s="206"/>
      <c r="X795" s="204"/>
      <c r="Y795" s="206"/>
      <c r="Z795" s="206"/>
      <c r="AA795" s="204"/>
      <c r="AB795" s="206"/>
      <c r="AC795" s="206"/>
      <c r="AD795" s="204"/>
    </row>
    <row r="796" spans="1:30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206"/>
      <c r="T796" s="206"/>
      <c r="U796" s="204"/>
      <c r="V796" s="206"/>
      <c r="W796" s="206"/>
      <c r="X796" s="204"/>
      <c r="Y796" s="206"/>
      <c r="Z796" s="206"/>
      <c r="AA796" s="204"/>
      <c r="AB796" s="206"/>
      <c r="AC796" s="206"/>
      <c r="AD796" s="204"/>
    </row>
    <row r="797" spans="1:30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206"/>
      <c r="T797" s="206"/>
      <c r="U797" s="204"/>
      <c r="V797" s="206"/>
      <c r="W797" s="206"/>
      <c r="X797" s="204"/>
      <c r="Y797" s="206"/>
      <c r="Z797" s="206"/>
      <c r="AA797" s="204"/>
      <c r="AB797" s="206"/>
      <c r="AC797" s="206"/>
      <c r="AD797" s="204"/>
    </row>
    <row r="798" spans="1:30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206"/>
      <c r="T798" s="206"/>
      <c r="U798" s="204"/>
      <c r="V798" s="206"/>
      <c r="W798" s="206"/>
      <c r="X798" s="204"/>
      <c r="Y798" s="206"/>
      <c r="Z798" s="206"/>
      <c r="AA798" s="204"/>
      <c r="AB798" s="206"/>
      <c r="AC798" s="206"/>
      <c r="AD798" s="204"/>
    </row>
    <row r="799" spans="1:30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206"/>
      <c r="T799" s="206"/>
      <c r="U799" s="204"/>
      <c r="V799" s="206"/>
      <c r="W799" s="206"/>
      <c r="X799" s="204"/>
      <c r="Y799" s="206"/>
      <c r="Z799" s="206"/>
      <c r="AA799" s="204"/>
      <c r="AB799" s="206"/>
      <c r="AC799" s="206"/>
      <c r="AD799" s="204"/>
    </row>
    <row r="800" spans="1:30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206"/>
      <c r="T800" s="206"/>
      <c r="U800" s="204"/>
      <c r="V800" s="206"/>
      <c r="W800" s="206"/>
      <c r="X800" s="204"/>
      <c r="Y800" s="206"/>
      <c r="Z800" s="206"/>
      <c r="AA800" s="204"/>
      <c r="AB800" s="206"/>
      <c r="AC800" s="206"/>
      <c r="AD800" s="204"/>
    </row>
    <row r="801" spans="1:30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206"/>
      <c r="T801" s="206"/>
      <c r="U801" s="204"/>
      <c r="V801" s="206"/>
      <c r="W801" s="206"/>
      <c r="X801" s="204"/>
      <c r="Y801" s="206"/>
      <c r="Z801" s="206"/>
      <c r="AA801" s="204"/>
      <c r="AB801" s="206"/>
      <c r="AC801" s="206"/>
      <c r="AD801" s="204"/>
    </row>
    <row r="802" spans="1:30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206"/>
      <c r="T802" s="206"/>
      <c r="U802" s="204"/>
      <c r="V802" s="206"/>
      <c r="W802" s="206"/>
      <c r="X802" s="204"/>
      <c r="Y802" s="206"/>
      <c r="Z802" s="206"/>
      <c r="AA802" s="204"/>
      <c r="AB802" s="206"/>
      <c r="AC802" s="206"/>
      <c r="AD802" s="204"/>
    </row>
    <row r="803" spans="1:30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206"/>
      <c r="T803" s="206"/>
      <c r="U803" s="204"/>
      <c r="V803" s="206"/>
      <c r="W803" s="206"/>
      <c r="X803" s="204"/>
      <c r="Y803" s="206"/>
      <c r="Z803" s="206"/>
      <c r="AA803" s="204"/>
      <c r="AB803" s="206"/>
      <c r="AC803" s="206"/>
      <c r="AD803" s="204"/>
    </row>
    <row r="804" spans="1:30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206"/>
      <c r="T804" s="206"/>
      <c r="U804" s="204"/>
      <c r="V804" s="206"/>
      <c r="W804" s="206"/>
      <c r="X804" s="204"/>
      <c r="Y804" s="206"/>
      <c r="Z804" s="206"/>
      <c r="AA804" s="204"/>
      <c r="AB804" s="206"/>
      <c r="AC804" s="206"/>
      <c r="AD804" s="204"/>
    </row>
    <row r="805" spans="1:30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206"/>
      <c r="T805" s="206"/>
      <c r="U805" s="204"/>
      <c r="V805" s="206"/>
      <c r="W805" s="206"/>
      <c r="X805" s="204"/>
      <c r="Y805" s="206"/>
      <c r="Z805" s="206"/>
      <c r="AA805" s="204"/>
      <c r="AB805" s="206"/>
      <c r="AC805" s="206"/>
      <c r="AD805" s="204"/>
    </row>
    <row r="806" spans="1:30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206"/>
      <c r="T806" s="206"/>
      <c r="U806" s="204"/>
      <c r="V806" s="206"/>
      <c r="W806" s="206"/>
      <c r="X806" s="204"/>
      <c r="Y806" s="206"/>
      <c r="Z806" s="206"/>
      <c r="AA806" s="204"/>
      <c r="AB806" s="206"/>
      <c r="AC806" s="206"/>
      <c r="AD806" s="204"/>
    </row>
    <row r="807" spans="1:30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206"/>
      <c r="T807" s="206"/>
      <c r="U807" s="204"/>
      <c r="V807" s="206"/>
      <c r="W807" s="206"/>
      <c r="X807" s="204"/>
      <c r="Y807" s="206"/>
      <c r="Z807" s="206"/>
      <c r="AA807" s="204"/>
      <c r="AB807" s="206"/>
      <c r="AC807" s="206"/>
      <c r="AD807" s="204"/>
    </row>
    <row r="808" spans="1:30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206"/>
      <c r="T808" s="206"/>
      <c r="U808" s="204"/>
      <c r="V808" s="206"/>
      <c r="W808" s="206"/>
      <c r="X808" s="204"/>
      <c r="Y808" s="206"/>
      <c r="Z808" s="206"/>
      <c r="AA808" s="204"/>
      <c r="AB808" s="206"/>
      <c r="AC808" s="206"/>
      <c r="AD808" s="204"/>
    </row>
    <row r="809" spans="1:30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206"/>
      <c r="T809" s="206"/>
      <c r="U809" s="204"/>
      <c r="V809" s="206"/>
      <c r="W809" s="206"/>
      <c r="X809" s="204"/>
      <c r="Y809" s="206"/>
      <c r="Z809" s="206"/>
      <c r="AA809" s="204"/>
      <c r="AB809" s="206"/>
      <c r="AC809" s="206"/>
      <c r="AD809" s="204"/>
    </row>
    <row r="810" spans="1:30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206"/>
      <c r="T810" s="206"/>
      <c r="U810" s="204"/>
      <c r="V810" s="206"/>
      <c r="W810" s="206"/>
      <c r="X810" s="204"/>
      <c r="Y810" s="206"/>
      <c r="Z810" s="206"/>
      <c r="AA810" s="204"/>
      <c r="AB810" s="206"/>
      <c r="AC810" s="206"/>
      <c r="AD810" s="204"/>
    </row>
    <row r="811" spans="1:30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206"/>
      <c r="T811" s="206"/>
      <c r="U811" s="204"/>
      <c r="V811" s="206"/>
      <c r="W811" s="206"/>
      <c r="X811" s="204"/>
      <c r="Y811" s="206"/>
      <c r="Z811" s="206"/>
      <c r="AA811" s="204"/>
      <c r="AB811" s="206"/>
      <c r="AC811" s="206"/>
      <c r="AD811" s="204"/>
    </row>
    <row r="812" spans="1:30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206"/>
      <c r="T812" s="206"/>
      <c r="U812" s="204"/>
      <c r="V812" s="206"/>
      <c r="W812" s="206"/>
      <c r="X812" s="204"/>
      <c r="Y812" s="206"/>
      <c r="Z812" s="206"/>
      <c r="AA812" s="204"/>
      <c r="AB812" s="206"/>
      <c r="AC812" s="206"/>
      <c r="AD812" s="204"/>
    </row>
    <row r="813" spans="1:30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206"/>
      <c r="T813" s="206"/>
      <c r="U813" s="204"/>
      <c r="V813" s="206"/>
      <c r="W813" s="206"/>
      <c r="X813" s="204"/>
      <c r="Y813" s="206"/>
      <c r="Z813" s="206"/>
      <c r="AA813" s="204"/>
      <c r="AB813" s="206"/>
      <c r="AC813" s="206"/>
      <c r="AD813" s="204"/>
    </row>
    <row r="814" spans="1:30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206"/>
      <c r="T814" s="206"/>
      <c r="U814" s="204"/>
      <c r="V814" s="206"/>
      <c r="W814" s="206"/>
      <c r="X814" s="204"/>
      <c r="Y814" s="206"/>
      <c r="Z814" s="206"/>
      <c r="AA814" s="204"/>
      <c r="AB814" s="206"/>
      <c r="AC814" s="206"/>
      <c r="AD814" s="204"/>
    </row>
    <row r="815" spans="1:30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206"/>
      <c r="T815" s="206"/>
      <c r="U815" s="204"/>
      <c r="V815" s="206"/>
      <c r="W815" s="206"/>
      <c r="X815" s="204"/>
      <c r="Y815" s="206"/>
      <c r="Z815" s="206"/>
      <c r="AA815" s="204"/>
      <c r="AB815" s="206"/>
      <c r="AC815" s="206"/>
      <c r="AD815" s="204"/>
    </row>
    <row r="816" spans="1:30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206"/>
      <c r="T816" s="206"/>
      <c r="U816" s="204"/>
      <c r="V816" s="206"/>
      <c r="W816" s="206"/>
      <c r="X816" s="204"/>
      <c r="Y816" s="206"/>
      <c r="Z816" s="206"/>
      <c r="AA816" s="204"/>
      <c r="AB816" s="206"/>
      <c r="AC816" s="206"/>
      <c r="AD816" s="204"/>
    </row>
    <row r="817" spans="1:30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206"/>
      <c r="T817" s="206"/>
      <c r="U817" s="204"/>
      <c r="V817" s="206"/>
      <c r="W817" s="206"/>
      <c r="X817" s="204"/>
      <c r="Y817" s="206"/>
      <c r="Z817" s="206"/>
      <c r="AA817" s="204"/>
      <c r="AB817" s="206"/>
      <c r="AC817" s="206"/>
      <c r="AD817" s="204"/>
    </row>
    <row r="818" spans="1:30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206"/>
      <c r="T818" s="206"/>
      <c r="U818" s="204"/>
      <c r="V818" s="206"/>
      <c r="W818" s="206"/>
      <c r="X818" s="204"/>
      <c r="Y818" s="206"/>
      <c r="Z818" s="206"/>
      <c r="AA818" s="204"/>
      <c r="AB818" s="206"/>
      <c r="AC818" s="206"/>
      <c r="AD818" s="204"/>
    </row>
    <row r="819" spans="1:30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206"/>
      <c r="T819" s="206"/>
      <c r="U819" s="204"/>
      <c r="V819" s="206"/>
      <c r="W819" s="206"/>
      <c r="X819" s="204"/>
      <c r="Y819" s="206"/>
      <c r="Z819" s="206"/>
      <c r="AA819" s="204"/>
      <c r="AB819" s="206"/>
      <c r="AC819" s="206"/>
      <c r="AD819" s="204"/>
    </row>
    <row r="820" spans="1:30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206"/>
      <c r="T820" s="206"/>
      <c r="U820" s="204"/>
      <c r="V820" s="206"/>
      <c r="W820" s="206"/>
      <c r="X820" s="204"/>
      <c r="Y820" s="206"/>
      <c r="Z820" s="206"/>
      <c r="AA820" s="204"/>
      <c r="AB820" s="206"/>
      <c r="AC820" s="206"/>
      <c r="AD820" s="204"/>
    </row>
    <row r="821" spans="1:30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206"/>
      <c r="T821" s="206"/>
      <c r="U821" s="204"/>
      <c r="V821" s="206"/>
      <c r="W821" s="206"/>
      <c r="X821" s="204"/>
      <c r="Y821" s="206"/>
      <c r="Z821" s="206"/>
      <c r="AA821" s="204"/>
      <c r="AB821" s="206"/>
      <c r="AC821" s="206"/>
      <c r="AD821" s="204"/>
    </row>
    <row r="822" spans="1:30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206"/>
      <c r="T822" s="206"/>
      <c r="U822" s="204"/>
      <c r="V822" s="206"/>
      <c r="W822" s="206"/>
      <c r="X822" s="204"/>
      <c r="Y822" s="206"/>
      <c r="Z822" s="206"/>
      <c r="AA822" s="204"/>
      <c r="AB822" s="206"/>
      <c r="AC822" s="206"/>
      <c r="AD822" s="204"/>
    </row>
    <row r="823" spans="1:30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206"/>
      <c r="T823" s="206"/>
      <c r="U823" s="204"/>
      <c r="V823" s="206"/>
      <c r="W823" s="206"/>
      <c r="X823" s="204"/>
      <c r="Y823" s="206"/>
      <c r="Z823" s="206"/>
      <c r="AA823" s="204"/>
      <c r="AB823" s="206"/>
      <c r="AC823" s="206"/>
      <c r="AD823" s="204"/>
    </row>
    <row r="824" spans="1:30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206"/>
      <c r="T824" s="206"/>
      <c r="U824" s="204"/>
      <c r="V824" s="206"/>
      <c r="W824" s="206"/>
      <c r="X824" s="204"/>
      <c r="Y824" s="206"/>
      <c r="Z824" s="206"/>
      <c r="AA824" s="204"/>
      <c r="AB824" s="206"/>
      <c r="AC824" s="206"/>
      <c r="AD824" s="204"/>
    </row>
    <row r="825" spans="1:30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206"/>
      <c r="T825" s="206"/>
      <c r="U825" s="204"/>
      <c r="V825" s="206"/>
      <c r="W825" s="206"/>
      <c r="X825" s="204"/>
      <c r="Y825" s="206"/>
      <c r="Z825" s="206"/>
      <c r="AA825" s="204"/>
      <c r="AB825" s="206"/>
      <c r="AC825" s="206"/>
      <c r="AD825" s="204"/>
    </row>
    <row r="826" spans="1:30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206"/>
      <c r="T826" s="206"/>
      <c r="U826" s="204"/>
      <c r="V826" s="206"/>
      <c r="W826" s="206"/>
      <c r="X826" s="204"/>
      <c r="Y826" s="206"/>
      <c r="Z826" s="206"/>
      <c r="AA826" s="204"/>
      <c r="AB826" s="206"/>
      <c r="AC826" s="206"/>
      <c r="AD826" s="204"/>
    </row>
    <row r="827" spans="1:30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206"/>
      <c r="T827" s="206"/>
      <c r="U827" s="204"/>
      <c r="V827" s="206"/>
      <c r="W827" s="206"/>
      <c r="X827" s="204"/>
      <c r="Y827" s="206"/>
      <c r="Z827" s="206"/>
      <c r="AA827" s="204"/>
      <c r="AB827" s="206"/>
      <c r="AC827" s="206"/>
      <c r="AD827" s="204"/>
    </row>
    <row r="828" spans="1:30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206"/>
      <c r="T828" s="206"/>
      <c r="U828" s="204"/>
      <c r="V828" s="206"/>
      <c r="W828" s="206"/>
      <c r="X828" s="204"/>
      <c r="Y828" s="206"/>
      <c r="Z828" s="206"/>
      <c r="AA828" s="204"/>
      <c r="AB828" s="206"/>
      <c r="AC828" s="206"/>
      <c r="AD828" s="204"/>
    </row>
    <row r="829" spans="1:30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206"/>
      <c r="T829" s="206"/>
      <c r="U829" s="204"/>
      <c r="V829" s="206"/>
      <c r="W829" s="206"/>
      <c r="X829" s="204"/>
      <c r="Y829" s="206"/>
      <c r="Z829" s="206"/>
      <c r="AA829" s="204"/>
      <c r="AB829" s="206"/>
      <c r="AC829" s="206"/>
      <c r="AD829" s="204"/>
    </row>
    <row r="830" spans="1:30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206"/>
      <c r="T830" s="206"/>
      <c r="U830" s="204"/>
      <c r="V830" s="206"/>
      <c r="W830" s="206"/>
      <c r="X830" s="204"/>
      <c r="Y830" s="206"/>
      <c r="Z830" s="206"/>
      <c r="AA830" s="204"/>
      <c r="AB830" s="206"/>
      <c r="AC830" s="206"/>
      <c r="AD830" s="204"/>
    </row>
    <row r="831" spans="1:30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206"/>
      <c r="T831" s="206"/>
      <c r="U831" s="204"/>
      <c r="V831" s="206"/>
      <c r="W831" s="206"/>
      <c r="X831" s="204"/>
      <c r="Y831" s="206"/>
      <c r="Z831" s="206"/>
      <c r="AA831" s="204"/>
      <c r="AB831" s="206"/>
      <c r="AC831" s="206"/>
      <c r="AD831" s="204"/>
    </row>
    <row r="832" spans="1:30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206"/>
      <c r="T832" s="206"/>
      <c r="U832" s="204"/>
      <c r="V832" s="206"/>
      <c r="W832" s="206"/>
      <c r="X832" s="204"/>
      <c r="Y832" s="206"/>
      <c r="Z832" s="206"/>
      <c r="AA832" s="204"/>
      <c r="AB832" s="206"/>
      <c r="AC832" s="206"/>
      <c r="AD832" s="204"/>
    </row>
    <row r="833" spans="1:30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206"/>
      <c r="T833" s="206"/>
      <c r="U833" s="204"/>
      <c r="V833" s="206"/>
      <c r="W833" s="206"/>
      <c r="X833" s="204"/>
      <c r="Y833" s="206"/>
      <c r="Z833" s="206"/>
      <c r="AA833" s="204"/>
      <c r="AB833" s="206"/>
      <c r="AC833" s="206"/>
      <c r="AD833" s="204"/>
    </row>
    <row r="834" spans="1:30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206"/>
      <c r="T834" s="206"/>
      <c r="U834" s="204"/>
      <c r="V834" s="206"/>
      <c r="W834" s="206"/>
      <c r="X834" s="204"/>
      <c r="Y834" s="206"/>
      <c r="Z834" s="206"/>
      <c r="AA834" s="204"/>
      <c r="AB834" s="206"/>
      <c r="AC834" s="206"/>
      <c r="AD834" s="204"/>
    </row>
    <row r="835" spans="1:30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206"/>
      <c r="T835" s="206"/>
      <c r="U835" s="204"/>
      <c r="V835" s="206"/>
      <c r="W835" s="206"/>
      <c r="X835" s="204"/>
      <c r="Y835" s="206"/>
      <c r="Z835" s="206"/>
      <c r="AA835" s="204"/>
      <c r="AB835" s="206"/>
      <c r="AC835" s="206"/>
      <c r="AD835" s="204"/>
    </row>
    <row r="836" spans="1:30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206"/>
      <c r="T836" s="206"/>
      <c r="U836" s="204"/>
      <c r="V836" s="206"/>
      <c r="W836" s="206"/>
      <c r="X836" s="204"/>
      <c r="Y836" s="206"/>
      <c r="Z836" s="206"/>
      <c r="AA836" s="204"/>
      <c r="AB836" s="206"/>
      <c r="AC836" s="206"/>
      <c r="AD836" s="204"/>
    </row>
    <row r="837" spans="1:30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206"/>
      <c r="T837" s="206"/>
      <c r="U837" s="204"/>
      <c r="V837" s="206"/>
      <c r="W837" s="206"/>
      <c r="X837" s="204"/>
      <c r="Y837" s="206"/>
      <c r="Z837" s="206"/>
      <c r="AA837" s="204"/>
      <c r="AB837" s="206"/>
      <c r="AC837" s="206"/>
      <c r="AD837" s="204"/>
    </row>
    <row r="838" spans="1:30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206"/>
      <c r="T838" s="206"/>
      <c r="U838" s="204"/>
      <c r="V838" s="206"/>
      <c r="W838" s="206"/>
      <c r="X838" s="204"/>
      <c r="Y838" s="206"/>
      <c r="Z838" s="206"/>
      <c r="AA838" s="204"/>
      <c r="AB838" s="206"/>
      <c r="AC838" s="206"/>
      <c r="AD838" s="204"/>
    </row>
    <row r="839" spans="1:30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206"/>
      <c r="T839" s="206"/>
      <c r="U839" s="204"/>
      <c r="V839" s="206"/>
      <c r="W839" s="206"/>
      <c r="X839" s="204"/>
      <c r="Y839" s="206"/>
      <c r="Z839" s="206"/>
      <c r="AA839" s="204"/>
      <c r="AB839" s="206"/>
      <c r="AC839" s="206"/>
      <c r="AD839" s="204"/>
    </row>
    <row r="840" spans="1:30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206"/>
      <c r="T840" s="206"/>
      <c r="U840" s="204"/>
      <c r="V840" s="206"/>
      <c r="W840" s="206"/>
      <c r="X840" s="204"/>
      <c r="Y840" s="206"/>
      <c r="Z840" s="206"/>
      <c r="AA840" s="204"/>
      <c r="AB840" s="206"/>
      <c r="AC840" s="206"/>
      <c r="AD840" s="204"/>
    </row>
    <row r="841" spans="1:30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206"/>
      <c r="T841" s="206"/>
      <c r="U841" s="204"/>
      <c r="V841" s="206"/>
      <c r="W841" s="206"/>
      <c r="X841" s="204"/>
      <c r="Y841" s="206"/>
      <c r="Z841" s="206"/>
      <c r="AA841" s="204"/>
      <c r="AB841" s="206"/>
      <c r="AC841" s="206"/>
      <c r="AD841" s="204"/>
    </row>
    <row r="842" spans="1:30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206"/>
      <c r="T842" s="206"/>
      <c r="U842" s="204"/>
      <c r="V842" s="206"/>
      <c r="W842" s="206"/>
      <c r="X842" s="204"/>
      <c r="Y842" s="206"/>
      <c r="Z842" s="206"/>
      <c r="AA842" s="204"/>
      <c r="AB842" s="206"/>
      <c r="AC842" s="206"/>
      <c r="AD842" s="204"/>
    </row>
    <row r="843" spans="1:30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206"/>
      <c r="T843" s="206"/>
      <c r="U843" s="204"/>
      <c r="V843" s="206"/>
      <c r="W843" s="206"/>
      <c r="X843" s="204"/>
      <c r="Y843" s="206"/>
      <c r="Z843" s="206"/>
      <c r="AA843" s="204"/>
      <c r="AB843" s="206"/>
      <c r="AC843" s="206"/>
      <c r="AD843" s="204"/>
    </row>
    <row r="844" spans="1:30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206"/>
      <c r="T844" s="206"/>
      <c r="U844" s="204"/>
      <c r="V844" s="206"/>
      <c r="W844" s="206"/>
      <c r="X844" s="204"/>
      <c r="Y844" s="206"/>
      <c r="Z844" s="206"/>
      <c r="AA844" s="204"/>
      <c r="AB844" s="206"/>
      <c r="AC844" s="206"/>
      <c r="AD844" s="204"/>
    </row>
    <row r="845" spans="1:30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206"/>
      <c r="T845" s="206"/>
      <c r="U845" s="204"/>
      <c r="V845" s="206"/>
      <c r="W845" s="206"/>
      <c r="X845" s="204"/>
      <c r="Y845" s="206"/>
      <c r="Z845" s="206"/>
      <c r="AA845" s="204"/>
      <c r="AB845" s="206"/>
      <c r="AC845" s="206"/>
      <c r="AD845" s="204"/>
    </row>
    <row r="846" spans="1:30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206"/>
      <c r="T846" s="206"/>
      <c r="U846" s="204"/>
      <c r="V846" s="206"/>
      <c r="W846" s="206"/>
      <c r="X846" s="204"/>
      <c r="Y846" s="206"/>
      <c r="Z846" s="206"/>
      <c r="AA846" s="204"/>
      <c r="AB846" s="206"/>
      <c r="AC846" s="206"/>
      <c r="AD846" s="204"/>
    </row>
    <row r="847" spans="1:30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206"/>
      <c r="T847" s="206"/>
      <c r="U847" s="204"/>
      <c r="V847" s="206"/>
      <c r="W847" s="206"/>
      <c r="X847" s="204"/>
      <c r="Y847" s="206"/>
      <c r="Z847" s="206"/>
      <c r="AA847" s="204"/>
      <c r="AB847" s="206"/>
      <c r="AC847" s="206"/>
      <c r="AD847" s="204"/>
    </row>
    <row r="848" spans="1:30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206"/>
      <c r="T848" s="206"/>
      <c r="U848" s="204"/>
      <c r="V848" s="206"/>
      <c r="W848" s="206"/>
      <c r="X848" s="204"/>
      <c r="Y848" s="206"/>
      <c r="Z848" s="206"/>
      <c r="AA848" s="204"/>
      <c r="AB848" s="206"/>
      <c r="AC848" s="206"/>
      <c r="AD848" s="204"/>
    </row>
    <row r="849" spans="1:30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206"/>
      <c r="T849" s="206"/>
      <c r="U849" s="204"/>
      <c r="V849" s="206"/>
      <c r="W849" s="206"/>
      <c r="X849" s="204"/>
      <c r="Y849" s="206"/>
      <c r="Z849" s="206"/>
      <c r="AA849" s="204"/>
      <c r="AB849" s="206"/>
      <c r="AC849" s="206"/>
      <c r="AD849" s="204"/>
    </row>
    <row r="850" spans="1:30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206"/>
      <c r="T850" s="206"/>
      <c r="U850" s="204"/>
      <c r="V850" s="206"/>
      <c r="W850" s="206"/>
      <c r="X850" s="204"/>
      <c r="Y850" s="206"/>
      <c r="Z850" s="206"/>
      <c r="AA850" s="204"/>
      <c r="AB850" s="206"/>
      <c r="AC850" s="206"/>
      <c r="AD850" s="204"/>
    </row>
    <row r="851" spans="1:30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206"/>
      <c r="T851" s="206"/>
      <c r="U851" s="204"/>
      <c r="V851" s="206"/>
      <c r="W851" s="206"/>
      <c r="X851" s="204"/>
      <c r="Y851" s="206"/>
      <c r="Z851" s="206"/>
      <c r="AA851" s="204"/>
      <c r="AB851" s="206"/>
      <c r="AC851" s="206"/>
      <c r="AD851" s="204"/>
    </row>
    <row r="852" spans="1:30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206"/>
      <c r="T852" s="206"/>
      <c r="U852" s="204"/>
      <c r="V852" s="206"/>
      <c r="W852" s="206"/>
      <c r="X852" s="204"/>
      <c r="Y852" s="206"/>
      <c r="Z852" s="206"/>
      <c r="AA852" s="204"/>
      <c r="AB852" s="206"/>
      <c r="AC852" s="206"/>
      <c r="AD852" s="204"/>
    </row>
    <row r="853" spans="1:30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206"/>
      <c r="T853" s="206"/>
      <c r="U853" s="204"/>
      <c r="V853" s="206"/>
      <c r="W853" s="206"/>
      <c r="X853" s="204"/>
      <c r="Y853" s="206"/>
      <c r="Z853" s="206"/>
      <c r="AA853" s="204"/>
      <c r="AB853" s="206"/>
      <c r="AC853" s="206"/>
      <c r="AD853" s="204"/>
    </row>
    <row r="854" spans="1:30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206"/>
      <c r="T854" s="206"/>
      <c r="U854" s="204"/>
      <c r="V854" s="206"/>
      <c r="W854" s="206"/>
      <c r="X854" s="204"/>
      <c r="Y854" s="206"/>
      <c r="Z854" s="206"/>
      <c r="AA854" s="204"/>
      <c r="AB854" s="206"/>
      <c r="AC854" s="206"/>
      <c r="AD854" s="204"/>
    </row>
    <row r="855" spans="1:30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206"/>
      <c r="T855" s="206"/>
      <c r="U855" s="204"/>
      <c r="V855" s="206"/>
      <c r="W855" s="206"/>
      <c r="X855" s="204"/>
      <c r="Y855" s="206"/>
      <c r="Z855" s="206"/>
      <c r="AA855" s="204"/>
      <c r="AB855" s="206"/>
      <c r="AC855" s="206"/>
      <c r="AD855" s="204"/>
    </row>
    <row r="856" spans="1:30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206"/>
      <c r="T856" s="206"/>
      <c r="U856" s="204"/>
      <c r="V856" s="206"/>
      <c r="W856" s="206"/>
      <c r="X856" s="204"/>
      <c r="Y856" s="206"/>
      <c r="Z856" s="206"/>
      <c r="AA856" s="204"/>
      <c r="AB856" s="206"/>
      <c r="AC856" s="206"/>
      <c r="AD856" s="204"/>
    </row>
    <row r="857" spans="1:30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206"/>
      <c r="T857" s="206"/>
      <c r="U857" s="204"/>
      <c r="V857" s="206"/>
      <c r="W857" s="206"/>
      <c r="X857" s="204"/>
      <c r="Y857" s="206"/>
      <c r="Z857" s="206"/>
      <c r="AA857" s="204"/>
      <c r="AB857" s="206"/>
      <c r="AC857" s="206"/>
      <c r="AD857" s="204"/>
    </row>
    <row r="858" spans="1:30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206"/>
      <c r="T858" s="206"/>
      <c r="U858" s="204"/>
      <c r="V858" s="206"/>
      <c r="W858" s="206"/>
      <c r="X858" s="204"/>
      <c r="Y858" s="206"/>
      <c r="Z858" s="206"/>
      <c r="AA858" s="204"/>
      <c r="AB858" s="206"/>
      <c r="AC858" s="206"/>
      <c r="AD858" s="204"/>
    </row>
    <row r="859" spans="1:30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206"/>
      <c r="T859" s="206"/>
      <c r="U859" s="204"/>
      <c r="V859" s="206"/>
      <c r="W859" s="206"/>
      <c r="X859" s="204"/>
      <c r="Y859" s="206"/>
      <c r="Z859" s="206"/>
      <c r="AA859" s="204"/>
      <c r="AB859" s="206"/>
      <c r="AC859" s="206"/>
      <c r="AD859" s="204"/>
    </row>
    <row r="860" spans="1:30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206"/>
      <c r="T860" s="206"/>
      <c r="U860" s="204"/>
      <c r="V860" s="206"/>
      <c r="W860" s="206"/>
      <c r="X860" s="204"/>
      <c r="Y860" s="206"/>
      <c r="Z860" s="206"/>
      <c r="AA860" s="204"/>
      <c r="AB860" s="206"/>
      <c r="AC860" s="206"/>
      <c r="AD860" s="204"/>
    </row>
    <row r="861" spans="1:30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206"/>
      <c r="T861" s="206"/>
      <c r="U861" s="204"/>
      <c r="V861" s="206"/>
      <c r="W861" s="206"/>
      <c r="X861" s="204"/>
      <c r="Y861" s="206"/>
      <c r="Z861" s="206"/>
      <c r="AA861" s="204"/>
      <c r="AB861" s="206"/>
      <c r="AC861" s="206"/>
      <c r="AD861" s="204"/>
    </row>
    <row r="862" spans="1:30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206"/>
      <c r="T862" s="206"/>
      <c r="U862" s="204"/>
      <c r="V862" s="206"/>
      <c r="W862" s="206"/>
      <c r="X862" s="204"/>
      <c r="Y862" s="206"/>
      <c r="Z862" s="206"/>
      <c r="AA862" s="204"/>
      <c r="AB862" s="206"/>
      <c r="AC862" s="206"/>
      <c r="AD862" s="204"/>
    </row>
    <row r="863" spans="1:30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206"/>
      <c r="T863" s="206"/>
      <c r="U863" s="204"/>
      <c r="V863" s="206"/>
      <c r="W863" s="206"/>
      <c r="X863" s="204"/>
      <c r="Y863" s="206"/>
      <c r="Z863" s="206"/>
      <c r="AA863" s="204"/>
      <c r="AB863" s="206"/>
      <c r="AC863" s="206"/>
      <c r="AD863" s="204"/>
    </row>
    <row r="864" spans="1:30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206"/>
      <c r="T864" s="206"/>
      <c r="U864" s="204"/>
      <c r="V864" s="206"/>
      <c r="W864" s="206"/>
      <c r="X864" s="204"/>
      <c r="Y864" s="206"/>
      <c r="Z864" s="206"/>
      <c r="AA864" s="204"/>
      <c r="AB864" s="206"/>
      <c r="AC864" s="206"/>
      <c r="AD864" s="204"/>
    </row>
    <row r="865" spans="1:30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206"/>
      <c r="T865" s="206"/>
      <c r="U865" s="204"/>
      <c r="V865" s="206"/>
      <c r="W865" s="206"/>
      <c r="X865" s="204"/>
      <c r="Y865" s="206"/>
      <c r="Z865" s="206"/>
      <c r="AA865" s="204"/>
      <c r="AB865" s="206"/>
      <c r="AC865" s="206"/>
      <c r="AD865" s="204"/>
    </row>
    <row r="866" spans="1:30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206"/>
      <c r="T866" s="206"/>
      <c r="U866" s="204"/>
      <c r="V866" s="206"/>
      <c r="W866" s="206"/>
      <c r="X866" s="204"/>
      <c r="Y866" s="206"/>
      <c r="Z866" s="206"/>
      <c r="AA866" s="204"/>
      <c r="AB866" s="206"/>
      <c r="AC866" s="206"/>
      <c r="AD866" s="204"/>
    </row>
    <row r="867" spans="1:30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206"/>
      <c r="T867" s="206"/>
      <c r="U867" s="204"/>
      <c r="V867" s="206"/>
      <c r="W867" s="206"/>
      <c r="X867" s="204"/>
      <c r="Y867" s="206"/>
      <c r="Z867" s="206"/>
      <c r="AA867" s="204"/>
      <c r="AB867" s="206"/>
      <c r="AC867" s="206"/>
      <c r="AD867" s="204"/>
    </row>
    <row r="868" spans="1:30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206"/>
      <c r="T868" s="206"/>
      <c r="U868" s="204"/>
      <c r="V868" s="206"/>
      <c r="W868" s="206"/>
      <c r="X868" s="204"/>
      <c r="Y868" s="206"/>
      <c r="Z868" s="206"/>
      <c r="AA868" s="204"/>
      <c r="AB868" s="206"/>
      <c r="AC868" s="206"/>
      <c r="AD868" s="204"/>
    </row>
    <row r="869" spans="1:30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206"/>
      <c r="T869" s="206"/>
      <c r="U869" s="204"/>
      <c r="V869" s="206"/>
      <c r="W869" s="206"/>
      <c r="X869" s="204"/>
      <c r="Y869" s="206"/>
      <c r="Z869" s="206"/>
      <c r="AA869" s="204"/>
      <c r="AB869" s="206"/>
      <c r="AC869" s="206"/>
      <c r="AD869" s="204"/>
    </row>
    <row r="870" spans="1:30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206"/>
      <c r="T870" s="206"/>
      <c r="U870" s="204"/>
      <c r="V870" s="206"/>
      <c r="W870" s="206"/>
      <c r="X870" s="204"/>
      <c r="Y870" s="206"/>
      <c r="Z870" s="206"/>
      <c r="AA870" s="204"/>
      <c r="AB870" s="206"/>
      <c r="AC870" s="206"/>
      <c r="AD870" s="204"/>
    </row>
    <row r="871" spans="1:30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206"/>
      <c r="T871" s="206"/>
      <c r="U871" s="204"/>
      <c r="V871" s="206"/>
      <c r="W871" s="206"/>
      <c r="X871" s="204"/>
      <c r="Y871" s="206"/>
      <c r="Z871" s="206"/>
      <c r="AA871" s="204"/>
      <c r="AB871" s="206"/>
      <c r="AC871" s="206"/>
      <c r="AD871" s="204"/>
    </row>
    <row r="872" spans="1:30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206"/>
      <c r="T872" s="206"/>
      <c r="U872" s="204"/>
      <c r="V872" s="206"/>
      <c r="W872" s="206"/>
      <c r="X872" s="204"/>
      <c r="Y872" s="206"/>
      <c r="Z872" s="206"/>
      <c r="AA872" s="204"/>
      <c r="AB872" s="206"/>
      <c r="AC872" s="206"/>
      <c r="AD872" s="204"/>
    </row>
    <row r="873" spans="1:30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206"/>
      <c r="T873" s="206"/>
      <c r="U873" s="204"/>
      <c r="V873" s="206"/>
      <c r="W873" s="206"/>
      <c r="X873" s="204"/>
      <c r="Y873" s="206"/>
      <c r="Z873" s="206"/>
      <c r="AA873" s="204"/>
      <c r="AB873" s="206"/>
      <c r="AC873" s="206"/>
      <c r="AD873" s="204"/>
    </row>
    <row r="874" spans="1:30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206"/>
      <c r="T874" s="206"/>
      <c r="U874" s="204"/>
      <c r="V874" s="206"/>
      <c r="W874" s="206"/>
      <c r="X874" s="204"/>
      <c r="Y874" s="206"/>
      <c r="Z874" s="206"/>
      <c r="AA874" s="204"/>
      <c r="AB874" s="206"/>
      <c r="AC874" s="206"/>
      <c r="AD874" s="204"/>
    </row>
    <row r="875" spans="1:30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206"/>
      <c r="T875" s="206"/>
      <c r="U875" s="204"/>
      <c r="V875" s="206"/>
      <c r="W875" s="206"/>
      <c r="X875" s="204"/>
      <c r="Y875" s="206"/>
      <c r="Z875" s="206"/>
      <c r="AA875" s="204"/>
      <c r="AB875" s="206"/>
      <c r="AC875" s="206"/>
      <c r="AD875" s="204"/>
    </row>
    <row r="876" spans="1:30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206"/>
      <c r="T876" s="206"/>
      <c r="U876" s="204"/>
      <c r="V876" s="206"/>
      <c r="W876" s="206"/>
      <c r="X876" s="204"/>
      <c r="Y876" s="206"/>
      <c r="Z876" s="206"/>
      <c r="AA876" s="204"/>
      <c r="AB876" s="206"/>
      <c r="AC876" s="206"/>
      <c r="AD876" s="204"/>
    </row>
    <row r="877" spans="1:30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206"/>
      <c r="T877" s="206"/>
      <c r="U877" s="204"/>
      <c r="V877" s="206"/>
      <c r="W877" s="206"/>
      <c r="X877" s="204"/>
      <c r="Y877" s="206"/>
      <c r="Z877" s="206"/>
      <c r="AA877" s="204"/>
      <c r="AB877" s="206"/>
      <c r="AC877" s="206"/>
      <c r="AD877" s="204"/>
    </row>
    <row r="878" spans="1:30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206"/>
      <c r="T878" s="206"/>
      <c r="U878" s="204"/>
      <c r="V878" s="206"/>
      <c r="W878" s="206"/>
      <c r="X878" s="204"/>
      <c r="Y878" s="206"/>
      <c r="Z878" s="206"/>
      <c r="AA878" s="204"/>
      <c r="AB878" s="206"/>
      <c r="AC878" s="206"/>
      <c r="AD878" s="204"/>
    </row>
    <row r="879" spans="1:30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206"/>
      <c r="T879" s="206"/>
      <c r="U879" s="204"/>
      <c r="V879" s="206"/>
      <c r="W879" s="206"/>
      <c r="X879" s="204"/>
      <c r="Y879" s="206"/>
      <c r="Z879" s="206"/>
      <c r="AA879" s="204"/>
      <c r="AB879" s="206"/>
      <c r="AC879" s="206"/>
      <c r="AD879" s="204"/>
    </row>
    <row r="880" spans="1:30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206"/>
      <c r="T880" s="206"/>
      <c r="U880" s="204"/>
      <c r="V880" s="206"/>
      <c r="W880" s="206"/>
      <c r="X880" s="204"/>
      <c r="Y880" s="206"/>
      <c r="Z880" s="206"/>
      <c r="AA880" s="204"/>
      <c r="AB880" s="206"/>
      <c r="AC880" s="206"/>
      <c r="AD880" s="204"/>
    </row>
    <row r="881" spans="1:30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206"/>
      <c r="T881" s="206"/>
      <c r="U881" s="204"/>
      <c r="V881" s="206"/>
      <c r="W881" s="206"/>
      <c r="X881" s="204"/>
      <c r="Y881" s="206"/>
      <c r="Z881" s="206"/>
      <c r="AA881" s="204"/>
      <c r="AB881" s="206"/>
      <c r="AC881" s="206"/>
      <c r="AD881" s="204"/>
    </row>
    <row r="882" spans="1:30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206"/>
      <c r="T882" s="206"/>
      <c r="U882" s="204"/>
      <c r="V882" s="206"/>
      <c r="W882" s="206"/>
      <c r="X882" s="204"/>
      <c r="Y882" s="206"/>
      <c r="Z882" s="206"/>
      <c r="AA882" s="204"/>
      <c r="AB882" s="206"/>
      <c r="AC882" s="206"/>
      <c r="AD882" s="204"/>
    </row>
    <row r="883" spans="1:30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206"/>
      <c r="T883" s="206"/>
      <c r="U883" s="204"/>
      <c r="V883" s="206"/>
      <c r="W883" s="206"/>
      <c r="X883" s="204"/>
      <c r="Y883" s="206"/>
      <c r="Z883" s="206"/>
      <c r="AA883" s="204"/>
      <c r="AB883" s="206"/>
      <c r="AC883" s="206"/>
      <c r="AD883" s="204"/>
    </row>
    <row r="884" spans="1:30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206"/>
      <c r="T884" s="206"/>
      <c r="U884" s="204"/>
      <c r="V884" s="206"/>
      <c r="W884" s="206"/>
      <c r="X884" s="204"/>
      <c r="Y884" s="206"/>
      <c r="Z884" s="206"/>
      <c r="AA884" s="204"/>
      <c r="AB884" s="206"/>
      <c r="AC884" s="206"/>
      <c r="AD884" s="204"/>
    </row>
    <row r="885" spans="1:30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206"/>
      <c r="T885" s="206"/>
      <c r="U885" s="204"/>
      <c r="V885" s="206"/>
      <c r="W885" s="206"/>
      <c r="X885" s="204"/>
      <c r="Y885" s="206"/>
      <c r="Z885" s="206"/>
      <c r="AA885" s="204"/>
      <c r="AB885" s="206"/>
      <c r="AC885" s="206"/>
      <c r="AD885" s="204"/>
    </row>
    <row r="886" spans="1:30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206"/>
      <c r="T886" s="206"/>
      <c r="U886" s="204"/>
      <c r="V886" s="206"/>
      <c r="W886" s="206"/>
      <c r="X886" s="204"/>
      <c r="Y886" s="206"/>
      <c r="Z886" s="206"/>
      <c r="AA886" s="204"/>
      <c r="AB886" s="206"/>
      <c r="AC886" s="206"/>
      <c r="AD886" s="204"/>
    </row>
    <row r="887" spans="1:30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206"/>
      <c r="T887" s="206"/>
      <c r="U887" s="204"/>
      <c r="V887" s="206"/>
      <c r="W887" s="206"/>
      <c r="X887" s="204"/>
      <c r="Y887" s="206"/>
      <c r="Z887" s="206"/>
      <c r="AA887" s="204"/>
      <c r="AB887" s="206"/>
      <c r="AC887" s="206"/>
      <c r="AD887" s="204"/>
    </row>
    <row r="888" spans="1:30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206"/>
      <c r="T888" s="206"/>
      <c r="U888" s="204"/>
      <c r="V888" s="206"/>
      <c r="W888" s="206"/>
      <c r="X888" s="204"/>
      <c r="Y888" s="206"/>
      <c r="Z888" s="206"/>
      <c r="AA888" s="204"/>
      <c r="AB888" s="206"/>
      <c r="AC888" s="206"/>
      <c r="AD888" s="204"/>
    </row>
    <row r="889" spans="1:30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206"/>
      <c r="T889" s="206"/>
      <c r="U889" s="204"/>
      <c r="V889" s="206"/>
      <c r="W889" s="206"/>
      <c r="X889" s="204"/>
      <c r="Y889" s="206"/>
      <c r="Z889" s="206"/>
      <c r="AA889" s="204"/>
      <c r="AB889" s="206"/>
      <c r="AC889" s="206"/>
      <c r="AD889" s="204"/>
    </row>
    <row r="890" spans="1:30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206"/>
      <c r="T890" s="206"/>
      <c r="U890" s="204"/>
      <c r="V890" s="206"/>
      <c r="W890" s="206"/>
      <c r="X890" s="204"/>
      <c r="Y890" s="206"/>
      <c r="Z890" s="206"/>
      <c r="AA890" s="204"/>
      <c r="AB890" s="206"/>
      <c r="AC890" s="206"/>
      <c r="AD890" s="204"/>
    </row>
    <row r="891" spans="1:30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206"/>
      <c r="T891" s="206"/>
      <c r="U891" s="204"/>
      <c r="V891" s="206"/>
      <c r="W891" s="206"/>
      <c r="X891" s="204"/>
      <c r="Y891" s="206"/>
      <c r="Z891" s="206"/>
      <c r="AA891" s="204"/>
      <c r="AB891" s="206"/>
      <c r="AC891" s="206"/>
      <c r="AD891" s="204"/>
    </row>
    <row r="892" spans="1:30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206"/>
      <c r="T892" s="206"/>
      <c r="U892" s="204"/>
      <c r="V892" s="206"/>
      <c r="W892" s="206"/>
      <c r="X892" s="204"/>
      <c r="Y892" s="206"/>
      <c r="Z892" s="206"/>
      <c r="AA892" s="204"/>
      <c r="AB892" s="206"/>
      <c r="AC892" s="206"/>
      <c r="AD892" s="204"/>
    </row>
    <row r="893" spans="1:30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206"/>
      <c r="T893" s="206"/>
      <c r="U893" s="204"/>
      <c r="V893" s="206"/>
      <c r="W893" s="206"/>
      <c r="X893" s="204"/>
      <c r="Y893" s="206"/>
      <c r="Z893" s="206"/>
      <c r="AA893" s="204"/>
      <c r="AB893" s="206"/>
      <c r="AC893" s="206"/>
      <c r="AD893" s="204"/>
    </row>
    <row r="894" spans="1:30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206"/>
      <c r="T894" s="206"/>
      <c r="U894" s="204"/>
      <c r="V894" s="206"/>
      <c r="W894" s="206"/>
      <c r="X894" s="204"/>
      <c r="Y894" s="206"/>
      <c r="Z894" s="206"/>
      <c r="AA894" s="204"/>
      <c r="AB894" s="206"/>
      <c r="AC894" s="206"/>
      <c r="AD894" s="204"/>
    </row>
    <row r="895" spans="1:30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206"/>
      <c r="T895" s="206"/>
      <c r="U895" s="204"/>
      <c r="V895" s="206"/>
      <c r="W895" s="206"/>
      <c r="X895" s="204"/>
      <c r="Y895" s="206"/>
      <c r="Z895" s="206"/>
      <c r="AA895" s="204"/>
      <c r="AB895" s="206"/>
      <c r="AC895" s="206"/>
      <c r="AD895" s="204"/>
    </row>
    <row r="896" spans="1:30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206"/>
      <c r="T896" s="206"/>
      <c r="U896" s="204"/>
      <c r="V896" s="206"/>
      <c r="W896" s="206"/>
      <c r="X896" s="204"/>
      <c r="Y896" s="206"/>
      <c r="Z896" s="206"/>
      <c r="AA896" s="204"/>
      <c r="AB896" s="206"/>
      <c r="AC896" s="206"/>
      <c r="AD896" s="204"/>
    </row>
    <row r="897" spans="1:30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206"/>
      <c r="T897" s="206"/>
      <c r="U897" s="204"/>
      <c r="V897" s="206"/>
      <c r="W897" s="206"/>
      <c r="X897" s="204"/>
      <c r="Y897" s="206"/>
      <c r="Z897" s="206"/>
      <c r="AA897" s="204"/>
      <c r="AB897" s="206"/>
      <c r="AC897" s="206"/>
      <c r="AD897" s="204"/>
    </row>
    <row r="898" spans="1:30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206"/>
      <c r="T898" s="206"/>
      <c r="U898" s="204"/>
      <c r="V898" s="206"/>
      <c r="W898" s="206"/>
      <c r="X898" s="204"/>
      <c r="Y898" s="206"/>
      <c r="Z898" s="206"/>
      <c r="AA898" s="204"/>
      <c r="AB898" s="206"/>
      <c r="AC898" s="206"/>
      <c r="AD898" s="204"/>
    </row>
    <row r="899" spans="1:30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206"/>
      <c r="T899" s="206"/>
      <c r="U899" s="204"/>
      <c r="V899" s="206"/>
      <c r="W899" s="206"/>
      <c r="X899" s="204"/>
      <c r="Y899" s="206"/>
      <c r="Z899" s="206"/>
      <c r="AA899" s="204"/>
      <c r="AB899" s="206"/>
      <c r="AC899" s="206"/>
      <c r="AD899" s="204"/>
    </row>
    <row r="900" spans="1:30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206"/>
      <c r="T900" s="206"/>
      <c r="U900" s="204"/>
      <c r="V900" s="206"/>
      <c r="W900" s="206"/>
      <c r="X900" s="204"/>
      <c r="Y900" s="206"/>
      <c r="Z900" s="206"/>
      <c r="AA900" s="204"/>
      <c r="AB900" s="206"/>
      <c r="AC900" s="206"/>
      <c r="AD900" s="204"/>
    </row>
    <row r="901" spans="1:30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206"/>
      <c r="T901" s="206"/>
      <c r="U901" s="204"/>
      <c r="V901" s="206"/>
      <c r="W901" s="206"/>
      <c r="X901" s="204"/>
      <c r="Y901" s="206"/>
      <c r="Z901" s="206"/>
      <c r="AA901" s="204"/>
      <c r="AB901" s="206"/>
      <c r="AC901" s="206"/>
      <c r="AD901" s="204"/>
    </row>
    <row r="902" spans="1:30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206"/>
      <c r="T902" s="206"/>
      <c r="U902" s="204"/>
      <c r="V902" s="206"/>
      <c r="W902" s="206"/>
      <c r="X902" s="204"/>
      <c r="Y902" s="206"/>
      <c r="Z902" s="206"/>
      <c r="AA902" s="204"/>
      <c r="AB902" s="206"/>
      <c r="AC902" s="206"/>
      <c r="AD902" s="204"/>
    </row>
    <row r="903" spans="1:30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206"/>
      <c r="T903" s="206"/>
      <c r="U903" s="204"/>
      <c r="V903" s="206"/>
      <c r="W903" s="206"/>
      <c r="X903" s="204"/>
      <c r="Y903" s="206"/>
      <c r="Z903" s="206"/>
      <c r="AA903" s="204"/>
      <c r="AB903" s="206"/>
      <c r="AC903" s="206"/>
      <c r="AD903" s="204"/>
    </row>
    <row r="904" spans="1:30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206"/>
      <c r="T904" s="206"/>
      <c r="U904" s="204"/>
      <c r="V904" s="206"/>
      <c r="W904" s="206"/>
      <c r="X904" s="204"/>
      <c r="Y904" s="206"/>
      <c r="Z904" s="206"/>
      <c r="AA904" s="204"/>
      <c r="AB904" s="206"/>
      <c r="AC904" s="206"/>
      <c r="AD904" s="204"/>
    </row>
    <row r="905" spans="1:30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206"/>
      <c r="T905" s="206"/>
      <c r="U905" s="204"/>
      <c r="V905" s="206"/>
      <c r="W905" s="206"/>
      <c r="X905" s="204"/>
      <c r="Y905" s="206"/>
      <c r="Z905" s="206"/>
      <c r="AA905" s="204"/>
      <c r="AB905" s="206"/>
      <c r="AC905" s="206"/>
      <c r="AD905" s="204"/>
    </row>
    <row r="906" spans="1:30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206"/>
      <c r="T906" s="206"/>
      <c r="U906" s="204"/>
      <c r="V906" s="206"/>
      <c r="W906" s="206"/>
      <c r="X906" s="204"/>
      <c r="Y906" s="206"/>
      <c r="Z906" s="206"/>
      <c r="AA906" s="204"/>
      <c r="AB906" s="206"/>
      <c r="AC906" s="206"/>
      <c r="AD906" s="204"/>
    </row>
    <row r="907" spans="1:30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206"/>
      <c r="T907" s="206"/>
      <c r="U907" s="204"/>
      <c r="V907" s="206"/>
      <c r="W907" s="206"/>
      <c r="X907" s="204"/>
      <c r="Y907" s="206"/>
      <c r="Z907" s="206"/>
      <c r="AA907" s="204"/>
      <c r="AB907" s="206"/>
      <c r="AC907" s="206"/>
      <c r="AD907" s="204"/>
    </row>
    <row r="908" spans="1:30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206"/>
      <c r="T908" s="206"/>
      <c r="U908" s="204"/>
      <c r="V908" s="206"/>
      <c r="W908" s="206"/>
      <c r="X908" s="204"/>
      <c r="Y908" s="206"/>
      <c r="Z908" s="206"/>
      <c r="AA908" s="204"/>
      <c r="AB908" s="206"/>
      <c r="AC908" s="206"/>
      <c r="AD908" s="204"/>
    </row>
    <row r="909" spans="1:30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206"/>
      <c r="T909" s="206"/>
      <c r="U909" s="204"/>
      <c r="V909" s="206"/>
      <c r="W909" s="206"/>
      <c r="X909" s="204"/>
      <c r="Y909" s="206"/>
      <c r="Z909" s="206"/>
      <c r="AA909" s="204"/>
      <c r="AB909" s="206"/>
      <c r="AC909" s="206"/>
      <c r="AD909" s="204"/>
    </row>
    <row r="910" spans="1:30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206"/>
      <c r="T910" s="206"/>
      <c r="U910" s="204"/>
      <c r="V910" s="206"/>
      <c r="W910" s="206"/>
      <c r="X910" s="204"/>
      <c r="Y910" s="206"/>
      <c r="Z910" s="206"/>
      <c r="AA910" s="204"/>
      <c r="AB910" s="206"/>
      <c r="AC910" s="206"/>
      <c r="AD910" s="204"/>
    </row>
    <row r="911" spans="1:30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206"/>
      <c r="T911" s="206"/>
      <c r="U911" s="204"/>
      <c r="V911" s="206"/>
      <c r="W911" s="206"/>
      <c r="X911" s="204"/>
      <c r="Y911" s="206"/>
      <c r="Z911" s="206"/>
      <c r="AA911" s="204"/>
      <c r="AB911" s="206"/>
      <c r="AC911" s="206"/>
      <c r="AD911" s="204"/>
    </row>
    <row r="912" spans="1:30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206"/>
      <c r="T912" s="206"/>
      <c r="U912" s="204"/>
      <c r="V912" s="206"/>
      <c r="W912" s="206"/>
      <c r="X912" s="204"/>
      <c r="Y912" s="206"/>
      <c r="Z912" s="206"/>
      <c r="AA912" s="204"/>
      <c r="AB912" s="206"/>
      <c r="AC912" s="206"/>
      <c r="AD912" s="204"/>
    </row>
    <row r="913" spans="1:30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206"/>
      <c r="T913" s="206"/>
      <c r="U913" s="204"/>
      <c r="V913" s="206"/>
      <c r="W913" s="206"/>
      <c r="X913" s="204"/>
      <c r="Y913" s="206"/>
      <c r="Z913" s="206"/>
      <c r="AA913" s="204"/>
      <c r="AB913" s="206"/>
      <c r="AC913" s="206"/>
      <c r="AD913" s="204"/>
    </row>
    <row r="914" spans="1:30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206"/>
      <c r="T914" s="206"/>
      <c r="U914" s="204"/>
      <c r="V914" s="206"/>
      <c r="W914" s="206"/>
      <c r="X914" s="204"/>
      <c r="Y914" s="206"/>
      <c r="Z914" s="206"/>
      <c r="AA914" s="204"/>
      <c r="AB914" s="206"/>
      <c r="AC914" s="206"/>
      <c r="AD914" s="204"/>
    </row>
    <row r="915" spans="1:30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206"/>
      <c r="T915" s="206"/>
      <c r="U915" s="204"/>
      <c r="V915" s="206"/>
      <c r="W915" s="206"/>
      <c r="X915" s="204"/>
      <c r="Y915" s="206"/>
      <c r="Z915" s="206"/>
      <c r="AA915" s="204"/>
      <c r="AB915" s="206"/>
      <c r="AC915" s="206"/>
      <c r="AD915" s="204"/>
    </row>
    <row r="916" spans="1:30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206"/>
      <c r="T916" s="206"/>
      <c r="U916" s="204"/>
      <c r="V916" s="206"/>
      <c r="W916" s="206"/>
      <c r="X916" s="204"/>
      <c r="Y916" s="206"/>
      <c r="Z916" s="206"/>
      <c r="AA916" s="204"/>
      <c r="AB916" s="206"/>
      <c r="AC916" s="206"/>
      <c r="AD916" s="204"/>
    </row>
    <row r="917" spans="1:30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206"/>
      <c r="T917" s="206"/>
      <c r="U917" s="204"/>
      <c r="V917" s="206"/>
      <c r="W917" s="206"/>
      <c r="X917" s="204"/>
      <c r="Y917" s="206"/>
      <c r="Z917" s="206"/>
      <c r="AA917" s="204"/>
      <c r="AB917" s="206"/>
      <c r="AC917" s="206"/>
      <c r="AD917" s="204"/>
    </row>
    <row r="918" spans="1:30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206"/>
      <c r="T918" s="206"/>
      <c r="U918" s="204"/>
      <c r="V918" s="206"/>
      <c r="W918" s="206"/>
      <c r="X918" s="204"/>
      <c r="Y918" s="206"/>
      <c r="Z918" s="206"/>
      <c r="AA918" s="204"/>
      <c r="AB918" s="206"/>
      <c r="AC918" s="206"/>
      <c r="AD918" s="204"/>
    </row>
    <row r="919" spans="1:30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206"/>
      <c r="T919" s="206"/>
      <c r="U919" s="204"/>
      <c r="V919" s="206"/>
      <c r="W919" s="206"/>
      <c r="X919" s="204"/>
      <c r="Y919" s="206"/>
      <c r="Z919" s="206"/>
      <c r="AA919" s="204"/>
      <c r="AB919" s="206"/>
      <c r="AC919" s="206"/>
      <c r="AD919" s="204"/>
    </row>
    <row r="920" spans="1:30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206"/>
      <c r="T920" s="206"/>
      <c r="U920" s="204"/>
      <c r="V920" s="206"/>
      <c r="W920" s="206"/>
      <c r="X920" s="204"/>
      <c r="Y920" s="206"/>
      <c r="Z920" s="206"/>
      <c r="AA920" s="204"/>
      <c r="AB920" s="206"/>
      <c r="AC920" s="206"/>
      <c r="AD920" s="204"/>
    </row>
    <row r="921" spans="1:30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206"/>
      <c r="T921" s="206"/>
      <c r="U921" s="204"/>
      <c r="V921" s="206"/>
      <c r="W921" s="206"/>
      <c r="X921" s="204"/>
      <c r="Y921" s="206"/>
      <c r="Z921" s="206"/>
      <c r="AA921" s="204"/>
      <c r="AB921" s="206"/>
      <c r="AC921" s="206"/>
      <c r="AD921" s="204"/>
    </row>
    <row r="922" spans="1:30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206"/>
      <c r="T922" s="206"/>
      <c r="U922" s="204"/>
      <c r="V922" s="206"/>
      <c r="W922" s="206"/>
      <c r="X922" s="204"/>
      <c r="Y922" s="206"/>
      <c r="Z922" s="206"/>
      <c r="AA922" s="204"/>
      <c r="AB922" s="206"/>
      <c r="AC922" s="206"/>
      <c r="AD922" s="204"/>
    </row>
    <row r="923" spans="1:30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206"/>
      <c r="T923" s="206"/>
      <c r="U923" s="204"/>
      <c r="V923" s="206"/>
      <c r="W923" s="206"/>
      <c r="X923" s="204"/>
      <c r="Y923" s="206"/>
      <c r="Z923" s="206"/>
      <c r="AA923" s="204"/>
      <c r="AB923" s="206"/>
      <c r="AC923" s="206"/>
      <c r="AD923" s="204"/>
    </row>
    <row r="924" spans="1:30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206"/>
      <c r="T924" s="206"/>
      <c r="U924" s="204"/>
      <c r="V924" s="206"/>
      <c r="W924" s="206"/>
      <c r="X924" s="204"/>
      <c r="Y924" s="206"/>
      <c r="Z924" s="206"/>
      <c r="AA924" s="204"/>
      <c r="AB924" s="206"/>
      <c r="AC924" s="206"/>
      <c r="AD924" s="204"/>
    </row>
    <row r="925" spans="1:30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206"/>
      <c r="T925" s="206"/>
      <c r="U925" s="204"/>
      <c r="V925" s="206"/>
      <c r="W925" s="206"/>
      <c r="X925" s="204"/>
      <c r="Y925" s="206"/>
      <c r="Z925" s="206"/>
      <c r="AA925" s="204"/>
      <c r="AB925" s="206"/>
      <c r="AC925" s="206"/>
      <c r="AD925" s="204"/>
    </row>
    <row r="926" spans="1:30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206"/>
      <c r="T926" s="206"/>
      <c r="U926" s="204"/>
      <c r="V926" s="206"/>
      <c r="W926" s="206"/>
      <c r="X926" s="204"/>
      <c r="Y926" s="206"/>
      <c r="Z926" s="206"/>
      <c r="AA926" s="204"/>
      <c r="AB926" s="206"/>
      <c r="AC926" s="206"/>
      <c r="AD926" s="204"/>
    </row>
    <row r="927" spans="1:30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206"/>
      <c r="T927" s="206"/>
      <c r="U927" s="204"/>
      <c r="V927" s="206"/>
      <c r="W927" s="206"/>
      <c r="X927" s="204"/>
      <c r="Y927" s="206"/>
      <c r="Z927" s="206"/>
      <c r="AA927" s="204"/>
      <c r="AB927" s="206"/>
      <c r="AC927" s="206"/>
      <c r="AD927" s="204"/>
    </row>
    <row r="928" spans="1:30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206"/>
      <c r="T928" s="206"/>
      <c r="U928" s="204"/>
      <c r="V928" s="206"/>
      <c r="W928" s="206"/>
      <c r="X928" s="204"/>
      <c r="Y928" s="206"/>
      <c r="Z928" s="206"/>
      <c r="AA928" s="204"/>
      <c r="AB928" s="206"/>
      <c r="AC928" s="206"/>
      <c r="AD928" s="204"/>
    </row>
    <row r="929" spans="1:30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206"/>
      <c r="T929" s="206"/>
      <c r="U929" s="204"/>
      <c r="V929" s="206"/>
      <c r="W929" s="206"/>
      <c r="X929" s="204"/>
      <c r="Y929" s="206"/>
      <c r="Z929" s="206"/>
      <c r="AA929" s="204"/>
      <c r="AB929" s="206"/>
      <c r="AC929" s="206"/>
      <c r="AD929" s="204"/>
    </row>
    <row r="930" spans="1:30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206"/>
      <c r="T930" s="206"/>
      <c r="U930" s="204"/>
      <c r="V930" s="206"/>
      <c r="W930" s="206"/>
      <c r="X930" s="204"/>
      <c r="Y930" s="206"/>
      <c r="Z930" s="206"/>
      <c r="AA930" s="204"/>
      <c r="AB930" s="206"/>
      <c r="AC930" s="206"/>
      <c r="AD930" s="204"/>
    </row>
    <row r="931" spans="1:30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206"/>
      <c r="T931" s="206"/>
      <c r="U931" s="204"/>
      <c r="V931" s="206"/>
      <c r="W931" s="206"/>
      <c r="X931" s="204"/>
      <c r="Y931" s="206"/>
      <c r="Z931" s="206"/>
      <c r="AA931" s="204"/>
      <c r="AB931" s="206"/>
      <c r="AC931" s="206"/>
      <c r="AD931" s="204"/>
    </row>
    <row r="932" spans="1:30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206"/>
      <c r="T932" s="206"/>
      <c r="U932" s="204"/>
      <c r="V932" s="206"/>
      <c r="W932" s="206"/>
      <c r="X932" s="204"/>
      <c r="Y932" s="206"/>
      <c r="Z932" s="206"/>
      <c r="AA932" s="204"/>
      <c r="AB932" s="206"/>
      <c r="AC932" s="206"/>
      <c r="AD932" s="204"/>
    </row>
    <row r="933" spans="1:30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206"/>
      <c r="T933" s="206"/>
      <c r="U933" s="204"/>
      <c r="V933" s="206"/>
      <c r="W933" s="206"/>
      <c r="X933" s="204"/>
      <c r="Y933" s="206"/>
      <c r="Z933" s="206"/>
      <c r="AA933" s="204"/>
      <c r="AB933" s="206"/>
      <c r="AC933" s="206"/>
      <c r="AD933" s="204"/>
    </row>
    <row r="934" spans="1:30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206"/>
      <c r="T934" s="206"/>
      <c r="U934" s="204"/>
      <c r="V934" s="206"/>
      <c r="W934" s="206"/>
      <c r="X934" s="204"/>
      <c r="Y934" s="206"/>
      <c r="Z934" s="206"/>
      <c r="AA934" s="204"/>
      <c r="AB934" s="206"/>
      <c r="AC934" s="206"/>
      <c r="AD934" s="204"/>
    </row>
    <row r="935" spans="1:30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206"/>
      <c r="T935" s="206"/>
      <c r="U935" s="204"/>
      <c r="V935" s="206"/>
      <c r="W935" s="206"/>
      <c r="X935" s="204"/>
      <c r="Y935" s="206"/>
      <c r="Z935" s="206"/>
      <c r="AA935" s="204"/>
      <c r="AB935" s="206"/>
      <c r="AC935" s="206"/>
      <c r="AD935" s="204"/>
    </row>
    <row r="936" spans="1:30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206"/>
      <c r="T936" s="206"/>
      <c r="U936" s="204"/>
      <c r="V936" s="206"/>
      <c r="W936" s="206"/>
      <c r="X936" s="204"/>
      <c r="Y936" s="206"/>
      <c r="Z936" s="206"/>
      <c r="AA936" s="204"/>
      <c r="AB936" s="206"/>
      <c r="AC936" s="206"/>
      <c r="AD936" s="204"/>
    </row>
    <row r="937" spans="1:30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206"/>
      <c r="T937" s="206"/>
      <c r="U937" s="204"/>
      <c r="V937" s="206"/>
      <c r="W937" s="206"/>
      <c r="X937" s="204"/>
      <c r="Y937" s="206"/>
      <c r="Z937" s="206"/>
      <c r="AA937" s="204"/>
      <c r="AB937" s="206"/>
      <c r="AC937" s="206"/>
      <c r="AD937" s="204"/>
    </row>
    <row r="938" spans="1:30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206"/>
      <c r="T938" s="206"/>
      <c r="U938" s="204"/>
      <c r="V938" s="206"/>
      <c r="W938" s="206"/>
      <c r="X938" s="204"/>
      <c r="Y938" s="206"/>
      <c r="Z938" s="206"/>
      <c r="AA938" s="204"/>
      <c r="AB938" s="206"/>
      <c r="AC938" s="206"/>
      <c r="AD938" s="204"/>
    </row>
    <row r="939" spans="1:30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206"/>
      <c r="T939" s="206"/>
      <c r="U939" s="204"/>
      <c r="V939" s="206"/>
      <c r="W939" s="206"/>
      <c r="X939" s="204"/>
      <c r="Y939" s="206"/>
      <c r="Z939" s="206"/>
      <c r="AA939" s="204"/>
      <c r="AB939" s="206"/>
      <c r="AC939" s="206"/>
      <c r="AD939" s="204"/>
    </row>
    <row r="940" spans="1:30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206"/>
      <c r="T940" s="206"/>
      <c r="U940" s="204"/>
      <c r="V940" s="206"/>
      <c r="W940" s="206"/>
      <c r="X940" s="204"/>
      <c r="Y940" s="206"/>
      <c r="Z940" s="206"/>
      <c r="AA940" s="204"/>
      <c r="AB940" s="206"/>
      <c r="AC940" s="206"/>
      <c r="AD940" s="204"/>
    </row>
    <row r="941" spans="1:30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206"/>
      <c r="T941" s="206"/>
      <c r="U941" s="204"/>
      <c r="V941" s="206"/>
      <c r="W941" s="206"/>
      <c r="X941" s="204"/>
      <c r="Y941" s="206"/>
      <c r="Z941" s="206"/>
      <c r="AA941" s="204"/>
      <c r="AB941" s="206"/>
      <c r="AC941" s="206"/>
      <c r="AD941" s="204"/>
    </row>
    <row r="942" spans="1:30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206"/>
      <c r="T942" s="206"/>
      <c r="U942" s="204"/>
      <c r="V942" s="206"/>
      <c r="W942" s="206"/>
      <c r="X942" s="204"/>
      <c r="Y942" s="206"/>
      <c r="Z942" s="206"/>
      <c r="AA942" s="204"/>
      <c r="AB942" s="206"/>
      <c r="AC942" s="206"/>
      <c r="AD942" s="204"/>
    </row>
    <row r="943" spans="1:30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206"/>
      <c r="T943" s="206"/>
      <c r="U943" s="204"/>
      <c r="V943" s="206"/>
      <c r="W943" s="206"/>
      <c r="X943" s="204"/>
      <c r="Y943" s="206"/>
      <c r="Z943" s="206"/>
      <c r="AA943" s="204"/>
      <c r="AB943" s="206"/>
      <c r="AC943" s="206"/>
      <c r="AD943" s="204"/>
    </row>
    <row r="944" spans="1:30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206"/>
      <c r="T944" s="206"/>
      <c r="U944" s="204"/>
      <c r="V944" s="206"/>
      <c r="W944" s="206"/>
      <c r="X944" s="204"/>
      <c r="Y944" s="206"/>
      <c r="Z944" s="206"/>
      <c r="AA944" s="204"/>
      <c r="AB944" s="206"/>
      <c r="AC944" s="206"/>
      <c r="AD944" s="204"/>
    </row>
    <row r="945" spans="1:30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206"/>
      <c r="T945" s="206"/>
      <c r="U945" s="204"/>
      <c r="V945" s="206"/>
      <c r="W945" s="206"/>
      <c r="X945" s="204"/>
      <c r="Y945" s="206"/>
      <c r="Z945" s="206"/>
      <c r="AA945" s="204"/>
      <c r="AB945" s="206"/>
      <c r="AC945" s="206"/>
      <c r="AD945" s="204"/>
    </row>
    <row r="946" spans="1:30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206"/>
      <c r="T946" s="206"/>
      <c r="U946" s="204"/>
      <c r="V946" s="206"/>
      <c r="W946" s="206"/>
      <c r="X946" s="204"/>
      <c r="Y946" s="206"/>
      <c r="Z946" s="206"/>
      <c r="AA946" s="204"/>
      <c r="AB946" s="206"/>
      <c r="AC946" s="206"/>
      <c r="AD946" s="204"/>
    </row>
    <row r="947" spans="1:30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206"/>
      <c r="T947" s="206"/>
      <c r="U947" s="204"/>
      <c r="V947" s="206"/>
      <c r="W947" s="206"/>
      <c r="X947" s="204"/>
      <c r="Y947" s="206"/>
      <c r="Z947" s="206"/>
      <c r="AA947" s="204"/>
      <c r="AB947" s="206"/>
      <c r="AC947" s="206"/>
      <c r="AD947" s="204"/>
    </row>
    <row r="948" spans="1:30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206"/>
      <c r="T948" s="206"/>
      <c r="U948" s="204"/>
      <c r="V948" s="206"/>
      <c r="W948" s="206"/>
      <c r="X948" s="204"/>
      <c r="Y948" s="206"/>
      <c r="Z948" s="206"/>
      <c r="AA948" s="204"/>
      <c r="AB948" s="206"/>
      <c r="AC948" s="206"/>
      <c r="AD948" s="204"/>
    </row>
    <row r="949" spans="1:30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206"/>
      <c r="T949" s="206"/>
      <c r="U949" s="204"/>
      <c r="V949" s="206"/>
      <c r="W949" s="206"/>
      <c r="X949" s="204"/>
      <c r="Y949" s="206"/>
      <c r="Z949" s="206"/>
      <c r="AA949" s="204"/>
      <c r="AB949" s="206"/>
      <c r="AC949" s="206"/>
      <c r="AD949" s="204"/>
    </row>
    <row r="950" spans="1:30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206"/>
      <c r="T950" s="206"/>
      <c r="U950" s="204"/>
      <c r="V950" s="206"/>
      <c r="W950" s="206"/>
      <c r="X950" s="204"/>
      <c r="Y950" s="206"/>
      <c r="Z950" s="206"/>
      <c r="AA950" s="204"/>
      <c r="AB950" s="206"/>
      <c r="AC950" s="206"/>
      <c r="AD950" s="204"/>
    </row>
    <row r="951" spans="1:30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206"/>
      <c r="T951" s="206"/>
      <c r="U951" s="204"/>
      <c r="V951" s="206"/>
      <c r="W951" s="206"/>
      <c r="X951" s="204"/>
      <c r="Y951" s="206"/>
      <c r="Z951" s="206"/>
      <c r="AA951" s="204"/>
      <c r="AB951" s="206"/>
      <c r="AC951" s="206"/>
      <c r="AD951" s="204"/>
    </row>
    <row r="952" spans="1:30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206"/>
      <c r="T952" s="206"/>
      <c r="U952" s="204"/>
      <c r="V952" s="206"/>
      <c r="W952" s="206"/>
      <c r="X952" s="204"/>
      <c r="Y952" s="206"/>
      <c r="Z952" s="206"/>
      <c r="AA952" s="204"/>
      <c r="AB952" s="206"/>
      <c r="AC952" s="206"/>
      <c r="AD952" s="204"/>
    </row>
    <row r="953" spans="1:30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206"/>
      <c r="T953" s="206"/>
      <c r="U953" s="204"/>
      <c r="V953" s="206"/>
      <c r="W953" s="206"/>
      <c r="X953" s="204"/>
      <c r="Y953" s="206"/>
      <c r="Z953" s="206"/>
      <c r="AA953" s="204"/>
      <c r="AB953" s="206"/>
      <c r="AC953" s="206"/>
      <c r="AD953" s="204"/>
    </row>
    <row r="954" spans="1:30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206"/>
      <c r="T954" s="206"/>
      <c r="U954" s="204"/>
      <c r="V954" s="206"/>
      <c r="W954" s="206"/>
      <c r="X954" s="204"/>
      <c r="Y954" s="206"/>
      <c r="Z954" s="206"/>
      <c r="AA954" s="204"/>
      <c r="AB954" s="206"/>
      <c r="AC954" s="206"/>
      <c r="AD954" s="204"/>
    </row>
    <row r="955" spans="1:30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206"/>
      <c r="T955" s="206"/>
      <c r="U955" s="204"/>
      <c r="V955" s="206"/>
      <c r="W955" s="206"/>
      <c r="X955" s="204"/>
      <c r="Y955" s="206"/>
      <c r="Z955" s="206"/>
      <c r="AA955" s="204"/>
      <c r="AB955" s="206"/>
      <c r="AC955" s="206"/>
      <c r="AD955" s="204"/>
    </row>
    <row r="956" spans="1:30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206"/>
      <c r="T956" s="206"/>
      <c r="U956" s="204"/>
      <c r="V956" s="206"/>
      <c r="W956" s="206"/>
      <c r="X956" s="204"/>
      <c r="Y956" s="206"/>
      <c r="Z956" s="206"/>
      <c r="AA956" s="204"/>
      <c r="AB956" s="206"/>
      <c r="AC956" s="206"/>
      <c r="AD956" s="204"/>
    </row>
    <row r="957" spans="1:30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206"/>
      <c r="T957" s="206"/>
      <c r="U957" s="204"/>
      <c r="V957" s="206"/>
      <c r="W957" s="206"/>
      <c r="X957" s="204"/>
      <c r="Y957" s="206"/>
      <c r="Z957" s="206"/>
      <c r="AA957" s="204"/>
      <c r="AB957" s="206"/>
      <c r="AC957" s="206"/>
      <c r="AD957" s="204"/>
    </row>
    <row r="958" spans="1:30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206"/>
      <c r="T958" s="206"/>
      <c r="U958" s="204"/>
      <c r="V958" s="206"/>
      <c r="W958" s="206"/>
      <c r="X958" s="204"/>
      <c r="Y958" s="206"/>
      <c r="Z958" s="206"/>
      <c r="AA958" s="204"/>
      <c r="AB958" s="206"/>
      <c r="AC958" s="206"/>
      <c r="AD958" s="204"/>
    </row>
    <row r="959" spans="1:30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206"/>
      <c r="T959" s="206"/>
      <c r="U959" s="204"/>
      <c r="V959" s="206"/>
      <c r="W959" s="206"/>
      <c r="X959" s="204"/>
      <c r="Y959" s="206"/>
      <c r="Z959" s="206"/>
      <c r="AA959" s="204"/>
      <c r="AB959" s="206"/>
      <c r="AC959" s="206"/>
      <c r="AD959" s="204"/>
    </row>
    <row r="960" spans="1:30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206"/>
      <c r="T960" s="206"/>
      <c r="U960" s="204"/>
      <c r="V960" s="206"/>
      <c r="W960" s="206"/>
      <c r="X960" s="204"/>
      <c r="Y960" s="206"/>
      <c r="Z960" s="206"/>
      <c r="AA960" s="204"/>
      <c r="AB960" s="206"/>
      <c r="AC960" s="206"/>
      <c r="AD960" s="204"/>
    </row>
    <row r="961" spans="1:30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206"/>
      <c r="T961" s="206"/>
      <c r="U961" s="204"/>
      <c r="V961" s="206"/>
      <c r="W961" s="206"/>
      <c r="X961" s="204"/>
      <c r="Y961" s="206"/>
      <c r="Z961" s="206"/>
      <c r="AA961" s="204"/>
      <c r="AB961" s="206"/>
      <c r="AC961" s="206"/>
      <c r="AD961" s="204"/>
    </row>
    <row r="962" spans="1:30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206"/>
      <c r="T962" s="206"/>
      <c r="U962" s="204"/>
      <c r="V962" s="206"/>
      <c r="W962" s="206"/>
      <c r="X962" s="204"/>
      <c r="Y962" s="206"/>
      <c r="Z962" s="206"/>
      <c r="AA962" s="204"/>
      <c r="AB962" s="206"/>
      <c r="AC962" s="206"/>
      <c r="AD962" s="204"/>
    </row>
    <row r="963" spans="1:30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206"/>
      <c r="T963" s="206"/>
      <c r="U963" s="204"/>
      <c r="V963" s="206"/>
      <c r="W963" s="206"/>
      <c r="X963" s="204"/>
      <c r="Y963" s="206"/>
      <c r="Z963" s="206"/>
      <c r="AA963" s="204"/>
      <c r="AB963" s="206"/>
      <c r="AC963" s="206"/>
      <c r="AD963" s="204"/>
    </row>
    <row r="964" spans="1:30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206"/>
      <c r="T964" s="206"/>
      <c r="U964" s="204"/>
      <c r="V964" s="206"/>
      <c r="W964" s="206"/>
      <c r="X964" s="204"/>
      <c r="Y964" s="206"/>
      <c r="Z964" s="206"/>
      <c r="AA964" s="204"/>
      <c r="AB964" s="206"/>
      <c r="AC964" s="206"/>
      <c r="AD964" s="204"/>
    </row>
    <row r="965" spans="1:30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206"/>
      <c r="T965" s="206"/>
      <c r="U965" s="204"/>
      <c r="V965" s="206"/>
      <c r="W965" s="206"/>
      <c r="X965" s="204"/>
      <c r="Y965" s="206"/>
      <c r="Z965" s="206"/>
      <c r="AA965" s="204"/>
      <c r="AB965" s="206"/>
      <c r="AC965" s="206"/>
      <c r="AD965" s="204"/>
    </row>
    <row r="966" spans="1:30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206"/>
      <c r="T966" s="206"/>
      <c r="U966" s="204"/>
      <c r="V966" s="206"/>
      <c r="W966" s="206"/>
      <c r="X966" s="204"/>
      <c r="Y966" s="206"/>
      <c r="Z966" s="206"/>
      <c r="AA966" s="204"/>
      <c r="AB966" s="206"/>
      <c r="AC966" s="206"/>
      <c r="AD966" s="204"/>
    </row>
    <row r="967" spans="1:30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206"/>
      <c r="T967" s="206"/>
      <c r="U967" s="204"/>
      <c r="V967" s="206"/>
      <c r="W967" s="206"/>
      <c r="X967" s="204"/>
      <c r="Y967" s="206"/>
      <c r="Z967" s="206"/>
      <c r="AA967" s="204"/>
      <c r="AB967" s="206"/>
      <c r="AC967" s="206"/>
      <c r="AD967" s="204"/>
    </row>
    <row r="968" spans="1:30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206"/>
      <c r="T968" s="206"/>
      <c r="U968" s="204"/>
      <c r="V968" s="206"/>
      <c r="W968" s="206"/>
      <c r="X968" s="204"/>
      <c r="Y968" s="206"/>
      <c r="Z968" s="206"/>
      <c r="AA968" s="204"/>
      <c r="AB968" s="206"/>
      <c r="AC968" s="206"/>
      <c r="AD968" s="204"/>
    </row>
    <row r="969" spans="1:30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206"/>
      <c r="T969" s="206"/>
      <c r="U969" s="204"/>
      <c r="V969" s="206"/>
      <c r="W969" s="206"/>
      <c r="X969" s="204"/>
      <c r="Y969" s="206"/>
      <c r="Z969" s="206"/>
      <c r="AA969" s="204"/>
      <c r="AB969" s="206"/>
      <c r="AC969" s="206"/>
      <c r="AD969" s="204"/>
    </row>
    <row r="970" spans="1:30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206"/>
      <c r="T970" s="206"/>
      <c r="U970" s="204"/>
      <c r="V970" s="206"/>
      <c r="W970" s="206"/>
      <c r="X970" s="204"/>
      <c r="Y970" s="206"/>
      <c r="Z970" s="206"/>
      <c r="AA970" s="204"/>
      <c r="AB970" s="206"/>
      <c r="AC970" s="206"/>
      <c r="AD970" s="204"/>
    </row>
    <row r="971" spans="1:30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206"/>
      <c r="T971" s="206"/>
      <c r="U971" s="204"/>
      <c r="V971" s="206"/>
      <c r="W971" s="206"/>
      <c r="X971" s="204"/>
      <c r="Y971" s="206"/>
      <c r="Z971" s="206"/>
      <c r="AA971" s="204"/>
      <c r="AB971" s="206"/>
      <c r="AC971" s="206"/>
      <c r="AD971" s="204"/>
    </row>
    <row r="972" spans="1:30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206"/>
      <c r="T972" s="206"/>
      <c r="U972" s="204"/>
      <c r="V972" s="206"/>
      <c r="W972" s="206"/>
      <c r="X972" s="204"/>
      <c r="Y972" s="206"/>
      <c r="Z972" s="206"/>
      <c r="AA972" s="204"/>
      <c r="AB972" s="206"/>
      <c r="AC972" s="206"/>
      <c r="AD972" s="204"/>
    </row>
    <row r="973" spans="1:30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206"/>
      <c r="T973" s="206"/>
      <c r="U973" s="204"/>
      <c r="V973" s="206"/>
      <c r="W973" s="206"/>
      <c r="X973" s="204"/>
      <c r="Y973" s="206"/>
      <c r="Z973" s="206"/>
      <c r="AA973" s="204"/>
      <c r="AB973" s="206"/>
      <c r="AC973" s="206"/>
      <c r="AD973" s="204"/>
    </row>
    <row r="974" spans="1:30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206"/>
      <c r="T974" s="206"/>
      <c r="U974" s="204"/>
      <c r="V974" s="206"/>
      <c r="W974" s="206"/>
      <c r="X974" s="204"/>
      <c r="Y974" s="206"/>
      <c r="Z974" s="206"/>
      <c r="AA974" s="204"/>
      <c r="AB974" s="206"/>
      <c r="AC974" s="206"/>
      <c r="AD974" s="204"/>
    </row>
    <row r="975" spans="1:30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206"/>
      <c r="T975" s="206"/>
      <c r="U975" s="204"/>
      <c r="V975" s="206"/>
      <c r="W975" s="206"/>
      <c r="X975" s="204"/>
      <c r="Y975" s="206"/>
      <c r="Z975" s="206"/>
      <c r="AA975" s="204"/>
      <c r="AB975" s="206"/>
      <c r="AC975" s="206"/>
      <c r="AD975" s="204"/>
    </row>
    <row r="976" spans="1:30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206"/>
      <c r="T976" s="206"/>
      <c r="U976" s="204"/>
      <c r="V976" s="206"/>
      <c r="W976" s="206"/>
      <c r="X976" s="204"/>
      <c r="Y976" s="206"/>
      <c r="Z976" s="206"/>
      <c r="AA976" s="204"/>
      <c r="AB976" s="206"/>
      <c r="AC976" s="206"/>
      <c r="AD976" s="204"/>
    </row>
    <row r="977" spans="1:30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206"/>
      <c r="T977" s="206"/>
      <c r="U977" s="204"/>
      <c r="V977" s="206"/>
      <c r="W977" s="206"/>
      <c r="X977" s="204"/>
      <c r="Y977" s="206"/>
      <c r="Z977" s="206"/>
      <c r="AA977" s="204"/>
      <c r="AB977" s="206"/>
      <c r="AC977" s="206"/>
      <c r="AD977" s="204"/>
    </row>
    <row r="978" spans="1:30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206"/>
      <c r="T978" s="206"/>
      <c r="U978" s="204"/>
      <c r="V978" s="206"/>
      <c r="W978" s="206"/>
      <c r="X978" s="204"/>
      <c r="Y978" s="206"/>
      <c r="Z978" s="206"/>
      <c r="AA978" s="204"/>
      <c r="AB978" s="206"/>
      <c r="AC978" s="206"/>
      <c r="AD978" s="204"/>
    </row>
    <row r="979" spans="1:30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206"/>
      <c r="T979" s="206"/>
      <c r="U979" s="204"/>
      <c r="V979" s="206"/>
      <c r="W979" s="206"/>
      <c r="X979" s="204"/>
      <c r="Y979" s="206"/>
      <c r="Z979" s="206"/>
      <c r="AA979" s="204"/>
      <c r="AB979" s="206"/>
      <c r="AC979" s="206"/>
      <c r="AD979" s="204"/>
    </row>
    <row r="980" spans="1:30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206"/>
      <c r="T980" s="206"/>
      <c r="U980" s="204"/>
      <c r="V980" s="206"/>
      <c r="W980" s="206"/>
      <c r="X980" s="204"/>
      <c r="Y980" s="206"/>
      <c r="Z980" s="206"/>
      <c r="AA980" s="204"/>
      <c r="AB980" s="206"/>
      <c r="AC980" s="206"/>
      <c r="AD980" s="204"/>
    </row>
    <row r="981" spans="1:30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206"/>
      <c r="T981" s="206"/>
      <c r="U981" s="204"/>
      <c r="V981" s="206"/>
      <c r="W981" s="206"/>
      <c r="X981" s="204"/>
      <c r="Y981" s="206"/>
      <c r="Z981" s="206"/>
      <c r="AA981" s="204"/>
      <c r="AB981" s="206"/>
      <c r="AC981" s="206"/>
      <c r="AD981" s="204"/>
    </row>
    <row r="982" spans="1:30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206"/>
      <c r="T982" s="206"/>
      <c r="U982" s="204"/>
      <c r="V982" s="206"/>
      <c r="W982" s="206"/>
      <c r="X982" s="204"/>
      <c r="Y982" s="206"/>
      <c r="Z982" s="206"/>
      <c r="AA982" s="204"/>
      <c r="AB982" s="206"/>
      <c r="AC982" s="206"/>
      <c r="AD982" s="204"/>
    </row>
    <row r="983" spans="1:30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206"/>
      <c r="T983" s="206"/>
      <c r="U983" s="204"/>
      <c r="V983" s="206"/>
      <c r="W983" s="206"/>
      <c r="X983" s="204"/>
      <c r="Y983" s="206"/>
      <c r="Z983" s="206"/>
      <c r="AA983" s="204"/>
      <c r="AB983" s="206"/>
      <c r="AC983" s="206"/>
      <c r="AD983" s="204"/>
    </row>
    <row r="984" spans="1:30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206"/>
      <c r="T984" s="206"/>
      <c r="U984" s="204"/>
      <c r="V984" s="206"/>
      <c r="W984" s="206"/>
      <c r="X984" s="204"/>
      <c r="Y984" s="206"/>
      <c r="Z984" s="206"/>
      <c r="AA984" s="204"/>
      <c r="AB984" s="206"/>
      <c r="AC984" s="206"/>
      <c r="AD984" s="204"/>
    </row>
    <row r="985" spans="1:30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123"/>
      <c r="S985" s="206"/>
      <c r="T985" s="206"/>
      <c r="U985" s="204"/>
      <c r="V985" s="206"/>
      <c r="W985" s="206"/>
      <c r="X985" s="204"/>
      <c r="Y985" s="206"/>
      <c r="Z985" s="206"/>
      <c r="AA985" s="204"/>
      <c r="AB985" s="206"/>
      <c r="AC985" s="206"/>
      <c r="AD985" s="204"/>
    </row>
    <row r="986" spans="1:30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123"/>
      <c r="S986" s="206"/>
      <c r="T986" s="206"/>
      <c r="U986" s="204"/>
      <c r="V986" s="206"/>
      <c r="W986" s="206"/>
      <c r="X986" s="204"/>
      <c r="Y986" s="206"/>
      <c r="Z986" s="206"/>
      <c r="AA986" s="204"/>
      <c r="AB986" s="206"/>
      <c r="AC986" s="206"/>
      <c r="AD986" s="204"/>
    </row>
    <row r="987" spans="1:30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123"/>
      <c r="S987" s="206"/>
      <c r="T987" s="206"/>
      <c r="U987" s="204"/>
      <c r="V987" s="206"/>
      <c r="W987" s="206"/>
      <c r="X987" s="204"/>
      <c r="Y987" s="206"/>
      <c r="Z987" s="206"/>
      <c r="AA987" s="204"/>
      <c r="AB987" s="206"/>
      <c r="AC987" s="206"/>
      <c r="AD987" s="204"/>
    </row>
    <row r="988" spans="1:30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123"/>
      <c r="S988" s="206"/>
      <c r="T988" s="206"/>
      <c r="U988" s="204"/>
      <c r="V988" s="206"/>
      <c r="W988" s="206"/>
      <c r="X988" s="204"/>
      <c r="Y988" s="206"/>
      <c r="Z988" s="206"/>
      <c r="AA988" s="204"/>
      <c r="AB988" s="206"/>
      <c r="AC988" s="206"/>
      <c r="AD988" s="204"/>
    </row>
    <row r="989" spans="1:30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123"/>
      <c r="S989" s="206"/>
      <c r="T989" s="206"/>
      <c r="U989" s="204"/>
      <c r="V989" s="206"/>
      <c r="W989" s="206"/>
      <c r="X989" s="204"/>
      <c r="Y989" s="206"/>
      <c r="Z989" s="206"/>
      <c r="AA989" s="204"/>
      <c r="AB989" s="206"/>
      <c r="AC989" s="206"/>
      <c r="AD989" s="204"/>
    </row>
    <row r="990" spans="1:30" ht="12.75" x14ac:dyDescent="0.2"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</row>
  </sheetData>
  <mergeCells count="29">
    <mergeCell ref="T5:U5"/>
    <mergeCell ref="W5:X5"/>
    <mergeCell ref="Z5:AA5"/>
    <mergeCell ref="AC5:AD5"/>
    <mergeCell ref="A2:B6"/>
    <mergeCell ref="C2:AD2"/>
    <mergeCell ref="R3:R4"/>
    <mergeCell ref="S3:U4"/>
    <mergeCell ref="V3:X4"/>
    <mergeCell ref="Y3:AA4"/>
    <mergeCell ref="AB3:AD4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C3:Q3"/>
    <mergeCell ref="C4:G4"/>
    <mergeCell ref="H4:I4"/>
    <mergeCell ref="J4:Q4"/>
    <mergeCell ref="C5:C6"/>
    <mergeCell ref="D5:D6"/>
    <mergeCell ref="L5:N5"/>
    <mergeCell ref="O5:Q5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T989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99" t="s">
        <v>1</v>
      </c>
      <c r="B2" s="400"/>
      <c r="C2" s="369" t="s">
        <v>187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1"/>
    </row>
    <row r="3" spans="1:20" ht="30" customHeight="1" x14ac:dyDescent="0.2">
      <c r="A3" s="401"/>
      <c r="B3" s="402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44" t="s">
        <v>188</v>
      </c>
      <c r="S3" s="378"/>
      <c r="T3" s="379"/>
    </row>
    <row r="4" spans="1:20" ht="30" customHeight="1" x14ac:dyDescent="0.2">
      <c r="A4" s="401"/>
      <c r="B4" s="402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433"/>
      <c r="S4" s="381"/>
      <c r="T4" s="382"/>
    </row>
    <row r="5" spans="1:20" ht="24" customHeight="1" x14ac:dyDescent="0.3">
      <c r="A5" s="401"/>
      <c r="B5" s="402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207" t="s">
        <v>21</v>
      </c>
      <c r="S5" s="393" t="s">
        <v>22</v>
      </c>
      <c r="T5" s="376"/>
    </row>
    <row r="6" spans="1:20" ht="30" customHeight="1" x14ac:dyDescent="0.2">
      <c r="A6" s="403"/>
      <c r="B6" s="404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8" t="s">
        <v>189</v>
      </c>
      <c r="S6" s="210" t="s">
        <v>189</v>
      </c>
      <c r="T6" s="16" t="s">
        <v>24</v>
      </c>
    </row>
    <row r="7" spans="1:20" ht="24" customHeight="1" x14ac:dyDescent="0.3">
      <c r="A7" s="442" t="s">
        <v>31</v>
      </c>
      <c r="B7" s="417"/>
      <c r="C7" s="141">
        <f t="shared" ref="C7:C10" ca="1" si="0">D7+G7</f>
        <v>2767600</v>
      </c>
      <c r="D7" s="142">
        <f t="shared" ref="D7:E7" ca="1" si="1">D8+D9+D12</f>
        <v>2767600</v>
      </c>
      <c r="E7" s="143">
        <f t="shared" ca="1" si="1"/>
        <v>1245400</v>
      </c>
      <c r="F7" s="144">
        <f ca="1">F8+F9</f>
        <v>1522200</v>
      </c>
      <c r="G7" s="145">
        <f t="shared" ref="G7:I7" ca="1" si="2">G8+G9+G12</f>
        <v>0</v>
      </c>
      <c r="H7" s="211">
        <f t="shared" ca="1" si="2"/>
        <v>2177600</v>
      </c>
      <c r="I7" s="211">
        <f t="shared" ca="1" si="2"/>
        <v>0</v>
      </c>
      <c r="J7" s="147">
        <f t="shared" ref="J7:J10" ca="1" si="3">L7+O7</f>
        <v>370125.05000000005</v>
      </c>
      <c r="K7" s="148">
        <f t="shared" ref="K7:K10" ca="1" si="4">IF(C7&gt;0,J7*100/C7,0)</f>
        <v>13.373502312472903</v>
      </c>
      <c r="L7" s="147">
        <f ca="1">L8+L9+L12</f>
        <v>370125.05000000005</v>
      </c>
      <c r="M7" s="149">
        <f t="shared" ref="M7:M10" ca="1" si="5">IF(D7&gt;0,L7*100/D7,0)</f>
        <v>13.373502312472903</v>
      </c>
      <c r="N7" s="149">
        <f t="shared" ref="N7:N10" ca="1" si="6">IF(H7&gt;0,L7*100/H7,0)</f>
        <v>16.996925514327703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34">
        <f t="shared" ref="R7:S7" ca="1" si="9">R8</f>
        <v>10</v>
      </c>
      <c r="S7" s="335">
        <f t="shared" ca="1" si="9"/>
        <v>1</v>
      </c>
      <c r="T7" s="336">
        <f t="shared" ref="T7:T8" ca="1" si="10">IF(R7&gt;0,S7*100/R7,0)</f>
        <v>10</v>
      </c>
    </row>
    <row r="8" spans="1:20" ht="28.5" customHeight="1" x14ac:dyDescent="0.3">
      <c r="A8" s="34" t="s">
        <v>32</v>
      </c>
      <c r="B8" s="35"/>
      <c r="C8" s="154">
        <f t="shared" ca="1" si="0"/>
        <v>250000</v>
      </c>
      <c r="D8" s="154">
        <f t="shared" ref="D8:I8" ca="1" si="11">+D13+D31+D52+D74</f>
        <v>250000</v>
      </c>
      <c r="E8" s="154">
        <f t="shared" ca="1" si="11"/>
        <v>0</v>
      </c>
      <c r="F8" s="154">
        <f t="shared" ca="1" si="11"/>
        <v>250000</v>
      </c>
      <c r="G8" s="154">
        <f t="shared" ca="1" si="11"/>
        <v>0</v>
      </c>
      <c r="H8" s="154">
        <f t="shared" ca="1" si="11"/>
        <v>310000</v>
      </c>
      <c r="I8" s="154">
        <f t="shared" ca="1" si="11"/>
        <v>0</v>
      </c>
      <c r="J8" s="154">
        <f t="shared" ca="1" si="3"/>
        <v>102204.1</v>
      </c>
      <c r="K8" s="155">
        <f t="shared" ca="1" si="4"/>
        <v>40.881639999999997</v>
      </c>
      <c r="L8" s="154">
        <f ca="1">+L13+L31+L52+L74</f>
        <v>102204.1</v>
      </c>
      <c r="M8" s="156">
        <f t="shared" ca="1" si="5"/>
        <v>40.881639999999997</v>
      </c>
      <c r="N8" s="156">
        <f t="shared" ca="1" si="6"/>
        <v>32.969064516129031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39">
        <f t="shared" ref="R8:S8" ca="1" si="12">+R13+R31+R52+R74</f>
        <v>10</v>
      </c>
      <c r="S8" s="154">
        <f t="shared" ca="1" si="12"/>
        <v>1</v>
      </c>
      <c r="T8" s="156">
        <f t="shared" ca="1" si="10"/>
        <v>10</v>
      </c>
    </row>
    <row r="9" spans="1:20" ht="28.5" customHeight="1" x14ac:dyDescent="0.3">
      <c r="A9" s="44" t="s">
        <v>33</v>
      </c>
      <c r="B9" s="45"/>
      <c r="C9" s="160">
        <f t="shared" ca="1" si="0"/>
        <v>2517600</v>
      </c>
      <c r="D9" s="160">
        <f t="shared" ref="D9:I9" ca="1" si="13">+D10+D11</f>
        <v>2517600</v>
      </c>
      <c r="E9" s="160">
        <f t="shared" ca="1" si="13"/>
        <v>1245400</v>
      </c>
      <c r="F9" s="160">
        <f t="shared" ca="1" si="13"/>
        <v>1272200</v>
      </c>
      <c r="G9" s="160">
        <f t="shared" ca="1" si="13"/>
        <v>0</v>
      </c>
      <c r="H9" s="160">
        <f t="shared" ca="1" si="13"/>
        <v>1867600</v>
      </c>
      <c r="I9" s="160">
        <f t="shared" ca="1" si="13"/>
        <v>0</v>
      </c>
      <c r="J9" s="160">
        <f t="shared" ca="1" si="3"/>
        <v>267920.95</v>
      </c>
      <c r="K9" s="161">
        <f t="shared" ca="1" si="4"/>
        <v>10.641918891007309</v>
      </c>
      <c r="L9" s="160">
        <f ca="1">+L10+L11</f>
        <v>267920.95</v>
      </c>
      <c r="M9" s="162">
        <f t="shared" ca="1" si="5"/>
        <v>10.641918891007309</v>
      </c>
      <c r="N9" s="162">
        <f t="shared" ca="1" si="6"/>
        <v>14.34573516813022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284"/>
      <c r="S9" s="191"/>
      <c r="T9" s="340"/>
    </row>
    <row r="10" spans="1:20" ht="28.5" customHeight="1" x14ac:dyDescent="0.3">
      <c r="A10" s="44" t="s">
        <v>34</v>
      </c>
      <c r="B10" s="45"/>
      <c r="C10" s="160">
        <f t="shared" ca="1" si="0"/>
        <v>2517600</v>
      </c>
      <c r="D10" s="160">
        <f t="shared" ref="D10:I10" ca="1" si="14">+D89</f>
        <v>2517600</v>
      </c>
      <c r="E10" s="160">
        <f t="shared" ca="1" si="14"/>
        <v>1245400</v>
      </c>
      <c r="F10" s="160">
        <f t="shared" ca="1" si="14"/>
        <v>1272200</v>
      </c>
      <c r="G10" s="160">
        <f t="shared" ca="1" si="14"/>
        <v>0</v>
      </c>
      <c r="H10" s="160">
        <f t="shared" ca="1" si="14"/>
        <v>1867600</v>
      </c>
      <c r="I10" s="160">
        <f t="shared" ca="1" si="14"/>
        <v>0</v>
      </c>
      <c r="J10" s="160">
        <f t="shared" ca="1" si="3"/>
        <v>267920.95</v>
      </c>
      <c r="K10" s="161">
        <f t="shared" ca="1" si="4"/>
        <v>10.641918891007309</v>
      </c>
      <c r="L10" s="160">
        <f ca="1">+L89</f>
        <v>267920.95</v>
      </c>
      <c r="M10" s="162">
        <f t="shared" ca="1" si="5"/>
        <v>10.641918891007309</v>
      </c>
      <c r="N10" s="162">
        <f t="shared" ca="1" si="6"/>
        <v>14.34573516813022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284"/>
      <c r="S10" s="191"/>
      <c r="T10" s="340"/>
    </row>
    <row r="11" spans="1:20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341"/>
      <c r="S11" s="342"/>
      <c r="T11" s="343"/>
    </row>
    <row r="12" spans="1:20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341"/>
      <c r="S12" s="342"/>
      <c r="T12" s="343"/>
    </row>
    <row r="13" spans="1:20" ht="28.5" customHeight="1" x14ac:dyDescent="0.3">
      <c r="A13" s="394" t="s">
        <v>35</v>
      </c>
      <c r="B13" s="376"/>
      <c r="C13" s="154">
        <f t="shared" ref="C13:C88" ca="1" si="15">D13+G13</f>
        <v>20000</v>
      </c>
      <c r="D13" s="154">
        <f t="shared" ref="D13:I13" ca="1" si="16">SUM(D14:D30)</f>
        <v>20000</v>
      </c>
      <c r="E13" s="154">
        <f t="shared" ca="1" si="16"/>
        <v>0</v>
      </c>
      <c r="F13" s="154">
        <f t="shared" ca="1" si="16"/>
        <v>20000</v>
      </c>
      <c r="G13" s="154">
        <f t="shared" ca="1" si="16"/>
        <v>0</v>
      </c>
      <c r="H13" s="154">
        <f t="shared" ca="1" si="16"/>
        <v>20000</v>
      </c>
      <c r="I13" s="154">
        <f t="shared" ca="1" si="16"/>
        <v>0</v>
      </c>
      <c r="J13" s="154">
        <f t="shared" ref="J13:J88" ca="1" si="17">L13+O13</f>
        <v>0</v>
      </c>
      <c r="K13" s="155">
        <f t="shared" ref="K13:K88" ca="1" si="18">IF(C13&gt;0,J13*100/C13,0)</f>
        <v>0</v>
      </c>
      <c r="L13" s="154">
        <f ca="1">SUM(L14:L30)</f>
        <v>0</v>
      </c>
      <c r="M13" s="156">
        <f t="shared" ref="M13:M88" ca="1" si="19">IF(D13&gt;0,L13*100/D13,0)</f>
        <v>0</v>
      </c>
      <c r="N13" s="156">
        <f t="shared" ref="N13:N88" ca="1" si="20">IF(H13&gt;0,L13*100/H13,0)</f>
        <v>0</v>
      </c>
      <c r="O13" s="157">
        <f ca="1">SUM(O14:O30)</f>
        <v>0</v>
      </c>
      <c r="P13" s="157">
        <f t="shared" ref="P13:P88" ca="1" si="21">IF(G13&gt;0,O13*100/G13,0)</f>
        <v>0</v>
      </c>
      <c r="Q13" s="156">
        <f t="shared" ref="Q13:Q88" ca="1" si="22">IF(I13&gt;0,O13*100/I13,0)</f>
        <v>0</v>
      </c>
      <c r="R13" s="339">
        <f t="shared" ref="R13:S13" ca="1" si="23">SUM(R14:R30)</f>
        <v>1</v>
      </c>
      <c r="S13" s="154">
        <f t="shared" ca="1" si="23"/>
        <v>0</v>
      </c>
      <c r="T13" s="156">
        <f t="shared" ref="T13:T88" ca="1" si="24">IF(R13&gt;0,S13*100/R13,0)</f>
        <v>0</v>
      </c>
    </row>
    <row r="14" spans="1:20" ht="24" customHeight="1" x14ac:dyDescent="0.3">
      <c r="A14" s="74">
        <v>1</v>
      </c>
      <c r="B14" s="75" t="s">
        <v>36</v>
      </c>
      <c r="C14" s="174">
        <f t="shared" ca="1" si="15"/>
        <v>0</v>
      </c>
      <c r="D14" s="175">
        <f t="shared" ref="D14:D30" ca="1" si="25">+E14+F14</f>
        <v>0</v>
      </c>
      <c r="E14" s="176">
        <f ca="1">IFERROR(__xludf.DUMMYFUNCTION("IMPORTRANGE(""https://docs.google.com/spreadsheets/d/1-uDff_7J0KD5mKrp0Vvzr7lt3OU09vwQwhkpOPPYv2Y/edit?usp=sharing"",""งบพรบ!EJ14"")"),0)</f>
        <v>0</v>
      </c>
      <c r="F14" s="176">
        <f ca="1">IFERROR(__xludf.DUMMYFUNCTION("IMPORTRANGE(""https://docs.google.com/spreadsheets/d/1-uDff_7J0KD5mKrp0Vvzr7lt3OU09vwQwhkpOPPYv2Y/edit?usp=sharing"",""งบพรบ!EK14"")"),0)</f>
        <v>0</v>
      </c>
      <c r="G14" s="177">
        <f ca="1">IFERROR(__xludf.DUMMYFUNCTION("IMPORTRANGE(""https://docs.google.com/spreadsheets/d/1-uDff_7J0KD5mKrp0Vvzr7lt3OU09vwQwhkpOPPYv2Y/edit?usp=sharing"",""งบพรบ!EL14"")"),0)</f>
        <v>0</v>
      </c>
      <c r="H14" s="177">
        <f ca="1">IFERROR(__xludf.DUMMYFUNCTION("IMPORTRANGE(""https://docs.google.com/spreadsheets/d/1-uDff_7J0KD5mKrp0Vvzr7lt3OU09vwQwhkpOPPYv2Y/edit?usp=sharing"",""งบพรบ!EN14"")"),0)</f>
        <v>0</v>
      </c>
      <c r="I14" s="177">
        <f ca="1">IFERROR(__xludf.DUMMYFUNCTION("IMPORTRANGE(""https://docs.google.com/spreadsheets/d/1-uDff_7J0KD5mKrp0Vvzr7lt3OU09vwQwhkpOPPYv2Y/edit?usp=sharing"",""งบพรบ!EO14"")"),0)</f>
        <v>0</v>
      </c>
      <c r="J14" s="177">
        <f t="shared" ca="1" si="17"/>
        <v>0</v>
      </c>
      <c r="K14" s="178">
        <f t="shared" ca="1" si="18"/>
        <v>0</v>
      </c>
      <c r="L14" s="177">
        <f ca="1">IFERROR(__xludf.DUMMYFUNCTION("IMPORTRANGE(""https://docs.google.com/spreadsheets/d/1-uDff_7J0KD5mKrp0Vvzr7lt3OU09vwQwhkpOPPYv2Y/edit?usp=sharing"",""งบพรบ!EP14"")"),0)</f>
        <v>0</v>
      </c>
      <c r="M14" s="179">
        <f t="shared" ca="1" si="19"/>
        <v>0</v>
      </c>
      <c r="N14" s="179">
        <f t="shared" ca="1" si="20"/>
        <v>0</v>
      </c>
      <c r="O14" s="180">
        <f ca="1">IFERROR(__xludf.DUMMYFUNCTION("IMPORTRANGE(""https://docs.google.com/spreadsheets/d/1-uDff_7J0KD5mKrp0Vvzr7lt3OU09vwQwhkpOPPYv2Y/edit?usp=sharing"",""งบพรบ!EQ14"")"),0)</f>
        <v>0</v>
      </c>
      <c r="P14" s="180">
        <f t="shared" ca="1" si="21"/>
        <v>0</v>
      </c>
      <c r="Q14" s="179">
        <f t="shared" ca="1" si="22"/>
        <v>0</v>
      </c>
      <c r="R14" s="344">
        <f ca="1">IFERROR(__xludf.DUMMYFUNCTION("IMPORTRANGE(""https://docs.google.com/spreadsheets/d/1jTcq05yEiRwXcBMLjiodW9e4biSGYWAHcDj22rKWQ3s/edit?usp=sharing"",""กำแพงเพชร!I330"")"),0)</f>
        <v>0</v>
      </c>
      <c r="S14" s="177">
        <f ca="1">IFERROR(__xludf.DUMMYFUNCTION("IMPORTRANGE(""https://docs.google.com/spreadsheets/d/1jTcq05yEiRwXcBMLjiodW9e4biSGYWAHcDj22rKWQ3s/edit?usp=sharing"",""กำแพงเพชร!J330"")"),0)</f>
        <v>0</v>
      </c>
      <c r="T14" s="345">
        <f t="shared" ca="1" si="24"/>
        <v>0</v>
      </c>
    </row>
    <row r="15" spans="1:20" ht="24" customHeight="1" x14ac:dyDescent="0.3">
      <c r="A15" s="84">
        <v>2</v>
      </c>
      <c r="B15" s="85" t="s">
        <v>37</v>
      </c>
      <c r="C15" s="174">
        <f t="shared" ca="1" si="15"/>
        <v>0</v>
      </c>
      <c r="D15" s="175">
        <f t="shared" ca="1" si="25"/>
        <v>0</v>
      </c>
      <c r="E15" s="176">
        <f ca="1">IFERROR(__xludf.DUMMYFUNCTION("IMPORTRANGE(""https://docs.google.com/spreadsheets/d/1-uDff_7J0KD5mKrp0Vvzr7lt3OU09vwQwhkpOPPYv2Y/edit?usp=sharing"",""งบพรบ!EJ15"")"),0)</f>
        <v>0</v>
      </c>
      <c r="F15" s="176">
        <f ca="1">IFERROR(__xludf.DUMMYFUNCTION("IMPORTRANGE(""https://docs.google.com/spreadsheets/d/1-uDff_7J0KD5mKrp0Vvzr7lt3OU09vwQwhkpOPPYv2Y/edit?usp=sharing"",""งบพรบ!EK15"")"),0)</f>
        <v>0</v>
      </c>
      <c r="G15" s="176">
        <f ca="1">IFERROR(__xludf.DUMMYFUNCTION("IMPORTRANGE(""https://docs.google.com/spreadsheets/d/1-uDff_7J0KD5mKrp0Vvzr7lt3OU09vwQwhkpOPPYv2Y/edit?usp=sharing"",""งบพรบ!EL15"")"),0)</f>
        <v>0</v>
      </c>
      <c r="H15" s="176">
        <f ca="1">IFERROR(__xludf.DUMMYFUNCTION("IMPORTRANGE(""https://docs.google.com/spreadsheets/d/1-uDff_7J0KD5mKrp0Vvzr7lt3OU09vwQwhkpOPPYv2Y/edit?usp=sharing"",""งบพรบ!EN15"")"),0)</f>
        <v>0</v>
      </c>
      <c r="I15" s="176">
        <f ca="1">IFERROR(__xludf.DUMMYFUNCTION("IMPORTRANGE(""https://docs.google.com/spreadsheets/d/1-uDff_7J0KD5mKrp0Vvzr7lt3OU09vwQwhkpOPPYv2Y/edit?usp=sharing"",""งบพรบ!EO15"")"),0)</f>
        <v>0</v>
      </c>
      <c r="J15" s="176">
        <f t="shared" ca="1" si="17"/>
        <v>0</v>
      </c>
      <c r="K15" s="181">
        <f t="shared" ca="1" si="18"/>
        <v>0</v>
      </c>
      <c r="L15" s="176">
        <f ca="1">IFERROR(__xludf.DUMMYFUNCTION("IMPORTRANGE(""https://docs.google.com/spreadsheets/d/1-uDff_7J0KD5mKrp0Vvzr7lt3OU09vwQwhkpOPPYv2Y/edit?usp=sharing"",""งบพรบ!EP15"")"),0)</f>
        <v>0</v>
      </c>
      <c r="M15" s="179">
        <f t="shared" ca="1" si="19"/>
        <v>0</v>
      </c>
      <c r="N15" s="179">
        <f t="shared" ca="1" si="20"/>
        <v>0</v>
      </c>
      <c r="O15" s="180">
        <f ca="1">IFERROR(__xludf.DUMMYFUNCTION("IMPORTRANGE(""https://docs.google.com/spreadsheets/d/1-uDff_7J0KD5mKrp0Vvzr7lt3OU09vwQwhkpOPPYv2Y/edit?usp=sharing"",""งบพรบ!EQ15"")"),0)</f>
        <v>0</v>
      </c>
      <c r="P15" s="180">
        <f t="shared" ca="1" si="21"/>
        <v>0</v>
      </c>
      <c r="Q15" s="179">
        <f t="shared" ca="1" si="22"/>
        <v>0</v>
      </c>
      <c r="R15" s="344">
        <f ca="1">IFERROR(__xludf.DUMMYFUNCTION("IMPORTRANGE(""https://docs.google.com/spreadsheets/d/1KS0zmDSZPk8KnTAbGN-Xk6MtX1YRZD0ldgdt20K4CRk/edit?usp=sharing"",""เชียงราย!I330"")"),0)</f>
        <v>0</v>
      </c>
      <c r="S15" s="177">
        <f ca="1">IFERROR(__xludf.DUMMYFUNCTION("IMPORTRANGE(""https://docs.google.com/spreadsheets/d/1KS0zmDSZPk8KnTAbGN-Xk6MtX1YRZD0ldgdt20K4CRk/edit?usp=sharing"",""เชียงราย!J330"")"),0)</f>
        <v>0</v>
      </c>
      <c r="T15" s="345">
        <f t="shared" ca="1" si="24"/>
        <v>0</v>
      </c>
    </row>
    <row r="16" spans="1:20" ht="24" customHeight="1" x14ac:dyDescent="0.3">
      <c r="A16" s="84">
        <v>3</v>
      </c>
      <c r="B16" s="85" t="s">
        <v>38</v>
      </c>
      <c r="C16" s="174">
        <f t="shared" ca="1" si="15"/>
        <v>0</v>
      </c>
      <c r="D16" s="175">
        <f t="shared" ca="1" si="25"/>
        <v>0</v>
      </c>
      <c r="E16" s="176">
        <f ca="1">IFERROR(__xludf.DUMMYFUNCTION("IMPORTRANGE(""https://docs.google.com/spreadsheets/d/1-uDff_7J0KD5mKrp0Vvzr7lt3OU09vwQwhkpOPPYv2Y/edit?usp=sharing"",""งบพรบ!EJ16"")"),0)</f>
        <v>0</v>
      </c>
      <c r="F16" s="176">
        <f ca="1">IFERROR(__xludf.DUMMYFUNCTION("IMPORTRANGE(""https://docs.google.com/spreadsheets/d/1-uDff_7J0KD5mKrp0Vvzr7lt3OU09vwQwhkpOPPYv2Y/edit?usp=sharing"",""งบพรบ!EK16"")"),0)</f>
        <v>0</v>
      </c>
      <c r="G16" s="176">
        <f ca="1">IFERROR(__xludf.DUMMYFUNCTION("IMPORTRANGE(""https://docs.google.com/spreadsheets/d/1-uDff_7J0KD5mKrp0Vvzr7lt3OU09vwQwhkpOPPYv2Y/edit?usp=sharing"",""งบพรบ!EL16"")"),0)</f>
        <v>0</v>
      </c>
      <c r="H16" s="176">
        <f ca="1">IFERROR(__xludf.DUMMYFUNCTION("IMPORTRANGE(""https://docs.google.com/spreadsheets/d/1-uDff_7J0KD5mKrp0Vvzr7lt3OU09vwQwhkpOPPYv2Y/edit?usp=sharing"",""งบพรบ!EN16"")"),0)</f>
        <v>0</v>
      </c>
      <c r="I16" s="176">
        <f ca="1">IFERROR(__xludf.DUMMYFUNCTION("IMPORTRANGE(""https://docs.google.com/spreadsheets/d/1-uDff_7J0KD5mKrp0Vvzr7lt3OU09vwQwhkpOPPYv2Y/edit?usp=sharing"",""งบพรบ!EO16"")"),0)</f>
        <v>0</v>
      </c>
      <c r="J16" s="176">
        <f t="shared" ca="1" si="17"/>
        <v>0</v>
      </c>
      <c r="K16" s="181">
        <f t="shared" ca="1" si="18"/>
        <v>0</v>
      </c>
      <c r="L16" s="176">
        <f ca="1">IFERROR(__xludf.DUMMYFUNCTION("IMPORTRANGE(""https://docs.google.com/spreadsheets/d/1-uDff_7J0KD5mKrp0Vvzr7lt3OU09vwQwhkpOPPYv2Y/edit?usp=sharing"",""งบพรบ!EP16"")"),0)</f>
        <v>0</v>
      </c>
      <c r="M16" s="179">
        <f t="shared" ca="1" si="19"/>
        <v>0</v>
      </c>
      <c r="N16" s="179">
        <f t="shared" ca="1" si="20"/>
        <v>0</v>
      </c>
      <c r="O16" s="180">
        <f ca="1">IFERROR(__xludf.DUMMYFUNCTION("IMPORTRANGE(""https://docs.google.com/spreadsheets/d/1-uDff_7J0KD5mKrp0Vvzr7lt3OU09vwQwhkpOPPYv2Y/edit?usp=sharing"",""งบพรบ!EQ16"")"),0)</f>
        <v>0</v>
      </c>
      <c r="P16" s="180">
        <f t="shared" ca="1" si="21"/>
        <v>0</v>
      </c>
      <c r="Q16" s="179">
        <f t="shared" ca="1" si="22"/>
        <v>0</v>
      </c>
      <c r="R16" s="344">
        <f ca="1">IFERROR(__xludf.DUMMYFUNCTION("IMPORTRANGE(""https://docs.google.com/spreadsheets/d/1rEDxBtusbi64tE0zunoIbsTVV16HeL0oJ6trHQeQ7K8/edit?usp=sharing"",""เชียงใหม่!I330"")"),0)</f>
        <v>0</v>
      </c>
      <c r="S16" s="177">
        <f ca="1">IFERROR(__xludf.DUMMYFUNCTION("IMPORTRANGE(""https://docs.google.com/spreadsheets/d/1rEDxBtusbi64tE0zunoIbsTVV16HeL0oJ6trHQeQ7K8/edit?usp=sharing"",""เชียงใหม่!J330"")"),0)</f>
        <v>0</v>
      </c>
      <c r="T16" s="345">
        <f t="shared" ca="1" si="24"/>
        <v>0</v>
      </c>
    </row>
    <row r="17" spans="1:20" ht="24" customHeight="1" x14ac:dyDescent="0.3">
      <c r="A17" s="84">
        <v>4</v>
      </c>
      <c r="B17" s="85" t="s">
        <v>39</v>
      </c>
      <c r="C17" s="174">
        <f t="shared" ca="1" si="15"/>
        <v>0</v>
      </c>
      <c r="D17" s="175">
        <f t="shared" ca="1" si="25"/>
        <v>0</v>
      </c>
      <c r="E17" s="176">
        <f ca="1">IFERROR(__xludf.DUMMYFUNCTION("IMPORTRANGE(""https://docs.google.com/spreadsheets/d/1-uDff_7J0KD5mKrp0Vvzr7lt3OU09vwQwhkpOPPYv2Y/edit?usp=sharing"",""งบพรบ!EJ17"")"),0)</f>
        <v>0</v>
      </c>
      <c r="F17" s="176">
        <f ca="1">IFERROR(__xludf.DUMMYFUNCTION("IMPORTRANGE(""https://docs.google.com/spreadsheets/d/1-uDff_7J0KD5mKrp0Vvzr7lt3OU09vwQwhkpOPPYv2Y/edit?usp=sharing"",""งบพรบ!EK17"")"),0)</f>
        <v>0</v>
      </c>
      <c r="G17" s="176">
        <f ca="1">IFERROR(__xludf.DUMMYFUNCTION("IMPORTRANGE(""https://docs.google.com/spreadsheets/d/1-uDff_7J0KD5mKrp0Vvzr7lt3OU09vwQwhkpOPPYv2Y/edit?usp=sharing"",""งบพรบ!EL17"")"),0)</f>
        <v>0</v>
      </c>
      <c r="H17" s="176">
        <f ca="1">IFERROR(__xludf.DUMMYFUNCTION("IMPORTRANGE(""https://docs.google.com/spreadsheets/d/1-uDff_7J0KD5mKrp0Vvzr7lt3OU09vwQwhkpOPPYv2Y/edit?usp=sharing"",""งบพรบ!EN17"")"),0)</f>
        <v>0</v>
      </c>
      <c r="I17" s="176">
        <f ca="1">IFERROR(__xludf.DUMMYFUNCTION("IMPORTRANGE(""https://docs.google.com/spreadsheets/d/1-uDff_7J0KD5mKrp0Vvzr7lt3OU09vwQwhkpOPPYv2Y/edit?usp=sharing"",""งบพรบ!EO17"")"),0)</f>
        <v>0</v>
      </c>
      <c r="J17" s="176">
        <f t="shared" ca="1" si="17"/>
        <v>0</v>
      </c>
      <c r="K17" s="181">
        <f t="shared" ca="1" si="18"/>
        <v>0</v>
      </c>
      <c r="L17" s="176">
        <f ca="1">IFERROR(__xludf.DUMMYFUNCTION("IMPORTRANGE(""https://docs.google.com/spreadsheets/d/1-uDff_7J0KD5mKrp0Vvzr7lt3OU09vwQwhkpOPPYv2Y/edit?usp=sharing"",""งบพรบ!EP17"")"),0)</f>
        <v>0</v>
      </c>
      <c r="M17" s="179">
        <f t="shared" ca="1" si="19"/>
        <v>0</v>
      </c>
      <c r="N17" s="179">
        <f t="shared" ca="1" si="20"/>
        <v>0</v>
      </c>
      <c r="O17" s="180">
        <f ca="1">IFERROR(__xludf.DUMMYFUNCTION("IMPORTRANGE(""https://docs.google.com/spreadsheets/d/1-uDff_7J0KD5mKrp0Vvzr7lt3OU09vwQwhkpOPPYv2Y/edit?usp=sharing"",""งบพรบ!EQ17"")"),0)</f>
        <v>0</v>
      </c>
      <c r="P17" s="180">
        <f t="shared" ca="1" si="21"/>
        <v>0</v>
      </c>
      <c r="Q17" s="179">
        <f t="shared" ca="1" si="22"/>
        <v>0</v>
      </c>
      <c r="R17" s="344">
        <f ca="1">IFERROR(__xludf.DUMMYFUNCTION("IMPORTRANGE(""https://docs.google.com/spreadsheets/d/1W6MnUbDkMi6xHnHko_XkFDO9kkuL6Wqyc-6OCDFjW9I/edit?usp=sharing"",""ตาก!I330"")"),0)</f>
        <v>0</v>
      </c>
      <c r="S17" s="177">
        <f ca="1">IFERROR(__xludf.DUMMYFUNCTION("IMPORTRANGE(""https://docs.google.com/spreadsheets/d/1W6MnUbDkMi6xHnHko_XkFDO9kkuL6Wqyc-6OCDFjW9I/edit?usp=sharing"",""ตาก!J330"")"),0)</f>
        <v>0</v>
      </c>
      <c r="T17" s="345">
        <f t="shared" ca="1" si="24"/>
        <v>0</v>
      </c>
    </row>
    <row r="18" spans="1:20" ht="24" customHeight="1" x14ac:dyDescent="0.3">
      <c r="A18" s="84">
        <v>5</v>
      </c>
      <c r="B18" s="85" t="s">
        <v>40</v>
      </c>
      <c r="C18" s="174">
        <f t="shared" ca="1" si="15"/>
        <v>0</v>
      </c>
      <c r="D18" s="175">
        <f t="shared" ca="1" si="25"/>
        <v>0</v>
      </c>
      <c r="E18" s="176">
        <f ca="1">IFERROR(__xludf.DUMMYFUNCTION("IMPORTRANGE(""https://docs.google.com/spreadsheets/d/1-uDff_7J0KD5mKrp0Vvzr7lt3OU09vwQwhkpOPPYv2Y/edit?usp=sharing"",""งบพรบ!EJ18"")"),0)</f>
        <v>0</v>
      </c>
      <c r="F18" s="176">
        <f ca="1">IFERROR(__xludf.DUMMYFUNCTION("IMPORTRANGE(""https://docs.google.com/spreadsheets/d/1-uDff_7J0KD5mKrp0Vvzr7lt3OU09vwQwhkpOPPYv2Y/edit?usp=sharing"",""งบพรบ!EK18"")"),0)</f>
        <v>0</v>
      </c>
      <c r="G18" s="176">
        <f ca="1">IFERROR(__xludf.DUMMYFUNCTION("IMPORTRANGE(""https://docs.google.com/spreadsheets/d/1-uDff_7J0KD5mKrp0Vvzr7lt3OU09vwQwhkpOPPYv2Y/edit?usp=sharing"",""งบพรบ!EL18"")"),0)</f>
        <v>0</v>
      </c>
      <c r="H18" s="176">
        <f ca="1">IFERROR(__xludf.DUMMYFUNCTION("IMPORTRANGE(""https://docs.google.com/spreadsheets/d/1-uDff_7J0KD5mKrp0Vvzr7lt3OU09vwQwhkpOPPYv2Y/edit?usp=sharing"",""งบพรบ!EN18"")"),0)</f>
        <v>0</v>
      </c>
      <c r="I18" s="176">
        <f ca="1">IFERROR(__xludf.DUMMYFUNCTION("IMPORTRANGE(""https://docs.google.com/spreadsheets/d/1-uDff_7J0KD5mKrp0Vvzr7lt3OU09vwQwhkpOPPYv2Y/edit?usp=sharing"",""งบพรบ!EO18"")"),0)</f>
        <v>0</v>
      </c>
      <c r="J18" s="176">
        <f t="shared" ca="1" si="17"/>
        <v>0</v>
      </c>
      <c r="K18" s="181">
        <f t="shared" ca="1" si="18"/>
        <v>0</v>
      </c>
      <c r="L18" s="176">
        <f ca="1">IFERROR(__xludf.DUMMYFUNCTION("IMPORTRANGE(""https://docs.google.com/spreadsheets/d/1-uDff_7J0KD5mKrp0Vvzr7lt3OU09vwQwhkpOPPYv2Y/edit?usp=sharing"",""งบพรบ!EP18"")"),0)</f>
        <v>0</v>
      </c>
      <c r="M18" s="179">
        <f t="shared" ca="1" si="19"/>
        <v>0</v>
      </c>
      <c r="N18" s="179">
        <f t="shared" ca="1" si="20"/>
        <v>0</v>
      </c>
      <c r="O18" s="180">
        <f ca="1">IFERROR(__xludf.DUMMYFUNCTION("IMPORTRANGE(""https://docs.google.com/spreadsheets/d/1-uDff_7J0KD5mKrp0Vvzr7lt3OU09vwQwhkpOPPYv2Y/edit?usp=sharing"",""งบพรบ!EQ18"")"),0)</f>
        <v>0</v>
      </c>
      <c r="P18" s="180">
        <f t="shared" ca="1" si="21"/>
        <v>0</v>
      </c>
      <c r="Q18" s="179">
        <f t="shared" ca="1" si="22"/>
        <v>0</v>
      </c>
      <c r="R18" s="344">
        <f ca="1">IFERROR(__xludf.DUMMYFUNCTION("IMPORTRANGE(""https://docs.google.com/spreadsheets/d/1IQAWArduLkta9LpYo4a_ULsyqdta6-6aDDiwpUnQT6c/edit?usp=sharing"",""นครสวรรค์!I330"")"),0)</f>
        <v>0</v>
      </c>
      <c r="S18" s="177">
        <f ca="1">IFERROR(__xludf.DUMMYFUNCTION("IMPORTRANGE(""https://docs.google.com/spreadsheets/d/1IQAWArduLkta9LpYo4a_ULsyqdta6-6aDDiwpUnQT6c/edit?usp=sharing"",""นครสวรรค์!J330"")"),0)</f>
        <v>0</v>
      </c>
      <c r="T18" s="345">
        <f t="shared" ca="1" si="24"/>
        <v>0</v>
      </c>
    </row>
    <row r="19" spans="1:20" ht="24" customHeight="1" x14ac:dyDescent="0.3">
      <c r="A19" s="84">
        <v>6</v>
      </c>
      <c r="B19" s="85" t="s">
        <v>41</v>
      </c>
      <c r="C19" s="174">
        <f t="shared" ca="1" si="15"/>
        <v>0</v>
      </c>
      <c r="D19" s="175">
        <f t="shared" ca="1" si="25"/>
        <v>0</v>
      </c>
      <c r="E19" s="176">
        <f ca="1">IFERROR(__xludf.DUMMYFUNCTION("IMPORTRANGE(""https://docs.google.com/spreadsheets/d/1-uDff_7J0KD5mKrp0Vvzr7lt3OU09vwQwhkpOPPYv2Y/edit?usp=sharing"",""งบพรบ!EJ19"")"),0)</f>
        <v>0</v>
      </c>
      <c r="F19" s="176">
        <f ca="1">IFERROR(__xludf.DUMMYFUNCTION("IMPORTRANGE(""https://docs.google.com/spreadsheets/d/1-uDff_7J0KD5mKrp0Vvzr7lt3OU09vwQwhkpOPPYv2Y/edit?usp=sharing"",""งบพรบ!EK19"")"),0)</f>
        <v>0</v>
      </c>
      <c r="G19" s="176">
        <f ca="1">IFERROR(__xludf.DUMMYFUNCTION("IMPORTRANGE(""https://docs.google.com/spreadsheets/d/1-uDff_7J0KD5mKrp0Vvzr7lt3OU09vwQwhkpOPPYv2Y/edit?usp=sharing"",""งบพรบ!EL19"")"),0)</f>
        <v>0</v>
      </c>
      <c r="H19" s="176">
        <f ca="1">IFERROR(__xludf.DUMMYFUNCTION("IMPORTRANGE(""https://docs.google.com/spreadsheets/d/1-uDff_7J0KD5mKrp0Vvzr7lt3OU09vwQwhkpOPPYv2Y/edit?usp=sharing"",""งบพรบ!EN19"")"),0)</f>
        <v>0</v>
      </c>
      <c r="I19" s="176">
        <f ca="1">IFERROR(__xludf.DUMMYFUNCTION("IMPORTRANGE(""https://docs.google.com/spreadsheets/d/1-uDff_7J0KD5mKrp0Vvzr7lt3OU09vwQwhkpOPPYv2Y/edit?usp=sharing"",""งบพรบ!EO19"")"),0)</f>
        <v>0</v>
      </c>
      <c r="J19" s="176">
        <f t="shared" ca="1" si="17"/>
        <v>0</v>
      </c>
      <c r="K19" s="181">
        <f t="shared" ca="1" si="18"/>
        <v>0</v>
      </c>
      <c r="L19" s="176">
        <f ca="1">IFERROR(__xludf.DUMMYFUNCTION("IMPORTRANGE(""https://docs.google.com/spreadsheets/d/1-uDff_7J0KD5mKrp0Vvzr7lt3OU09vwQwhkpOPPYv2Y/edit?usp=sharing"",""งบพรบ!EP19"")"),0)</f>
        <v>0</v>
      </c>
      <c r="M19" s="179">
        <f t="shared" ca="1" si="19"/>
        <v>0</v>
      </c>
      <c r="N19" s="179">
        <f t="shared" ca="1" si="20"/>
        <v>0</v>
      </c>
      <c r="O19" s="180">
        <f ca="1">IFERROR(__xludf.DUMMYFUNCTION("IMPORTRANGE(""https://docs.google.com/spreadsheets/d/1-uDff_7J0KD5mKrp0Vvzr7lt3OU09vwQwhkpOPPYv2Y/edit?usp=sharing"",""งบพรบ!EQ19"")"),0)</f>
        <v>0</v>
      </c>
      <c r="P19" s="180">
        <f t="shared" ca="1" si="21"/>
        <v>0</v>
      </c>
      <c r="Q19" s="179">
        <f t="shared" ca="1" si="22"/>
        <v>0</v>
      </c>
      <c r="R19" s="344">
        <f ca="1">IFERROR(__xludf.DUMMYFUNCTION("IMPORTRANGE(""https://docs.google.com/spreadsheets/d/10s13Sk5xrltsiR-Zkbmk5DwIaDIKO8XlbJAfqyT7Gvg/edit?usp=sharing"",""น่าน!I330"")"),0)</f>
        <v>0</v>
      </c>
      <c r="S19" s="177">
        <f ca="1">IFERROR(__xludf.DUMMYFUNCTION("IMPORTRANGE(""https://docs.google.com/spreadsheets/d/10s13Sk5xrltsiR-Zkbmk5DwIaDIKO8XlbJAfqyT7Gvg/edit?usp=sharing"",""น่าน!J330"")"),0)</f>
        <v>0</v>
      </c>
      <c r="T19" s="345">
        <f t="shared" ca="1" si="24"/>
        <v>0</v>
      </c>
    </row>
    <row r="20" spans="1:20" ht="24" customHeight="1" x14ac:dyDescent="0.3">
      <c r="A20" s="84">
        <v>7</v>
      </c>
      <c r="B20" s="85" t="s">
        <v>42</v>
      </c>
      <c r="C20" s="174">
        <f t="shared" ca="1" si="15"/>
        <v>0</v>
      </c>
      <c r="D20" s="175">
        <f t="shared" ca="1" si="25"/>
        <v>0</v>
      </c>
      <c r="E20" s="176">
        <f ca="1">IFERROR(__xludf.DUMMYFUNCTION("IMPORTRANGE(""https://docs.google.com/spreadsheets/d/1-uDff_7J0KD5mKrp0Vvzr7lt3OU09vwQwhkpOPPYv2Y/edit?usp=sharing"",""งบพรบ!EJ20"")"),0)</f>
        <v>0</v>
      </c>
      <c r="F20" s="176">
        <f ca="1">IFERROR(__xludf.DUMMYFUNCTION("IMPORTRANGE(""https://docs.google.com/spreadsheets/d/1-uDff_7J0KD5mKrp0Vvzr7lt3OU09vwQwhkpOPPYv2Y/edit?usp=sharing"",""งบพรบ!EK20"")"),0)</f>
        <v>0</v>
      </c>
      <c r="G20" s="176">
        <f ca="1">IFERROR(__xludf.DUMMYFUNCTION("IMPORTRANGE(""https://docs.google.com/spreadsheets/d/1-uDff_7J0KD5mKrp0Vvzr7lt3OU09vwQwhkpOPPYv2Y/edit?usp=sharing"",""งบพรบ!EL20"")"),0)</f>
        <v>0</v>
      </c>
      <c r="H20" s="176">
        <f ca="1">IFERROR(__xludf.DUMMYFUNCTION("IMPORTRANGE(""https://docs.google.com/spreadsheets/d/1-uDff_7J0KD5mKrp0Vvzr7lt3OU09vwQwhkpOPPYv2Y/edit?usp=sharing"",""งบพรบ!EN20"")"),0)</f>
        <v>0</v>
      </c>
      <c r="I20" s="176">
        <f ca="1">IFERROR(__xludf.DUMMYFUNCTION("IMPORTRANGE(""https://docs.google.com/spreadsheets/d/1-uDff_7J0KD5mKrp0Vvzr7lt3OU09vwQwhkpOPPYv2Y/edit?usp=sharing"",""งบพรบ!EO20"")"),0)</f>
        <v>0</v>
      </c>
      <c r="J20" s="176">
        <f t="shared" ca="1" si="17"/>
        <v>0</v>
      </c>
      <c r="K20" s="181">
        <f t="shared" ca="1" si="18"/>
        <v>0</v>
      </c>
      <c r="L20" s="176">
        <f ca="1">IFERROR(__xludf.DUMMYFUNCTION("IMPORTRANGE(""https://docs.google.com/spreadsheets/d/1-uDff_7J0KD5mKrp0Vvzr7lt3OU09vwQwhkpOPPYv2Y/edit?usp=sharing"",""งบพรบ!EP20"")"),0)</f>
        <v>0</v>
      </c>
      <c r="M20" s="179">
        <f t="shared" ca="1" si="19"/>
        <v>0</v>
      </c>
      <c r="N20" s="179">
        <f t="shared" ca="1" si="20"/>
        <v>0</v>
      </c>
      <c r="O20" s="180">
        <f ca="1">IFERROR(__xludf.DUMMYFUNCTION("IMPORTRANGE(""https://docs.google.com/spreadsheets/d/1-uDff_7J0KD5mKrp0Vvzr7lt3OU09vwQwhkpOPPYv2Y/edit?usp=sharing"",""งบพรบ!EQ20"")"),0)</f>
        <v>0</v>
      </c>
      <c r="P20" s="180">
        <f t="shared" ca="1" si="21"/>
        <v>0</v>
      </c>
      <c r="Q20" s="179">
        <f t="shared" ca="1" si="22"/>
        <v>0</v>
      </c>
      <c r="R20" s="344">
        <f ca="1">IFERROR(__xludf.DUMMYFUNCTION("IMPORTRANGE(""https://docs.google.com/spreadsheets/d/1uu4nAn4Dbi1XREnLKKotUANlKXa7yCgRcgq8HEzQYW8/edit?usp=sharing"",""พะเยา!I330"")"),0)</f>
        <v>0</v>
      </c>
      <c r="S20" s="177">
        <f ca="1">IFERROR(__xludf.DUMMYFUNCTION("IMPORTRANGE(""https://docs.google.com/spreadsheets/d/1uu4nAn4Dbi1XREnLKKotUANlKXa7yCgRcgq8HEzQYW8/edit?usp=sharing"",""พะเยา!J330"")"),0)</f>
        <v>0</v>
      </c>
      <c r="T20" s="345">
        <f t="shared" ca="1" si="24"/>
        <v>0</v>
      </c>
    </row>
    <row r="21" spans="1:20" ht="24" customHeight="1" x14ac:dyDescent="0.3">
      <c r="A21" s="84">
        <v>8</v>
      </c>
      <c r="B21" s="85" t="s">
        <v>43</v>
      </c>
      <c r="C21" s="174">
        <f t="shared" ca="1" si="15"/>
        <v>0</v>
      </c>
      <c r="D21" s="175">
        <f t="shared" ca="1" si="25"/>
        <v>0</v>
      </c>
      <c r="E21" s="176">
        <f ca="1">IFERROR(__xludf.DUMMYFUNCTION("IMPORTRANGE(""https://docs.google.com/spreadsheets/d/1-uDff_7J0KD5mKrp0Vvzr7lt3OU09vwQwhkpOPPYv2Y/edit?usp=sharing"",""งบพรบ!EJ21"")"),0)</f>
        <v>0</v>
      </c>
      <c r="F21" s="176">
        <f ca="1">IFERROR(__xludf.DUMMYFUNCTION("IMPORTRANGE(""https://docs.google.com/spreadsheets/d/1-uDff_7J0KD5mKrp0Vvzr7lt3OU09vwQwhkpOPPYv2Y/edit?usp=sharing"",""งบพรบ!EK21"")"),0)</f>
        <v>0</v>
      </c>
      <c r="G21" s="176">
        <f ca="1">IFERROR(__xludf.DUMMYFUNCTION("IMPORTRANGE(""https://docs.google.com/spreadsheets/d/1-uDff_7J0KD5mKrp0Vvzr7lt3OU09vwQwhkpOPPYv2Y/edit?usp=sharing"",""งบพรบ!EL21"")"),0)</f>
        <v>0</v>
      </c>
      <c r="H21" s="176">
        <f ca="1">IFERROR(__xludf.DUMMYFUNCTION("IMPORTRANGE(""https://docs.google.com/spreadsheets/d/1-uDff_7J0KD5mKrp0Vvzr7lt3OU09vwQwhkpOPPYv2Y/edit?usp=sharing"",""งบพรบ!EN21"")"),0)</f>
        <v>0</v>
      </c>
      <c r="I21" s="176">
        <f ca="1">IFERROR(__xludf.DUMMYFUNCTION("IMPORTRANGE(""https://docs.google.com/spreadsheets/d/1-uDff_7J0KD5mKrp0Vvzr7lt3OU09vwQwhkpOPPYv2Y/edit?usp=sharing"",""งบพรบ!EO21"")"),0)</f>
        <v>0</v>
      </c>
      <c r="J21" s="176">
        <f t="shared" ca="1" si="17"/>
        <v>0</v>
      </c>
      <c r="K21" s="181">
        <f t="shared" ca="1" si="18"/>
        <v>0</v>
      </c>
      <c r="L21" s="176">
        <f ca="1">IFERROR(__xludf.DUMMYFUNCTION("IMPORTRANGE(""https://docs.google.com/spreadsheets/d/1-uDff_7J0KD5mKrp0Vvzr7lt3OU09vwQwhkpOPPYv2Y/edit?usp=sharing"",""งบพรบ!EP21"")"),0)</f>
        <v>0</v>
      </c>
      <c r="M21" s="179">
        <f t="shared" ca="1" si="19"/>
        <v>0</v>
      </c>
      <c r="N21" s="179">
        <f t="shared" ca="1" si="20"/>
        <v>0</v>
      </c>
      <c r="O21" s="180">
        <f ca="1">IFERROR(__xludf.DUMMYFUNCTION("IMPORTRANGE(""https://docs.google.com/spreadsheets/d/1-uDff_7J0KD5mKrp0Vvzr7lt3OU09vwQwhkpOPPYv2Y/edit?usp=sharing"",""งบพรบ!EQ21"")"),0)</f>
        <v>0</v>
      </c>
      <c r="P21" s="180">
        <f t="shared" ca="1" si="21"/>
        <v>0</v>
      </c>
      <c r="Q21" s="179">
        <f t="shared" ca="1" si="22"/>
        <v>0</v>
      </c>
      <c r="R21" s="344">
        <f ca="1">IFERROR(__xludf.DUMMYFUNCTION("IMPORTRANGE(""https://docs.google.com/spreadsheets/d/1xfJKIQxVOaPDIICqsflNlLu3JacTDk1FP9RH4phX7mI/edit?usp=sharing"",""พิจิตร!I330"")"),0)</f>
        <v>0</v>
      </c>
      <c r="S21" s="177">
        <f ca="1">IFERROR(__xludf.DUMMYFUNCTION("IMPORTRANGE(""https://docs.google.com/spreadsheets/d/1xfJKIQxVOaPDIICqsflNlLu3JacTDk1FP9RH4phX7mI/edit?usp=sharing"",""พิจิตร!J330"")"),0)</f>
        <v>0</v>
      </c>
      <c r="T21" s="345">
        <f t="shared" ca="1" si="24"/>
        <v>0</v>
      </c>
    </row>
    <row r="22" spans="1:20" ht="24" customHeight="1" x14ac:dyDescent="0.3">
      <c r="A22" s="84">
        <v>9</v>
      </c>
      <c r="B22" s="85" t="s">
        <v>44</v>
      </c>
      <c r="C22" s="174">
        <f t="shared" ca="1" si="15"/>
        <v>0</v>
      </c>
      <c r="D22" s="175">
        <f t="shared" ca="1" si="25"/>
        <v>0</v>
      </c>
      <c r="E22" s="176">
        <f ca="1">IFERROR(__xludf.DUMMYFUNCTION("IMPORTRANGE(""https://docs.google.com/spreadsheets/d/1-uDff_7J0KD5mKrp0Vvzr7lt3OU09vwQwhkpOPPYv2Y/edit?usp=sharing"",""งบพรบ!EJ22"")"),0)</f>
        <v>0</v>
      </c>
      <c r="F22" s="176">
        <f ca="1">IFERROR(__xludf.DUMMYFUNCTION("IMPORTRANGE(""https://docs.google.com/spreadsheets/d/1-uDff_7J0KD5mKrp0Vvzr7lt3OU09vwQwhkpOPPYv2Y/edit?usp=sharing"",""งบพรบ!EK22"")"),0)</f>
        <v>0</v>
      </c>
      <c r="G22" s="176">
        <f ca="1">IFERROR(__xludf.DUMMYFUNCTION("IMPORTRANGE(""https://docs.google.com/spreadsheets/d/1-uDff_7J0KD5mKrp0Vvzr7lt3OU09vwQwhkpOPPYv2Y/edit?usp=sharing"",""งบพรบ!EL22"")"),0)</f>
        <v>0</v>
      </c>
      <c r="H22" s="176">
        <f ca="1">IFERROR(__xludf.DUMMYFUNCTION("IMPORTRANGE(""https://docs.google.com/spreadsheets/d/1-uDff_7J0KD5mKrp0Vvzr7lt3OU09vwQwhkpOPPYv2Y/edit?usp=sharing"",""งบพรบ!EN22"")"),0)</f>
        <v>0</v>
      </c>
      <c r="I22" s="176">
        <f ca="1">IFERROR(__xludf.DUMMYFUNCTION("IMPORTRANGE(""https://docs.google.com/spreadsheets/d/1-uDff_7J0KD5mKrp0Vvzr7lt3OU09vwQwhkpOPPYv2Y/edit?usp=sharing"",""งบพรบ!EO22"")"),0)</f>
        <v>0</v>
      </c>
      <c r="J22" s="176">
        <f t="shared" ca="1" si="17"/>
        <v>0</v>
      </c>
      <c r="K22" s="181">
        <f t="shared" ca="1" si="18"/>
        <v>0</v>
      </c>
      <c r="L22" s="176">
        <f ca="1">IFERROR(__xludf.DUMMYFUNCTION("IMPORTRANGE(""https://docs.google.com/spreadsheets/d/1-uDff_7J0KD5mKrp0Vvzr7lt3OU09vwQwhkpOPPYv2Y/edit?usp=sharing"",""งบพรบ!EP22"")"),0)</f>
        <v>0</v>
      </c>
      <c r="M22" s="179">
        <f t="shared" ca="1" si="19"/>
        <v>0</v>
      </c>
      <c r="N22" s="179">
        <f t="shared" ca="1" si="20"/>
        <v>0</v>
      </c>
      <c r="O22" s="180">
        <f ca="1">IFERROR(__xludf.DUMMYFUNCTION("IMPORTRANGE(""https://docs.google.com/spreadsheets/d/1-uDff_7J0KD5mKrp0Vvzr7lt3OU09vwQwhkpOPPYv2Y/edit?usp=sharing"",""งบพรบ!EQ22"")"),0)</f>
        <v>0</v>
      </c>
      <c r="P22" s="180">
        <f t="shared" ca="1" si="21"/>
        <v>0</v>
      </c>
      <c r="Q22" s="179">
        <f t="shared" ca="1" si="22"/>
        <v>0</v>
      </c>
      <c r="R22" s="344">
        <f ca="1">IFERROR(__xludf.DUMMYFUNCTION("IMPORTRANGE(""https://docs.google.com/spreadsheets/d/1JtRfZkJMHtEhI5RdRHxYUG4FIZHqKDpNyIuN7A1Q0_k/edit?usp=sharing"",""พิษณุโลก!I330"")"),0)</f>
        <v>0</v>
      </c>
      <c r="S22" s="177">
        <f ca="1">IFERROR(__xludf.DUMMYFUNCTION("IMPORTRANGE(""https://docs.google.com/spreadsheets/d/1JtRfZkJMHtEhI5RdRHxYUG4FIZHqKDpNyIuN7A1Q0_k/edit?usp=sharing"",""พิษณุโลก!J330"")"),0)</f>
        <v>0</v>
      </c>
      <c r="T22" s="345">
        <f t="shared" ca="1" si="24"/>
        <v>0</v>
      </c>
    </row>
    <row r="23" spans="1:20" ht="24" customHeight="1" x14ac:dyDescent="0.3">
      <c r="A23" s="84">
        <v>10</v>
      </c>
      <c r="B23" s="85" t="s">
        <v>45</v>
      </c>
      <c r="C23" s="174">
        <f t="shared" ca="1" si="15"/>
        <v>0</v>
      </c>
      <c r="D23" s="175">
        <f t="shared" ca="1" si="25"/>
        <v>0</v>
      </c>
      <c r="E23" s="176">
        <f ca="1">IFERROR(__xludf.DUMMYFUNCTION("IMPORTRANGE(""https://docs.google.com/spreadsheets/d/1-uDff_7J0KD5mKrp0Vvzr7lt3OU09vwQwhkpOPPYv2Y/edit?usp=sharing"",""งบพรบ!EJ23"")"),0)</f>
        <v>0</v>
      </c>
      <c r="F23" s="176">
        <f ca="1">IFERROR(__xludf.DUMMYFUNCTION("IMPORTRANGE(""https://docs.google.com/spreadsheets/d/1-uDff_7J0KD5mKrp0Vvzr7lt3OU09vwQwhkpOPPYv2Y/edit?usp=sharing"",""งบพรบ!EK23"")"),0)</f>
        <v>0</v>
      </c>
      <c r="G23" s="176">
        <f ca="1">IFERROR(__xludf.DUMMYFUNCTION("IMPORTRANGE(""https://docs.google.com/spreadsheets/d/1-uDff_7J0KD5mKrp0Vvzr7lt3OU09vwQwhkpOPPYv2Y/edit?usp=sharing"",""งบพรบ!EL23"")"),0)</f>
        <v>0</v>
      </c>
      <c r="H23" s="176">
        <f ca="1">IFERROR(__xludf.DUMMYFUNCTION("IMPORTRANGE(""https://docs.google.com/spreadsheets/d/1-uDff_7J0KD5mKrp0Vvzr7lt3OU09vwQwhkpOPPYv2Y/edit?usp=sharing"",""งบพรบ!EN23"")"),0)</f>
        <v>0</v>
      </c>
      <c r="I23" s="176">
        <f ca="1">IFERROR(__xludf.DUMMYFUNCTION("IMPORTRANGE(""https://docs.google.com/spreadsheets/d/1-uDff_7J0KD5mKrp0Vvzr7lt3OU09vwQwhkpOPPYv2Y/edit?usp=sharing"",""งบพรบ!EO23"")"),0)</f>
        <v>0</v>
      </c>
      <c r="J23" s="176">
        <f t="shared" ca="1" si="17"/>
        <v>0</v>
      </c>
      <c r="K23" s="181">
        <f t="shared" ca="1" si="18"/>
        <v>0</v>
      </c>
      <c r="L23" s="176">
        <f ca="1">IFERROR(__xludf.DUMMYFUNCTION("IMPORTRANGE(""https://docs.google.com/spreadsheets/d/1-uDff_7J0KD5mKrp0Vvzr7lt3OU09vwQwhkpOPPYv2Y/edit?usp=sharing"",""งบพรบ!EP23"")"),0)</f>
        <v>0</v>
      </c>
      <c r="M23" s="179">
        <f t="shared" ca="1" si="19"/>
        <v>0</v>
      </c>
      <c r="N23" s="179">
        <f t="shared" ca="1" si="20"/>
        <v>0</v>
      </c>
      <c r="O23" s="180">
        <f ca="1">IFERROR(__xludf.DUMMYFUNCTION("IMPORTRANGE(""https://docs.google.com/spreadsheets/d/1-uDff_7J0KD5mKrp0Vvzr7lt3OU09vwQwhkpOPPYv2Y/edit?usp=sharing"",""งบพรบ!EQ23"")"),0)</f>
        <v>0</v>
      </c>
      <c r="P23" s="180">
        <f t="shared" ca="1" si="21"/>
        <v>0</v>
      </c>
      <c r="Q23" s="179">
        <f t="shared" ca="1" si="22"/>
        <v>0</v>
      </c>
      <c r="R23" s="344">
        <f ca="1">IFERROR(__xludf.DUMMYFUNCTION("IMPORTRANGE(""https://docs.google.com/spreadsheets/d/1xlcVZWUNn6SuWm0c307h32SiGkd9BaeQWlAktfD3KO8/edit?usp=sharing"",""เพชรบูรณ์!I330"")"),0)</f>
        <v>0</v>
      </c>
      <c r="S23" s="177">
        <f ca="1">IFERROR(__xludf.DUMMYFUNCTION("IMPORTRANGE(""https://docs.google.com/spreadsheets/d/1xlcVZWUNn6SuWm0c307h32SiGkd9BaeQWlAktfD3KO8/edit?usp=sharing"",""เพชรบูรณ์!J330"")"),0)</f>
        <v>0</v>
      </c>
      <c r="T23" s="345">
        <f t="shared" ca="1" si="24"/>
        <v>0</v>
      </c>
    </row>
    <row r="24" spans="1:20" ht="24" customHeight="1" x14ac:dyDescent="0.3">
      <c r="A24" s="84">
        <v>11</v>
      </c>
      <c r="B24" s="85" t="s">
        <v>46</v>
      </c>
      <c r="C24" s="174">
        <f t="shared" ca="1" si="15"/>
        <v>0</v>
      </c>
      <c r="D24" s="175">
        <f t="shared" ca="1" si="25"/>
        <v>0</v>
      </c>
      <c r="E24" s="176">
        <f ca="1">IFERROR(__xludf.DUMMYFUNCTION("IMPORTRANGE(""https://docs.google.com/spreadsheets/d/1-uDff_7J0KD5mKrp0Vvzr7lt3OU09vwQwhkpOPPYv2Y/edit?usp=sharing"",""งบพรบ!EJ24"")"),0)</f>
        <v>0</v>
      </c>
      <c r="F24" s="176">
        <f ca="1">IFERROR(__xludf.DUMMYFUNCTION("IMPORTRANGE(""https://docs.google.com/spreadsheets/d/1-uDff_7J0KD5mKrp0Vvzr7lt3OU09vwQwhkpOPPYv2Y/edit?usp=sharing"",""งบพรบ!EK24"")"),0)</f>
        <v>0</v>
      </c>
      <c r="G24" s="176">
        <f ca="1">IFERROR(__xludf.DUMMYFUNCTION("IMPORTRANGE(""https://docs.google.com/spreadsheets/d/1-uDff_7J0KD5mKrp0Vvzr7lt3OU09vwQwhkpOPPYv2Y/edit?usp=sharing"",""งบพรบ!EL24"")"),0)</f>
        <v>0</v>
      </c>
      <c r="H24" s="176">
        <f ca="1">IFERROR(__xludf.DUMMYFUNCTION("IMPORTRANGE(""https://docs.google.com/spreadsheets/d/1-uDff_7J0KD5mKrp0Vvzr7lt3OU09vwQwhkpOPPYv2Y/edit?usp=sharing"",""งบพรบ!EN24"")"),0)</f>
        <v>0</v>
      </c>
      <c r="I24" s="176">
        <f ca="1">IFERROR(__xludf.DUMMYFUNCTION("IMPORTRANGE(""https://docs.google.com/spreadsheets/d/1-uDff_7J0KD5mKrp0Vvzr7lt3OU09vwQwhkpOPPYv2Y/edit?usp=sharing"",""งบพรบ!EO24"")"),0)</f>
        <v>0</v>
      </c>
      <c r="J24" s="176">
        <f t="shared" ca="1" si="17"/>
        <v>0</v>
      </c>
      <c r="K24" s="181">
        <f t="shared" ca="1" si="18"/>
        <v>0</v>
      </c>
      <c r="L24" s="176">
        <f ca="1">IFERROR(__xludf.DUMMYFUNCTION("IMPORTRANGE(""https://docs.google.com/spreadsheets/d/1-uDff_7J0KD5mKrp0Vvzr7lt3OU09vwQwhkpOPPYv2Y/edit?usp=sharing"",""งบพรบ!EP24"")"),0)</f>
        <v>0</v>
      </c>
      <c r="M24" s="179">
        <f t="shared" ca="1" si="19"/>
        <v>0</v>
      </c>
      <c r="N24" s="179">
        <f t="shared" ca="1" si="20"/>
        <v>0</v>
      </c>
      <c r="O24" s="180">
        <f ca="1">IFERROR(__xludf.DUMMYFUNCTION("IMPORTRANGE(""https://docs.google.com/spreadsheets/d/1-uDff_7J0KD5mKrp0Vvzr7lt3OU09vwQwhkpOPPYv2Y/edit?usp=sharing"",""งบพรบ!EQ24"")"),0)</f>
        <v>0</v>
      </c>
      <c r="P24" s="180">
        <f t="shared" ca="1" si="21"/>
        <v>0</v>
      </c>
      <c r="Q24" s="179">
        <f t="shared" ca="1" si="22"/>
        <v>0</v>
      </c>
      <c r="R24" s="344">
        <f ca="1">IFERROR(__xludf.DUMMYFUNCTION("IMPORTRANGE(""https://docs.google.com/spreadsheets/d/1lOVebEIsI9qjGXl6EX66luk7wiuP2tBaryw-wKvv4e0/edit?usp=sharing"",""แพร่!I330"")"),0)</f>
        <v>0</v>
      </c>
      <c r="S24" s="177">
        <f ca="1">IFERROR(__xludf.DUMMYFUNCTION("IMPORTRANGE(""https://docs.google.com/spreadsheets/d/1lOVebEIsI9qjGXl6EX66luk7wiuP2tBaryw-wKvv4e0/edit?usp=sharing"",""แพร่!J330"")"),0)</f>
        <v>0</v>
      </c>
      <c r="T24" s="345">
        <f t="shared" ca="1" si="24"/>
        <v>0</v>
      </c>
    </row>
    <row r="25" spans="1:20" ht="24" customHeight="1" x14ac:dyDescent="0.3">
      <c r="A25" s="84">
        <v>12</v>
      </c>
      <c r="B25" s="85" t="s">
        <v>47</v>
      </c>
      <c r="C25" s="174">
        <f t="shared" ca="1" si="15"/>
        <v>0</v>
      </c>
      <c r="D25" s="175">
        <f t="shared" ca="1" si="25"/>
        <v>0</v>
      </c>
      <c r="E25" s="176">
        <f ca="1">IFERROR(__xludf.DUMMYFUNCTION("IMPORTRANGE(""https://docs.google.com/spreadsheets/d/1-uDff_7J0KD5mKrp0Vvzr7lt3OU09vwQwhkpOPPYv2Y/edit?usp=sharing"",""งบพรบ!EJ25"")"),0)</f>
        <v>0</v>
      </c>
      <c r="F25" s="176">
        <f ca="1">IFERROR(__xludf.DUMMYFUNCTION("IMPORTRANGE(""https://docs.google.com/spreadsheets/d/1-uDff_7J0KD5mKrp0Vvzr7lt3OU09vwQwhkpOPPYv2Y/edit?usp=sharing"",""งบพรบ!EK25"")"),0)</f>
        <v>0</v>
      </c>
      <c r="G25" s="176">
        <f ca="1">IFERROR(__xludf.DUMMYFUNCTION("IMPORTRANGE(""https://docs.google.com/spreadsheets/d/1-uDff_7J0KD5mKrp0Vvzr7lt3OU09vwQwhkpOPPYv2Y/edit?usp=sharing"",""งบพรบ!EL25"")"),0)</f>
        <v>0</v>
      </c>
      <c r="H25" s="176">
        <f ca="1">IFERROR(__xludf.DUMMYFUNCTION("IMPORTRANGE(""https://docs.google.com/spreadsheets/d/1-uDff_7J0KD5mKrp0Vvzr7lt3OU09vwQwhkpOPPYv2Y/edit?usp=sharing"",""งบพรบ!EN25"")"),0)</f>
        <v>0</v>
      </c>
      <c r="I25" s="176">
        <f ca="1">IFERROR(__xludf.DUMMYFUNCTION("IMPORTRANGE(""https://docs.google.com/spreadsheets/d/1-uDff_7J0KD5mKrp0Vvzr7lt3OU09vwQwhkpOPPYv2Y/edit?usp=sharing"",""งบพรบ!EO25"")"),0)</f>
        <v>0</v>
      </c>
      <c r="J25" s="176">
        <f t="shared" ca="1" si="17"/>
        <v>0</v>
      </c>
      <c r="K25" s="181">
        <f t="shared" ca="1" si="18"/>
        <v>0</v>
      </c>
      <c r="L25" s="176">
        <f ca="1">IFERROR(__xludf.DUMMYFUNCTION("IMPORTRANGE(""https://docs.google.com/spreadsheets/d/1-uDff_7J0KD5mKrp0Vvzr7lt3OU09vwQwhkpOPPYv2Y/edit?usp=sharing"",""งบพรบ!EP25"")"),0)</f>
        <v>0</v>
      </c>
      <c r="M25" s="179">
        <f t="shared" ca="1" si="19"/>
        <v>0</v>
      </c>
      <c r="N25" s="179">
        <f t="shared" ca="1" si="20"/>
        <v>0</v>
      </c>
      <c r="O25" s="180">
        <f ca="1">IFERROR(__xludf.DUMMYFUNCTION("IMPORTRANGE(""https://docs.google.com/spreadsheets/d/1-uDff_7J0KD5mKrp0Vvzr7lt3OU09vwQwhkpOPPYv2Y/edit?usp=sharing"",""งบพรบ!EQ25"")"),0)</f>
        <v>0</v>
      </c>
      <c r="P25" s="180">
        <f t="shared" ca="1" si="21"/>
        <v>0</v>
      </c>
      <c r="Q25" s="179">
        <f t="shared" ca="1" si="22"/>
        <v>0</v>
      </c>
      <c r="R25" s="344">
        <f ca="1">IFERROR(__xludf.DUMMYFUNCTION("IMPORTRANGE(""https://docs.google.com/spreadsheets/d/1dQrvX0vEcN7Gu0fnZ0B5S90AeR19zth4XlExFBeExMY/edit?usp=sharing"",""แม่ฮ่องสอน!I330"")"),0)</f>
        <v>0</v>
      </c>
      <c r="S25" s="177">
        <f ca="1">IFERROR(__xludf.DUMMYFUNCTION("IMPORTRANGE(""https://docs.google.com/spreadsheets/d/1dQrvX0vEcN7Gu0fnZ0B5S90AeR19zth4XlExFBeExMY/edit?usp=sharing"",""แม่ฮ่องสอน!J330"")"),0)</f>
        <v>0</v>
      </c>
      <c r="T25" s="345">
        <f t="shared" ca="1" si="24"/>
        <v>0</v>
      </c>
    </row>
    <row r="26" spans="1:20" ht="24" customHeight="1" x14ac:dyDescent="0.3">
      <c r="A26" s="84">
        <v>13</v>
      </c>
      <c r="B26" s="85" t="s">
        <v>48</v>
      </c>
      <c r="C26" s="174">
        <f t="shared" ca="1" si="15"/>
        <v>0</v>
      </c>
      <c r="D26" s="175">
        <f t="shared" ca="1" si="25"/>
        <v>0</v>
      </c>
      <c r="E26" s="176">
        <f ca="1">IFERROR(__xludf.DUMMYFUNCTION("IMPORTRANGE(""https://docs.google.com/spreadsheets/d/1-uDff_7J0KD5mKrp0Vvzr7lt3OU09vwQwhkpOPPYv2Y/edit?usp=sharing"",""งบพรบ!EJ26"")"),0)</f>
        <v>0</v>
      </c>
      <c r="F26" s="176">
        <f ca="1">IFERROR(__xludf.DUMMYFUNCTION("IMPORTRANGE(""https://docs.google.com/spreadsheets/d/1-uDff_7J0KD5mKrp0Vvzr7lt3OU09vwQwhkpOPPYv2Y/edit?usp=sharing"",""งบพรบ!EK26"")"),0)</f>
        <v>0</v>
      </c>
      <c r="G26" s="176">
        <f ca="1">IFERROR(__xludf.DUMMYFUNCTION("IMPORTRANGE(""https://docs.google.com/spreadsheets/d/1-uDff_7J0KD5mKrp0Vvzr7lt3OU09vwQwhkpOPPYv2Y/edit?usp=sharing"",""งบพรบ!EL26"")"),0)</f>
        <v>0</v>
      </c>
      <c r="H26" s="176">
        <f ca="1">IFERROR(__xludf.DUMMYFUNCTION("IMPORTRANGE(""https://docs.google.com/spreadsheets/d/1-uDff_7J0KD5mKrp0Vvzr7lt3OU09vwQwhkpOPPYv2Y/edit?usp=sharing"",""งบพรบ!EN26"")"),0)</f>
        <v>0</v>
      </c>
      <c r="I26" s="176">
        <f ca="1">IFERROR(__xludf.DUMMYFUNCTION("IMPORTRANGE(""https://docs.google.com/spreadsheets/d/1-uDff_7J0KD5mKrp0Vvzr7lt3OU09vwQwhkpOPPYv2Y/edit?usp=sharing"",""งบพรบ!EO26"")"),0)</f>
        <v>0</v>
      </c>
      <c r="J26" s="176">
        <f t="shared" ca="1" si="17"/>
        <v>0</v>
      </c>
      <c r="K26" s="181">
        <f t="shared" ca="1" si="18"/>
        <v>0</v>
      </c>
      <c r="L26" s="176">
        <f ca="1">IFERROR(__xludf.DUMMYFUNCTION("IMPORTRANGE(""https://docs.google.com/spreadsheets/d/1-uDff_7J0KD5mKrp0Vvzr7lt3OU09vwQwhkpOPPYv2Y/edit?usp=sharing"",""งบพรบ!EP26"")"),0)</f>
        <v>0</v>
      </c>
      <c r="M26" s="179">
        <f t="shared" ca="1" si="19"/>
        <v>0</v>
      </c>
      <c r="N26" s="179">
        <f t="shared" ca="1" si="20"/>
        <v>0</v>
      </c>
      <c r="O26" s="180">
        <f ca="1">IFERROR(__xludf.DUMMYFUNCTION("IMPORTRANGE(""https://docs.google.com/spreadsheets/d/1-uDff_7J0KD5mKrp0Vvzr7lt3OU09vwQwhkpOPPYv2Y/edit?usp=sharing"",""งบพรบ!EQ26"")"),0)</f>
        <v>0</v>
      </c>
      <c r="P26" s="180">
        <f t="shared" ca="1" si="21"/>
        <v>0</v>
      </c>
      <c r="Q26" s="179">
        <f t="shared" ca="1" si="22"/>
        <v>0</v>
      </c>
      <c r="R26" s="346">
        <f ca="1">IFERROR(__xludf.DUMMYFUNCTION("IMPORTRANGE(""https://docs.google.com/spreadsheets/d/1DY4XTNNwjluuxqdfdn6qvOSlMRrZqUtmYcZR0ttFiG4/edit?usp=sharing"",""ลำปาง!I330"")"),0)</f>
        <v>0</v>
      </c>
      <c r="S26" s="177">
        <f ca="1">IFERROR(__xludf.DUMMYFUNCTION("IMPORTRANGE(""https://docs.google.com/spreadsheets/d/1DY4XTNNwjluuxqdfdn6qvOSlMRrZqUtmYcZR0ttFiG4/edit?usp=sharing"",""ลำปาง!J330"")"),0)</f>
        <v>0</v>
      </c>
      <c r="T26" s="345">
        <f t="shared" ca="1" si="24"/>
        <v>0</v>
      </c>
    </row>
    <row r="27" spans="1:20" ht="24" customHeight="1" x14ac:dyDescent="0.3">
      <c r="A27" s="84">
        <v>14</v>
      </c>
      <c r="B27" s="85" t="s">
        <v>49</v>
      </c>
      <c r="C27" s="174">
        <f t="shared" ca="1" si="15"/>
        <v>0</v>
      </c>
      <c r="D27" s="175">
        <f t="shared" ca="1" si="25"/>
        <v>0</v>
      </c>
      <c r="E27" s="176">
        <f ca="1">IFERROR(__xludf.DUMMYFUNCTION("IMPORTRANGE(""https://docs.google.com/spreadsheets/d/1-uDff_7J0KD5mKrp0Vvzr7lt3OU09vwQwhkpOPPYv2Y/edit?usp=sharing"",""งบพรบ!EJ27"")"),0)</f>
        <v>0</v>
      </c>
      <c r="F27" s="176">
        <f ca="1">IFERROR(__xludf.DUMMYFUNCTION("IMPORTRANGE(""https://docs.google.com/spreadsheets/d/1-uDff_7J0KD5mKrp0Vvzr7lt3OU09vwQwhkpOPPYv2Y/edit?usp=sharing"",""งบพรบ!EK27"")"),0)</f>
        <v>0</v>
      </c>
      <c r="G27" s="176">
        <f ca="1">IFERROR(__xludf.DUMMYFUNCTION("IMPORTRANGE(""https://docs.google.com/spreadsheets/d/1-uDff_7J0KD5mKrp0Vvzr7lt3OU09vwQwhkpOPPYv2Y/edit?usp=sharing"",""งบพรบ!EL27"")"),0)</f>
        <v>0</v>
      </c>
      <c r="H27" s="176">
        <f ca="1">IFERROR(__xludf.DUMMYFUNCTION("IMPORTRANGE(""https://docs.google.com/spreadsheets/d/1-uDff_7J0KD5mKrp0Vvzr7lt3OU09vwQwhkpOPPYv2Y/edit?usp=sharing"",""งบพรบ!EN27"")"),0)</f>
        <v>0</v>
      </c>
      <c r="I27" s="176">
        <f ca="1">IFERROR(__xludf.DUMMYFUNCTION("IMPORTRANGE(""https://docs.google.com/spreadsheets/d/1-uDff_7J0KD5mKrp0Vvzr7lt3OU09vwQwhkpOPPYv2Y/edit?usp=sharing"",""งบพรบ!EO27"")"),0)</f>
        <v>0</v>
      </c>
      <c r="J27" s="176">
        <f t="shared" ca="1" si="17"/>
        <v>0</v>
      </c>
      <c r="K27" s="181">
        <f t="shared" ca="1" si="18"/>
        <v>0</v>
      </c>
      <c r="L27" s="176">
        <f ca="1">IFERROR(__xludf.DUMMYFUNCTION("IMPORTRANGE(""https://docs.google.com/spreadsheets/d/1-uDff_7J0KD5mKrp0Vvzr7lt3OU09vwQwhkpOPPYv2Y/edit?usp=sharing"",""งบพรบ!EP27"")"),0)</f>
        <v>0</v>
      </c>
      <c r="M27" s="179">
        <f t="shared" ca="1" si="19"/>
        <v>0</v>
      </c>
      <c r="N27" s="179">
        <f t="shared" ca="1" si="20"/>
        <v>0</v>
      </c>
      <c r="O27" s="180">
        <f ca="1">IFERROR(__xludf.DUMMYFUNCTION("IMPORTRANGE(""https://docs.google.com/spreadsheets/d/1-uDff_7J0KD5mKrp0Vvzr7lt3OU09vwQwhkpOPPYv2Y/edit?usp=sharing"",""งบพรบ!EQ27"")"),0)</f>
        <v>0</v>
      </c>
      <c r="P27" s="180">
        <f t="shared" ca="1" si="21"/>
        <v>0</v>
      </c>
      <c r="Q27" s="179">
        <f t="shared" ca="1" si="22"/>
        <v>0</v>
      </c>
      <c r="R27" s="344">
        <f ca="1">IFERROR(__xludf.DUMMYFUNCTION("IMPORTRANGE(""https://docs.google.com/spreadsheets/d/1ICwG78r0OFT8biBlxnBF8r7she7gNSzOvJ958PWT09c/edit?usp=sharing"",""ลำพูน!I330"")"),0)</f>
        <v>0</v>
      </c>
      <c r="S27" s="177">
        <f ca="1">IFERROR(__xludf.DUMMYFUNCTION("IMPORTRANGE(""https://docs.google.com/spreadsheets/d/1ICwG78r0OFT8biBlxnBF8r7she7gNSzOvJ958PWT09c/edit?usp=sharing"",""ลำพูน!J330"")"),0)</f>
        <v>0</v>
      </c>
      <c r="T27" s="345">
        <f t="shared" ca="1" si="24"/>
        <v>0</v>
      </c>
    </row>
    <row r="28" spans="1:20" ht="24" customHeight="1" x14ac:dyDescent="0.3">
      <c r="A28" s="84">
        <v>15</v>
      </c>
      <c r="B28" s="85" t="s">
        <v>50</v>
      </c>
      <c r="C28" s="174">
        <f t="shared" ca="1" si="15"/>
        <v>0</v>
      </c>
      <c r="D28" s="175">
        <f t="shared" ca="1" si="25"/>
        <v>0</v>
      </c>
      <c r="E28" s="176">
        <f ca="1">IFERROR(__xludf.DUMMYFUNCTION("IMPORTRANGE(""https://docs.google.com/spreadsheets/d/1-uDff_7J0KD5mKrp0Vvzr7lt3OU09vwQwhkpOPPYv2Y/edit?usp=sharing"",""งบพรบ!EJ28"")"),0)</f>
        <v>0</v>
      </c>
      <c r="F28" s="176">
        <f ca="1">IFERROR(__xludf.DUMMYFUNCTION("IMPORTRANGE(""https://docs.google.com/spreadsheets/d/1-uDff_7J0KD5mKrp0Vvzr7lt3OU09vwQwhkpOPPYv2Y/edit?usp=sharing"",""งบพรบ!EK28"")"),0)</f>
        <v>0</v>
      </c>
      <c r="G28" s="176">
        <f ca="1">IFERROR(__xludf.DUMMYFUNCTION("IMPORTRANGE(""https://docs.google.com/spreadsheets/d/1-uDff_7J0KD5mKrp0Vvzr7lt3OU09vwQwhkpOPPYv2Y/edit?usp=sharing"",""งบพรบ!EL28"")"),0)</f>
        <v>0</v>
      </c>
      <c r="H28" s="176">
        <f ca="1">IFERROR(__xludf.DUMMYFUNCTION("IMPORTRANGE(""https://docs.google.com/spreadsheets/d/1-uDff_7J0KD5mKrp0Vvzr7lt3OU09vwQwhkpOPPYv2Y/edit?usp=sharing"",""งบพรบ!EN28"")"),0)</f>
        <v>0</v>
      </c>
      <c r="I28" s="176">
        <f ca="1">IFERROR(__xludf.DUMMYFUNCTION("IMPORTRANGE(""https://docs.google.com/spreadsheets/d/1-uDff_7J0KD5mKrp0Vvzr7lt3OU09vwQwhkpOPPYv2Y/edit?usp=sharing"",""งบพรบ!EO28"")"),0)</f>
        <v>0</v>
      </c>
      <c r="J28" s="176">
        <f t="shared" ca="1" si="17"/>
        <v>0</v>
      </c>
      <c r="K28" s="181">
        <f t="shared" ca="1" si="18"/>
        <v>0</v>
      </c>
      <c r="L28" s="176">
        <f ca="1">IFERROR(__xludf.DUMMYFUNCTION("IMPORTRANGE(""https://docs.google.com/spreadsheets/d/1-uDff_7J0KD5mKrp0Vvzr7lt3OU09vwQwhkpOPPYv2Y/edit?usp=sharing"",""งบพรบ!EP28"")"),0)</f>
        <v>0</v>
      </c>
      <c r="M28" s="179">
        <f t="shared" ca="1" si="19"/>
        <v>0</v>
      </c>
      <c r="N28" s="179">
        <f t="shared" ca="1" si="20"/>
        <v>0</v>
      </c>
      <c r="O28" s="180">
        <f ca="1">IFERROR(__xludf.DUMMYFUNCTION("IMPORTRANGE(""https://docs.google.com/spreadsheets/d/1-uDff_7J0KD5mKrp0Vvzr7lt3OU09vwQwhkpOPPYv2Y/edit?usp=sharing"",""งบพรบ!EQ28"")"),0)</f>
        <v>0</v>
      </c>
      <c r="P28" s="180">
        <f t="shared" ca="1" si="21"/>
        <v>0</v>
      </c>
      <c r="Q28" s="179">
        <f t="shared" ca="1" si="22"/>
        <v>0</v>
      </c>
      <c r="R28" s="344">
        <f ca="1">IFERROR(__xludf.DUMMYFUNCTION("IMPORTRANGE(""https://docs.google.com/spreadsheets/d/1B0f2xJpZUC6Z0xXnqKlZtEPzsf6L84eP1r1Q15seqRM/edit?usp=sharing"",""สุโขทัย!I330"")"),0)</f>
        <v>0</v>
      </c>
      <c r="S28" s="177">
        <f ca="1">IFERROR(__xludf.DUMMYFUNCTION("IMPORTRANGE(""https://docs.google.com/spreadsheets/d/1B0f2xJpZUC6Z0xXnqKlZtEPzsf6L84eP1r1Q15seqRM/edit?usp=sharing"",""สุโขทัย!J330"")"),0)</f>
        <v>0</v>
      </c>
      <c r="T28" s="345">
        <f t="shared" ca="1" si="24"/>
        <v>0</v>
      </c>
    </row>
    <row r="29" spans="1:20" ht="24" customHeight="1" x14ac:dyDescent="0.3">
      <c r="A29" s="84">
        <v>16</v>
      </c>
      <c r="B29" s="85" t="s">
        <v>51</v>
      </c>
      <c r="C29" s="174">
        <f t="shared" ca="1" si="15"/>
        <v>0</v>
      </c>
      <c r="D29" s="175">
        <f t="shared" ca="1" si="25"/>
        <v>0</v>
      </c>
      <c r="E29" s="176">
        <f ca="1">IFERROR(__xludf.DUMMYFUNCTION("IMPORTRANGE(""https://docs.google.com/spreadsheets/d/1-uDff_7J0KD5mKrp0Vvzr7lt3OU09vwQwhkpOPPYv2Y/edit?usp=sharing"",""งบพรบ!EJ29"")"),0)</f>
        <v>0</v>
      </c>
      <c r="F29" s="176">
        <f ca="1">IFERROR(__xludf.DUMMYFUNCTION("IMPORTRANGE(""https://docs.google.com/spreadsheets/d/1-uDff_7J0KD5mKrp0Vvzr7lt3OU09vwQwhkpOPPYv2Y/edit?usp=sharing"",""งบพรบ!EK29"")"),0)</f>
        <v>0</v>
      </c>
      <c r="G29" s="176">
        <f ca="1">IFERROR(__xludf.DUMMYFUNCTION("IMPORTRANGE(""https://docs.google.com/spreadsheets/d/1-uDff_7J0KD5mKrp0Vvzr7lt3OU09vwQwhkpOPPYv2Y/edit?usp=sharing"",""งบพรบ!EL29"")"),0)</f>
        <v>0</v>
      </c>
      <c r="H29" s="176">
        <f ca="1">IFERROR(__xludf.DUMMYFUNCTION("IMPORTRANGE(""https://docs.google.com/spreadsheets/d/1-uDff_7J0KD5mKrp0Vvzr7lt3OU09vwQwhkpOPPYv2Y/edit?usp=sharing"",""งบพรบ!EN29"")"),0)</f>
        <v>0</v>
      </c>
      <c r="I29" s="176">
        <f ca="1">IFERROR(__xludf.DUMMYFUNCTION("IMPORTRANGE(""https://docs.google.com/spreadsheets/d/1-uDff_7J0KD5mKrp0Vvzr7lt3OU09vwQwhkpOPPYv2Y/edit?usp=sharing"",""งบพรบ!EO29"")"),0)</f>
        <v>0</v>
      </c>
      <c r="J29" s="176">
        <f t="shared" ca="1" si="17"/>
        <v>0</v>
      </c>
      <c r="K29" s="181">
        <f t="shared" ca="1" si="18"/>
        <v>0</v>
      </c>
      <c r="L29" s="176">
        <f ca="1">IFERROR(__xludf.DUMMYFUNCTION("IMPORTRANGE(""https://docs.google.com/spreadsheets/d/1-uDff_7J0KD5mKrp0Vvzr7lt3OU09vwQwhkpOPPYv2Y/edit?usp=sharing"",""งบพรบ!EP29"")"),0)</f>
        <v>0</v>
      </c>
      <c r="M29" s="179">
        <f t="shared" ca="1" si="19"/>
        <v>0</v>
      </c>
      <c r="N29" s="179">
        <f t="shared" ca="1" si="20"/>
        <v>0</v>
      </c>
      <c r="O29" s="180">
        <f ca="1">IFERROR(__xludf.DUMMYFUNCTION("IMPORTRANGE(""https://docs.google.com/spreadsheets/d/1-uDff_7J0KD5mKrp0Vvzr7lt3OU09vwQwhkpOPPYv2Y/edit?usp=sharing"",""งบพรบ!EQ29"")"),0)</f>
        <v>0</v>
      </c>
      <c r="P29" s="180">
        <f t="shared" ca="1" si="21"/>
        <v>0</v>
      </c>
      <c r="Q29" s="179">
        <f t="shared" ca="1" si="22"/>
        <v>0</v>
      </c>
      <c r="R29" s="344">
        <f ca="1">IFERROR(__xludf.DUMMYFUNCTION("IMPORTRANGE(""https://docs.google.com/spreadsheets/d/1v0b9pFQCsKUVExMei7AgY2yQkdeNQvtOssygGsXbiKo/edit?usp=sharing"",""อุตรดิตถ์!I330"")"),0)</f>
        <v>0</v>
      </c>
      <c r="S29" s="177">
        <f ca="1">IFERROR(__xludf.DUMMYFUNCTION("IMPORTRANGE(""https://docs.google.com/spreadsheets/d/1v0b9pFQCsKUVExMei7AgY2yQkdeNQvtOssygGsXbiKo/edit?usp=sharing"",""อุตรดิตถ์!J330"")"),0)</f>
        <v>0</v>
      </c>
      <c r="T29" s="345">
        <f t="shared" ca="1" si="24"/>
        <v>0</v>
      </c>
    </row>
    <row r="30" spans="1:20" ht="24" customHeight="1" x14ac:dyDescent="0.3">
      <c r="A30" s="95">
        <v>17</v>
      </c>
      <c r="B30" s="96" t="s">
        <v>52</v>
      </c>
      <c r="C30" s="184">
        <f t="shared" ca="1" si="15"/>
        <v>20000</v>
      </c>
      <c r="D30" s="185">
        <f t="shared" ca="1" si="25"/>
        <v>20000</v>
      </c>
      <c r="E30" s="186">
        <f ca="1">IFERROR(__xludf.DUMMYFUNCTION("IMPORTRANGE(""https://docs.google.com/spreadsheets/d/1-uDff_7J0KD5mKrp0Vvzr7lt3OU09vwQwhkpOPPYv2Y/edit?usp=sharing"",""งบพรบ!EJ30"")"),0)</f>
        <v>0</v>
      </c>
      <c r="F30" s="186">
        <f ca="1">IFERROR(__xludf.DUMMYFUNCTION("IMPORTRANGE(""https://docs.google.com/spreadsheets/d/1-uDff_7J0KD5mKrp0Vvzr7lt3OU09vwQwhkpOPPYv2Y/edit?usp=sharing"",""งบพรบ!EK30"")"),20000)</f>
        <v>20000</v>
      </c>
      <c r="G30" s="186">
        <f ca="1">IFERROR(__xludf.DUMMYFUNCTION("IMPORTRANGE(""https://docs.google.com/spreadsheets/d/1-uDff_7J0KD5mKrp0Vvzr7lt3OU09vwQwhkpOPPYv2Y/edit?usp=sharing"",""งบพรบ!EL30"")"),0)</f>
        <v>0</v>
      </c>
      <c r="H30" s="186">
        <f ca="1">IFERROR(__xludf.DUMMYFUNCTION("IMPORTRANGE(""https://docs.google.com/spreadsheets/d/1-uDff_7J0KD5mKrp0Vvzr7lt3OU09vwQwhkpOPPYv2Y/edit?usp=sharing"",""งบพรบ!EN30"")"),20000)</f>
        <v>20000</v>
      </c>
      <c r="I30" s="186">
        <f ca="1">IFERROR(__xludf.DUMMYFUNCTION("IMPORTRANGE(""https://docs.google.com/spreadsheets/d/1-uDff_7J0KD5mKrp0Vvzr7lt3OU09vwQwhkpOPPYv2Y/edit?usp=sharing"",""งบพรบ!EO30"")"),0)</f>
        <v>0</v>
      </c>
      <c r="J30" s="186">
        <f t="shared" ca="1" si="17"/>
        <v>0</v>
      </c>
      <c r="K30" s="187">
        <f t="shared" ca="1" si="18"/>
        <v>0</v>
      </c>
      <c r="L30" s="186">
        <f ca="1">IFERROR(__xludf.DUMMYFUNCTION("IMPORTRANGE(""https://docs.google.com/spreadsheets/d/1-uDff_7J0KD5mKrp0Vvzr7lt3OU09vwQwhkpOPPYv2Y/edit?usp=sharing"",""งบพรบ!EP30"")"),0)</f>
        <v>0</v>
      </c>
      <c r="M30" s="188">
        <f t="shared" ca="1" si="19"/>
        <v>0</v>
      </c>
      <c r="N30" s="188">
        <f t="shared" ca="1" si="20"/>
        <v>0</v>
      </c>
      <c r="O30" s="189">
        <f ca="1">IFERROR(__xludf.DUMMYFUNCTION("IMPORTRANGE(""https://docs.google.com/spreadsheets/d/1-uDff_7J0KD5mKrp0Vvzr7lt3OU09vwQwhkpOPPYv2Y/edit?usp=sharing"",""งบพรบ!EQ30"")"),0)</f>
        <v>0</v>
      </c>
      <c r="P30" s="189">
        <f t="shared" ca="1" si="21"/>
        <v>0</v>
      </c>
      <c r="Q30" s="188">
        <f t="shared" ca="1" si="22"/>
        <v>0</v>
      </c>
      <c r="R30" s="347">
        <f ca="1">IFERROR(__xludf.DUMMYFUNCTION("IMPORTRANGE(""https://docs.google.com/spreadsheets/d/1UsNK1e-WWiCo2PvGqdNfdme4m17_Ezd3J69EeeiQPD0/edit?usp=sharing"",""อุทัยธานี!I330"")"),1)</f>
        <v>1</v>
      </c>
      <c r="S30" s="190">
        <f ca="1">IFERROR(__xludf.DUMMYFUNCTION("IMPORTRANGE(""https://docs.google.com/spreadsheets/d/1UsNK1e-WWiCo2PvGqdNfdme4m17_Ezd3J69EeeiQPD0/edit?usp=sharing"",""อุทัยธานี!J330"")"),0)</f>
        <v>0</v>
      </c>
      <c r="T30" s="348">
        <f t="shared" ca="1" si="24"/>
        <v>0</v>
      </c>
    </row>
    <row r="31" spans="1:20" ht="21" customHeight="1" x14ac:dyDescent="0.3">
      <c r="A31" s="395" t="s">
        <v>53</v>
      </c>
      <c r="B31" s="396"/>
      <c r="C31" s="154">
        <f t="shared" ca="1" si="15"/>
        <v>50000</v>
      </c>
      <c r="D31" s="154">
        <f t="shared" ref="D31:I31" ca="1" si="26">SUM(D32:D51)</f>
        <v>50000</v>
      </c>
      <c r="E31" s="154">
        <f t="shared" ca="1" si="26"/>
        <v>0</v>
      </c>
      <c r="F31" s="154">
        <f t="shared" ca="1" si="26"/>
        <v>50000</v>
      </c>
      <c r="G31" s="154">
        <f t="shared" ca="1" si="26"/>
        <v>0</v>
      </c>
      <c r="H31" s="154">
        <f t="shared" ca="1" si="26"/>
        <v>50000</v>
      </c>
      <c r="I31" s="154">
        <f t="shared" ca="1" si="26"/>
        <v>0</v>
      </c>
      <c r="J31" s="154">
        <f t="shared" ca="1" si="17"/>
        <v>4320</v>
      </c>
      <c r="K31" s="155">
        <f t="shared" ca="1" si="18"/>
        <v>8.64</v>
      </c>
      <c r="L31" s="154">
        <f ca="1">SUM(L32:L51)</f>
        <v>4320</v>
      </c>
      <c r="M31" s="156">
        <f t="shared" ca="1" si="19"/>
        <v>8.64</v>
      </c>
      <c r="N31" s="156">
        <f t="shared" ca="1" si="20"/>
        <v>8.64</v>
      </c>
      <c r="O31" s="157">
        <f ca="1">SUM(O32:O51)</f>
        <v>0</v>
      </c>
      <c r="P31" s="157">
        <f t="shared" ca="1" si="21"/>
        <v>0</v>
      </c>
      <c r="Q31" s="156">
        <f t="shared" ca="1" si="22"/>
        <v>0</v>
      </c>
      <c r="R31" s="339">
        <f t="shared" ref="R31:S31" ca="1" si="27">SUM(R32:R51)</f>
        <v>2</v>
      </c>
      <c r="S31" s="154">
        <f t="shared" ca="1" si="27"/>
        <v>0</v>
      </c>
      <c r="T31" s="156">
        <f t="shared" ca="1" si="24"/>
        <v>0</v>
      </c>
    </row>
    <row r="32" spans="1:20" ht="21" customHeight="1" x14ac:dyDescent="0.3">
      <c r="A32" s="74">
        <v>1</v>
      </c>
      <c r="B32" s="75" t="s">
        <v>54</v>
      </c>
      <c r="C32" s="174">
        <f t="shared" ca="1" si="15"/>
        <v>20000</v>
      </c>
      <c r="D32" s="175">
        <f t="shared" ref="D32:D51" ca="1" si="28">+E32+F32</f>
        <v>20000</v>
      </c>
      <c r="E32" s="176">
        <f ca="1">IFERROR(__xludf.DUMMYFUNCTION("IMPORTRANGE(""https://docs.google.com/spreadsheets/d/1-uDff_7J0KD5mKrp0Vvzr7lt3OU09vwQwhkpOPPYv2Y/edit?usp=sharing"",""งบพรบ!EJ32"")"),0)</f>
        <v>0</v>
      </c>
      <c r="F32" s="176">
        <f ca="1">IFERROR(__xludf.DUMMYFUNCTION("IMPORTRANGE(""https://docs.google.com/spreadsheets/d/1-uDff_7J0KD5mKrp0Vvzr7lt3OU09vwQwhkpOPPYv2Y/edit?usp=sharing"",""งบพรบ!EK32"")"),20000)</f>
        <v>20000</v>
      </c>
      <c r="G32" s="177">
        <f ca="1">IFERROR(__xludf.DUMMYFUNCTION("IMPORTRANGE(""https://docs.google.com/spreadsheets/d/1-uDff_7J0KD5mKrp0Vvzr7lt3OU09vwQwhkpOPPYv2Y/edit?usp=sharing"",""งบพรบ!EL32"")"),0)</f>
        <v>0</v>
      </c>
      <c r="H32" s="177">
        <f ca="1">IFERROR(__xludf.DUMMYFUNCTION("IMPORTRANGE(""https://docs.google.com/spreadsheets/d/1-uDff_7J0KD5mKrp0Vvzr7lt3OU09vwQwhkpOPPYv2Y/edit?usp=sharing"",""งบพรบ!EN32"")"),20000)</f>
        <v>20000</v>
      </c>
      <c r="I32" s="177">
        <f ca="1">IFERROR(__xludf.DUMMYFUNCTION("IMPORTRANGE(""https://docs.google.com/spreadsheets/d/1-uDff_7J0KD5mKrp0Vvzr7lt3OU09vwQwhkpOPPYv2Y/edit?usp=sharing"",""งบพรบ!EO32"")"),0)</f>
        <v>0</v>
      </c>
      <c r="J32" s="177">
        <f t="shared" ca="1" si="17"/>
        <v>2300</v>
      </c>
      <c r="K32" s="178">
        <f t="shared" ca="1" si="18"/>
        <v>11.5</v>
      </c>
      <c r="L32" s="177">
        <f ca="1">IFERROR(__xludf.DUMMYFUNCTION("IMPORTRANGE(""https://docs.google.com/spreadsheets/d/1-uDff_7J0KD5mKrp0Vvzr7lt3OU09vwQwhkpOPPYv2Y/edit?usp=sharing"",""งบพรบ!EP32"")"),2300)</f>
        <v>2300</v>
      </c>
      <c r="M32" s="179">
        <f t="shared" ca="1" si="19"/>
        <v>11.5</v>
      </c>
      <c r="N32" s="179">
        <f t="shared" ca="1" si="20"/>
        <v>11.5</v>
      </c>
      <c r="O32" s="180">
        <f ca="1">IFERROR(__xludf.DUMMYFUNCTION("IMPORTRANGE(""https://docs.google.com/spreadsheets/d/1-uDff_7J0KD5mKrp0Vvzr7lt3OU09vwQwhkpOPPYv2Y/edit?usp=sharing"",""งบพรบ!EQ32"")"),0)</f>
        <v>0</v>
      </c>
      <c r="P32" s="180">
        <f t="shared" ca="1" si="21"/>
        <v>0</v>
      </c>
      <c r="Q32" s="179">
        <f t="shared" ca="1" si="22"/>
        <v>0</v>
      </c>
      <c r="R32" s="344">
        <f ca="1">IFERROR(__xludf.DUMMYFUNCTION("IMPORTRANGE(""https://docs.google.com/spreadsheets/d/1yhBcrRPreicbMKl9Bu_Snb2-OcQAF62RKfhTLhJ2eAA/edit?usp=sharing"",""กาฬสินธุ์!I330"")"),1)</f>
        <v>1</v>
      </c>
      <c r="S32" s="177">
        <f ca="1">IFERROR(__xludf.DUMMYFUNCTION("IMPORTRANGE(""https://docs.google.com/spreadsheets/d/1yhBcrRPreicbMKl9Bu_Snb2-OcQAF62RKfhTLhJ2eAA/edit?usp=sharing"",""กาฬสินธุ์!J330"")"),0)</f>
        <v>0</v>
      </c>
      <c r="T32" s="345">
        <f t="shared" ca="1" si="24"/>
        <v>0</v>
      </c>
    </row>
    <row r="33" spans="1:20" ht="21" customHeight="1" x14ac:dyDescent="0.3">
      <c r="A33" s="84">
        <v>2</v>
      </c>
      <c r="B33" s="85" t="s">
        <v>55</v>
      </c>
      <c r="C33" s="174">
        <f t="shared" ca="1" si="15"/>
        <v>0</v>
      </c>
      <c r="D33" s="175">
        <f t="shared" ca="1" si="28"/>
        <v>0</v>
      </c>
      <c r="E33" s="176">
        <f ca="1">IFERROR(__xludf.DUMMYFUNCTION("IMPORTRANGE(""https://docs.google.com/spreadsheets/d/1-uDff_7J0KD5mKrp0Vvzr7lt3OU09vwQwhkpOPPYv2Y/edit?usp=sharing"",""งบพรบ!EJ33"")"),0)</f>
        <v>0</v>
      </c>
      <c r="F33" s="176">
        <f ca="1">IFERROR(__xludf.DUMMYFUNCTION("IMPORTRANGE(""https://docs.google.com/spreadsheets/d/1-uDff_7J0KD5mKrp0Vvzr7lt3OU09vwQwhkpOPPYv2Y/edit?usp=sharing"",""งบพรบ!EK33"")"),0)</f>
        <v>0</v>
      </c>
      <c r="G33" s="176">
        <f ca="1">IFERROR(__xludf.DUMMYFUNCTION("IMPORTRANGE(""https://docs.google.com/spreadsheets/d/1-uDff_7J0KD5mKrp0Vvzr7lt3OU09vwQwhkpOPPYv2Y/edit?usp=sharing"",""งบพรบ!EL33"")"),0)</f>
        <v>0</v>
      </c>
      <c r="H33" s="176">
        <f ca="1">IFERROR(__xludf.DUMMYFUNCTION("IMPORTRANGE(""https://docs.google.com/spreadsheets/d/1-uDff_7J0KD5mKrp0Vvzr7lt3OU09vwQwhkpOPPYv2Y/edit?usp=sharing"",""งบพรบ!EN33"")"),0)</f>
        <v>0</v>
      </c>
      <c r="I33" s="176">
        <f ca="1">IFERROR(__xludf.DUMMYFUNCTION("IMPORTRANGE(""https://docs.google.com/spreadsheets/d/1-uDff_7J0KD5mKrp0Vvzr7lt3OU09vwQwhkpOPPYv2Y/edit?usp=sharing"",""งบพรบ!EO33"")"),0)</f>
        <v>0</v>
      </c>
      <c r="J33" s="176">
        <f t="shared" ca="1" si="17"/>
        <v>0</v>
      </c>
      <c r="K33" s="181">
        <f t="shared" ca="1" si="18"/>
        <v>0</v>
      </c>
      <c r="L33" s="176">
        <f ca="1">IFERROR(__xludf.DUMMYFUNCTION("IMPORTRANGE(""https://docs.google.com/spreadsheets/d/1-uDff_7J0KD5mKrp0Vvzr7lt3OU09vwQwhkpOPPYv2Y/edit?usp=sharing"",""งบพรบ!EP33"")"),0)</f>
        <v>0</v>
      </c>
      <c r="M33" s="179">
        <f t="shared" ca="1" si="19"/>
        <v>0</v>
      </c>
      <c r="N33" s="179">
        <f t="shared" ca="1" si="20"/>
        <v>0</v>
      </c>
      <c r="O33" s="180">
        <f ca="1">IFERROR(__xludf.DUMMYFUNCTION("IMPORTRANGE(""https://docs.google.com/spreadsheets/d/1-uDff_7J0KD5mKrp0Vvzr7lt3OU09vwQwhkpOPPYv2Y/edit?usp=sharing"",""งบพรบ!EQ33"")"),0)</f>
        <v>0</v>
      </c>
      <c r="P33" s="180">
        <f t="shared" ca="1" si="21"/>
        <v>0</v>
      </c>
      <c r="Q33" s="179">
        <f t="shared" ca="1" si="22"/>
        <v>0</v>
      </c>
      <c r="R33" s="346">
        <f ca="1">IFERROR(__xludf.DUMMYFUNCTION("IMPORTRANGE(""https://docs.google.com/spreadsheets/d/1aHkj4IaQMThhwWwevcOymEh837vdxeC_PycurhTbGFA/edit?usp=sharing"",""ขอนแก่น!I330"")"),0)</f>
        <v>0</v>
      </c>
      <c r="S33" s="177">
        <f ca="1">IFERROR(__xludf.DUMMYFUNCTION("IMPORTRANGE(""https://docs.google.com/spreadsheets/d/1aHkj4IaQMThhwWwevcOymEh837vdxeC_PycurhTbGFA/edit?usp=sharing"",""ขอนแก่น!J330"")"),0)</f>
        <v>0</v>
      </c>
      <c r="T33" s="345">
        <f t="shared" ca="1" si="24"/>
        <v>0</v>
      </c>
    </row>
    <row r="34" spans="1:20" ht="21" customHeight="1" x14ac:dyDescent="0.3">
      <c r="A34" s="84">
        <v>3</v>
      </c>
      <c r="B34" s="85" t="s">
        <v>56</v>
      </c>
      <c r="C34" s="174">
        <f t="shared" ca="1" si="15"/>
        <v>0</v>
      </c>
      <c r="D34" s="175">
        <f t="shared" ca="1" si="28"/>
        <v>0</v>
      </c>
      <c r="E34" s="176">
        <f ca="1">IFERROR(__xludf.DUMMYFUNCTION("IMPORTRANGE(""https://docs.google.com/spreadsheets/d/1-uDff_7J0KD5mKrp0Vvzr7lt3OU09vwQwhkpOPPYv2Y/edit?usp=sharing"",""งบพรบ!EJ34"")"),0)</f>
        <v>0</v>
      </c>
      <c r="F34" s="176">
        <f ca="1">IFERROR(__xludf.DUMMYFUNCTION("IMPORTRANGE(""https://docs.google.com/spreadsheets/d/1-uDff_7J0KD5mKrp0Vvzr7lt3OU09vwQwhkpOPPYv2Y/edit?usp=sharing"",""งบพรบ!EK34"")"),0)</f>
        <v>0</v>
      </c>
      <c r="G34" s="176">
        <f ca="1">IFERROR(__xludf.DUMMYFUNCTION("IMPORTRANGE(""https://docs.google.com/spreadsheets/d/1-uDff_7J0KD5mKrp0Vvzr7lt3OU09vwQwhkpOPPYv2Y/edit?usp=sharing"",""งบพรบ!EL34"")"),0)</f>
        <v>0</v>
      </c>
      <c r="H34" s="176">
        <f ca="1">IFERROR(__xludf.DUMMYFUNCTION("IMPORTRANGE(""https://docs.google.com/spreadsheets/d/1-uDff_7J0KD5mKrp0Vvzr7lt3OU09vwQwhkpOPPYv2Y/edit?usp=sharing"",""งบพรบ!EN34"")"),0)</f>
        <v>0</v>
      </c>
      <c r="I34" s="176">
        <f ca="1">IFERROR(__xludf.DUMMYFUNCTION("IMPORTRANGE(""https://docs.google.com/spreadsheets/d/1-uDff_7J0KD5mKrp0Vvzr7lt3OU09vwQwhkpOPPYv2Y/edit?usp=sharing"",""งบพรบ!EO34"")"),0)</f>
        <v>0</v>
      </c>
      <c r="J34" s="176">
        <f t="shared" ca="1" si="17"/>
        <v>0</v>
      </c>
      <c r="K34" s="181">
        <f t="shared" ca="1" si="18"/>
        <v>0</v>
      </c>
      <c r="L34" s="176">
        <f ca="1">IFERROR(__xludf.DUMMYFUNCTION("IMPORTRANGE(""https://docs.google.com/spreadsheets/d/1-uDff_7J0KD5mKrp0Vvzr7lt3OU09vwQwhkpOPPYv2Y/edit?usp=sharing"",""งบพรบ!EP34"")"),0)</f>
        <v>0</v>
      </c>
      <c r="M34" s="179">
        <f t="shared" ca="1" si="19"/>
        <v>0</v>
      </c>
      <c r="N34" s="179">
        <f t="shared" ca="1" si="20"/>
        <v>0</v>
      </c>
      <c r="O34" s="180">
        <f ca="1">IFERROR(__xludf.DUMMYFUNCTION("IMPORTRANGE(""https://docs.google.com/spreadsheets/d/1-uDff_7J0KD5mKrp0Vvzr7lt3OU09vwQwhkpOPPYv2Y/edit?usp=sharing"",""งบพรบ!EQ34"")"),0)</f>
        <v>0</v>
      </c>
      <c r="P34" s="180">
        <f t="shared" ca="1" si="21"/>
        <v>0</v>
      </c>
      <c r="Q34" s="179">
        <f t="shared" ca="1" si="22"/>
        <v>0</v>
      </c>
      <c r="R34" s="344">
        <f ca="1">IFERROR(__xludf.DUMMYFUNCTION("IMPORTRANGE(""https://docs.google.com/spreadsheets/d/1FvTu2DsIWUjP6WCWra38Bkj_oOl_sOMf14r5Fg5srxU/edit?usp=sharing"",""ชัยภูมิ!I330"")"),0)</f>
        <v>0</v>
      </c>
      <c r="S34" s="177">
        <f ca="1">IFERROR(__xludf.DUMMYFUNCTION("IMPORTRANGE(""https://docs.google.com/spreadsheets/d/1FvTu2DsIWUjP6WCWra38Bkj_oOl_sOMf14r5Fg5srxU/edit?usp=sharing"",""ชัยภูมิ!J330"")"),0)</f>
        <v>0</v>
      </c>
      <c r="T34" s="345">
        <f t="shared" ca="1" si="24"/>
        <v>0</v>
      </c>
    </row>
    <row r="35" spans="1:20" ht="21" customHeight="1" x14ac:dyDescent="0.3">
      <c r="A35" s="84">
        <v>4</v>
      </c>
      <c r="B35" s="85" t="s">
        <v>57</v>
      </c>
      <c r="C35" s="174">
        <f t="shared" ca="1" si="15"/>
        <v>0</v>
      </c>
      <c r="D35" s="175">
        <f t="shared" ca="1" si="28"/>
        <v>0</v>
      </c>
      <c r="E35" s="176">
        <f ca="1">IFERROR(__xludf.DUMMYFUNCTION("IMPORTRANGE(""https://docs.google.com/spreadsheets/d/1-uDff_7J0KD5mKrp0Vvzr7lt3OU09vwQwhkpOPPYv2Y/edit?usp=sharing"",""งบพรบ!EJ35"")"),0)</f>
        <v>0</v>
      </c>
      <c r="F35" s="176">
        <f ca="1">IFERROR(__xludf.DUMMYFUNCTION("IMPORTRANGE(""https://docs.google.com/spreadsheets/d/1-uDff_7J0KD5mKrp0Vvzr7lt3OU09vwQwhkpOPPYv2Y/edit?usp=sharing"",""งบพรบ!EK35"")"),0)</f>
        <v>0</v>
      </c>
      <c r="G35" s="176">
        <f ca="1">IFERROR(__xludf.DUMMYFUNCTION("IMPORTRANGE(""https://docs.google.com/spreadsheets/d/1-uDff_7J0KD5mKrp0Vvzr7lt3OU09vwQwhkpOPPYv2Y/edit?usp=sharing"",""งบพรบ!EL35"")"),0)</f>
        <v>0</v>
      </c>
      <c r="H35" s="176">
        <f ca="1">IFERROR(__xludf.DUMMYFUNCTION("IMPORTRANGE(""https://docs.google.com/spreadsheets/d/1-uDff_7J0KD5mKrp0Vvzr7lt3OU09vwQwhkpOPPYv2Y/edit?usp=sharing"",""งบพรบ!EN35"")"),0)</f>
        <v>0</v>
      </c>
      <c r="I35" s="176">
        <f ca="1">IFERROR(__xludf.DUMMYFUNCTION("IMPORTRANGE(""https://docs.google.com/spreadsheets/d/1-uDff_7J0KD5mKrp0Vvzr7lt3OU09vwQwhkpOPPYv2Y/edit?usp=sharing"",""งบพรบ!EO35"")"),0)</f>
        <v>0</v>
      </c>
      <c r="J35" s="176">
        <f t="shared" ca="1" si="17"/>
        <v>0</v>
      </c>
      <c r="K35" s="181">
        <f t="shared" ca="1" si="18"/>
        <v>0</v>
      </c>
      <c r="L35" s="176">
        <f ca="1">IFERROR(__xludf.DUMMYFUNCTION("IMPORTRANGE(""https://docs.google.com/spreadsheets/d/1-uDff_7J0KD5mKrp0Vvzr7lt3OU09vwQwhkpOPPYv2Y/edit?usp=sharing"",""งบพรบ!EP35"")"),0)</f>
        <v>0</v>
      </c>
      <c r="M35" s="179">
        <f t="shared" ca="1" si="19"/>
        <v>0</v>
      </c>
      <c r="N35" s="179">
        <f t="shared" ca="1" si="20"/>
        <v>0</v>
      </c>
      <c r="O35" s="180">
        <f ca="1">IFERROR(__xludf.DUMMYFUNCTION("IMPORTRANGE(""https://docs.google.com/spreadsheets/d/1-uDff_7J0KD5mKrp0Vvzr7lt3OU09vwQwhkpOPPYv2Y/edit?usp=sharing"",""งบพรบ!EQ35"")"),0)</f>
        <v>0</v>
      </c>
      <c r="P35" s="180">
        <f t="shared" ca="1" si="21"/>
        <v>0</v>
      </c>
      <c r="Q35" s="179">
        <f t="shared" ca="1" si="22"/>
        <v>0</v>
      </c>
      <c r="R35" s="344">
        <f ca="1">IFERROR(__xludf.DUMMYFUNCTION("IMPORTRANGE(""https://docs.google.com/spreadsheets/d/1XVB7oCJ3pr-vBUdflwPQ8Z2LlzhnCvZaaYjAfP-647E/edit?usp=sharing"",""นครพนม!I330"")"),0)</f>
        <v>0</v>
      </c>
      <c r="S35" s="177">
        <f ca="1">IFERROR(__xludf.DUMMYFUNCTION("IMPORTRANGE(""https://docs.google.com/spreadsheets/d/1XVB7oCJ3pr-vBUdflwPQ8Z2LlzhnCvZaaYjAfP-647E/edit?usp=sharing"",""นครพนม!J330"")"),0)</f>
        <v>0</v>
      </c>
      <c r="T35" s="345">
        <f t="shared" ca="1" si="24"/>
        <v>0</v>
      </c>
    </row>
    <row r="36" spans="1:20" ht="21" customHeight="1" x14ac:dyDescent="0.3">
      <c r="A36" s="84">
        <v>5</v>
      </c>
      <c r="B36" s="85" t="s">
        <v>58</v>
      </c>
      <c r="C36" s="174">
        <f t="shared" ca="1" si="15"/>
        <v>30000</v>
      </c>
      <c r="D36" s="175">
        <f t="shared" ca="1" si="28"/>
        <v>30000</v>
      </c>
      <c r="E36" s="176">
        <f ca="1">IFERROR(__xludf.DUMMYFUNCTION("IMPORTRANGE(""https://docs.google.com/spreadsheets/d/1-uDff_7J0KD5mKrp0Vvzr7lt3OU09vwQwhkpOPPYv2Y/edit?usp=sharing"",""งบพรบ!EJ36"")"),0)</f>
        <v>0</v>
      </c>
      <c r="F36" s="176">
        <f ca="1">IFERROR(__xludf.DUMMYFUNCTION("IMPORTRANGE(""https://docs.google.com/spreadsheets/d/1-uDff_7J0KD5mKrp0Vvzr7lt3OU09vwQwhkpOPPYv2Y/edit?usp=sharing"",""งบพรบ!EK36"")"),30000)</f>
        <v>30000</v>
      </c>
      <c r="G36" s="176">
        <f ca="1">IFERROR(__xludf.DUMMYFUNCTION("IMPORTRANGE(""https://docs.google.com/spreadsheets/d/1-uDff_7J0KD5mKrp0Vvzr7lt3OU09vwQwhkpOPPYv2Y/edit?usp=sharing"",""งบพรบ!EL36"")"),0)</f>
        <v>0</v>
      </c>
      <c r="H36" s="176">
        <f ca="1">IFERROR(__xludf.DUMMYFUNCTION("IMPORTRANGE(""https://docs.google.com/spreadsheets/d/1-uDff_7J0KD5mKrp0Vvzr7lt3OU09vwQwhkpOPPYv2Y/edit?usp=sharing"",""งบพรบ!EN36"")"),30000)</f>
        <v>30000</v>
      </c>
      <c r="I36" s="176">
        <f ca="1">IFERROR(__xludf.DUMMYFUNCTION("IMPORTRANGE(""https://docs.google.com/spreadsheets/d/1-uDff_7J0KD5mKrp0Vvzr7lt3OU09vwQwhkpOPPYv2Y/edit?usp=sharing"",""งบพรบ!EO36"")"),0)</f>
        <v>0</v>
      </c>
      <c r="J36" s="176">
        <f t="shared" ca="1" si="17"/>
        <v>2020</v>
      </c>
      <c r="K36" s="181">
        <f t="shared" ca="1" si="18"/>
        <v>6.7333333333333334</v>
      </c>
      <c r="L36" s="176">
        <f ca="1">IFERROR(__xludf.DUMMYFUNCTION("IMPORTRANGE(""https://docs.google.com/spreadsheets/d/1-uDff_7J0KD5mKrp0Vvzr7lt3OU09vwQwhkpOPPYv2Y/edit?usp=sharing"",""งบพรบ!EP36"")"),2020)</f>
        <v>2020</v>
      </c>
      <c r="M36" s="179">
        <f t="shared" ca="1" si="19"/>
        <v>6.7333333333333334</v>
      </c>
      <c r="N36" s="179">
        <f t="shared" ca="1" si="20"/>
        <v>6.7333333333333334</v>
      </c>
      <c r="O36" s="180">
        <f ca="1">IFERROR(__xludf.DUMMYFUNCTION("IMPORTRANGE(""https://docs.google.com/spreadsheets/d/1-uDff_7J0KD5mKrp0Vvzr7lt3OU09vwQwhkpOPPYv2Y/edit?usp=sharing"",""งบพรบ!EQ36"")"),0)</f>
        <v>0</v>
      </c>
      <c r="P36" s="180">
        <f t="shared" ca="1" si="21"/>
        <v>0</v>
      </c>
      <c r="Q36" s="179">
        <f t="shared" ca="1" si="22"/>
        <v>0</v>
      </c>
      <c r="R36" s="344">
        <f ca="1">IFERROR(__xludf.DUMMYFUNCTION("IMPORTRANGE(""https://docs.google.com/spreadsheets/d/1Mnpb-8PYAgn85W6KOTD40hc_Xc55CaLfHoGAbrZ8tls/edit?usp=sharing"",""นครราชสีมา!I330"")"),1)</f>
        <v>1</v>
      </c>
      <c r="S36" s="177">
        <f ca="1">IFERROR(__xludf.DUMMYFUNCTION("IMPORTRANGE(""https://docs.google.com/spreadsheets/d/1Mnpb-8PYAgn85W6KOTD40hc_Xc55CaLfHoGAbrZ8tls/edit?usp=sharing"",""นครราชสีมา!J330"")"),0)</f>
        <v>0</v>
      </c>
      <c r="T36" s="345">
        <f t="shared" ca="1" si="24"/>
        <v>0</v>
      </c>
    </row>
    <row r="37" spans="1:20" ht="21" customHeight="1" x14ac:dyDescent="0.3">
      <c r="A37" s="84">
        <v>6</v>
      </c>
      <c r="B37" s="85" t="s">
        <v>59</v>
      </c>
      <c r="C37" s="174">
        <f t="shared" ca="1" si="15"/>
        <v>0</v>
      </c>
      <c r="D37" s="175">
        <f t="shared" ca="1" si="28"/>
        <v>0</v>
      </c>
      <c r="E37" s="176">
        <f ca="1">IFERROR(__xludf.DUMMYFUNCTION("IMPORTRANGE(""https://docs.google.com/spreadsheets/d/1-uDff_7J0KD5mKrp0Vvzr7lt3OU09vwQwhkpOPPYv2Y/edit?usp=sharing"",""งบพรบ!EJ37"")"),0)</f>
        <v>0</v>
      </c>
      <c r="F37" s="176">
        <f ca="1">IFERROR(__xludf.DUMMYFUNCTION("IMPORTRANGE(""https://docs.google.com/spreadsheets/d/1-uDff_7J0KD5mKrp0Vvzr7lt3OU09vwQwhkpOPPYv2Y/edit?usp=sharing"",""งบพรบ!EK37"")"),0)</f>
        <v>0</v>
      </c>
      <c r="G37" s="176">
        <f ca="1">IFERROR(__xludf.DUMMYFUNCTION("IMPORTRANGE(""https://docs.google.com/spreadsheets/d/1-uDff_7J0KD5mKrp0Vvzr7lt3OU09vwQwhkpOPPYv2Y/edit?usp=sharing"",""งบพรบ!EL37"")"),0)</f>
        <v>0</v>
      </c>
      <c r="H37" s="176">
        <f ca="1">IFERROR(__xludf.DUMMYFUNCTION("IMPORTRANGE(""https://docs.google.com/spreadsheets/d/1-uDff_7J0KD5mKrp0Vvzr7lt3OU09vwQwhkpOPPYv2Y/edit?usp=sharing"",""งบพรบ!EN37"")"),0)</f>
        <v>0</v>
      </c>
      <c r="I37" s="176">
        <f ca="1">IFERROR(__xludf.DUMMYFUNCTION("IMPORTRANGE(""https://docs.google.com/spreadsheets/d/1-uDff_7J0KD5mKrp0Vvzr7lt3OU09vwQwhkpOPPYv2Y/edit?usp=sharing"",""งบพรบ!EO37"")"),0)</f>
        <v>0</v>
      </c>
      <c r="J37" s="176">
        <f t="shared" ca="1" si="17"/>
        <v>0</v>
      </c>
      <c r="K37" s="181">
        <f t="shared" ca="1" si="18"/>
        <v>0</v>
      </c>
      <c r="L37" s="176">
        <f ca="1">IFERROR(__xludf.DUMMYFUNCTION("IMPORTRANGE(""https://docs.google.com/spreadsheets/d/1-uDff_7J0KD5mKrp0Vvzr7lt3OU09vwQwhkpOPPYv2Y/edit?usp=sharing"",""งบพรบ!EP37"")"),0)</f>
        <v>0</v>
      </c>
      <c r="M37" s="179">
        <f t="shared" ca="1" si="19"/>
        <v>0</v>
      </c>
      <c r="N37" s="179">
        <f t="shared" ca="1" si="20"/>
        <v>0</v>
      </c>
      <c r="O37" s="180">
        <f ca="1">IFERROR(__xludf.DUMMYFUNCTION("IMPORTRANGE(""https://docs.google.com/spreadsheets/d/1-uDff_7J0KD5mKrp0Vvzr7lt3OU09vwQwhkpOPPYv2Y/edit?usp=sharing"",""งบพรบ!EQ37"")"),0)</f>
        <v>0</v>
      </c>
      <c r="P37" s="180">
        <f t="shared" ca="1" si="21"/>
        <v>0</v>
      </c>
      <c r="Q37" s="179">
        <f t="shared" ca="1" si="22"/>
        <v>0</v>
      </c>
      <c r="R37" s="344">
        <f ca="1">IFERROR(__xludf.DUMMYFUNCTION("IMPORTRANGE(""https://docs.google.com/spreadsheets/d/1xoDLGBv9CYbyosIhki0kTq6IpYNj-gpjxfobnaDiut0/edit?usp=sharing"",""บึงกาฬ!I330"")"),0)</f>
        <v>0</v>
      </c>
      <c r="S37" s="177">
        <f ca="1">IFERROR(__xludf.DUMMYFUNCTION("IMPORTRANGE(""https://docs.google.com/spreadsheets/d/1xoDLGBv9CYbyosIhki0kTq6IpYNj-gpjxfobnaDiut0/edit?usp=sharing"",""บึงกาฬ!J330"")"),0)</f>
        <v>0</v>
      </c>
      <c r="T37" s="345">
        <f t="shared" ca="1" si="24"/>
        <v>0</v>
      </c>
    </row>
    <row r="38" spans="1:20" ht="21" customHeight="1" x14ac:dyDescent="0.3">
      <c r="A38" s="84">
        <v>7</v>
      </c>
      <c r="B38" s="85" t="s">
        <v>60</v>
      </c>
      <c r="C38" s="174">
        <f t="shared" ca="1" si="15"/>
        <v>0</v>
      </c>
      <c r="D38" s="175">
        <f t="shared" ca="1" si="28"/>
        <v>0</v>
      </c>
      <c r="E38" s="176">
        <f ca="1">IFERROR(__xludf.DUMMYFUNCTION("IMPORTRANGE(""https://docs.google.com/spreadsheets/d/1-uDff_7J0KD5mKrp0Vvzr7lt3OU09vwQwhkpOPPYv2Y/edit?usp=sharing"",""งบพรบ!EJ38"")"),0)</f>
        <v>0</v>
      </c>
      <c r="F38" s="176">
        <f ca="1">IFERROR(__xludf.DUMMYFUNCTION("IMPORTRANGE(""https://docs.google.com/spreadsheets/d/1-uDff_7J0KD5mKrp0Vvzr7lt3OU09vwQwhkpOPPYv2Y/edit?usp=sharing"",""งบพรบ!EK38"")"),0)</f>
        <v>0</v>
      </c>
      <c r="G38" s="176">
        <f ca="1">IFERROR(__xludf.DUMMYFUNCTION("IMPORTRANGE(""https://docs.google.com/spreadsheets/d/1-uDff_7J0KD5mKrp0Vvzr7lt3OU09vwQwhkpOPPYv2Y/edit?usp=sharing"",""งบพรบ!EL38"")"),0)</f>
        <v>0</v>
      </c>
      <c r="H38" s="176">
        <f ca="1">IFERROR(__xludf.DUMMYFUNCTION("IMPORTRANGE(""https://docs.google.com/spreadsheets/d/1-uDff_7J0KD5mKrp0Vvzr7lt3OU09vwQwhkpOPPYv2Y/edit?usp=sharing"",""งบพรบ!EN38"")"),0)</f>
        <v>0</v>
      </c>
      <c r="I38" s="176">
        <f ca="1">IFERROR(__xludf.DUMMYFUNCTION("IMPORTRANGE(""https://docs.google.com/spreadsheets/d/1-uDff_7J0KD5mKrp0Vvzr7lt3OU09vwQwhkpOPPYv2Y/edit?usp=sharing"",""งบพรบ!EO38"")"),0)</f>
        <v>0</v>
      </c>
      <c r="J38" s="176">
        <f t="shared" ca="1" si="17"/>
        <v>0</v>
      </c>
      <c r="K38" s="181">
        <f t="shared" ca="1" si="18"/>
        <v>0</v>
      </c>
      <c r="L38" s="176">
        <f ca="1">IFERROR(__xludf.DUMMYFUNCTION("IMPORTRANGE(""https://docs.google.com/spreadsheets/d/1-uDff_7J0KD5mKrp0Vvzr7lt3OU09vwQwhkpOPPYv2Y/edit?usp=sharing"",""งบพรบ!EP38"")"),0)</f>
        <v>0</v>
      </c>
      <c r="M38" s="179">
        <f t="shared" ca="1" si="19"/>
        <v>0</v>
      </c>
      <c r="N38" s="179">
        <f t="shared" ca="1" si="20"/>
        <v>0</v>
      </c>
      <c r="O38" s="180">
        <f ca="1">IFERROR(__xludf.DUMMYFUNCTION("IMPORTRANGE(""https://docs.google.com/spreadsheets/d/1-uDff_7J0KD5mKrp0Vvzr7lt3OU09vwQwhkpOPPYv2Y/edit?usp=sharing"",""งบพรบ!EQ38"")"),0)</f>
        <v>0</v>
      </c>
      <c r="P38" s="180">
        <f t="shared" ca="1" si="21"/>
        <v>0</v>
      </c>
      <c r="Q38" s="179">
        <f t="shared" ca="1" si="22"/>
        <v>0</v>
      </c>
      <c r="R38" s="344">
        <f ca="1">IFERROR(__xludf.DUMMYFUNCTION("IMPORTRANGE(""https://docs.google.com/spreadsheets/d/1MMPq-JyI6DSgQETxuSiXkesP-P7JHuemnE6QJIa-Nlw/edit?usp=sharing"",""บุรีรัมย์!I330"")"),0)</f>
        <v>0</v>
      </c>
      <c r="S38" s="177">
        <f ca="1">IFERROR(__xludf.DUMMYFUNCTION("IMPORTRANGE(""https://docs.google.com/spreadsheets/d/1MMPq-JyI6DSgQETxuSiXkesP-P7JHuemnE6QJIa-Nlw/edit?usp=sharing"",""บุรีรัมย์!J330"")"),0)</f>
        <v>0</v>
      </c>
      <c r="T38" s="345">
        <f t="shared" ca="1" si="24"/>
        <v>0</v>
      </c>
    </row>
    <row r="39" spans="1:20" ht="21" customHeight="1" x14ac:dyDescent="0.3">
      <c r="A39" s="84">
        <v>8</v>
      </c>
      <c r="B39" s="85" t="s">
        <v>61</v>
      </c>
      <c r="C39" s="174">
        <f t="shared" ca="1" si="15"/>
        <v>0</v>
      </c>
      <c r="D39" s="175">
        <f t="shared" ca="1" si="28"/>
        <v>0</v>
      </c>
      <c r="E39" s="176">
        <f ca="1">IFERROR(__xludf.DUMMYFUNCTION("IMPORTRANGE(""https://docs.google.com/spreadsheets/d/1-uDff_7J0KD5mKrp0Vvzr7lt3OU09vwQwhkpOPPYv2Y/edit?usp=sharing"",""งบพรบ!EJ39"")"),0)</f>
        <v>0</v>
      </c>
      <c r="F39" s="176">
        <f ca="1">IFERROR(__xludf.DUMMYFUNCTION("IMPORTRANGE(""https://docs.google.com/spreadsheets/d/1-uDff_7J0KD5mKrp0Vvzr7lt3OU09vwQwhkpOPPYv2Y/edit?usp=sharing"",""งบพรบ!EK39"")"),0)</f>
        <v>0</v>
      </c>
      <c r="G39" s="176">
        <f ca="1">IFERROR(__xludf.DUMMYFUNCTION("IMPORTRANGE(""https://docs.google.com/spreadsheets/d/1-uDff_7J0KD5mKrp0Vvzr7lt3OU09vwQwhkpOPPYv2Y/edit?usp=sharing"",""งบพรบ!EL39"")"),0)</f>
        <v>0</v>
      </c>
      <c r="H39" s="176">
        <f ca="1">IFERROR(__xludf.DUMMYFUNCTION("IMPORTRANGE(""https://docs.google.com/spreadsheets/d/1-uDff_7J0KD5mKrp0Vvzr7lt3OU09vwQwhkpOPPYv2Y/edit?usp=sharing"",""งบพรบ!EN39"")"),0)</f>
        <v>0</v>
      </c>
      <c r="I39" s="176">
        <f ca="1">IFERROR(__xludf.DUMMYFUNCTION("IMPORTRANGE(""https://docs.google.com/spreadsheets/d/1-uDff_7J0KD5mKrp0Vvzr7lt3OU09vwQwhkpOPPYv2Y/edit?usp=sharing"",""งบพรบ!EO39"")"),0)</f>
        <v>0</v>
      </c>
      <c r="J39" s="176">
        <f t="shared" ca="1" si="17"/>
        <v>0</v>
      </c>
      <c r="K39" s="181">
        <f t="shared" ca="1" si="18"/>
        <v>0</v>
      </c>
      <c r="L39" s="176">
        <f ca="1">IFERROR(__xludf.DUMMYFUNCTION("IMPORTRANGE(""https://docs.google.com/spreadsheets/d/1-uDff_7J0KD5mKrp0Vvzr7lt3OU09vwQwhkpOPPYv2Y/edit?usp=sharing"",""งบพรบ!EP39"")"),0)</f>
        <v>0</v>
      </c>
      <c r="M39" s="179">
        <f t="shared" ca="1" si="19"/>
        <v>0</v>
      </c>
      <c r="N39" s="179">
        <f t="shared" ca="1" si="20"/>
        <v>0</v>
      </c>
      <c r="O39" s="180">
        <f ca="1">IFERROR(__xludf.DUMMYFUNCTION("IMPORTRANGE(""https://docs.google.com/spreadsheets/d/1-uDff_7J0KD5mKrp0Vvzr7lt3OU09vwQwhkpOPPYv2Y/edit?usp=sharing"",""งบพรบ!EQ39"")"),0)</f>
        <v>0</v>
      </c>
      <c r="P39" s="180">
        <f t="shared" ca="1" si="21"/>
        <v>0</v>
      </c>
      <c r="Q39" s="179">
        <f t="shared" ca="1" si="22"/>
        <v>0</v>
      </c>
      <c r="R39" s="344">
        <f ca="1">IFERROR(__xludf.DUMMYFUNCTION("IMPORTRANGE(""https://docs.google.com/spreadsheets/d/1l6IZ8xUPgMrESzcTYwhA1k_tPjeQjJPTqlm8Gd9eU5g/edit?usp=sharing"",""มหาสารคาม!I330"")"),0)</f>
        <v>0</v>
      </c>
      <c r="S39" s="177">
        <f ca="1">IFERROR(__xludf.DUMMYFUNCTION("IMPORTRANGE(""https://docs.google.com/spreadsheets/d/1l6IZ8xUPgMrESzcTYwhA1k_tPjeQjJPTqlm8Gd9eU5g/edit?usp=sharing"",""มหาสารคาม!J330"")"),0)</f>
        <v>0</v>
      </c>
      <c r="T39" s="345">
        <f t="shared" ca="1" si="24"/>
        <v>0</v>
      </c>
    </row>
    <row r="40" spans="1:20" ht="21" customHeight="1" x14ac:dyDescent="0.3">
      <c r="A40" s="84">
        <v>9</v>
      </c>
      <c r="B40" s="85" t="s">
        <v>62</v>
      </c>
      <c r="C40" s="174">
        <f t="shared" ca="1" si="15"/>
        <v>0</v>
      </c>
      <c r="D40" s="175">
        <f t="shared" ca="1" si="28"/>
        <v>0</v>
      </c>
      <c r="E40" s="176">
        <f ca="1">IFERROR(__xludf.DUMMYFUNCTION("IMPORTRANGE(""https://docs.google.com/spreadsheets/d/1-uDff_7J0KD5mKrp0Vvzr7lt3OU09vwQwhkpOPPYv2Y/edit?usp=sharing"",""งบพรบ!EJ40"")"),0)</f>
        <v>0</v>
      </c>
      <c r="F40" s="176">
        <f ca="1">IFERROR(__xludf.DUMMYFUNCTION("IMPORTRANGE(""https://docs.google.com/spreadsheets/d/1-uDff_7J0KD5mKrp0Vvzr7lt3OU09vwQwhkpOPPYv2Y/edit?usp=sharing"",""งบพรบ!EK40"")"),0)</f>
        <v>0</v>
      </c>
      <c r="G40" s="176">
        <f ca="1">IFERROR(__xludf.DUMMYFUNCTION("IMPORTRANGE(""https://docs.google.com/spreadsheets/d/1-uDff_7J0KD5mKrp0Vvzr7lt3OU09vwQwhkpOPPYv2Y/edit?usp=sharing"",""งบพรบ!EL40"")"),0)</f>
        <v>0</v>
      </c>
      <c r="H40" s="176">
        <f ca="1">IFERROR(__xludf.DUMMYFUNCTION("IMPORTRANGE(""https://docs.google.com/spreadsheets/d/1-uDff_7J0KD5mKrp0Vvzr7lt3OU09vwQwhkpOPPYv2Y/edit?usp=sharing"",""งบพรบ!EN40"")"),0)</f>
        <v>0</v>
      </c>
      <c r="I40" s="176">
        <f ca="1">IFERROR(__xludf.DUMMYFUNCTION("IMPORTRANGE(""https://docs.google.com/spreadsheets/d/1-uDff_7J0KD5mKrp0Vvzr7lt3OU09vwQwhkpOPPYv2Y/edit?usp=sharing"",""งบพรบ!EO40"")"),0)</f>
        <v>0</v>
      </c>
      <c r="J40" s="176">
        <f t="shared" ca="1" si="17"/>
        <v>0</v>
      </c>
      <c r="K40" s="181">
        <f t="shared" ca="1" si="18"/>
        <v>0</v>
      </c>
      <c r="L40" s="176">
        <f ca="1">IFERROR(__xludf.DUMMYFUNCTION("IMPORTRANGE(""https://docs.google.com/spreadsheets/d/1-uDff_7J0KD5mKrp0Vvzr7lt3OU09vwQwhkpOPPYv2Y/edit?usp=sharing"",""งบพรบ!EP40"")"),0)</f>
        <v>0</v>
      </c>
      <c r="M40" s="179">
        <f t="shared" ca="1" si="19"/>
        <v>0</v>
      </c>
      <c r="N40" s="179">
        <f t="shared" ca="1" si="20"/>
        <v>0</v>
      </c>
      <c r="O40" s="180">
        <f ca="1">IFERROR(__xludf.DUMMYFUNCTION("IMPORTRANGE(""https://docs.google.com/spreadsheets/d/1-uDff_7J0KD5mKrp0Vvzr7lt3OU09vwQwhkpOPPYv2Y/edit?usp=sharing"",""งบพรบ!EQ40"")"),0)</f>
        <v>0</v>
      </c>
      <c r="P40" s="180">
        <f t="shared" ca="1" si="21"/>
        <v>0</v>
      </c>
      <c r="Q40" s="179">
        <f t="shared" ca="1" si="22"/>
        <v>0</v>
      </c>
      <c r="R40" s="346">
        <f ca="1">IFERROR(__xludf.DUMMYFUNCTION("IMPORTRANGE(""https://docs.google.com/spreadsheets/d/1uB74YLqNjWX6FObjekfB2NtSYigTQyR2rq9u4Ub2Sq4/edit?usp=sharing"",""มุกดาหาร!I330"")"),0)</f>
        <v>0</v>
      </c>
      <c r="S40" s="177">
        <f ca="1">IFERROR(__xludf.DUMMYFUNCTION("IMPORTRANGE(""https://docs.google.com/spreadsheets/d/1uB74YLqNjWX6FObjekfB2NtSYigTQyR2rq9u4Ub2Sq4/edit?usp=sharing"",""มุกดาหาร!J330"")"),0)</f>
        <v>0</v>
      </c>
      <c r="T40" s="345">
        <f t="shared" ca="1" si="24"/>
        <v>0</v>
      </c>
    </row>
    <row r="41" spans="1:20" ht="21" customHeight="1" x14ac:dyDescent="0.3">
      <c r="A41" s="84">
        <v>10</v>
      </c>
      <c r="B41" s="85" t="s">
        <v>63</v>
      </c>
      <c r="C41" s="174">
        <f t="shared" ca="1" si="15"/>
        <v>0</v>
      </c>
      <c r="D41" s="175">
        <f t="shared" ca="1" si="28"/>
        <v>0</v>
      </c>
      <c r="E41" s="176">
        <f ca="1">IFERROR(__xludf.DUMMYFUNCTION("IMPORTRANGE(""https://docs.google.com/spreadsheets/d/1-uDff_7J0KD5mKrp0Vvzr7lt3OU09vwQwhkpOPPYv2Y/edit?usp=sharing"",""งบพรบ!EJ41"")"),0)</f>
        <v>0</v>
      </c>
      <c r="F41" s="176">
        <f ca="1">IFERROR(__xludf.DUMMYFUNCTION("IMPORTRANGE(""https://docs.google.com/spreadsheets/d/1-uDff_7J0KD5mKrp0Vvzr7lt3OU09vwQwhkpOPPYv2Y/edit?usp=sharing"",""งบพรบ!EK41"")"),0)</f>
        <v>0</v>
      </c>
      <c r="G41" s="176">
        <f ca="1">IFERROR(__xludf.DUMMYFUNCTION("IMPORTRANGE(""https://docs.google.com/spreadsheets/d/1-uDff_7J0KD5mKrp0Vvzr7lt3OU09vwQwhkpOPPYv2Y/edit?usp=sharing"",""งบพรบ!EL41"")"),0)</f>
        <v>0</v>
      </c>
      <c r="H41" s="176">
        <f ca="1">IFERROR(__xludf.DUMMYFUNCTION("IMPORTRANGE(""https://docs.google.com/spreadsheets/d/1-uDff_7J0KD5mKrp0Vvzr7lt3OU09vwQwhkpOPPYv2Y/edit?usp=sharing"",""งบพรบ!EN41"")"),0)</f>
        <v>0</v>
      </c>
      <c r="I41" s="176">
        <f ca="1">IFERROR(__xludf.DUMMYFUNCTION("IMPORTRANGE(""https://docs.google.com/spreadsheets/d/1-uDff_7J0KD5mKrp0Vvzr7lt3OU09vwQwhkpOPPYv2Y/edit?usp=sharing"",""งบพรบ!EO41"")"),0)</f>
        <v>0</v>
      </c>
      <c r="J41" s="176">
        <f t="shared" ca="1" si="17"/>
        <v>0</v>
      </c>
      <c r="K41" s="181">
        <f t="shared" ca="1" si="18"/>
        <v>0</v>
      </c>
      <c r="L41" s="176">
        <f ca="1">IFERROR(__xludf.DUMMYFUNCTION("IMPORTRANGE(""https://docs.google.com/spreadsheets/d/1-uDff_7J0KD5mKrp0Vvzr7lt3OU09vwQwhkpOPPYv2Y/edit?usp=sharing"",""งบพรบ!EP41"")"),0)</f>
        <v>0</v>
      </c>
      <c r="M41" s="179">
        <f t="shared" ca="1" si="19"/>
        <v>0</v>
      </c>
      <c r="N41" s="179">
        <f t="shared" ca="1" si="20"/>
        <v>0</v>
      </c>
      <c r="O41" s="180">
        <f ca="1">IFERROR(__xludf.DUMMYFUNCTION("IMPORTRANGE(""https://docs.google.com/spreadsheets/d/1-uDff_7J0KD5mKrp0Vvzr7lt3OU09vwQwhkpOPPYv2Y/edit?usp=sharing"",""งบพรบ!EQ41"")"),0)</f>
        <v>0</v>
      </c>
      <c r="P41" s="180">
        <f t="shared" ca="1" si="21"/>
        <v>0</v>
      </c>
      <c r="Q41" s="179">
        <f t="shared" ca="1" si="22"/>
        <v>0</v>
      </c>
      <c r="R41" s="346">
        <f ca="1">IFERROR(__xludf.DUMMYFUNCTION("IMPORTRANGE(""https://docs.google.com/spreadsheets/d/1NexK3geCPxCTO1fzNF8dPec7yZyUx3OaWkFBC9HsQOo/edit?usp=sharing"",""ยโสธร!I330"")"),0)</f>
        <v>0</v>
      </c>
      <c r="S41" s="177">
        <f ca="1">IFERROR(__xludf.DUMMYFUNCTION("IMPORTRANGE(""https://docs.google.com/spreadsheets/d/1NexK3geCPxCTO1fzNF8dPec7yZyUx3OaWkFBC9HsQOo/edit?usp=sharing"",""ยโสธร!J330"")"),0)</f>
        <v>0</v>
      </c>
      <c r="T41" s="345">
        <f t="shared" ca="1" si="24"/>
        <v>0</v>
      </c>
    </row>
    <row r="42" spans="1:20" ht="21" customHeight="1" x14ac:dyDescent="0.3">
      <c r="A42" s="84">
        <v>11</v>
      </c>
      <c r="B42" s="85" t="s">
        <v>64</v>
      </c>
      <c r="C42" s="174">
        <f t="shared" ca="1" si="15"/>
        <v>0</v>
      </c>
      <c r="D42" s="175">
        <f t="shared" ca="1" si="28"/>
        <v>0</v>
      </c>
      <c r="E42" s="176">
        <f ca="1">IFERROR(__xludf.DUMMYFUNCTION("IMPORTRANGE(""https://docs.google.com/spreadsheets/d/1-uDff_7J0KD5mKrp0Vvzr7lt3OU09vwQwhkpOPPYv2Y/edit?usp=sharing"",""งบพรบ!EJ42"")"),0)</f>
        <v>0</v>
      </c>
      <c r="F42" s="176">
        <f ca="1">IFERROR(__xludf.DUMMYFUNCTION("IMPORTRANGE(""https://docs.google.com/spreadsheets/d/1-uDff_7J0KD5mKrp0Vvzr7lt3OU09vwQwhkpOPPYv2Y/edit?usp=sharing"",""งบพรบ!EK42"")"),0)</f>
        <v>0</v>
      </c>
      <c r="G42" s="176">
        <f ca="1">IFERROR(__xludf.DUMMYFUNCTION("IMPORTRANGE(""https://docs.google.com/spreadsheets/d/1-uDff_7J0KD5mKrp0Vvzr7lt3OU09vwQwhkpOPPYv2Y/edit?usp=sharing"",""งบพรบ!EL42"")"),0)</f>
        <v>0</v>
      </c>
      <c r="H42" s="176">
        <f ca="1">IFERROR(__xludf.DUMMYFUNCTION("IMPORTRANGE(""https://docs.google.com/spreadsheets/d/1-uDff_7J0KD5mKrp0Vvzr7lt3OU09vwQwhkpOPPYv2Y/edit?usp=sharing"",""งบพรบ!EN42"")"),0)</f>
        <v>0</v>
      </c>
      <c r="I42" s="176">
        <f ca="1">IFERROR(__xludf.DUMMYFUNCTION("IMPORTRANGE(""https://docs.google.com/spreadsheets/d/1-uDff_7J0KD5mKrp0Vvzr7lt3OU09vwQwhkpOPPYv2Y/edit?usp=sharing"",""งบพรบ!EO42"")"),0)</f>
        <v>0</v>
      </c>
      <c r="J42" s="176">
        <f t="shared" ca="1" si="17"/>
        <v>0</v>
      </c>
      <c r="K42" s="181">
        <f t="shared" ca="1" si="18"/>
        <v>0</v>
      </c>
      <c r="L42" s="176">
        <f ca="1">IFERROR(__xludf.DUMMYFUNCTION("IMPORTRANGE(""https://docs.google.com/spreadsheets/d/1-uDff_7J0KD5mKrp0Vvzr7lt3OU09vwQwhkpOPPYv2Y/edit?usp=sharing"",""งบพรบ!EP42"")"),0)</f>
        <v>0</v>
      </c>
      <c r="M42" s="179">
        <f t="shared" ca="1" si="19"/>
        <v>0</v>
      </c>
      <c r="N42" s="179">
        <f t="shared" ca="1" si="20"/>
        <v>0</v>
      </c>
      <c r="O42" s="180">
        <f ca="1">IFERROR(__xludf.DUMMYFUNCTION("IMPORTRANGE(""https://docs.google.com/spreadsheets/d/1-uDff_7J0KD5mKrp0Vvzr7lt3OU09vwQwhkpOPPYv2Y/edit?usp=sharing"",""งบพรบ!EQ42"")"),0)</f>
        <v>0</v>
      </c>
      <c r="P42" s="180">
        <f t="shared" ca="1" si="21"/>
        <v>0</v>
      </c>
      <c r="Q42" s="179">
        <f t="shared" ca="1" si="22"/>
        <v>0</v>
      </c>
      <c r="R42" s="344">
        <f ca="1">IFERROR(__xludf.DUMMYFUNCTION("IMPORTRANGE(""https://docs.google.com/spreadsheets/d/1v_cJrbBlyqmnHPReHk44g9NrMRdENNlSy_E_c5M9fIg/edit?usp=sharing"",""ร้อยเอ็ด!I330"")"),0)</f>
        <v>0</v>
      </c>
      <c r="S42" s="177">
        <f ca="1">IFERROR(__xludf.DUMMYFUNCTION("IMPORTRANGE(""https://docs.google.com/spreadsheets/d/1v_cJrbBlyqmnHPReHk44g9NrMRdENNlSy_E_c5M9fIg/edit?usp=sharing"",""ร้อยเอ็ด!J330"")"),0)</f>
        <v>0</v>
      </c>
      <c r="T42" s="345">
        <f t="shared" ca="1" si="24"/>
        <v>0</v>
      </c>
    </row>
    <row r="43" spans="1:20" ht="21" customHeight="1" x14ac:dyDescent="0.3">
      <c r="A43" s="84">
        <v>12</v>
      </c>
      <c r="B43" s="85" t="s">
        <v>65</v>
      </c>
      <c r="C43" s="174">
        <f t="shared" ca="1" si="15"/>
        <v>0</v>
      </c>
      <c r="D43" s="175">
        <f t="shared" ca="1" si="28"/>
        <v>0</v>
      </c>
      <c r="E43" s="176">
        <f ca="1">IFERROR(__xludf.DUMMYFUNCTION("IMPORTRANGE(""https://docs.google.com/spreadsheets/d/1-uDff_7J0KD5mKrp0Vvzr7lt3OU09vwQwhkpOPPYv2Y/edit?usp=sharing"",""งบพรบ!EJ43"")"),0)</f>
        <v>0</v>
      </c>
      <c r="F43" s="176">
        <f ca="1">IFERROR(__xludf.DUMMYFUNCTION("IMPORTRANGE(""https://docs.google.com/spreadsheets/d/1-uDff_7J0KD5mKrp0Vvzr7lt3OU09vwQwhkpOPPYv2Y/edit?usp=sharing"",""งบพรบ!EK43"")"),0)</f>
        <v>0</v>
      </c>
      <c r="G43" s="176">
        <f ca="1">IFERROR(__xludf.DUMMYFUNCTION("IMPORTRANGE(""https://docs.google.com/spreadsheets/d/1-uDff_7J0KD5mKrp0Vvzr7lt3OU09vwQwhkpOPPYv2Y/edit?usp=sharing"",""งบพรบ!EL43"")"),0)</f>
        <v>0</v>
      </c>
      <c r="H43" s="176">
        <f ca="1">IFERROR(__xludf.DUMMYFUNCTION("IMPORTRANGE(""https://docs.google.com/spreadsheets/d/1-uDff_7J0KD5mKrp0Vvzr7lt3OU09vwQwhkpOPPYv2Y/edit?usp=sharing"",""งบพรบ!EN43"")"),0)</f>
        <v>0</v>
      </c>
      <c r="I43" s="176">
        <f ca="1">IFERROR(__xludf.DUMMYFUNCTION("IMPORTRANGE(""https://docs.google.com/spreadsheets/d/1-uDff_7J0KD5mKrp0Vvzr7lt3OU09vwQwhkpOPPYv2Y/edit?usp=sharing"",""งบพรบ!EO43"")"),0)</f>
        <v>0</v>
      </c>
      <c r="J43" s="176">
        <f t="shared" ca="1" si="17"/>
        <v>0</v>
      </c>
      <c r="K43" s="181">
        <f t="shared" ca="1" si="18"/>
        <v>0</v>
      </c>
      <c r="L43" s="176">
        <f ca="1">IFERROR(__xludf.DUMMYFUNCTION("IMPORTRANGE(""https://docs.google.com/spreadsheets/d/1-uDff_7J0KD5mKrp0Vvzr7lt3OU09vwQwhkpOPPYv2Y/edit?usp=sharing"",""งบพรบ!EP43"")"),0)</f>
        <v>0</v>
      </c>
      <c r="M43" s="179">
        <f t="shared" ca="1" si="19"/>
        <v>0</v>
      </c>
      <c r="N43" s="179">
        <f t="shared" ca="1" si="20"/>
        <v>0</v>
      </c>
      <c r="O43" s="180">
        <f ca="1">IFERROR(__xludf.DUMMYFUNCTION("IMPORTRANGE(""https://docs.google.com/spreadsheets/d/1-uDff_7J0KD5mKrp0Vvzr7lt3OU09vwQwhkpOPPYv2Y/edit?usp=sharing"",""งบพรบ!EQ43"")"),0)</f>
        <v>0</v>
      </c>
      <c r="P43" s="180">
        <f t="shared" ca="1" si="21"/>
        <v>0</v>
      </c>
      <c r="Q43" s="179">
        <f t="shared" ca="1" si="22"/>
        <v>0</v>
      </c>
      <c r="R43" s="344">
        <f ca="1">IFERROR(__xludf.DUMMYFUNCTION("IMPORTRANGE(""https://docs.google.com/spreadsheets/d/1Ul4RCpCX66NxYADU1QpwAPjOmBzW64SsT11s1wzXw_c/edit?usp=sharing"",""เลย!I330"")"),0)</f>
        <v>0</v>
      </c>
      <c r="S43" s="177">
        <f ca="1">IFERROR(__xludf.DUMMYFUNCTION("IMPORTRANGE(""https://docs.google.com/spreadsheets/d/1Ul4RCpCX66NxYADU1QpwAPjOmBzW64SsT11s1wzXw_c/edit?usp=sharing"",""เลย!J330"")"),0)</f>
        <v>0</v>
      </c>
      <c r="T43" s="345">
        <f t="shared" ca="1" si="24"/>
        <v>0</v>
      </c>
    </row>
    <row r="44" spans="1:20" ht="21" customHeight="1" x14ac:dyDescent="0.3">
      <c r="A44" s="84">
        <v>13</v>
      </c>
      <c r="B44" s="85" t="s">
        <v>66</v>
      </c>
      <c r="C44" s="174">
        <f t="shared" ca="1" si="15"/>
        <v>0</v>
      </c>
      <c r="D44" s="175">
        <f t="shared" ca="1" si="28"/>
        <v>0</v>
      </c>
      <c r="E44" s="176">
        <f ca="1">IFERROR(__xludf.DUMMYFUNCTION("IMPORTRANGE(""https://docs.google.com/spreadsheets/d/1-uDff_7J0KD5mKrp0Vvzr7lt3OU09vwQwhkpOPPYv2Y/edit?usp=sharing"",""งบพรบ!EJ44"")"),0)</f>
        <v>0</v>
      </c>
      <c r="F44" s="176">
        <f ca="1">IFERROR(__xludf.DUMMYFUNCTION("IMPORTRANGE(""https://docs.google.com/spreadsheets/d/1-uDff_7J0KD5mKrp0Vvzr7lt3OU09vwQwhkpOPPYv2Y/edit?usp=sharing"",""งบพรบ!EK44"")"),0)</f>
        <v>0</v>
      </c>
      <c r="G44" s="176">
        <f ca="1">IFERROR(__xludf.DUMMYFUNCTION("IMPORTRANGE(""https://docs.google.com/spreadsheets/d/1-uDff_7J0KD5mKrp0Vvzr7lt3OU09vwQwhkpOPPYv2Y/edit?usp=sharing"",""งบพรบ!EL44"")"),0)</f>
        <v>0</v>
      </c>
      <c r="H44" s="176">
        <f ca="1">IFERROR(__xludf.DUMMYFUNCTION("IMPORTRANGE(""https://docs.google.com/spreadsheets/d/1-uDff_7J0KD5mKrp0Vvzr7lt3OU09vwQwhkpOPPYv2Y/edit?usp=sharing"",""งบพรบ!EN44"")"),0)</f>
        <v>0</v>
      </c>
      <c r="I44" s="176">
        <f ca="1">IFERROR(__xludf.DUMMYFUNCTION("IMPORTRANGE(""https://docs.google.com/spreadsheets/d/1-uDff_7J0KD5mKrp0Vvzr7lt3OU09vwQwhkpOPPYv2Y/edit?usp=sharing"",""งบพรบ!EO44"")"),0)</f>
        <v>0</v>
      </c>
      <c r="J44" s="176">
        <f t="shared" ca="1" si="17"/>
        <v>0</v>
      </c>
      <c r="K44" s="181">
        <f t="shared" ca="1" si="18"/>
        <v>0</v>
      </c>
      <c r="L44" s="176">
        <f ca="1">IFERROR(__xludf.DUMMYFUNCTION("IMPORTRANGE(""https://docs.google.com/spreadsheets/d/1-uDff_7J0KD5mKrp0Vvzr7lt3OU09vwQwhkpOPPYv2Y/edit?usp=sharing"",""งบพรบ!EP44"")"),0)</f>
        <v>0</v>
      </c>
      <c r="M44" s="179">
        <f t="shared" ca="1" si="19"/>
        <v>0</v>
      </c>
      <c r="N44" s="179">
        <f t="shared" ca="1" si="20"/>
        <v>0</v>
      </c>
      <c r="O44" s="180">
        <f ca="1">IFERROR(__xludf.DUMMYFUNCTION("IMPORTRANGE(""https://docs.google.com/spreadsheets/d/1-uDff_7J0KD5mKrp0Vvzr7lt3OU09vwQwhkpOPPYv2Y/edit?usp=sharing"",""งบพรบ!EQ44"")"),0)</f>
        <v>0</v>
      </c>
      <c r="P44" s="180">
        <f t="shared" ca="1" si="21"/>
        <v>0</v>
      </c>
      <c r="Q44" s="179">
        <f t="shared" ca="1" si="22"/>
        <v>0</v>
      </c>
      <c r="R44" s="346">
        <f ca="1">IFERROR(__xludf.DUMMYFUNCTION("IMPORTRANGE(""https://docs.google.com/spreadsheets/d/1bRrNKwbHDVktQG10isr5vbWRtt5spIZPpkOSWgbT5ug/edit?usp=sharing"",""ศรีสะเกษ!I330"")"),0)</f>
        <v>0</v>
      </c>
      <c r="S44" s="177">
        <f ca="1">IFERROR(__xludf.DUMMYFUNCTION("IMPORTRANGE(""https://docs.google.com/spreadsheets/d/1bRrNKwbHDVktQG10isr5vbWRtt5spIZPpkOSWgbT5ug/edit?usp=sharing"",""ศรีสะเกษ!J330"")"),0)</f>
        <v>0</v>
      </c>
      <c r="T44" s="345">
        <f t="shared" ca="1" si="24"/>
        <v>0</v>
      </c>
    </row>
    <row r="45" spans="1:20" ht="21" customHeight="1" x14ac:dyDescent="0.3">
      <c r="A45" s="84">
        <v>14</v>
      </c>
      <c r="B45" s="85" t="s">
        <v>67</v>
      </c>
      <c r="C45" s="174">
        <f t="shared" ca="1" si="15"/>
        <v>0</v>
      </c>
      <c r="D45" s="175">
        <f t="shared" ca="1" si="28"/>
        <v>0</v>
      </c>
      <c r="E45" s="176">
        <f ca="1">IFERROR(__xludf.DUMMYFUNCTION("IMPORTRANGE(""https://docs.google.com/spreadsheets/d/1-uDff_7J0KD5mKrp0Vvzr7lt3OU09vwQwhkpOPPYv2Y/edit?usp=sharing"",""งบพรบ!EJ45"")"),0)</f>
        <v>0</v>
      </c>
      <c r="F45" s="176">
        <f ca="1">IFERROR(__xludf.DUMMYFUNCTION("IMPORTRANGE(""https://docs.google.com/spreadsheets/d/1-uDff_7J0KD5mKrp0Vvzr7lt3OU09vwQwhkpOPPYv2Y/edit?usp=sharing"",""งบพรบ!EK45"")"),0)</f>
        <v>0</v>
      </c>
      <c r="G45" s="176">
        <f ca="1">IFERROR(__xludf.DUMMYFUNCTION("IMPORTRANGE(""https://docs.google.com/spreadsheets/d/1-uDff_7J0KD5mKrp0Vvzr7lt3OU09vwQwhkpOPPYv2Y/edit?usp=sharing"",""งบพรบ!EL45"")"),0)</f>
        <v>0</v>
      </c>
      <c r="H45" s="176">
        <f ca="1">IFERROR(__xludf.DUMMYFUNCTION("IMPORTRANGE(""https://docs.google.com/spreadsheets/d/1-uDff_7J0KD5mKrp0Vvzr7lt3OU09vwQwhkpOPPYv2Y/edit?usp=sharing"",""งบพรบ!EN45"")"),0)</f>
        <v>0</v>
      </c>
      <c r="I45" s="176">
        <f ca="1">IFERROR(__xludf.DUMMYFUNCTION("IMPORTRANGE(""https://docs.google.com/spreadsheets/d/1-uDff_7J0KD5mKrp0Vvzr7lt3OU09vwQwhkpOPPYv2Y/edit?usp=sharing"",""งบพรบ!EO45"")"),0)</f>
        <v>0</v>
      </c>
      <c r="J45" s="176">
        <f t="shared" ca="1" si="17"/>
        <v>0</v>
      </c>
      <c r="K45" s="181">
        <f t="shared" ca="1" si="18"/>
        <v>0</v>
      </c>
      <c r="L45" s="176">
        <f ca="1">IFERROR(__xludf.DUMMYFUNCTION("IMPORTRANGE(""https://docs.google.com/spreadsheets/d/1-uDff_7J0KD5mKrp0Vvzr7lt3OU09vwQwhkpOPPYv2Y/edit?usp=sharing"",""งบพรบ!EP45"")"),0)</f>
        <v>0</v>
      </c>
      <c r="M45" s="179">
        <f t="shared" ca="1" si="19"/>
        <v>0</v>
      </c>
      <c r="N45" s="179">
        <f t="shared" ca="1" si="20"/>
        <v>0</v>
      </c>
      <c r="O45" s="180">
        <f ca="1">IFERROR(__xludf.DUMMYFUNCTION("IMPORTRANGE(""https://docs.google.com/spreadsheets/d/1-uDff_7J0KD5mKrp0Vvzr7lt3OU09vwQwhkpOPPYv2Y/edit?usp=sharing"",""งบพรบ!EQ45"")"),0)</f>
        <v>0</v>
      </c>
      <c r="P45" s="180">
        <f t="shared" ca="1" si="21"/>
        <v>0</v>
      </c>
      <c r="Q45" s="179">
        <f t="shared" ca="1" si="22"/>
        <v>0</v>
      </c>
      <c r="R45" s="344">
        <f ca="1">IFERROR(__xludf.DUMMYFUNCTION("IMPORTRANGE(""https://docs.google.com/spreadsheets/d/17P34_Ow5kFBfdQD0qspb2UuPX5zpi6WMrQzslghyvrI/edit?usp=sharing"",""สกลนคร!I330"")"),0)</f>
        <v>0</v>
      </c>
      <c r="S45" s="177">
        <f ca="1">IFERROR(__xludf.DUMMYFUNCTION("IMPORTRANGE(""https://docs.google.com/spreadsheets/d/17P34_Ow5kFBfdQD0qspb2UuPX5zpi6WMrQzslghyvrI/edit?usp=sharing"",""สกลนคร!J330"")"),0)</f>
        <v>0</v>
      </c>
      <c r="T45" s="345">
        <f t="shared" ca="1" si="24"/>
        <v>0</v>
      </c>
    </row>
    <row r="46" spans="1:20" ht="21" customHeight="1" x14ac:dyDescent="0.3">
      <c r="A46" s="84">
        <v>15</v>
      </c>
      <c r="B46" s="85" t="s">
        <v>68</v>
      </c>
      <c r="C46" s="174">
        <f t="shared" ca="1" si="15"/>
        <v>0</v>
      </c>
      <c r="D46" s="175">
        <f t="shared" ca="1" si="28"/>
        <v>0</v>
      </c>
      <c r="E46" s="176">
        <f ca="1">IFERROR(__xludf.DUMMYFUNCTION("IMPORTRANGE(""https://docs.google.com/spreadsheets/d/1-uDff_7J0KD5mKrp0Vvzr7lt3OU09vwQwhkpOPPYv2Y/edit?usp=sharing"",""งบพรบ!EJ46"")"),0)</f>
        <v>0</v>
      </c>
      <c r="F46" s="176">
        <f ca="1">IFERROR(__xludf.DUMMYFUNCTION("IMPORTRANGE(""https://docs.google.com/spreadsheets/d/1-uDff_7J0KD5mKrp0Vvzr7lt3OU09vwQwhkpOPPYv2Y/edit?usp=sharing"",""งบพรบ!EK46"")"),0)</f>
        <v>0</v>
      </c>
      <c r="G46" s="176">
        <f ca="1">IFERROR(__xludf.DUMMYFUNCTION("IMPORTRANGE(""https://docs.google.com/spreadsheets/d/1-uDff_7J0KD5mKrp0Vvzr7lt3OU09vwQwhkpOPPYv2Y/edit?usp=sharing"",""งบพรบ!EL46"")"),0)</f>
        <v>0</v>
      </c>
      <c r="H46" s="176">
        <f ca="1">IFERROR(__xludf.DUMMYFUNCTION("IMPORTRANGE(""https://docs.google.com/spreadsheets/d/1-uDff_7J0KD5mKrp0Vvzr7lt3OU09vwQwhkpOPPYv2Y/edit?usp=sharing"",""งบพรบ!EN46"")"),0)</f>
        <v>0</v>
      </c>
      <c r="I46" s="176">
        <f ca="1">IFERROR(__xludf.DUMMYFUNCTION("IMPORTRANGE(""https://docs.google.com/spreadsheets/d/1-uDff_7J0KD5mKrp0Vvzr7lt3OU09vwQwhkpOPPYv2Y/edit?usp=sharing"",""งบพรบ!EO46"")"),0)</f>
        <v>0</v>
      </c>
      <c r="J46" s="176">
        <f t="shared" ca="1" si="17"/>
        <v>0</v>
      </c>
      <c r="K46" s="181">
        <f t="shared" ca="1" si="18"/>
        <v>0</v>
      </c>
      <c r="L46" s="176">
        <f ca="1">IFERROR(__xludf.DUMMYFUNCTION("IMPORTRANGE(""https://docs.google.com/spreadsheets/d/1-uDff_7J0KD5mKrp0Vvzr7lt3OU09vwQwhkpOPPYv2Y/edit?usp=sharing"",""งบพรบ!EP46"")"),0)</f>
        <v>0</v>
      </c>
      <c r="M46" s="179">
        <f t="shared" ca="1" si="19"/>
        <v>0</v>
      </c>
      <c r="N46" s="179">
        <f t="shared" ca="1" si="20"/>
        <v>0</v>
      </c>
      <c r="O46" s="180">
        <f ca="1">IFERROR(__xludf.DUMMYFUNCTION("IMPORTRANGE(""https://docs.google.com/spreadsheets/d/1-uDff_7J0KD5mKrp0Vvzr7lt3OU09vwQwhkpOPPYv2Y/edit?usp=sharing"",""งบพรบ!EQ46"")"),0)</f>
        <v>0</v>
      </c>
      <c r="P46" s="180">
        <f t="shared" ca="1" si="21"/>
        <v>0</v>
      </c>
      <c r="Q46" s="179">
        <f t="shared" ca="1" si="22"/>
        <v>0</v>
      </c>
      <c r="R46" s="344">
        <f ca="1">IFERROR(__xludf.DUMMYFUNCTION("IMPORTRANGE(""https://docs.google.com/spreadsheets/d/1yswqbM3-AEpThF3ZSUa1AcmHnmRTF1vlJ1CZGcJ8YuU/edit?usp=sharing"",""สุรินทร์!I330"")"),0)</f>
        <v>0</v>
      </c>
      <c r="S46" s="177">
        <f ca="1">IFERROR(__xludf.DUMMYFUNCTION("IMPORTRANGE(""https://docs.google.com/spreadsheets/d/1yswqbM3-AEpThF3ZSUa1AcmHnmRTF1vlJ1CZGcJ8YuU/edit?usp=sharing"",""สุรินทร์!J330"")"),0)</f>
        <v>0</v>
      </c>
      <c r="T46" s="345">
        <f t="shared" ca="1" si="24"/>
        <v>0</v>
      </c>
    </row>
    <row r="47" spans="1:20" ht="21" customHeight="1" x14ac:dyDescent="0.3">
      <c r="A47" s="84">
        <v>16</v>
      </c>
      <c r="B47" s="85" t="s">
        <v>69</v>
      </c>
      <c r="C47" s="174">
        <f t="shared" ca="1" si="15"/>
        <v>0</v>
      </c>
      <c r="D47" s="175">
        <f t="shared" ca="1" si="28"/>
        <v>0</v>
      </c>
      <c r="E47" s="176">
        <f ca="1">IFERROR(__xludf.DUMMYFUNCTION("IMPORTRANGE(""https://docs.google.com/spreadsheets/d/1-uDff_7J0KD5mKrp0Vvzr7lt3OU09vwQwhkpOPPYv2Y/edit?usp=sharing"",""งบพรบ!EJ47"")"),0)</f>
        <v>0</v>
      </c>
      <c r="F47" s="176">
        <f ca="1">IFERROR(__xludf.DUMMYFUNCTION("IMPORTRANGE(""https://docs.google.com/spreadsheets/d/1-uDff_7J0KD5mKrp0Vvzr7lt3OU09vwQwhkpOPPYv2Y/edit?usp=sharing"",""งบพรบ!EK47"")"),0)</f>
        <v>0</v>
      </c>
      <c r="G47" s="176">
        <f ca="1">IFERROR(__xludf.DUMMYFUNCTION("IMPORTRANGE(""https://docs.google.com/spreadsheets/d/1-uDff_7J0KD5mKrp0Vvzr7lt3OU09vwQwhkpOPPYv2Y/edit?usp=sharing"",""งบพรบ!EL47"")"),0)</f>
        <v>0</v>
      </c>
      <c r="H47" s="176">
        <f ca="1">IFERROR(__xludf.DUMMYFUNCTION("IMPORTRANGE(""https://docs.google.com/spreadsheets/d/1-uDff_7J0KD5mKrp0Vvzr7lt3OU09vwQwhkpOPPYv2Y/edit?usp=sharing"",""งบพรบ!EN47"")"),0)</f>
        <v>0</v>
      </c>
      <c r="I47" s="176">
        <f ca="1">IFERROR(__xludf.DUMMYFUNCTION("IMPORTRANGE(""https://docs.google.com/spreadsheets/d/1-uDff_7J0KD5mKrp0Vvzr7lt3OU09vwQwhkpOPPYv2Y/edit?usp=sharing"",""งบพรบ!EO47"")"),0)</f>
        <v>0</v>
      </c>
      <c r="J47" s="176">
        <f t="shared" ca="1" si="17"/>
        <v>0</v>
      </c>
      <c r="K47" s="181">
        <f t="shared" ca="1" si="18"/>
        <v>0</v>
      </c>
      <c r="L47" s="176">
        <f ca="1">IFERROR(__xludf.DUMMYFUNCTION("IMPORTRANGE(""https://docs.google.com/spreadsheets/d/1-uDff_7J0KD5mKrp0Vvzr7lt3OU09vwQwhkpOPPYv2Y/edit?usp=sharing"",""งบพรบ!EP47"")"),0)</f>
        <v>0</v>
      </c>
      <c r="M47" s="179">
        <f t="shared" ca="1" si="19"/>
        <v>0</v>
      </c>
      <c r="N47" s="179">
        <f t="shared" ca="1" si="20"/>
        <v>0</v>
      </c>
      <c r="O47" s="180">
        <f ca="1">IFERROR(__xludf.DUMMYFUNCTION("IMPORTRANGE(""https://docs.google.com/spreadsheets/d/1-uDff_7J0KD5mKrp0Vvzr7lt3OU09vwQwhkpOPPYv2Y/edit?usp=sharing"",""งบพรบ!EQ47"")"),0)</f>
        <v>0</v>
      </c>
      <c r="P47" s="180">
        <f t="shared" ca="1" si="21"/>
        <v>0</v>
      </c>
      <c r="Q47" s="179">
        <f t="shared" ca="1" si="22"/>
        <v>0</v>
      </c>
      <c r="R47" s="344">
        <f ca="1">IFERROR(__xludf.DUMMYFUNCTION("IMPORTRANGE(""https://docs.google.com/spreadsheets/d/13JHU_EFbsQOUQ0JSQ3dWy1VTRosIWcDq6Nc99z2qzdc/edit?usp=sharing"",""หนองคาย!I330"")"),0)</f>
        <v>0</v>
      </c>
      <c r="S47" s="177">
        <f ca="1">IFERROR(__xludf.DUMMYFUNCTION("IMPORTRANGE(""https://docs.google.com/spreadsheets/d/13JHU_EFbsQOUQ0JSQ3dWy1VTRosIWcDq6Nc99z2qzdc/edit?usp=sharing"",""หนองคาย!J330"")"),0)</f>
        <v>0</v>
      </c>
      <c r="T47" s="345">
        <f t="shared" ca="1" si="24"/>
        <v>0</v>
      </c>
    </row>
    <row r="48" spans="1:20" ht="21" customHeight="1" x14ac:dyDescent="0.3">
      <c r="A48" s="84">
        <v>17</v>
      </c>
      <c r="B48" s="85" t="s">
        <v>70</v>
      </c>
      <c r="C48" s="174">
        <f t="shared" ca="1" si="15"/>
        <v>0</v>
      </c>
      <c r="D48" s="175">
        <f t="shared" ca="1" si="28"/>
        <v>0</v>
      </c>
      <c r="E48" s="176">
        <f ca="1">IFERROR(__xludf.DUMMYFUNCTION("IMPORTRANGE(""https://docs.google.com/spreadsheets/d/1-uDff_7J0KD5mKrp0Vvzr7lt3OU09vwQwhkpOPPYv2Y/edit?usp=sharing"",""งบพรบ!EJ48"")"),0)</f>
        <v>0</v>
      </c>
      <c r="F48" s="176">
        <f ca="1">IFERROR(__xludf.DUMMYFUNCTION("IMPORTRANGE(""https://docs.google.com/spreadsheets/d/1-uDff_7J0KD5mKrp0Vvzr7lt3OU09vwQwhkpOPPYv2Y/edit?usp=sharing"",""งบพรบ!EK48"")"),0)</f>
        <v>0</v>
      </c>
      <c r="G48" s="176">
        <f ca="1">IFERROR(__xludf.DUMMYFUNCTION("IMPORTRANGE(""https://docs.google.com/spreadsheets/d/1-uDff_7J0KD5mKrp0Vvzr7lt3OU09vwQwhkpOPPYv2Y/edit?usp=sharing"",""งบพรบ!EL48"")"),0)</f>
        <v>0</v>
      </c>
      <c r="H48" s="176">
        <f ca="1">IFERROR(__xludf.DUMMYFUNCTION("IMPORTRANGE(""https://docs.google.com/spreadsheets/d/1-uDff_7J0KD5mKrp0Vvzr7lt3OU09vwQwhkpOPPYv2Y/edit?usp=sharing"",""งบพรบ!EN48"")"),0)</f>
        <v>0</v>
      </c>
      <c r="I48" s="176">
        <f ca="1">IFERROR(__xludf.DUMMYFUNCTION("IMPORTRANGE(""https://docs.google.com/spreadsheets/d/1-uDff_7J0KD5mKrp0Vvzr7lt3OU09vwQwhkpOPPYv2Y/edit?usp=sharing"",""งบพรบ!EO48"")"),0)</f>
        <v>0</v>
      </c>
      <c r="J48" s="176">
        <f t="shared" ca="1" si="17"/>
        <v>0</v>
      </c>
      <c r="K48" s="181">
        <f t="shared" ca="1" si="18"/>
        <v>0</v>
      </c>
      <c r="L48" s="176">
        <f ca="1">IFERROR(__xludf.DUMMYFUNCTION("IMPORTRANGE(""https://docs.google.com/spreadsheets/d/1-uDff_7J0KD5mKrp0Vvzr7lt3OU09vwQwhkpOPPYv2Y/edit?usp=sharing"",""งบพรบ!EP48"")"),0)</f>
        <v>0</v>
      </c>
      <c r="M48" s="179">
        <f t="shared" ca="1" si="19"/>
        <v>0</v>
      </c>
      <c r="N48" s="179">
        <f t="shared" ca="1" si="20"/>
        <v>0</v>
      </c>
      <c r="O48" s="180">
        <f ca="1">IFERROR(__xludf.DUMMYFUNCTION("IMPORTRANGE(""https://docs.google.com/spreadsheets/d/1-uDff_7J0KD5mKrp0Vvzr7lt3OU09vwQwhkpOPPYv2Y/edit?usp=sharing"",""งบพรบ!EQ48"")"),0)</f>
        <v>0</v>
      </c>
      <c r="P48" s="180">
        <f t="shared" ca="1" si="21"/>
        <v>0</v>
      </c>
      <c r="Q48" s="179">
        <f t="shared" ca="1" si="22"/>
        <v>0</v>
      </c>
      <c r="R48" s="344">
        <f ca="1">IFERROR(__xludf.DUMMYFUNCTION("IMPORTRANGE(""https://docs.google.com/spreadsheets/d/1Hx73zIEgVdDZZaYSTc46Dqv64atFhpr3GelxLbaIN8A/edit?usp=sharing"",""หนองบัวลำภู!I330"")"),0)</f>
        <v>0</v>
      </c>
      <c r="S48" s="177">
        <f ca="1">IFERROR(__xludf.DUMMYFUNCTION("IMPORTRANGE(""https://docs.google.com/spreadsheets/d/1Hx73zIEgVdDZZaYSTc46Dqv64atFhpr3GelxLbaIN8A/edit?usp=sharing"",""หนองบัวลำภู!J330"")"),0)</f>
        <v>0</v>
      </c>
      <c r="T48" s="345">
        <f t="shared" ca="1" si="24"/>
        <v>0</v>
      </c>
    </row>
    <row r="49" spans="1:20" ht="21" customHeight="1" x14ac:dyDescent="0.3">
      <c r="A49" s="84">
        <v>18</v>
      </c>
      <c r="B49" s="85" t="s">
        <v>71</v>
      </c>
      <c r="C49" s="174">
        <f t="shared" ca="1" si="15"/>
        <v>0</v>
      </c>
      <c r="D49" s="175">
        <f t="shared" ca="1" si="28"/>
        <v>0</v>
      </c>
      <c r="E49" s="176">
        <f ca="1">IFERROR(__xludf.DUMMYFUNCTION("IMPORTRANGE(""https://docs.google.com/spreadsheets/d/1-uDff_7J0KD5mKrp0Vvzr7lt3OU09vwQwhkpOPPYv2Y/edit?usp=sharing"",""งบพรบ!EJ49"")"),0)</f>
        <v>0</v>
      </c>
      <c r="F49" s="176">
        <f ca="1">IFERROR(__xludf.DUMMYFUNCTION("IMPORTRANGE(""https://docs.google.com/spreadsheets/d/1-uDff_7J0KD5mKrp0Vvzr7lt3OU09vwQwhkpOPPYv2Y/edit?usp=sharing"",""งบพรบ!EK49"")"),0)</f>
        <v>0</v>
      </c>
      <c r="G49" s="176">
        <f ca="1">IFERROR(__xludf.DUMMYFUNCTION("IMPORTRANGE(""https://docs.google.com/spreadsheets/d/1-uDff_7J0KD5mKrp0Vvzr7lt3OU09vwQwhkpOPPYv2Y/edit?usp=sharing"",""งบพรบ!EL49"")"),0)</f>
        <v>0</v>
      </c>
      <c r="H49" s="176">
        <f ca="1">IFERROR(__xludf.DUMMYFUNCTION("IMPORTRANGE(""https://docs.google.com/spreadsheets/d/1-uDff_7J0KD5mKrp0Vvzr7lt3OU09vwQwhkpOPPYv2Y/edit?usp=sharing"",""งบพรบ!EN49"")"),0)</f>
        <v>0</v>
      </c>
      <c r="I49" s="176">
        <f ca="1">IFERROR(__xludf.DUMMYFUNCTION("IMPORTRANGE(""https://docs.google.com/spreadsheets/d/1-uDff_7J0KD5mKrp0Vvzr7lt3OU09vwQwhkpOPPYv2Y/edit?usp=sharing"",""งบพรบ!EO49"")"),0)</f>
        <v>0</v>
      </c>
      <c r="J49" s="176">
        <f t="shared" ca="1" si="17"/>
        <v>0</v>
      </c>
      <c r="K49" s="181">
        <f t="shared" ca="1" si="18"/>
        <v>0</v>
      </c>
      <c r="L49" s="176">
        <f ca="1">IFERROR(__xludf.DUMMYFUNCTION("IMPORTRANGE(""https://docs.google.com/spreadsheets/d/1-uDff_7J0KD5mKrp0Vvzr7lt3OU09vwQwhkpOPPYv2Y/edit?usp=sharing"",""งบพรบ!EP49"")"),0)</f>
        <v>0</v>
      </c>
      <c r="M49" s="179">
        <f t="shared" ca="1" si="19"/>
        <v>0</v>
      </c>
      <c r="N49" s="179">
        <f t="shared" ca="1" si="20"/>
        <v>0</v>
      </c>
      <c r="O49" s="180">
        <f ca="1">IFERROR(__xludf.DUMMYFUNCTION("IMPORTRANGE(""https://docs.google.com/spreadsheets/d/1-uDff_7J0KD5mKrp0Vvzr7lt3OU09vwQwhkpOPPYv2Y/edit?usp=sharing"",""งบพรบ!EQ49"")"),0)</f>
        <v>0</v>
      </c>
      <c r="P49" s="180">
        <f t="shared" ca="1" si="21"/>
        <v>0</v>
      </c>
      <c r="Q49" s="179">
        <f t="shared" ca="1" si="22"/>
        <v>0</v>
      </c>
      <c r="R49" s="344">
        <f ca="1">IFERROR(__xludf.DUMMYFUNCTION("IMPORTRANGE(""https://docs.google.com/spreadsheets/d/1lFxr3ctmjFN90yc-xV6jrQ9Ty8BKYVBWnAZ15wcNIJc/edit?usp=sharing"",""อำนาจเจริญ!I330"")"),0)</f>
        <v>0</v>
      </c>
      <c r="S49" s="177">
        <f ca="1">IFERROR(__xludf.DUMMYFUNCTION("IMPORTRANGE(""https://docs.google.com/spreadsheets/d/1lFxr3ctmjFN90yc-xV6jrQ9Ty8BKYVBWnAZ15wcNIJc/edit?usp=sharing"",""อำนาจเจริญ!J330"")"),0)</f>
        <v>0</v>
      </c>
      <c r="T49" s="345">
        <f t="shared" ca="1" si="24"/>
        <v>0</v>
      </c>
    </row>
    <row r="50" spans="1:20" ht="21" customHeight="1" x14ac:dyDescent="0.3">
      <c r="A50" s="84">
        <v>19</v>
      </c>
      <c r="B50" s="85" t="s">
        <v>72</v>
      </c>
      <c r="C50" s="174">
        <f t="shared" ca="1" si="15"/>
        <v>0</v>
      </c>
      <c r="D50" s="175">
        <f t="shared" ca="1" si="28"/>
        <v>0</v>
      </c>
      <c r="E50" s="176">
        <f ca="1">IFERROR(__xludf.DUMMYFUNCTION("IMPORTRANGE(""https://docs.google.com/spreadsheets/d/1-uDff_7J0KD5mKrp0Vvzr7lt3OU09vwQwhkpOPPYv2Y/edit?usp=sharing"",""งบพรบ!EJ50"")"),0)</f>
        <v>0</v>
      </c>
      <c r="F50" s="176">
        <f ca="1">IFERROR(__xludf.DUMMYFUNCTION("IMPORTRANGE(""https://docs.google.com/spreadsheets/d/1-uDff_7J0KD5mKrp0Vvzr7lt3OU09vwQwhkpOPPYv2Y/edit?usp=sharing"",""งบพรบ!EK50"")"),0)</f>
        <v>0</v>
      </c>
      <c r="G50" s="176">
        <f ca="1">IFERROR(__xludf.DUMMYFUNCTION("IMPORTRANGE(""https://docs.google.com/spreadsheets/d/1-uDff_7J0KD5mKrp0Vvzr7lt3OU09vwQwhkpOPPYv2Y/edit?usp=sharing"",""งบพรบ!EL50"")"),0)</f>
        <v>0</v>
      </c>
      <c r="H50" s="176">
        <f ca="1">IFERROR(__xludf.DUMMYFUNCTION("IMPORTRANGE(""https://docs.google.com/spreadsheets/d/1-uDff_7J0KD5mKrp0Vvzr7lt3OU09vwQwhkpOPPYv2Y/edit?usp=sharing"",""งบพรบ!EN50"")"),0)</f>
        <v>0</v>
      </c>
      <c r="I50" s="176">
        <f ca="1">IFERROR(__xludf.DUMMYFUNCTION("IMPORTRANGE(""https://docs.google.com/spreadsheets/d/1-uDff_7J0KD5mKrp0Vvzr7lt3OU09vwQwhkpOPPYv2Y/edit?usp=sharing"",""งบพรบ!EO50"")"),0)</f>
        <v>0</v>
      </c>
      <c r="J50" s="176">
        <f t="shared" ca="1" si="17"/>
        <v>0</v>
      </c>
      <c r="K50" s="181">
        <f t="shared" ca="1" si="18"/>
        <v>0</v>
      </c>
      <c r="L50" s="176">
        <f ca="1">IFERROR(__xludf.DUMMYFUNCTION("IMPORTRANGE(""https://docs.google.com/spreadsheets/d/1-uDff_7J0KD5mKrp0Vvzr7lt3OU09vwQwhkpOPPYv2Y/edit?usp=sharing"",""งบพรบ!EP50"")"),0)</f>
        <v>0</v>
      </c>
      <c r="M50" s="179">
        <f t="shared" ca="1" si="19"/>
        <v>0</v>
      </c>
      <c r="N50" s="179">
        <f t="shared" ca="1" si="20"/>
        <v>0</v>
      </c>
      <c r="O50" s="180">
        <f ca="1">IFERROR(__xludf.DUMMYFUNCTION("IMPORTRANGE(""https://docs.google.com/spreadsheets/d/1-uDff_7J0KD5mKrp0Vvzr7lt3OU09vwQwhkpOPPYv2Y/edit?usp=sharing"",""งบพรบ!EQ50"")"),0)</f>
        <v>0</v>
      </c>
      <c r="P50" s="180">
        <f t="shared" ca="1" si="21"/>
        <v>0</v>
      </c>
      <c r="Q50" s="179">
        <f t="shared" ca="1" si="22"/>
        <v>0</v>
      </c>
      <c r="R50" s="344">
        <f ca="1">IFERROR(__xludf.DUMMYFUNCTION("IMPORTRANGE(""https://docs.google.com/spreadsheets/d/1gF7RJpRnL-1oyjyeWxs5SFWEH7y8ahOZsQlyp2A2e-A/edit?usp=sharing"",""อุดรธานี!I330"")"),0)</f>
        <v>0</v>
      </c>
      <c r="S50" s="177">
        <f ca="1">IFERROR(__xludf.DUMMYFUNCTION("IMPORTRANGE(""https://docs.google.com/spreadsheets/d/1gF7RJpRnL-1oyjyeWxs5SFWEH7y8ahOZsQlyp2A2e-A/edit?usp=sharing"",""อุดรธานี!J330"")"),0)</f>
        <v>0</v>
      </c>
      <c r="T50" s="345">
        <f t="shared" ca="1" si="24"/>
        <v>0</v>
      </c>
    </row>
    <row r="51" spans="1:20" ht="21" customHeight="1" x14ac:dyDescent="0.3">
      <c r="A51" s="95">
        <v>20</v>
      </c>
      <c r="B51" s="96" t="s">
        <v>73</v>
      </c>
      <c r="C51" s="223">
        <f t="shared" ca="1" si="15"/>
        <v>0</v>
      </c>
      <c r="D51" s="224">
        <f t="shared" ca="1" si="28"/>
        <v>0</v>
      </c>
      <c r="E51" s="225">
        <f ca="1">IFERROR(__xludf.DUMMYFUNCTION("IMPORTRANGE(""https://docs.google.com/spreadsheets/d/1-uDff_7J0KD5mKrp0Vvzr7lt3OU09vwQwhkpOPPYv2Y/edit?usp=sharing"",""งบพรบ!EJ51"")"),0)</f>
        <v>0</v>
      </c>
      <c r="F51" s="225">
        <f ca="1">IFERROR(__xludf.DUMMYFUNCTION("IMPORTRANGE(""https://docs.google.com/spreadsheets/d/1-uDff_7J0KD5mKrp0Vvzr7lt3OU09vwQwhkpOPPYv2Y/edit?usp=sharing"",""งบพรบ!EK51"")"),0)</f>
        <v>0</v>
      </c>
      <c r="G51" s="225">
        <f ca="1">IFERROR(__xludf.DUMMYFUNCTION("IMPORTRANGE(""https://docs.google.com/spreadsheets/d/1-uDff_7J0KD5mKrp0Vvzr7lt3OU09vwQwhkpOPPYv2Y/edit?usp=sharing"",""งบพรบ!EL51"")"),0)</f>
        <v>0</v>
      </c>
      <c r="H51" s="225">
        <f ca="1">IFERROR(__xludf.DUMMYFUNCTION("IMPORTRANGE(""https://docs.google.com/spreadsheets/d/1-uDff_7J0KD5mKrp0Vvzr7lt3OU09vwQwhkpOPPYv2Y/edit?usp=sharing"",""งบพรบ!EN51"")"),0)</f>
        <v>0</v>
      </c>
      <c r="I51" s="225">
        <f ca="1">IFERROR(__xludf.DUMMYFUNCTION("IMPORTRANGE(""https://docs.google.com/spreadsheets/d/1-uDff_7J0KD5mKrp0Vvzr7lt3OU09vwQwhkpOPPYv2Y/edit?usp=sharing"",""งบพรบ!EO51"")"),0)</f>
        <v>0</v>
      </c>
      <c r="J51" s="225">
        <f t="shared" ca="1" si="17"/>
        <v>0</v>
      </c>
      <c r="K51" s="226">
        <f t="shared" ca="1" si="18"/>
        <v>0</v>
      </c>
      <c r="L51" s="225">
        <f ca="1">IFERROR(__xludf.DUMMYFUNCTION("IMPORTRANGE(""https://docs.google.com/spreadsheets/d/1-uDff_7J0KD5mKrp0Vvzr7lt3OU09vwQwhkpOPPYv2Y/edit?usp=sharing"",""งบพรบ!EP51"")"),0)</f>
        <v>0</v>
      </c>
      <c r="M51" s="227">
        <f t="shared" ca="1" si="19"/>
        <v>0</v>
      </c>
      <c r="N51" s="227">
        <f t="shared" ca="1" si="20"/>
        <v>0</v>
      </c>
      <c r="O51" s="228">
        <f ca="1">IFERROR(__xludf.DUMMYFUNCTION("IMPORTRANGE(""https://docs.google.com/spreadsheets/d/1-uDff_7J0KD5mKrp0Vvzr7lt3OU09vwQwhkpOPPYv2Y/edit?usp=sharing"",""งบพรบ!EQ51"")"),0)</f>
        <v>0</v>
      </c>
      <c r="P51" s="228">
        <f t="shared" ca="1" si="21"/>
        <v>0</v>
      </c>
      <c r="Q51" s="227">
        <f t="shared" ca="1" si="22"/>
        <v>0</v>
      </c>
      <c r="R51" s="347">
        <f ca="1">IFERROR(__xludf.DUMMYFUNCTION("IMPORTRANGE(""https://docs.google.com/spreadsheets/d/1kfLP0j3INXRa8bTDpcEmoWewMBV61jlFlfzczfjWIgc/edit?usp=sharing"",""อุบลราชธานี!I330"")"),0)</f>
        <v>0</v>
      </c>
      <c r="S51" s="190">
        <f ca="1">IFERROR(__xludf.DUMMYFUNCTION("IMPORTRANGE(""https://docs.google.com/spreadsheets/d/1kfLP0j3INXRa8bTDpcEmoWewMBV61jlFlfzczfjWIgc/edit?usp=sharing"",""อุบลราชธานี!J330"")"),0)</f>
        <v>0</v>
      </c>
      <c r="T51" s="348">
        <f t="shared" ca="1" si="24"/>
        <v>0</v>
      </c>
    </row>
    <row r="52" spans="1:20" ht="21" customHeight="1" x14ac:dyDescent="0.3">
      <c r="A52" s="443" t="s">
        <v>74</v>
      </c>
      <c r="B52" s="376"/>
      <c r="C52" s="229">
        <f t="shared" ca="1" si="15"/>
        <v>90000</v>
      </c>
      <c r="D52" s="229">
        <f t="shared" ref="D52:I52" ca="1" si="29">SUM(D53:D73)</f>
        <v>90000</v>
      </c>
      <c r="E52" s="229">
        <f t="shared" ca="1" si="29"/>
        <v>0</v>
      </c>
      <c r="F52" s="229">
        <f t="shared" ca="1" si="29"/>
        <v>90000</v>
      </c>
      <c r="G52" s="229">
        <f t="shared" ca="1" si="29"/>
        <v>0</v>
      </c>
      <c r="H52" s="229">
        <f t="shared" ca="1" si="29"/>
        <v>90000</v>
      </c>
      <c r="I52" s="229">
        <f t="shared" ca="1" si="29"/>
        <v>0</v>
      </c>
      <c r="J52" s="229">
        <f t="shared" ca="1" si="17"/>
        <v>4960</v>
      </c>
      <c r="K52" s="230">
        <f t="shared" ca="1" si="18"/>
        <v>5.5111111111111111</v>
      </c>
      <c r="L52" s="229">
        <f ca="1">SUM(L53:L73)</f>
        <v>4960</v>
      </c>
      <c r="M52" s="231">
        <f t="shared" ca="1" si="19"/>
        <v>5.5111111111111111</v>
      </c>
      <c r="N52" s="231">
        <f t="shared" ca="1" si="20"/>
        <v>5.5111111111111111</v>
      </c>
      <c r="O52" s="232">
        <f ca="1">SUM(O53:O73)</f>
        <v>0</v>
      </c>
      <c r="P52" s="232">
        <f t="shared" ca="1" si="21"/>
        <v>0</v>
      </c>
      <c r="Q52" s="231">
        <f t="shared" ca="1" si="22"/>
        <v>0</v>
      </c>
      <c r="R52" s="339">
        <f t="shared" ref="R52:S52" ca="1" si="30">SUM(R53:R73)</f>
        <v>3</v>
      </c>
      <c r="S52" s="154">
        <f t="shared" ca="1" si="30"/>
        <v>1</v>
      </c>
      <c r="T52" s="156">
        <f t="shared" ca="1" si="24"/>
        <v>33.333333333333336</v>
      </c>
    </row>
    <row r="53" spans="1:20" ht="21" customHeight="1" x14ac:dyDescent="0.3">
      <c r="A53" s="74">
        <v>1</v>
      </c>
      <c r="B53" s="75" t="s">
        <v>75</v>
      </c>
      <c r="C53" s="174">
        <f t="shared" ca="1" si="15"/>
        <v>20000</v>
      </c>
      <c r="D53" s="175">
        <f t="shared" ref="D53:D73" ca="1" si="31">+E53+F53</f>
        <v>20000</v>
      </c>
      <c r="E53" s="176">
        <f ca="1">IFERROR(__xludf.DUMMYFUNCTION("IMPORTRANGE(""https://docs.google.com/spreadsheets/d/1-uDff_7J0KD5mKrp0Vvzr7lt3OU09vwQwhkpOPPYv2Y/edit?usp=sharing"",""งบพรบ!EJ53"")"),0)</f>
        <v>0</v>
      </c>
      <c r="F53" s="176">
        <f ca="1">IFERROR(__xludf.DUMMYFUNCTION("IMPORTRANGE(""https://docs.google.com/spreadsheets/d/1-uDff_7J0KD5mKrp0Vvzr7lt3OU09vwQwhkpOPPYv2Y/edit?usp=sharing"",""งบพรบ!EK53"")"),20000)</f>
        <v>20000</v>
      </c>
      <c r="G53" s="177">
        <f ca="1">IFERROR(__xludf.DUMMYFUNCTION("IMPORTRANGE(""https://docs.google.com/spreadsheets/d/1-uDff_7J0KD5mKrp0Vvzr7lt3OU09vwQwhkpOPPYv2Y/edit?usp=sharing"",""งบพรบ!EL53"")"),0)</f>
        <v>0</v>
      </c>
      <c r="H53" s="177">
        <f ca="1">IFERROR(__xludf.DUMMYFUNCTION("IMPORTRANGE(""https://docs.google.com/spreadsheets/d/1-uDff_7J0KD5mKrp0Vvzr7lt3OU09vwQwhkpOPPYv2Y/edit?usp=sharing"",""งบพรบ!EN53"")"),20000)</f>
        <v>20000</v>
      </c>
      <c r="I53" s="177">
        <f ca="1">IFERROR(__xludf.DUMMYFUNCTION("IMPORTRANGE(""https://docs.google.com/spreadsheets/d/1-uDff_7J0KD5mKrp0Vvzr7lt3OU09vwQwhkpOPPYv2Y/edit?usp=sharing"",""งบพรบ!EO53"")"),0)</f>
        <v>0</v>
      </c>
      <c r="J53" s="177">
        <f t="shared" ca="1" si="17"/>
        <v>0</v>
      </c>
      <c r="K53" s="178">
        <f t="shared" ca="1" si="18"/>
        <v>0</v>
      </c>
      <c r="L53" s="177">
        <f ca="1">IFERROR(__xludf.DUMMYFUNCTION("IMPORTRANGE(""https://docs.google.com/spreadsheets/d/1-uDff_7J0KD5mKrp0Vvzr7lt3OU09vwQwhkpOPPYv2Y/edit?usp=sharing"",""งบพรบ!EP53"")"),0)</f>
        <v>0</v>
      </c>
      <c r="M53" s="179">
        <f t="shared" ca="1" si="19"/>
        <v>0</v>
      </c>
      <c r="N53" s="179">
        <f t="shared" ca="1" si="20"/>
        <v>0</v>
      </c>
      <c r="O53" s="180">
        <f ca="1">IFERROR(__xludf.DUMMYFUNCTION("IMPORTRANGE(""https://docs.google.com/spreadsheets/d/1-uDff_7J0KD5mKrp0Vvzr7lt3OU09vwQwhkpOPPYv2Y/edit?usp=sharing"",""งบพรบ!EQ53"")"),0)</f>
        <v>0</v>
      </c>
      <c r="P53" s="180">
        <f t="shared" ca="1" si="21"/>
        <v>0</v>
      </c>
      <c r="Q53" s="179">
        <f t="shared" ca="1" si="22"/>
        <v>0</v>
      </c>
      <c r="R53" s="344">
        <f ca="1">IFERROR(__xludf.DUMMYFUNCTION("IMPORTRANGE(""https://docs.google.com/spreadsheets/d/13wPX838HrBrQMCywv1BsuMkt4PEKTChp52zj44s2izQ/edit?usp=sharing"",""กาญจนบุรี!I330"")"),1)</f>
        <v>1</v>
      </c>
      <c r="S53" s="177">
        <f ca="1">IFERROR(__xludf.DUMMYFUNCTION("IMPORTRANGE(""https://docs.google.com/spreadsheets/d/13wPX838HrBrQMCywv1BsuMkt4PEKTChp52zj44s2izQ/edit?usp=sharing"",""กาญจนบุรี!J330"")"),1)</f>
        <v>1</v>
      </c>
      <c r="T53" s="345">
        <f t="shared" ca="1" si="24"/>
        <v>100</v>
      </c>
    </row>
    <row r="54" spans="1:20" ht="21" customHeight="1" x14ac:dyDescent="0.3">
      <c r="A54" s="84">
        <v>2</v>
      </c>
      <c r="B54" s="85" t="s">
        <v>76</v>
      </c>
      <c r="C54" s="174">
        <f t="shared" ca="1" si="15"/>
        <v>0</v>
      </c>
      <c r="D54" s="175">
        <f t="shared" ca="1" si="31"/>
        <v>0</v>
      </c>
      <c r="E54" s="176">
        <f ca="1">IFERROR(__xludf.DUMMYFUNCTION("IMPORTRANGE(""https://docs.google.com/spreadsheets/d/1-uDff_7J0KD5mKrp0Vvzr7lt3OU09vwQwhkpOPPYv2Y/edit?usp=sharing"",""งบพรบ!EJ54"")"),0)</f>
        <v>0</v>
      </c>
      <c r="F54" s="176">
        <f ca="1">IFERROR(__xludf.DUMMYFUNCTION("IMPORTRANGE(""https://docs.google.com/spreadsheets/d/1-uDff_7J0KD5mKrp0Vvzr7lt3OU09vwQwhkpOPPYv2Y/edit?usp=sharing"",""งบพรบ!EK54"")"),0)</f>
        <v>0</v>
      </c>
      <c r="G54" s="176">
        <f ca="1">IFERROR(__xludf.DUMMYFUNCTION("IMPORTRANGE(""https://docs.google.com/spreadsheets/d/1-uDff_7J0KD5mKrp0Vvzr7lt3OU09vwQwhkpOPPYv2Y/edit?usp=sharing"",""งบพรบ!EL54"")"),0)</f>
        <v>0</v>
      </c>
      <c r="H54" s="176">
        <f ca="1">IFERROR(__xludf.DUMMYFUNCTION("IMPORTRANGE(""https://docs.google.com/spreadsheets/d/1-uDff_7J0KD5mKrp0Vvzr7lt3OU09vwQwhkpOPPYv2Y/edit?usp=sharing"",""งบพรบ!EN54"")"),0)</f>
        <v>0</v>
      </c>
      <c r="I54" s="176">
        <f ca="1">IFERROR(__xludf.DUMMYFUNCTION("IMPORTRANGE(""https://docs.google.com/spreadsheets/d/1-uDff_7J0KD5mKrp0Vvzr7lt3OU09vwQwhkpOPPYv2Y/edit?usp=sharing"",""งบพรบ!EO54"")"),0)</f>
        <v>0</v>
      </c>
      <c r="J54" s="176">
        <f t="shared" ca="1" si="17"/>
        <v>0</v>
      </c>
      <c r="K54" s="181">
        <f t="shared" ca="1" si="18"/>
        <v>0</v>
      </c>
      <c r="L54" s="176">
        <f ca="1">IFERROR(__xludf.DUMMYFUNCTION("IMPORTRANGE(""https://docs.google.com/spreadsheets/d/1-uDff_7J0KD5mKrp0Vvzr7lt3OU09vwQwhkpOPPYv2Y/edit?usp=sharing"",""งบพรบ!EP54"")"),0)</f>
        <v>0</v>
      </c>
      <c r="M54" s="179">
        <f t="shared" ca="1" si="19"/>
        <v>0</v>
      </c>
      <c r="N54" s="179">
        <f t="shared" ca="1" si="20"/>
        <v>0</v>
      </c>
      <c r="O54" s="180">
        <f ca="1">IFERROR(__xludf.DUMMYFUNCTION("IMPORTRANGE(""https://docs.google.com/spreadsheets/d/1-uDff_7J0KD5mKrp0Vvzr7lt3OU09vwQwhkpOPPYv2Y/edit?usp=sharing"",""งบพรบ!EQ54"")"),0)</f>
        <v>0</v>
      </c>
      <c r="P54" s="180">
        <f t="shared" ca="1" si="21"/>
        <v>0</v>
      </c>
      <c r="Q54" s="179">
        <f t="shared" ca="1" si="22"/>
        <v>0</v>
      </c>
      <c r="R54" s="344">
        <f ca="1">IFERROR(__xludf.DUMMYFUNCTION("IMPORTRANGE(""https://docs.google.com/spreadsheets/d/1ddFKvqj1W1NEiWytbGlB1zMx_ykJDVtmfEQ-6-lIUBA/edit?usp=sharing"",""จันทบุรี!I330"")"),0)</f>
        <v>0</v>
      </c>
      <c r="S54" s="177">
        <f ca="1">IFERROR(__xludf.DUMMYFUNCTION("IMPORTRANGE(""https://docs.google.com/spreadsheets/d/1ddFKvqj1W1NEiWytbGlB1zMx_ykJDVtmfEQ-6-lIUBA/edit?usp=sharing"",""จันทบุรี!J330"")"),0)</f>
        <v>0</v>
      </c>
      <c r="T54" s="345">
        <f t="shared" ca="1" si="24"/>
        <v>0</v>
      </c>
    </row>
    <row r="55" spans="1:20" ht="21" customHeight="1" x14ac:dyDescent="0.3">
      <c r="A55" s="84">
        <v>3</v>
      </c>
      <c r="B55" s="85" t="s">
        <v>77</v>
      </c>
      <c r="C55" s="174">
        <f t="shared" ca="1" si="15"/>
        <v>0</v>
      </c>
      <c r="D55" s="175">
        <f t="shared" ca="1" si="31"/>
        <v>0</v>
      </c>
      <c r="E55" s="176">
        <f ca="1">IFERROR(__xludf.DUMMYFUNCTION("IMPORTRANGE(""https://docs.google.com/spreadsheets/d/1-uDff_7J0KD5mKrp0Vvzr7lt3OU09vwQwhkpOPPYv2Y/edit?usp=sharing"",""งบพรบ!EJ55"")"),0)</f>
        <v>0</v>
      </c>
      <c r="F55" s="176">
        <f ca="1">IFERROR(__xludf.DUMMYFUNCTION("IMPORTRANGE(""https://docs.google.com/spreadsheets/d/1-uDff_7J0KD5mKrp0Vvzr7lt3OU09vwQwhkpOPPYv2Y/edit?usp=sharing"",""งบพรบ!EK55"")"),0)</f>
        <v>0</v>
      </c>
      <c r="G55" s="176">
        <f ca="1">IFERROR(__xludf.DUMMYFUNCTION("IMPORTRANGE(""https://docs.google.com/spreadsheets/d/1-uDff_7J0KD5mKrp0Vvzr7lt3OU09vwQwhkpOPPYv2Y/edit?usp=sharing"",""งบพรบ!EL55"")"),0)</f>
        <v>0</v>
      </c>
      <c r="H55" s="176">
        <f ca="1">IFERROR(__xludf.DUMMYFUNCTION("IMPORTRANGE(""https://docs.google.com/spreadsheets/d/1-uDff_7J0KD5mKrp0Vvzr7lt3OU09vwQwhkpOPPYv2Y/edit?usp=sharing"",""งบพรบ!EN55"")"),0)</f>
        <v>0</v>
      </c>
      <c r="I55" s="176">
        <f ca="1">IFERROR(__xludf.DUMMYFUNCTION("IMPORTRANGE(""https://docs.google.com/spreadsheets/d/1-uDff_7J0KD5mKrp0Vvzr7lt3OU09vwQwhkpOPPYv2Y/edit?usp=sharing"",""งบพรบ!EO55"")"),0)</f>
        <v>0</v>
      </c>
      <c r="J55" s="176">
        <f t="shared" ca="1" si="17"/>
        <v>0</v>
      </c>
      <c r="K55" s="181">
        <f t="shared" ca="1" si="18"/>
        <v>0</v>
      </c>
      <c r="L55" s="176">
        <f ca="1">IFERROR(__xludf.DUMMYFUNCTION("IMPORTRANGE(""https://docs.google.com/spreadsheets/d/1-uDff_7J0KD5mKrp0Vvzr7lt3OU09vwQwhkpOPPYv2Y/edit?usp=sharing"",""งบพรบ!EP55"")"),0)</f>
        <v>0</v>
      </c>
      <c r="M55" s="179">
        <f t="shared" ca="1" si="19"/>
        <v>0</v>
      </c>
      <c r="N55" s="179">
        <f t="shared" ca="1" si="20"/>
        <v>0</v>
      </c>
      <c r="O55" s="180">
        <f ca="1">IFERROR(__xludf.DUMMYFUNCTION("IMPORTRANGE(""https://docs.google.com/spreadsheets/d/1-uDff_7J0KD5mKrp0Vvzr7lt3OU09vwQwhkpOPPYv2Y/edit?usp=sharing"",""งบพรบ!EQ55"")"),0)</f>
        <v>0</v>
      </c>
      <c r="P55" s="180">
        <f t="shared" ca="1" si="21"/>
        <v>0</v>
      </c>
      <c r="Q55" s="179">
        <f t="shared" ca="1" si="22"/>
        <v>0</v>
      </c>
      <c r="R55" s="344">
        <f ca="1">IFERROR(__xludf.DUMMYFUNCTION("IMPORTRANGE(""https://docs.google.com/spreadsheets/d/1T1PQvRODqOBZk8BRht_U031fIS1beLA0Ub2CEytj2q0/edit?usp=sharing"",""ฉะเชิงเทรา!I330"")"),0)</f>
        <v>0</v>
      </c>
      <c r="S55" s="177">
        <f ca="1">IFERROR(__xludf.DUMMYFUNCTION("IMPORTRANGE(""https://docs.google.com/spreadsheets/d/1T1PQvRODqOBZk8BRht_U031fIS1beLA0Ub2CEytj2q0/edit?usp=sharing"",""ฉะเชิงเทรา!J330"")"),0)</f>
        <v>0</v>
      </c>
      <c r="T55" s="345">
        <f t="shared" ca="1" si="24"/>
        <v>0</v>
      </c>
    </row>
    <row r="56" spans="1:20" ht="21" customHeight="1" x14ac:dyDescent="0.3">
      <c r="A56" s="84">
        <v>4</v>
      </c>
      <c r="B56" s="85" t="s">
        <v>78</v>
      </c>
      <c r="C56" s="174">
        <f t="shared" ca="1" si="15"/>
        <v>30000</v>
      </c>
      <c r="D56" s="175">
        <f t="shared" ca="1" si="31"/>
        <v>30000</v>
      </c>
      <c r="E56" s="176">
        <f ca="1">IFERROR(__xludf.DUMMYFUNCTION("IMPORTRANGE(""https://docs.google.com/spreadsheets/d/1-uDff_7J0KD5mKrp0Vvzr7lt3OU09vwQwhkpOPPYv2Y/edit?usp=sharing"",""งบพรบ!EJ56"")"),0)</f>
        <v>0</v>
      </c>
      <c r="F56" s="176">
        <f ca="1">IFERROR(__xludf.DUMMYFUNCTION("IMPORTRANGE(""https://docs.google.com/spreadsheets/d/1-uDff_7J0KD5mKrp0Vvzr7lt3OU09vwQwhkpOPPYv2Y/edit?usp=sharing"",""งบพรบ!EK56"")"),30000)</f>
        <v>30000</v>
      </c>
      <c r="G56" s="176">
        <f ca="1">IFERROR(__xludf.DUMMYFUNCTION("IMPORTRANGE(""https://docs.google.com/spreadsheets/d/1-uDff_7J0KD5mKrp0Vvzr7lt3OU09vwQwhkpOPPYv2Y/edit?usp=sharing"",""งบพรบ!EL56"")"),0)</f>
        <v>0</v>
      </c>
      <c r="H56" s="176">
        <f ca="1">IFERROR(__xludf.DUMMYFUNCTION("IMPORTRANGE(""https://docs.google.com/spreadsheets/d/1-uDff_7J0KD5mKrp0Vvzr7lt3OU09vwQwhkpOPPYv2Y/edit?usp=sharing"",""งบพรบ!EN56"")"),30000)</f>
        <v>30000</v>
      </c>
      <c r="I56" s="176">
        <f ca="1">IFERROR(__xludf.DUMMYFUNCTION("IMPORTRANGE(""https://docs.google.com/spreadsheets/d/1-uDff_7J0KD5mKrp0Vvzr7lt3OU09vwQwhkpOPPYv2Y/edit?usp=sharing"",""งบพรบ!EO56"")"),0)</f>
        <v>0</v>
      </c>
      <c r="J56" s="176">
        <f t="shared" ca="1" si="17"/>
        <v>3000</v>
      </c>
      <c r="K56" s="181">
        <f t="shared" ca="1" si="18"/>
        <v>10</v>
      </c>
      <c r="L56" s="176">
        <f ca="1">IFERROR(__xludf.DUMMYFUNCTION("IMPORTRANGE(""https://docs.google.com/spreadsheets/d/1-uDff_7J0KD5mKrp0Vvzr7lt3OU09vwQwhkpOPPYv2Y/edit?usp=sharing"",""งบพรบ!EP56"")"),3000)</f>
        <v>3000</v>
      </c>
      <c r="M56" s="179">
        <f t="shared" ca="1" si="19"/>
        <v>10</v>
      </c>
      <c r="N56" s="179">
        <f t="shared" ca="1" si="20"/>
        <v>10</v>
      </c>
      <c r="O56" s="180">
        <f ca="1">IFERROR(__xludf.DUMMYFUNCTION("IMPORTRANGE(""https://docs.google.com/spreadsheets/d/1-uDff_7J0KD5mKrp0Vvzr7lt3OU09vwQwhkpOPPYv2Y/edit?usp=sharing"",""งบพรบ!EQ56"")"),0)</f>
        <v>0</v>
      </c>
      <c r="P56" s="180">
        <f t="shared" ca="1" si="21"/>
        <v>0</v>
      </c>
      <c r="Q56" s="179">
        <f t="shared" ca="1" si="22"/>
        <v>0</v>
      </c>
      <c r="R56" s="344">
        <f ca="1">IFERROR(__xludf.DUMMYFUNCTION("IMPORTRANGE(""https://docs.google.com/spreadsheets/d/11tr1B-Bhyr79v2bkwVh5h_fR-PStkgjlZtkrZpYurG0/edit?usp=sharing"",""ชลบุรี!I330"")"),1)</f>
        <v>1</v>
      </c>
      <c r="S56" s="177">
        <f ca="1">IFERROR(__xludf.DUMMYFUNCTION("IMPORTRANGE(""https://docs.google.com/spreadsheets/d/11tr1B-Bhyr79v2bkwVh5h_fR-PStkgjlZtkrZpYurG0/edit?usp=sharing"",""ชลบุรี!J330"")"),0)</f>
        <v>0</v>
      </c>
      <c r="T56" s="345">
        <f t="shared" ca="1" si="24"/>
        <v>0</v>
      </c>
    </row>
    <row r="57" spans="1:20" ht="21" customHeight="1" x14ac:dyDescent="0.3">
      <c r="A57" s="84">
        <v>5</v>
      </c>
      <c r="B57" s="85" t="s">
        <v>79</v>
      </c>
      <c r="C57" s="174">
        <f t="shared" ca="1" si="15"/>
        <v>0</v>
      </c>
      <c r="D57" s="175">
        <f t="shared" ca="1" si="31"/>
        <v>0</v>
      </c>
      <c r="E57" s="176">
        <f ca="1">IFERROR(__xludf.DUMMYFUNCTION("IMPORTRANGE(""https://docs.google.com/spreadsheets/d/1-uDff_7J0KD5mKrp0Vvzr7lt3OU09vwQwhkpOPPYv2Y/edit?usp=sharing"",""งบพรบ!EJ57"")"),0)</f>
        <v>0</v>
      </c>
      <c r="F57" s="176">
        <f ca="1">IFERROR(__xludf.DUMMYFUNCTION("IMPORTRANGE(""https://docs.google.com/spreadsheets/d/1-uDff_7J0KD5mKrp0Vvzr7lt3OU09vwQwhkpOPPYv2Y/edit?usp=sharing"",""งบพรบ!EK57"")"),0)</f>
        <v>0</v>
      </c>
      <c r="G57" s="176">
        <f ca="1">IFERROR(__xludf.DUMMYFUNCTION("IMPORTRANGE(""https://docs.google.com/spreadsheets/d/1-uDff_7J0KD5mKrp0Vvzr7lt3OU09vwQwhkpOPPYv2Y/edit?usp=sharing"",""งบพรบ!EL57"")"),0)</f>
        <v>0</v>
      </c>
      <c r="H57" s="176">
        <f ca="1">IFERROR(__xludf.DUMMYFUNCTION("IMPORTRANGE(""https://docs.google.com/spreadsheets/d/1-uDff_7J0KD5mKrp0Vvzr7lt3OU09vwQwhkpOPPYv2Y/edit?usp=sharing"",""งบพรบ!EN57"")"),0)</f>
        <v>0</v>
      </c>
      <c r="I57" s="176">
        <f ca="1">IFERROR(__xludf.DUMMYFUNCTION("IMPORTRANGE(""https://docs.google.com/spreadsheets/d/1-uDff_7J0KD5mKrp0Vvzr7lt3OU09vwQwhkpOPPYv2Y/edit?usp=sharing"",""งบพรบ!EO57"")"),0)</f>
        <v>0</v>
      </c>
      <c r="J57" s="176">
        <f t="shared" ca="1" si="17"/>
        <v>0</v>
      </c>
      <c r="K57" s="181">
        <f t="shared" ca="1" si="18"/>
        <v>0</v>
      </c>
      <c r="L57" s="176">
        <f ca="1">IFERROR(__xludf.DUMMYFUNCTION("IMPORTRANGE(""https://docs.google.com/spreadsheets/d/1-uDff_7J0KD5mKrp0Vvzr7lt3OU09vwQwhkpOPPYv2Y/edit?usp=sharing"",""งบพรบ!EP57"")"),0)</f>
        <v>0</v>
      </c>
      <c r="M57" s="179">
        <f t="shared" ca="1" si="19"/>
        <v>0</v>
      </c>
      <c r="N57" s="179">
        <f t="shared" ca="1" si="20"/>
        <v>0</v>
      </c>
      <c r="O57" s="180">
        <f ca="1">IFERROR(__xludf.DUMMYFUNCTION("IMPORTRANGE(""https://docs.google.com/spreadsheets/d/1-uDff_7J0KD5mKrp0Vvzr7lt3OU09vwQwhkpOPPYv2Y/edit?usp=sharing"",""งบพรบ!EQ57"")"),0)</f>
        <v>0</v>
      </c>
      <c r="P57" s="180">
        <f t="shared" ca="1" si="21"/>
        <v>0</v>
      </c>
      <c r="Q57" s="179">
        <f t="shared" ca="1" si="22"/>
        <v>0</v>
      </c>
      <c r="R57" s="344">
        <f ca="1">IFERROR(__xludf.DUMMYFUNCTION("IMPORTRANGE(""https://docs.google.com/spreadsheets/d/1hh-FVnSX0vozXhGluamEcS54Dw9_zqW0N7qJUWgJ0Sw/edit?usp=sharing"",""ชัยนาท!I330"")"),0)</f>
        <v>0</v>
      </c>
      <c r="S57" s="177">
        <f ca="1">IFERROR(__xludf.DUMMYFUNCTION("IMPORTRANGE(""https://docs.google.com/spreadsheets/d/1hh-FVnSX0vozXhGluamEcS54Dw9_zqW0N7qJUWgJ0Sw/edit?usp=sharing"",""ชัยนาท!J330"")"),0)</f>
        <v>0</v>
      </c>
      <c r="T57" s="345">
        <f t="shared" ca="1" si="24"/>
        <v>0</v>
      </c>
    </row>
    <row r="58" spans="1:20" ht="21" customHeight="1" x14ac:dyDescent="0.3">
      <c r="A58" s="84">
        <v>6</v>
      </c>
      <c r="B58" s="85" t="s">
        <v>80</v>
      </c>
      <c r="C58" s="174">
        <f t="shared" ca="1" si="15"/>
        <v>0</v>
      </c>
      <c r="D58" s="175">
        <f t="shared" ca="1" si="31"/>
        <v>0</v>
      </c>
      <c r="E58" s="176">
        <f ca="1">IFERROR(__xludf.DUMMYFUNCTION("IMPORTRANGE(""https://docs.google.com/spreadsheets/d/1-uDff_7J0KD5mKrp0Vvzr7lt3OU09vwQwhkpOPPYv2Y/edit?usp=sharing"",""งบพรบ!EJ58"")"),0)</f>
        <v>0</v>
      </c>
      <c r="F58" s="176">
        <f ca="1">IFERROR(__xludf.DUMMYFUNCTION("IMPORTRANGE(""https://docs.google.com/spreadsheets/d/1-uDff_7J0KD5mKrp0Vvzr7lt3OU09vwQwhkpOPPYv2Y/edit?usp=sharing"",""งบพรบ!EK58"")"),0)</f>
        <v>0</v>
      </c>
      <c r="G58" s="176">
        <f ca="1">IFERROR(__xludf.DUMMYFUNCTION("IMPORTRANGE(""https://docs.google.com/spreadsheets/d/1-uDff_7J0KD5mKrp0Vvzr7lt3OU09vwQwhkpOPPYv2Y/edit?usp=sharing"",""งบพรบ!EL58"")"),0)</f>
        <v>0</v>
      </c>
      <c r="H58" s="176">
        <f ca="1">IFERROR(__xludf.DUMMYFUNCTION("IMPORTRANGE(""https://docs.google.com/spreadsheets/d/1-uDff_7J0KD5mKrp0Vvzr7lt3OU09vwQwhkpOPPYv2Y/edit?usp=sharing"",""งบพรบ!EN58"")"),0)</f>
        <v>0</v>
      </c>
      <c r="I58" s="176">
        <f ca="1">IFERROR(__xludf.DUMMYFUNCTION("IMPORTRANGE(""https://docs.google.com/spreadsheets/d/1-uDff_7J0KD5mKrp0Vvzr7lt3OU09vwQwhkpOPPYv2Y/edit?usp=sharing"",""งบพรบ!EO58"")"),0)</f>
        <v>0</v>
      </c>
      <c r="J58" s="176">
        <f t="shared" ca="1" si="17"/>
        <v>0</v>
      </c>
      <c r="K58" s="181">
        <f t="shared" ca="1" si="18"/>
        <v>0</v>
      </c>
      <c r="L58" s="176">
        <f ca="1">IFERROR(__xludf.DUMMYFUNCTION("IMPORTRANGE(""https://docs.google.com/spreadsheets/d/1-uDff_7J0KD5mKrp0Vvzr7lt3OU09vwQwhkpOPPYv2Y/edit?usp=sharing"",""งบพรบ!EP58"")"),0)</f>
        <v>0</v>
      </c>
      <c r="M58" s="179">
        <f t="shared" ca="1" si="19"/>
        <v>0</v>
      </c>
      <c r="N58" s="179">
        <f t="shared" ca="1" si="20"/>
        <v>0</v>
      </c>
      <c r="O58" s="180">
        <f ca="1">IFERROR(__xludf.DUMMYFUNCTION("IMPORTRANGE(""https://docs.google.com/spreadsheets/d/1-uDff_7J0KD5mKrp0Vvzr7lt3OU09vwQwhkpOPPYv2Y/edit?usp=sharing"",""งบพรบ!EQ58"")"),0)</f>
        <v>0</v>
      </c>
      <c r="P58" s="180">
        <f t="shared" ca="1" si="21"/>
        <v>0</v>
      </c>
      <c r="Q58" s="179">
        <f t="shared" ca="1" si="22"/>
        <v>0</v>
      </c>
      <c r="R58" s="344">
        <f ca="1">IFERROR(__xludf.DUMMYFUNCTION("IMPORTRANGE(""https://docs.google.com/spreadsheets/d/1jkqa6GXxSacMcY1eN8AHjMNJ_7dDXMJVRLDlaFSOdPM/edit?usp=sharing"",""ตราด!I330"")"),0)</f>
        <v>0</v>
      </c>
      <c r="S58" s="177">
        <f ca="1">IFERROR(__xludf.DUMMYFUNCTION("IMPORTRANGE(""https://docs.google.com/spreadsheets/d/1jkqa6GXxSacMcY1eN8AHjMNJ_7dDXMJVRLDlaFSOdPM/edit?usp=sharing"",""ตราด!J330"")"),0)</f>
        <v>0</v>
      </c>
      <c r="T58" s="345">
        <f t="shared" ca="1" si="24"/>
        <v>0</v>
      </c>
    </row>
    <row r="59" spans="1:20" ht="21" customHeight="1" x14ac:dyDescent="0.3">
      <c r="A59" s="84">
        <v>7</v>
      </c>
      <c r="B59" s="85" t="s">
        <v>81</v>
      </c>
      <c r="C59" s="174">
        <f t="shared" ca="1" si="15"/>
        <v>0</v>
      </c>
      <c r="D59" s="175">
        <f t="shared" ca="1" si="31"/>
        <v>0</v>
      </c>
      <c r="E59" s="176">
        <f ca="1">IFERROR(__xludf.DUMMYFUNCTION("IMPORTRANGE(""https://docs.google.com/spreadsheets/d/1-uDff_7J0KD5mKrp0Vvzr7lt3OU09vwQwhkpOPPYv2Y/edit?usp=sharing"",""งบพรบ!EJ59"")"),0)</f>
        <v>0</v>
      </c>
      <c r="F59" s="176">
        <f ca="1">IFERROR(__xludf.DUMMYFUNCTION("IMPORTRANGE(""https://docs.google.com/spreadsheets/d/1-uDff_7J0KD5mKrp0Vvzr7lt3OU09vwQwhkpOPPYv2Y/edit?usp=sharing"",""งบพรบ!EK59"")"),0)</f>
        <v>0</v>
      </c>
      <c r="G59" s="176">
        <f ca="1">IFERROR(__xludf.DUMMYFUNCTION("IMPORTRANGE(""https://docs.google.com/spreadsheets/d/1-uDff_7J0KD5mKrp0Vvzr7lt3OU09vwQwhkpOPPYv2Y/edit?usp=sharing"",""งบพรบ!EL59"")"),0)</f>
        <v>0</v>
      </c>
      <c r="H59" s="176">
        <f ca="1">IFERROR(__xludf.DUMMYFUNCTION("IMPORTRANGE(""https://docs.google.com/spreadsheets/d/1-uDff_7J0KD5mKrp0Vvzr7lt3OU09vwQwhkpOPPYv2Y/edit?usp=sharing"",""งบพรบ!EN59"")"),0)</f>
        <v>0</v>
      </c>
      <c r="I59" s="176">
        <f ca="1">IFERROR(__xludf.DUMMYFUNCTION("IMPORTRANGE(""https://docs.google.com/spreadsheets/d/1-uDff_7J0KD5mKrp0Vvzr7lt3OU09vwQwhkpOPPYv2Y/edit?usp=sharing"",""งบพรบ!EO59"")"),0)</f>
        <v>0</v>
      </c>
      <c r="J59" s="176">
        <f t="shared" ca="1" si="17"/>
        <v>0</v>
      </c>
      <c r="K59" s="181">
        <f t="shared" ca="1" si="18"/>
        <v>0</v>
      </c>
      <c r="L59" s="176">
        <f ca="1">IFERROR(__xludf.DUMMYFUNCTION("IMPORTRANGE(""https://docs.google.com/spreadsheets/d/1-uDff_7J0KD5mKrp0Vvzr7lt3OU09vwQwhkpOPPYv2Y/edit?usp=sharing"",""งบพรบ!EP59"")"),0)</f>
        <v>0</v>
      </c>
      <c r="M59" s="179">
        <f t="shared" ca="1" si="19"/>
        <v>0</v>
      </c>
      <c r="N59" s="179">
        <f t="shared" ca="1" si="20"/>
        <v>0</v>
      </c>
      <c r="O59" s="180">
        <f ca="1">IFERROR(__xludf.DUMMYFUNCTION("IMPORTRANGE(""https://docs.google.com/spreadsheets/d/1-uDff_7J0KD5mKrp0Vvzr7lt3OU09vwQwhkpOPPYv2Y/edit?usp=sharing"",""งบพรบ!EQ59"")"),0)</f>
        <v>0</v>
      </c>
      <c r="P59" s="180">
        <f t="shared" ca="1" si="21"/>
        <v>0</v>
      </c>
      <c r="Q59" s="179">
        <f t="shared" ca="1" si="22"/>
        <v>0</v>
      </c>
      <c r="R59" s="344">
        <f ca="1">IFERROR(__xludf.DUMMYFUNCTION("IMPORTRANGE(""https://docs.google.com/spreadsheets/d/18hSgUJ3VwClqi_qtULmmW3cLr0oe3OKaSYoKzdpTsYQ/edit?usp=sharing"",""นครนายก!I330"")"),0)</f>
        <v>0</v>
      </c>
      <c r="S59" s="177">
        <f ca="1">IFERROR(__xludf.DUMMYFUNCTION("IMPORTRANGE(""https://docs.google.com/spreadsheets/d/18hSgUJ3VwClqi_qtULmmW3cLr0oe3OKaSYoKzdpTsYQ/edit?usp=sharing"",""นครนายก!J330"")"),0)</f>
        <v>0</v>
      </c>
      <c r="T59" s="345">
        <f t="shared" ca="1" si="24"/>
        <v>0</v>
      </c>
    </row>
    <row r="60" spans="1:20" ht="21" customHeight="1" x14ac:dyDescent="0.3">
      <c r="A60" s="84">
        <v>8</v>
      </c>
      <c r="B60" s="85" t="s">
        <v>82</v>
      </c>
      <c r="C60" s="174">
        <f t="shared" ca="1" si="15"/>
        <v>0</v>
      </c>
      <c r="D60" s="175">
        <f t="shared" ca="1" si="31"/>
        <v>0</v>
      </c>
      <c r="E60" s="176">
        <f ca="1">IFERROR(__xludf.DUMMYFUNCTION("IMPORTRANGE(""https://docs.google.com/spreadsheets/d/1-uDff_7J0KD5mKrp0Vvzr7lt3OU09vwQwhkpOPPYv2Y/edit?usp=sharing"",""งบพรบ!EJ60"")"),0)</f>
        <v>0</v>
      </c>
      <c r="F60" s="176">
        <f ca="1">IFERROR(__xludf.DUMMYFUNCTION("IMPORTRANGE(""https://docs.google.com/spreadsheets/d/1-uDff_7J0KD5mKrp0Vvzr7lt3OU09vwQwhkpOPPYv2Y/edit?usp=sharing"",""งบพรบ!EK60"")"),0)</f>
        <v>0</v>
      </c>
      <c r="G60" s="176">
        <f ca="1">IFERROR(__xludf.DUMMYFUNCTION("IMPORTRANGE(""https://docs.google.com/spreadsheets/d/1-uDff_7J0KD5mKrp0Vvzr7lt3OU09vwQwhkpOPPYv2Y/edit?usp=sharing"",""งบพรบ!EL60"")"),0)</f>
        <v>0</v>
      </c>
      <c r="H60" s="176">
        <f ca="1">IFERROR(__xludf.DUMMYFUNCTION("IMPORTRANGE(""https://docs.google.com/spreadsheets/d/1-uDff_7J0KD5mKrp0Vvzr7lt3OU09vwQwhkpOPPYv2Y/edit?usp=sharing"",""งบพรบ!EN60"")"),0)</f>
        <v>0</v>
      </c>
      <c r="I60" s="176">
        <f ca="1">IFERROR(__xludf.DUMMYFUNCTION("IMPORTRANGE(""https://docs.google.com/spreadsheets/d/1-uDff_7J0KD5mKrp0Vvzr7lt3OU09vwQwhkpOPPYv2Y/edit?usp=sharing"",""งบพรบ!EO60"")"),0)</f>
        <v>0</v>
      </c>
      <c r="J60" s="176">
        <f t="shared" ca="1" si="17"/>
        <v>0</v>
      </c>
      <c r="K60" s="181">
        <f t="shared" ca="1" si="18"/>
        <v>0</v>
      </c>
      <c r="L60" s="176">
        <f ca="1">IFERROR(__xludf.DUMMYFUNCTION("IMPORTRANGE(""https://docs.google.com/spreadsheets/d/1-uDff_7J0KD5mKrp0Vvzr7lt3OU09vwQwhkpOPPYv2Y/edit?usp=sharing"",""งบพรบ!EP60"")"),0)</f>
        <v>0</v>
      </c>
      <c r="M60" s="179">
        <f t="shared" ca="1" si="19"/>
        <v>0</v>
      </c>
      <c r="N60" s="179">
        <f t="shared" ca="1" si="20"/>
        <v>0</v>
      </c>
      <c r="O60" s="180">
        <f ca="1">IFERROR(__xludf.DUMMYFUNCTION("IMPORTRANGE(""https://docs.google.com/spreadsheets/d/1-uDff_7J0KD5mKrp0Vvzr7lt3OU09vwQwhkpOPPYv2Y/edit?usp=sharing"",""งบพรบ!EQ60"")"),0)</f>
        <v>0</v>
      </c>
      <c r="P60" s="180">
        <f t="shared" ca="1" si="21"/>
        <v>0</v>
      </c>
      <c r="Q60" s="179">
        <f t="shared" ca="1" si="22"/>
        <v>0</v>
      </c>
      <c r="R60" s="344">
        <f ca="1">IFERROR(__xludf.DUMMYFUNCTION("IMPORTRANGE(""https://docs.google.com/spreadsheets/d/1YTZo6WM2dQ6Ix6FSdnL5P7uVnVKu40sxZu975tgG10E/edit?usp=sharing"",""นครปฐม!I330"")"),0)</f>
        <v>0</v>
      </c>
      <c r="S60" s="177">
        <f ca="1">IFERROR(__xludf.DUMMYFUNCTION("IMPORTRANGE(""https://docs.google.com/spreadsheets/d/1YTZo6WM2dQ6Ix6FSdnL5P7uVnVKu40sxZu975tgG10E/edit?usp=sharing"",""นครปฐม!J330"")"),0)</f>
        <v>0</v>
      </c>
      <c r="T60" s="345">
        <f t="shared" ca="1" si="24"/>
        <v>0</v>
      </c>
    </row>
    <row r="61" spans="1:20" ht="21" customHeight="1" x14ac:dyDescent="0.3">
      <c r="A61" s="84">
        <v>9</v>
      </c>
      <c r="B61" s="85" t="s">
        <v>83</v>
      </c>
      <c r="C61" s="174">
        <f t="shared" ca="1" si="15"/>
        <v>0</v>
      </c>
      <c r="D61" s="175">
        <f t="shared" ca="1" si="31"/>
        <v>0</v>
      </c>
      <c r="E61" s="176">
        <f ca="1">IFERROR(__xludf.DUMMYFUNCTION("IMPORTRANGE(""https://docs.google.com/spreadsheets/d/1-uDff_7J0KD5mKrp0Vvzr7lt3OU09vwQwhkpOPPYv2Y/edit?usp=sharing"",""งบพรบ!EJ61"")"),0)</f>
        <v>0</v>
      </c>
      <c r="F61" s="176">
        <f ca="1">IFERROR(__xludf.DUMMYFUNCTION("IMPORTRANGE(""https://docs.google.com/spreadsheets/d/1-uDff_7J0KD5mKrp0Vvzr7lt3OU09vwQwhkpOPPYv2Y/edit?usp=sharing"",""งบพรบ!EK61"")"),0)</f>
        <v>0</v>
      </c>
      <c r="G61" s="176">
        <f ca="1">IFERROR(__xludf.DUMMYFUNCTION("IMPORTRANGE(""https://docs.google.com/spreadsheets/d/1-uDff_7J0KD5mKrp0Vvzr7lt3OU09vwQwhkpOPPYv2Y/edit?usp=sharing"",""งบพรบ!EL61"")"),0)</f>
        <v>0</v>
      </c>
      <c r="H61" s="176">
        <f ca="1">IFERROR(__xludf.DUMMYFUNCTION("IMPORTRANGE(""https://docs.google.com/spreadsheets/d/1-uDff_7J0KD5mKrp0Vvzr7lt3OU09vwQwhkpOPPYv2Y/edit?usp=sharing"",""งบพรบ!EN61"")"),0)</f>
        <v>0</v>
      </c>
      <c r="I61" s="176">
        <f ca="1">IFERROR(__xludf.DUMMYFUNCTION("IMPORTRANGE(""https://docs.google.com/spreadsheets/d/1-uDff_7J0KD5mKrp0Vvzr7lt3OU09vwQwhkpOPPYv2Y/edit?usp=sharing"",""งบพรบ!EO61"")"),0)</f>
        <v>0</v>
      </c>
      <c r="J61" s="176">
        <f t="shared" ca="1" si="17"/>
        <v>0</v>
      </c>
      <c r="K61" s="181">
        <f t="shared" ca="1" si="18"/>
        <v>0</v>
      </c>
      <c r="L61" s="176">
        <f ca="1">IFERROR(__xludf.DUMMYFUNCTION("IMPORTRANGE(""https://docs.google.com/spreadsheets/d/1-uDff_7J0KD5mKrp0Vvzr7lt3OU09vwQwhkpOPPYv2Y/edit?usp=sharing"",""งบพรบ!EP61"")"),0)</f>
        <v>0</v>
      </c>
      <c r="M61" s="179">
        <f t="shared" ca="1" si="19"/>
        <v>0</v>
      </c>
      <c r="N61" s="179">
        <f t="shared" ca="1" si="20"/>
        <v>0</v>
      </c>
      <c r="O61" s="180">
        <f ca="1">IFERROR(__xludf.DUMMYFUNCTION("IMPORTRANGE(""https://docs.google.com/spreadsheets/d/1-uDff_7J0KD5mKrp0Vvzr7lt3OU09vwQwhkpOPPYv2Y/edit?usp=sharing"",""งบพรบ!EQ61"")"),0)</f>
        <v>0</v>
      </c>
      <c r="P61" s="180">
        <f t="shared" ca="1" si="21"/>
        <v>0</v>
      </c>
      <c r="Q61" s="179">
        <f t="shared" ca="1" si="22"/>
        <v>0</v>
      </c>
      <c r="R61" s="344">
        <f ca="1">IFERROR(__xludf.DUMMYFUNCTION("IMPORTRANGE(""https://docs.google.com/spreadsheets/d/1OYoGg4WDg5RIzwGeB10padOxJF9E_Vljuvvct_M7RDo/edit?usp=sharing"",""ปทุมธานี!I330"")"),0)</f>
        <v>0</v>
      </c>
      <c r="S61" s="177">
        <f ca="1">IFERROR(__xludf.DUMMYFUNCTION("IMPORTRANGE(""https://docs.google.com/spreadsheets/d/1OYoGg4WDg5RIzwGeB10padOxJF9E_Vljuvvct_M7RDo/edit?usp=sharing"",""ปทุมธานี!J330"")"),0)</f>
        <v>0</v>
      </c>
      <c r="T61" s="345">
        <f t="shared" ca="1" si="24"/>
        <v>0</v>
      </c>
    </row>
    <row r="62" spans="1:20" ht="21" customHeight="1" x14ac:dyDescent="0.3">
      <c r="A62" s="84">
        <v>10</v>
      </c>
      <c r="B62" s="85" t="s">
        <v>84</v>
      </c>
      <c r="C62" s="174">
        <f t="shared" ca="1" si="15"/>
        <v>0</v>
      </c>
      <c r="D62" s="175">
        <f t="shared" ca="1" si="31"/>
        <v>0</v>
      </c>
      <c r="E62" s="176">
        <f ca="1">IFERROR(__xludf.DUMMYFUNCTION("IMPORTRANGE(""https://docs.google.com/spreadsheets/d/1-uDff_7J0KD5mKrp0Vvzr7lt3OU09vwQwhkpOPPYv2Y/edit?usp=sharing"",""งบพรบ!EJ62"")"),0)</f>
        <v>0</v>
      </c>
      <c r="F62" s="176">
        <f ca="1">IFERROR(__xludf.DUMMYFUNCTION("IMPORTRANGE(""https://docs.google.com/spreadsheets/d/1-uDff_7J0KD5mKrp0Vvzr7lt3OU09vwQwhkpOPPYv2Y/edit?usp=sharing"",""งบพรบ!EK62"")"),0)</f>
        <v>0</v>
      </c>
      <c r="G62" s="176">
        <f ca="1">IFERROR(__xludf.DUMMYFUNCTION("IMPORTRANGE(""https://docs.google.com/spreadsheets/d/1-uDff_7J0KD5mKrp0Vvzr7lt3OU09vwQwhkpOPPYv2Y/edit?usp=sharing"",""งบพรบ!EL62"")"),0)</f>
        <v>0</v>
      </c>
      <c r="H62" s="176">
        <f ca="1">IFERROR(__xludf.DUMMYFUNCTION("IMPORTRANGE(""https://docs.google.com/spreadsheets/d/1-uDff_7J0KD5mKrp0Vvzr7lt3OU09vwQwhkpOPPYv2Y/edit?usp=sharing"",""งบพรบ!EN62"")"),0)</f>
        <v>0</v>
      </c>
      <c r="I62" s="176">
        <f ca="1">IFERROR(__xludf.DUMMYFUNCTION("IMPORTRANGE(""https://docs.google.com/spreadsheets/d/1-uDff_7J0KD5mKrp0Vvzr7lt3OU09vwQwhkpOPPYv2Y/edit?usp=sharing"",""งบพรบ!EO62"")"),0)</f>
        <v>0</v>
      </c>
      <c r="J62" s="176">
        <f t="shared" ca="1" si="17"/>
        <v>0</v>
      </c>
      <c r="K62" s="181">
        <f t="shared" ca="1" si="18"/>
        <v>0</v>
      </c>
      <c r="L62" s="176">
        <f ca="1">IFERROR(__xludf.DUMMYFUNCTION("IMPORTRANGE(""https://docs.google.com/spreadsheets/d/1-uDff_7J0KD5mKrp0Vvzr7lt3OU09vwQwhkpOPPYv2Y/edit?usp=sharing"",""งบพรบ!EP62"")"),0)</f>
        <v>0</v>
      </c>
      <c r="M62" s="179">
        <f t="shared" ca="1" si="19"/>
        <v>0</v>
      </c>
      <c r="N62" s="179">
        <f t="shared" ca="1" si="20"/>
        <v>0</v>
      </c>
      <c r="O62" s="180">
        <f ca="1">IFERROR(__xludf.DUMMYFUNCTION("IMPORTRANGE(""https://docs.google.com/spreadsheets/d/1-uDff_7J0KD5mKrp0Vvzr7lt3OU09vwQwhkpOPPYv2Y/edit?usp=sharing"",""งบพรบ!EQ62"")"),0)</f>
        <v>0</v>
      </c>
      <c r="P62" s="180">
        <f t="shared" ca="1" si="21"/>
        <v>0</v>
      </c>
      <c r="Q62" s="179">
        <f t="shared" ca="1" si="22"/>
        <v>0</v>
      </c>
      <c r="R62" s="344">
        <f ca="1">IFERROR(__xludf.DUMMYFUNCTION("IMPORTRANGE(""https://docs.google.com/spreadsheets/d/1GbCIE4D4wk9FUozzqk7SxfDMxDVBwVmI5zcaVUSzKAc/edit?usp=sharing"",""ประจวบคีรีขันธ์!I330"")"),0)</f>
        <v>0</v>
      </c>
      <c r="S62" s="177">
        <f ca="1">IFERROR(__xludf.DUMMYFUNCTION("IMPORTRANGE(""https://docs.google.com/spreadsheets/d/1GbCIE4D4wk9FUozzqk7SxfDMxDVBwVmI5zcaVUSzKAc/edit?usp=sharing"",""ประจวบคีรีขันธ์!J330"")"),0)</f>
        <v>0</v>
      </c>
      <c r="T62" s="345">
        <f t="shared" ca="1" si="24"/>
        <v>0</v>
      </c>
    </row>
    <row r="63" spans="1:20" ht="21" customHeight="1" x14ac:dyDescent="0.3">
      <c r="A63" s="84">
        <v>11</v>
      </c>
      <c r="B63" s="85" t="s">
        <v>85</v>
      </c>
      <c r="C63" s="174">
        <f t="shared" ca="1" si="15"/>
        <v>0</v>
      </c>
      <c r="D63" s="175">
        <f t="shared" ca="1" si="31"/>
        <v>0</v>
      </c>
      <c r="E63" s="176">
        <f ca="1">IFERROR(__xludf.DUMMYFUNCTION("IMPORTRANGE(""https://docs.google.com/spreadsheets/d/1-uDff_7J0KD5mKrp0Vvzr7lt3OU09vwQwhkpOPPYv2Y/edit?usp=sharing"",""งบพรบ!EJ63"")"),0)</f>
        <v>0</v>
      </c>
      <c r="F63" s="176">
        <f ca="1">IFERROR(__xludf.DUMMYFUNCTION("IMPORTRANGE(""https://docs.google.com/spreadsheets/d/1-uDff_7J0KD5mKrp0Vvzr7lt3OU09vwQwhkpOPPYv2Y/edit?usp=sharing"",""งบพรบ!EK63"")"),0)</f>
        <v>0</v>
      </c>
      <c r="G63" s="176">
        <f ca="1">IFERROR(__xludf.DUMMYFUNCTION("IMPORTRANGE(""https://docs.google.com/spreadsheets/d/1-uDff_7J0KD5mKrp0Vvzr7lt3OU09vwQwhkpOPPYv2Y/edit?usp=sharing"",""งบพรบ!EL63"")"),0)</f>
        <v>0</v>
      </c>
      <c r="H63" s="176">
        <f ca="1">IFERROR(__xludf.DUMMYFUNCTION("IMPORTRANGE(""https://docs.google.com/spreadsheets/d/1-uDff_7J0KD5mKrp0Vvzr7lt3OU09vwQwhkpOPPYv2Y/edit?usp=sharing"",""งบพรบ!EN63"")"),0)</f>
        <v>0</v>
      </c>
      <c r="I63" s="176">
        <f ca="1">IFERROR(__xludf.DUMMYFUNCTION("IMPORTRANGE(""https://docs.google.com/spreadsheets/d/1-uDff_7J0KD5mKrp0Vvzr7lt3OU09vwQwhkpOPPYv2Y/edit?usp=sharing"",""งบพรบ!EO63"")"),0)</f>
        <v>0</v>
      </c>
      <c r="J63" s="176">
        <f t="shared" ca="1" si="17"/>
        <v>0</v>
      </c>
      <c r="K63" s="181">
        <f t="shared" ca="1" si="18"/>
        <v>0</v>
      </c>
      <c r="L63" s="176">
        <f ca="1">IFERROR(__xludf.DUMMYFUNCTION("IMPORTRANGE(""https://docs.google.com/spreadsheets/d/1-uDff_7J0KD5mKrp0Vvzr7lt3OU09vwQwhkpOPPYv2Y/edit?usp=sharing"",""งบพรบ!EP63"")"),0)</f>
        <v>0</v>
      </c>
      <c r="M63" s="179">
        <f t="shared" ca="1" si="19"/>
        <v>0</v>
      </c>
      <c r="N63" s="179">
        <f t="shared" ca="1" si="20"/>
        <v>0</v>
      </c>
      <c r="O63" s="180">
        <f ca="1">IFERROR(__xludf.DUMMYFUNCTION("IMPORTRANGE(""https://docs.google.com/spreadsheets/d/1-uDff_7J0KD5mKrp0Vvzr7lt3OU09vwQwhkpOPPYv2Y/edit?usp=sharing"",""งบพรบ!EQ63"")"),0)</f>
        <v>0</v>
      </c>
      <c r="P63" s="180">
        <f t="shared" ca="1" si="21"/>
        <v>0</v>
      </c>
      <c r="Q63" s="179">
        <f t="shared" ca="1" si="22"/>
        <v>0</v>
      </c>
      <c r="R63" s="344">
        <f ca="1">IFERROR(__xludf.DUMMYFUNCTION("IMPORTRANGE(""https://docs.google.com/spreadsheets/d/1vVf6wykvW_lAyu7Yo9L4hUTqHqIeP_qcVuxCtosJEbg/edit?usp=sharing"",""ปราจีนบุรี!I330"")"),0)</f>
        <v>0</v>
      </c>
      <c r="S63" s="177">
        <f ca="1">IFERROR(__xludf.DUMMYFUNCTION("IMPORTRANGE(""https://docs.google.com/spreadsheets/d/1vVf6wykvW_lAyu7Yo9L4hUTqHqIeP_qcVuxCtosJEbg/edit?usp=sharing"",""ปราจีนบุรี!J330"")"),0)</f>
        <v>0</v>
      </c>
      <c r="T63" s="345">
        <f t="shared" ca="1" si="24"/>
        <v>0</v>
      </c>
    </row>
    <row r="64" spans="1:20" ht="21" customHeight="1" x14ac:dyDescent="0.3">
      <c r="A64" s="84">
        <v>12</v>
      </c>
      <c r="B64" s="85" t="s">
        <v>86</v>
      </c>
      <c r="C64" s="174">
        <f t="shared" ca="1" si="15"/>
        <v>0</v>
      </c>
      <c r="D64" s="175">
        <f t="shared" ca="1" si="31"/>
        <v>0</v>
      </c>
      <c r="E64" s="176">
        <f ca="1">IFERROR(__xludf.DUMMYFUNCTION("IMPORTRANGE(""https://docs.google.com/spreadsheets/d/1-uDff_7J0KD5mKrp0Vvzr7lt3OU09vwQwhkpOPPYv2Y/edit?usp=sharing"",""งบพรบ!EJ64"")"),0)</f>
        <v>0</v>
      </c>
      <c r="F64" s="176">
        <f ca="1">IFERROR(__xludf.DUMMYFUNCTION("IMPORTRANGE(""https://docs.google.com/spreadsheets/d/1-uDff_7J0KD5mKrp0Vvzr7lt3OU09vwQwhkpOPPYv2Y/edit?usp=sharing"",""งบพรบ!EK64"")"),0)</f>
        <v>0</v>
      </c>
      <c r="G64" s="176">
        <f ca="1">IFERROR(__xludf.DUMMYFUNCTION("IMPORTRANGE(""https://docs.google.com/spreadsheets/d/1-uDff_7J0KD5mKrp0Vvzr7lt3OU09vwQwhkpOPPYv2Y/edit?usp=sharing"",""งบพรบ!EL64"")"),0)</f>
        <v>0</v>
      </c>
      <c r="H64" s="176">
        <f ca="1">IFERROR(__xludf.DUMMYFUNCTION("IMPORTRANGE(""https://docs.google.com/spreadsheets/d/1-uDff_7J0KD5mKrp0Vvzr7lt3OU09vwQwhkpOPPYv2Y/edit?usp=sharing"",""งบพรบ!EN64"")"),0)</f>
        <v>0</v>
      </c>
      <c r="I64" s="176">
        <f ca="1">IFERROR(__xludf.DUMMYFUNCTION("IMPORTRANGE(""https://docs.google.com/spreadsheets/d/1-uDff_7J0KD5mKrp0Vvzr7lt3OU09vwQwhkpOPPYv2Y/edit?usp=sharing"",""งบพรบ!EO64"")"),0)</f>
        <v>0</v>
      </c>
      <c r="J64" s="176">
        <f t="shared" ca="1" si="17"/>
        <v>0</v>
      </c>
      <c r="K64" s="181">
        <f t="shared" ca="1" si="18"/>
        <v>0</v>
      </c>
      <c r="L64" s="176">
        <f ca="1">IFERROR(__xludf.DUMMYFUNCTION("IMPORTRANGE(""https://docs.google.com/spreadsheets/d/1-uDff_7J0KD5mKrp0Vvzr7lt3OU09vwQwhkpOPPYv2Y/edit?usp=sharing"",""งบพรบ!EP64"")"),0)</f>
        <v>0</v>
      </c>
      <c r="M64" s="179">
        <f t="shared" ca="1" si="19"/>
        <v>0</v>
      </c>
      <c r="N64" s="179">
        <f t="shared" ca="1" si="20"/>
        <v>0</v>
      </c>
      <c r="O64" s="180">
        <f ca="1">IFERROR(__xludf.DUMMYFUNCTION("IMPORTRANGE(""https://docs.google.com/spreadsheets/d/1-uDff_7J0KD5mKrp0Vvzr7lt3OU09vwQwhkpOPPYv2Y/edit?usp=sharing"",""งบพรบ!EQ64"")"),0)</f>
        <v>0</v>
      </c>
      <c r="P64" s="180">
        <f t="shared" ca="1" si="21"/>
        <v>0</v>
      </c>
      <c r="Q64" s="179">
        <f t="shared" ca="1" si="22"/>
        <v>0</v>
      </c>
      <c r="R64" s="344">
        <f ca="1">IFERROR(__xludf.DUMMYFUNCTION("IMPORTRANGE(""https://docs.google.com/spreadsheets/d/1BIDqLLg5jk3v59G8NlR8rk5xfQDKne0sAvZHSj7TI6I/edit?usp=sharing"",""พระนครศรีอยุธยา!I330"")"),0)</f>
        <v>0</v>
      </c>
      <c r="S64" s="177">
        <f ca="1">IFERROR(__xludf.DUMMYFUNCTION("IMPORTRANGE(""https://docs.google.com/spreadsheets/d/1BIDqLLg5jk3v59G8NlR8rk5xfQDKne0sAvZHSj7TI6I/edit?usp=sharing"",""พระนครศรีอยุธยา!J330"")"),0)</f>
        <v>0</v>
      </c>
      <c r="T64" s="345">
        <f t="shared" ca="1" si="24"/>
        <v>0</v>
      </c>
    </row>
    <row r="65" spans="1:20" ht="21" customHeight="1" x14ac:dyDescent="0.3">
      <c r="A65" s="84">
        <v>13</v>
      </c>
      <c r="B65" s="85" t="s">
        <v>87</v>
      </c>
      <c r="C65" s="174">
        <f t="shared" ca="1" si="15"/>
        <v>0</v>
      </c>
      <c r="D65" s="175">
        <f t="shared" ca="1" si="31"/>
        <v>0</v>
      </c>
      <c r="E65" s="176">
        <f ca="1">IFERROR(__xludf.DUMMYFUNCTION("IMPORTRANGE(""https://docs.google.com/spreadsheets/d/1-uDff_7J0KD5mKrp0Vvzr7lt3OU09vwQwhkpOPPYv2Y/edit?usp=sharing"",""งบพรบ!EJ65"")"),0)</f>
        <v>0</v>
      </c>
      <c r="F65" s="176">
        <f ca="1">IFERROR(__xludf.DUMMYFUNCTION("IMPORTRANGE(""https://docs.google.com/spreadsheets/d/1-uDff_7J0KD5mKrp0Vvzr7lt3OU09vwQwhkpOPPYv2Y/edit?usp=sharing"",""งบพรบ!EK65"")"),0)</f>
        <v>0</v>
      </c>
      <c r="G65" s="176">
        <f ca="1">IFERROR(__xludf.DUMMYFUNCTION("IMPORTRANGE(""https://docs.google.com/spreadsheets/d/1-uDff_7J0KD5mKrp0Vvzr7lt3OU09vwQwhkpOPPYv2Y/edit?usp=sharing"",""งบพรบ!EL65"")"),0)</f>
        <v>0</v>
      </c>
      <c r="H65" s="176">
        <f ca="1">IFERROR(__xludf.DUMMYFUNCTION("IMPORTRANGE(""https://docs.google.com/spreadsheets/d/1-uDff_7J0KD5mKrp0Vvzr7lt3OU09vwQwhkpOPPYv2Y/edit?usp=sharing"",""งบพรบ!EN65"")"),0)</f>
        <v>0</v>
      </c>
      <c r="I65" s="176">
        <f ca="1">IFERROR(__xludf.DUMMYFUNCTION("IMPORTRANGE(""https://docs.google.com/spreadsheets/d/1-uDff_7J0KD5mKrp0Vvzr7lt3OU09vwQwhkpOPPYv2Y/edit?usp=sharing"",""งบพรบ!EO65"")"),0)</f>
        <v>0</v>
      </c>
      <c r="J65" s="176">
        <f t="shared" ca="1" si="17"/>
        <v>0</v>
      </c>
      <c r="K65" s="181">
        <f t="shared" ca="1" si="18"/>
        <v>0</v>
      </c>
      <c r="L65" s="176">
        <f ca="1">IFERROR(__xludf.DUMMYFUNCTION("IMPORTRANGE(""https://docs.google.com/spreadsheets/d/1-uDff_7J0KD5mKrp0Vvzr7lt3OU09vwQwhkpOPPYv2Y/edit?usp=sharing"",""งบพรบ!EP65"")"),0)</f>
        <v>0</v>
      </c>
      <c r="M65" s="179">
        <f t="shared" ca="1" si="19"/>
        <v>0</v>
      </c>
      <c r="N65" s="179">
        <f t="shared" ca="1" si="20"/>
        <v>0</v>
      </c>
      <c r="O65" s="180">
        <f ca="1">IFERROR(__xludf.DUMMYFUNCTION("IMPORTRANGE(""https://docs.google.com/spreadsheets/d/1-uDff_7J0KD5mKrp0Vvzr7lt3OU09vwQwhkpOPPYv2Y/edit?usp=sharing"",""งบพรบ!EQ65"")"),0)</f>
        <v>0</v>
      </c>
      <c r="P65" s="180">
        <f t="shared" ca="1" si="21"/>
        <v>0</v>
      </c>
      <c r="Q65" s="179">
        <f t="shared" ca="1" si="22"/>
        <v>0</v>
      </c>
      <c r="R65" s="344">
        <f ca="1">IFERROR(__xludf.DUMMYFUNCTION("IMPORTRANGE(""https://docs.google.com/spreadsheets/d/1YXvxf8Yu6_rV4hTBrwMqAcAnv6DfhUxh5emyM3CJp_w/edit?usp=sharing"",""เพชรบุรี!I330"")"),0)</f>
        <v>0</v>
      </c>
      <c r="S65" s="177">
        <f ca="1">IFERROR(__xludf.DUMMYFUNCTION("IMPORTRANGE(""https://docs.google.com/spreadsheets/d/1YXvxf8Yu6_rV4hTBrwMqAcAnv6DfhUxh5emyM3CJp_w/edit?usp=sharing"",""เพชรบุรี!J330"")"),0)</f>
        <v>0</v>
      </c>
      <c r="T65" s="345">
        <f t="shared" ca="1" si="24"/>
        <v>0</v>
      </c>
    </row>
    <row r="66" spans="1:20" ht="21" customHeight="1" x14ac:dyDescent="0.3">
      <c r="A66" s="84">
        <v>14</v>
      </c>
      <c r="B66" s="85" t="s">
        <v>88</v>
      </c>
      <c r="C66" s="174">
        <f t="shared" ca="1" si="15"/>
        <v>0</v>
      </c>
      <c r="D66" s="175">
        <f t="shared" ca="1" si="31"/>
        <v>0</v>
      </c>
      <c r="E66" s="176">
        <f ca="1">IFERROR(__xludf.DUMMYFUNCTION("IMPORTRANGE(""https://docs.google.com/spreadsheets/d/1-uDff_7J0KD5mKrp0Vvzr7lt3OU09vwQwhkpOPPYv2Y/edit?usp=sharing"",""งบพรบ!EJ66"")"),0)</f>
        <v>0</v>
      </c>
      <c r="F66" s="176">
        <f ca="1">IFERROR(__xludf.DUMMYFUNCTION("IMPORTRANGE(""https://docs.google.com/spreadsheets/d/1-uDff_7J0KD5mKrp0Vvzr7lt3OU09vwQwhkpOPPYv2Y/edit?usp=sharing"",""งบพรบ!EK66"")"),0)</f>
        <v>0</v>
      </c>
      <c r="G66" s="176">
        <f ca="1">IFERROR(__xludf.DUMMYFUNCTION("IMPORTRANGE(""https://docs.google.com/spreadsheets/d/1-uDff_7J0KD5mKrp0Vvzr7lt3OU09vwQwhkpOPPYv2Y/edit?usp=sharing"",""งบพรบ!EL66"")"),0)</f>
        <v>0</v>
      </c>
      <c r="H66" s="176">
        <f ca="1">IFERROR(__xludf.DUMMYFUNCTION("IMPORTRANGE(""https://docs.google.com/spreadsheets/d/1-uDff_7J0KD5mKrp0Vvzr7lt3OU09vwQwhkpOPPYv2Y/edit?usp=sharing"",""งบพรบ!EN66"")"),0)</f>
        <v>0</v>
      </c>
      <c r="I66" s="176">
        <f ca="1">IFERROR(__xludf.DUMMYFUNCTION("IMPORTRANGE(""https://docs.google.com/spreadsheets/d/1-uDff_7J0KD5mKrp0Vvzr7lt3OU09vwQwhkpOPPYv2Y/edit?usp=sharing"",""งบพรบ!EO66"")"),0)</f>
        <v>0</v>
      </c>
      <c r="J66" s="176">
        <f t="shared" ca="1" si="17"/>
        <v>0</v>
      </c>
      <c r="K66" s="181">
        <f t="shared" ca="1" si="18"/>
        <v>0</v>
      </c>
      <c r="L66" s="176">
        <f ca="1">IFERROR(__xludf.DUMMYFUNCTION("IMPORTRANGE(""https://docs.google.com/spreadsheets/d/1-uDff_7J0KD5mKrp0Vvzr7lt3OU09vwQwhkpOPPYv2Y/edit?usp=sharing"",""งบพรบ!EP66"")"),0)</f>
        <v>0</v>
      </c>
      <c r="M66" s="179">
        <f t="shared" ca="1" si="19"/>
        <v>0</v>
      </c>
      <c r="N66" s="179">
        <f t="shared" ca="1" si="20"/>
        <v>0</v>
      </c>
      <c r="O66" s="180">
        <f ca="1">IFERROR(__xludf.DUMMYFUNCTION("IMPORTRANGE(""https://docs.google.com/spreadsheets/d/1-uDff_7J0KD5mKrp0Vvzr7lt3OU09vwQwhkpOPPYv2Y/edit?usp=sharing"",""งบพรบ!EQ66"")"),0)</f>
        <v>0</v>
      </c>
      <c r="P66" s="180">
        <f t="shared" ca="1" si="21"/>
        <v>0</v>
      </c>
      <c r="Q66" s="179">
        <f t="shared" ca="1" si="22"/>
        <v>0</v>
      </c>
      <c r="R66" s="344">
        <f ca="1">IFERROR(__xludf.DUMMYFUNCTION("IMPORTRANGE(""https://docs.google.com/spreadsheets/d/19KBlQQs7uwvsao6t2n-KvW3Ax8J8uRRfZPq1zPbXgKc/edit?usp=sharing"",""ระยอง!I330"")"),0)</f>
        <v>0</v>
      </c>
      <c r="S66" s="177">
        <f ca="1">IFERROR(__xludf.DUMMYFUNCTION("IMPORTRANGE(""https://docs.google.com/spreadsheets/d/19KBlQQs7uwvsao6t2n-KvW3Ax8J8uRRfZPq1zPbXgKc/edit?usp=sharing"",""ระยอง!J330"")"),0)</f>
        <v>0</v>
      </c>
      <c r="T66" s="345">
        <f t="shared" ca="1" si="24"/>
        <v>0</v>
      </c>
    </row>
    <row r="67" spans="1:20" ht="21" customHeight="1" x14ac:dyDescent="0.3">
      <c r="A67" s="84">
        <v>15</v>
      </c>
      <c r="B67" s="85" t="s">
        <v>89</v>
      </c>
      <c r="C67" s="174">
        <f t="shared" ca="1" si="15"/>
        <v>0</v>
      </c>
      <c r="D67" s="175">
        <f t="shared" ca="1" si="31"/>
        <v>0</v>
      </c>
      <c r="E67" s="176">
        <f ca="1">IFERROR(__xludf.DUMMYFUNCTION("IMPORTRANGE(""https://docs.google.com/spreadsheets/d/1-uDff_7J0KD5mKrp0Vvzr7lt3OU09vwQwhkpOPPYv2Y/edit?usp=sharing"",""งบพรบ!EJ67"")"),0)</f>
        <v>0</v>
      </c>
      <c r="F67" s="176">
        <f ca="1">IFERROR(__xludf.DUMMYFUNCTION("IMPORTRANGE(""https://docs.google.com/spreadsheets/d/1-uDff_7J0KD5mKrp0Vvzr7lt3OU09vwQwhkpOPPYv2Y/edit?usp=sharing"",""งบพรบ!EK67"")"),0)</f>
        <v>0</v>
      </c>
      <c r="G67" s="176">
        <f ca="1">IFERROR(__xludf.DUMMYFUNCTION("IMPORTRANGE(""https://docs.google.com/spreadsheets/d/1-uDff_7J0KD5mKrp0Vvzr7lt3OU09vwQwhkpOPPYv2Y/edit?usp=sharing"",""งบพรบ!EL67"")"),0)</f>
        <v>0</v>
      </c>
      <c r="H67" s="176">
        <f ca="1">IFERROR(__xludf.DUMMYFUNCTION("IMPORTRANGE(""https://docs.google.com/spreadsheets/d/1-uDff_7J0KD5mKrp0Vvzr7lt3OU09vwQwhkpOPPYv2Y/edit?usp=sharing"",""งบพรบ!EN67"")"),0)</f>
        <v>0</v>
      </c>
      <c r="I67" s="176">
        <f ca="1">IFERROR(__xludf.DUMMYFUNCTION("IMPORTRANGE(""https://docs.google.com/spreadsheets/d/1-uDff_7J0KD5mKrp0Vvzr7lt3OU09vwQwhkpOPPYv2Y/edit?usp=sharing"",""งบพรบ!EO67"")"),0)</f>
        <v>0</v>
      </c>
      <c r="J67" s="176">
        <f t="shared" ca="1" si="17"/>
        <v>0</v>
      </c>
      <c r="K67" s="181">
        <f t="shared" ca="1" si="18"/>
        <v>0</v>
      </c>
      <c r="L67" s="176">
        <f ca="1">IFERROR(__xludf.DUMMYFUNCTION("IMPORTRANGE(""https://docs.google.com/spreadsheets/d/1-uDff_7J0KD5mKrp0Vvzr7lt3OU09vwQwhkpOPPYv2Y/edit?usp=sharing"",""งบพรบ!EP67"")"),0)</f>
        <v>0</v>
      </c>
      <c r="M67" s="179">
        <f t="shared" ca="1" si="19"/>
        <v>0</v>
      </c>
      <c r="N67" s="179">
        <f t="shared" ca="1" si="20"/>
        <v>0</v>
      </c>
      <c r="O67" s="180">
        <f ca="1">IFERROR(__xludf.DUMMYFUNCTION("IMPORTRANGE(""https://docs.google.com/spreadsheets/d/1-uDff_7J0KD5mKrp0Vvzr7lt3OU09vwQwhkpOPPYv2Y/edit?usp=sharing"",""งบพรบ!EQ67"")"),0)</f>
        <v>0</v>
      </c>
      <c r="P67" s="180">
        <f t="shared" ca="1" si="21"/>
        <v>0</v>
      </c>
      <c r="Q67" s="179">
        <f t="shared" ca="1" si="22"/>
        <v>0</v>
      </c>
      <c r="R67" s="346">
        <f ca="1">IFERROR(__xludf.DUMMYFUNCTION("IMPORTRANGE(""https://docs.google.com/spreadsheets/d/1jQ6P4QcrGM89YfqcC_PxOHGCMq5ezhucwJd8ci-NHng/edit?usp=sharing"",""ราชบุรี!I330"")"),0)</f>
        <v>0</v>
      </c>
      <c r="S67" s="177">
        <f ca="1">IFERROR(__xludf.DUMMYFUNCTION("IMPORTRANGE(""https://docs.google.com/spreadsheets/d/1jQ6P4QcrGM89YfqcC_PxOHGCMq5ezhucwJd8ci-NHng/edit?usp=sharing"",""ราชบุรี!J330"")"),0)</f>
        <v>0</v>
      </c>
      <c r="T67" s="345">
        <f t="shared" ca="1" si="24"/>
        <v>0</v>
      </c>
    </row>
    <row r="68" spans="1:20" ht="24" customHeight="1" x14ac:dyDescent="0.3">
      <c r="A68" s="84">
        <v>16</v>
      </c>
      <c r="B68" s="85" t="s">
        <v>90</v>
      </c>
      <c r="C68" s="174">
        <f t="shared" ca="1" si="15"/>
        <v>0</v>
      </c>
      <c r="D68" s="175">
        <f t="shared" ca="1" si="31"/>
        <v>0</v>
      </c>
      <c r="E68" s="176">
        <f ca="1">IFERROR(__xludf.DUMMYFUNCTION("IMPORTRANGE(""https://docs.google.com/spreadsheets/d/1-uDff_7J0KD5mKrp0Vvzr7lt3OU09vwQwhkpOPPYv2Y/edit?usp=sharing"",""งบพรบ!EJ68"")"),0)</f>
        <v>0</v>
      </c>
      <c r="F68" s="176">
        <f ca="1">IFERROR(__xludf.DUMMYFUNCTION("IMPORTRANGE(""https://docs.google.com/spreadsheets/d/1-uDff_7J0KD5mKrp0Vvzr7lt3OU09vwQwhkpOPPYv2Y/edit?usp=sharing"",""งบพรบ!EK68"")"),0)</f>
        <v>0</v>
      </c>
      <c r="G68" s="176">
        <f ca="1">IFERROR(__xludf.DUMMYFUNCTION("IMPORTRANGE(""https://docs.google.com/spreadsheets/d/1-uDff_7J0KD5mKrp0Vvzr7lt3OU09vwQwhkpOPPYv2Y/edit?usp=sharing"",""งบพรบ!EL68"")"),0)</f>
        <v>0</v>
      </c>
      <c r="H68" s="176">
        <f ca="1">IFERROR(__xludf.DUMMYFUNCTION("IMPORTRANGE(""https://docs.google.com/spreadsheets/d/1-uDff_7J0KD5mKrp0Vvzr7lt3OU09vwQwhkpOPPYv2Y/edit?usp=sharing"",""งบพรบ!EN68"")"),0)</f>
        <v>0</v>
      </c>
      <c r="I68" s="176">
        <f ca="1">IFERROR(__xludf.DUMMYFUNCTION("IMPORTRANGE(""https://docs.google.com/spreadsheets/d/1-uDff_7J0KD5mKrp0Vvzr7lt3OU09vwQwhkpOPPYv2Y/edit?usp=sharing"",""งบพรบ!EO68"")"),0)</f>
        <v>0</v>
      </c>
      <c r="J68" s="176">
        <f t="shared" ca="1" si="17"/>
        <v>0</v>
      </c>
      <c r="K68" s="181">
        <f t="shared" ca="1" si="18"/>
        <v>0</v>
      </c>
      <c r="L68" s="176">
        <f ca="1">IFERROR(__xludf.DUMMYFUNCTION("IMPORTRANGE(""https://docs.google.com/spreadsheets/d/1-uDff_7J0KD5mKrp0Vvzr7lt3OU09vwQwhkpOPPYv2Y/edit?usp=sharing"",""งบพรบ!EP68"")"),0)</f>
        <v>0</v>
      </c>
      <c r="M68" s="179">
        <f t="shared" ca="1" si="19"/>
        <v>0</v>
      </c>
      <c r="N68" s="179">
        <f t="shared" ca="1" si="20"/>
        <v>0</v>
      </c>
      <c r="O68" s="180">
        <f ca="1">IFERROR(__xludf.DUMMYFUNCTION("IMPORTRANGE(""https://docs.google.com/spreadsheets/d/1-uDff_7J0KD5mKrp0Vvzr7lt3OU09vwQwhkpOPPYv2Y/edit?usp=sharing"",""งบพรบ!EQ68"")"),0)</f>
        <v>0</v>
      </c>
      <c r="P68" s="180">
        <f t="shared" ca="1" si="21"/>
        <v>0</v>
      </c>
      <c r="Q68" s="179">
        <f t="shared" ca="1" si="22"/>
        <v>0</v>
      </c>
      <c r="R68" s="344">
        <f ca="1">IFERROR(__xludf.DUMMYFUNCTION("IMPORTRANGE(""https://docs.google.com/spreadsheets/d/1lufeA2cfFqM-elVq2hznhDzC6Pr7wkJ9ZG_sYNGCMCU/edit?usp=sharing"",""ลพบุรี!I330"")"),0)</f>
        <v>0</v>
      </c>
      <c r="S68" s="177">
        <f ca="1">IFERROR(__xludf.DUMMYFUNCTION("IMPORTRANGE(""https://docs.google.com/spreadsheets/d/1lufeA2cfFqM-elVq2hznhDzC6Pr7wkJ9ZG_sYNGCMCU/edit?usp=sharing"",""ลพบุรี!J330"")"),0)</f>
        <v>0</v>
      </c>
      <c r="T68" s="345">
        <f t="shared" ca="1" si="24"/>
        <v>0</v>
      </c>
    </row>
    <row r="69" spans="1:20" ht="21" customHeight="1" x14ac:dyDescent="0.3">
      <c r="A69" s="84">
        <v>17</v>
      </c>
      <c r="B69" s="85" t="s">
        <v>91</v>
      </c>
      <c r="C69" s="174">
        <f t="shared" ca="1" si="15"/>
        <v>40000</v>
      </c>
      <c r="D69" s="175">
        <f t="shared" ca="1" si="31"/>
        <v>40000</v>
      </c>
      <c r="E69" s="176">
        <f ca="1">IFERROR(__xludf.DUMMYFUNCTION("IMPORTRANGE(""https://docs.google.com/spreadsheets/d/1-uDff_7J0KD5mKrp0Vvzr7lt3OU09vwQwhkpOPPYv2Y/edit?usp=sharing"",""งบพรบ!EJ69"")"),0)</f>
        <v>0</v>
      </c>
      <c r="F69" s="176">
        <f ca="1">IFERROR(__xludf.DUMMYFUNCTION("IMPORTRANGE(""https://docs.google.com/spreadsheets/d/1-uDff_7J0KD5mKrp0Vvzr7lt3OU09vwQwhkpOPPYv2Y/edit?usp=sharing"",""งบพรบ!EK69"")"),40000)</f>
        <v>40000</v>
      </c>
      <c r="G69" s="176">
        <f ca="1">IFERROR(__xludf.DUMMYFUNCTION("IMPORTRANGE(""https://docs.google.com/spreadsheets/d/1-uDff_7J0KD5mKrp0Vvzr7lt3OU09vwQwhkpOPPYv2Y/edit?usp=sharing"",""งบพรบ!EL69"")"),0)</f>
        <v>0</v>
      </c>
      <c r="H69" s="176">
        <f ca="1">IFERROR(__xludf.DUMMYFUNCTION("IMPORTRANGE(""https://docs.google.com/spreadsheets/d/1-uDff_7J0KD5mKrp0Vvzr7lt3OU09vwQwhkpOPPYv2Y/edit?usp=sharing"",""งบพรบ!EN69"")"),40000)</f>
        <v>40000</v>
      </c>
      <c r="I69" s="176">
        <f ca="1">IFERROR(__xludf.DUMMYFUNCTION("IMPORTRANGE(""https://docs.google.com/spreadsheets/d/1-uDff_7J0KD5mKrp0Vvzr7lt3OU09vwQwhkpOPPYv2Y/edit?usp=sharing"",""งบพรบ!EO69"")"),0)</f>
        <v>0</v>
      </c>
      <c r="J69" s="176">
        <f t="shared" ca="1" si="17"/>
        <v>1960</v>
      </c>
      <c r="K69" s="181">
        <f t="shared" ca="1" si="18"/>
        <v>4.9000000000000004</v>
      </c>
      <c r="L69" s="176">
        <f ca="1">IFERROR(__xludf.DUMMYFUNCTION("IMPORTRANGE(""https://docs.google.com/spreadsheets/d/1-uDff_7J0KD5mKrp0Vvzr7lt3OU09vwQwhkpOPPYv2Y/edit?usp=sharing"",""งบพรบ!EP69"")"),1960)</f>
        <v>1960</v>
      </c>
      <c r="M69" s="179">
        <f t="shared" ca="1" si="19"/>
        <v>4.9000000000000004</v>
      </c>
      <c r="N69" s="179">
        <f t="shared" ca="1" si="20"/>
        <v>4.9000000000000004</v>
      </c>
      <c r="O69" s="180">
        <f ca="1">IFERROR(__xludf.DUMMYFUNCTION("IMPORTRANGE(""https://docs.google.com/spreadsheets/d/1-uDff_7J0KD5mKrp0Vvzr7lt3OU09vwQwhkpOPPYv2Y/edit?usp=sharing"",""งบพรบ!EQ69"")"),0)</f>
        <v>0</v>
      </c>
      <c r="P69" s="180">
        <f t="shared" ca="1" si="21"/>
        <v>0</v>
      </c>
      <c r="Q69" s="179">
        <f t="shared" ca="1" si="22"/>
        <v>0</v>
      </c>
      <c r="R69" s="344">
        <f ca="1">IFERROR(__xludf.DUMMYFUNCTION("IMPORTRANGE(""https://docs.google.com/spreadsheets/d/10oOiF7loTyfsTkbd4MpaIm0HQ9SwB7IYHdIUvt-U1Uc/edit?usp=sharing"",""สระแก้ว!I330"")"),1)</f>
        <v>1</v>
      </c>
      <c r="S69" s="177">
        <f ca="1">IFERROR(__xludf.DUMMYFUNCTION("IMPORTRANGE(""https://docs.google.com/spreadsheets/d/10oOiF7loTyfsTkbd4MpaIm0HQ9SwB7IYHdIUvt-U1Uc/edit?usp=sharing"",""สระแก้ว!J330"")"),0)</f>
        <v>0</v>
      </c>
      <c r="T69" s="345">
        <f t="shared" ca="1" si="24"/>
        <v>0</v>
      </c>
    </row>
    <row r="70" spans="1:20" ht="21" customHeight="1" x14ac:dyDescent="0.3">
      <c r="A70" s="84">
        <v>18</v>
      </c>
      <c r="B70" s="85" t="s">
        <v>92</v>
      </c>
      <c r="C70" s="174">
        <f t="shared" ca="1" si="15"/>
        <v>0</v>
      </c>
      <c r="D70" s="175">
        <f t="shared" ca="1" si="31"/>
        <v>0</v>
      </c>
      <c r="E70" s="176">
        <f ca="1">IFERROR(__xludf.DUMMYFUNCTION("IMPORTRANGE(""https://docs.google.com/spreadsheets/d/1-uDff_7J0KD5mKrp0Vvzr7lt3OU09vwQwhkpOPPYv2Y/edit?usp=sharing"",""งบพรบ!EJ70"")"),0)</f>
        <v>0</v>
      </c>
      <c r="F70" s="176">
        <f ca="1">IFERROR(__xludf.DUMMYFUNCTION("IMPORTRANGE(""https://docs.google.com/spreadsheets/d/1-uDff_7J0KD5mKrp0Vvzr7lt3OU09vwQwhkpOPPYv2Y/edit?usp=sharing"",""งบพรบ!EK70"")"),0)</f>
        <v>0</v>
      </c>
      <c r="G70" s="176">
        <f ca="1">IFERROR(__xludf.DUMMYFUNCTION("IMPORTRANGE(""https://docs.google.com/spreadsheets/d/1-uDff_7J0KD5mKrp0Vvzr7lt3OU09vwQwhkpOPPYv2Y/edit?usp=sharing"",""งบพรบ!EL70"")"),0)</f>
        <v>0</v>
      </c>
      <c r="H70" s="176">
        <f ca="1">IFERROR(__xludf.DUMMYFUNCTION("IMPORTRANGE(""https://docs.google.com/spreadsheets/d/1-uDff_7J0KD5mKrp0Vvzr7lt3OU09vwQwhkpOPPYv2Y/edit?usp=sharing"",""งบพรบ!EN70"")"),0)</f>
        <v>0</v>
      </c>
      <c r="I70" s="176">
        <f ca="1">IFERROR(__xludf.DUMMYFUNCTION("IMPORTRANGE(""https://docs.google.com/spreadsheets/d/1-uDff_7J0KD5mKrp0Vvzr7lt3OU09vwQwhkpOPPYv2Y/edit?usp=sharing"",""งบพรบ!EO70"")"),0)</f>
        <v>0</v>
      </c>
      <c r="J70" s="176">
        <f t="shared" ca="1" si="17"/>
        <v>0</v>
      </c>
      <c r="K70" s="181">
        <f t="shared" ca="1" si="18"/>
        <v>0</v>
      </c>
      <c r="L70" s="176">
        <f ca="1">IFERROR(__xludf.DUMMYFUNCTION("IMPORTRANGE(""https://docs.google.com/spreadsheets/d/1-uDff_7J0KD5mKrp0Vvzr7lt3OU09vwQwhkpOPPYv2Y/edit?usp=sharing"",""งบพรบ!EP70"")"),0)</f>
        <v>0</v>
      </c>
      <c r="M70" s="179">
        <f t="shared" ca="1" si="19"/>
        <v>0</v>
      </c>
      <c r="N70" s="179">
        <f t="shared" ca="1" si="20"/>
        <v>0</v>
      </c>
      <c r="O70" s="180">
        <f ca="1">IFERROR(__xludf.DUMMYFUNCTION("IMPORTRANGE(""https://docs.google.com/spreadsheets/d/1-uDff_7J0KD5mKrp0Vvzr7lt3OU09vwQwhkpOPPYv2Y/edit?usp=sharing"",""งบพรบ!EQ70"")"),0)</f>
        <v>0</v>
      </c>
      <c r="P70" s="180">
        <f t="shared" ca="1" si="21"/>
        <v>0</v>
      </c>
      <c r="Q70" s="179">
        <f t="shared" ca="1" si="22"/>
        <v>0</v>
      </c>
      <c r="R70" s="344">
        <f ca="1">IFERROR(__xludf.DUMMYFUNCTION("IMPORTRANGE(""https://docs.google.com/spreadsheets/d/1xmPlrr1QbdSIKvl1dWUl9K4PjAfSL9oeMr_37QVzcxc/edit?usp=sharing"",""สระบุรี!I330"")"),0)</f>
        <v>0</v>
      </c>
      <c r="S70" s="177">
        <f ca="1">IFERROR(__xludf.DUMMYFUNCTION("IMPORTRANGE(""https://docs.google.com/spreadsheets/d/1xmPlrr1QbdSIKvl1dWUl9K4PjAfSL9oeMr_37QVzcxc/edit?usp=sharing"",""สระบุรี!J330"")"),0)</f>
        <v>0</v>
      </c>
      <c r="T70" s="345">
        <f t="shared" ca="1" si="24"/>
        <v>0</v>
      </c>
    </row>
    <row r="71" spans="1:20" ht="21" customHeight="1" x14ac:dyDescent="0.3">
      <c r="A71" s="84">
        <v>19</v>
      </c>
      <c r="B71" s="85" t="s">
        <v>93</v>
      </c>
      <c r="C71" s="174">
        <f t="shared" ca="1" si="15"/>
        <v>0</v>
      </c>
      <c r="D71" s="175">
        <f t="shared" ca="1" si="31"/>
        <v>0</v>
      </c>
      <c r="E71" s="176">
        <f ca="1">IFERROR(__xludf.DUMMYFUNCTION("IMPORTRANGE(""https://docs.google.com/spreadsheets/d/1-uDff_7J0KD5mKrp0Vvzr7lt3OU09vwQwhkpOPPYv2Y/edit?usp=sharing"",""งบพรบ!EJ71"")"),0)</f>
        <v>0</v>
      </c>
      <c r="F71" s="176">
        <f ca="1">IFERROR(__xludf.DUMMYFUNCTION("IMPORTRANGE(""https://docs.google.com/spreadsheets/d/1-uDff_7J0KD5mKrp0Vvzr7lt3OU09vwQwhkpOPPYv2Y/edit?usp=sharing"",""งบพรบ!EK71"")"),0)</f>
        <v>0</v>
      </c>
      <c r="G71" s="176">
        <f ca="1">IFERROR(__xludf.DUMMYFUNCTION("IMPORTRANGE(""https://docs.google.com/spreadsheets/d/1-uDff_7J0KD5mKrp0Vvzr7lt3OU09vwQwhkpOPPYv2Y/edit?usp=sharing"",""งบพรบ!EL71"")"),0)</f>
        <v>0</v>
      </c>
      <c r="H71" s="176">
        <f ca="1">IFERROR(__xludf.DUMMYFUNCTION("IMPORTRANGE(""https://docs.google.com/spreadsheets/d/1-uDff_7J0KD5mKrp0Vvzr7lt3OU09vwQwhkpOPPYv2Y/edit?usp=sharing"",""งบพรบ!EN71"")"),0)</f>
        <v>0</v>
      </c>
      <c r="I71" s="176">
        <f ca="1">IFERROR(__xludf.DUMMYFUNCTION("IMPORTRANGE(""https://docs.google.com/spreadsheets/d/1-uDff_7J0KD5mKrp0Vvzr7lt3OU09vwQwhkpOPPYv2Y/edit?usp=sharing"",""งบพรบ!EO71"")"),0)</f>
        <v>0</v>
      </c>
      <c r="J71" s="176">
        <f t="shared" ca="1" si="17"/>
        <v>0</v>
      </c>
      <c r="K71" s="181">
        <f t="shared" ca="1" si="18"/>
        <v>0</v>
      </c>
      <c r="L71" s="176">
        <f ca="1">IFERROR(__xludf.DUMMYFUNCTION("IMPORTRANGE(""https://docs.google.com/spreadsheets/d/1-uDff_7J0KD5mKrp0Vvzr7lt3OU09vwQwhkpOPPYv2Y/edit?usp=sharing"",""งบพรบ!EP71"")"),0)</f>
        <v>0</v>
      </c>
      <c r="M71" s="179">
        <f t="shared" ca="1" si="19"/>
        <v>0</v>
      </c>
      <c r="N71" s="179">
        <f t="shared" ca="1" si="20"/>
        <v>0</v>
      </c>
      <c r="O71" s="180">
        <f ca="1">IFERROR(__xludf.DUMMYFUNCTION("IMPORTRANGE(""https://docs.google.com/spreadsheets/d/1-uDff_7J0KD5mKrp0Vvzr7lt3OU09vwQwhkpOPPYv2Y/edit?usp=sharing"",""งบพรบ!EQ71"")"),0)</f>
        <v>0</v>
      </c>
      <c r="P71" s="180">
        <f t="shared" ca="1" si="21"/>
        <v>0</v>
      </c>
      <c r="Q71" s="179">
        <f t="shared" ca="1" si="22"/>
        <v>0</v>
      </c>
      <c r="R71" s="344">
        <f ca="1">IFERROR(__xludf.DUMMYFUNCTION("IMPORTRANGE(""https://docs.google.com/spreadsheets/d/1j51vR6CYVGhABJpv6tkstgok82RLpXieLzW1yOY5rHw/edit?usp=sharing"",""สิงห์บุรี!I330"")"),0)</f>
        <v>0</v>
      </c>
      <c r="S71" s="177">
        <f ca="1">IFERROR(__xludf.DUMMYFUNCTION("IMPORTRANGE(""https://docs.google.com/spreadsheets/d/1j51vR6CYVGhABJpv6tkstgok82RLpXieLzW1yOY5rHw/edit?usp=sharing"",""สิงห์บุรี!J330"")"),0)</f>
        <v>0</v>
      </c>
      <c r="T71" s="345">
        <f t="shared" ca="1" si="24"/>
        <v>0</v>
      </c>
    </row>
    <row r="72" spans="1:20" ht="21" customHeight="1" x14ac:dyDescent="0.3">
      <c r="A72" s="84">
        <v>20</v>
      </c>
      <c r="B72" s="85" t="s">
        <v>94</v>
      </c>
      <c r="C72" s="174">
        <f t="shared" ca="1" si="15"/>
        <v>0</v>
      </c>
      <c r="D72" s="175">
        <f t="shared" ca="1" si="31"/>
        <v>0</v>
      </c>
      <c r="E72" s="176">
        <f ca="1">IFERROR(__xludf.DUMMYFUNCTION("IMPORTRANGE(""https://docs.google.com/spreadsheets/d/1-uDff_7J0KD5mKrp0Vvzr7lt3OU09vwQwhkpOPPYv2Y/edit?usp=sharing"",""งบพรบ!EJ72"")"),0)</f>
        <v>0</v>
      </c>
      <c r="F72" s="176">
        <f ca="1">IFERROR(__xludf.DUMMYFUNCTION("IMPORTRANGE(""https://docs.google.com/spreadsheets/d/1-uDff_7J0KD5mKrp0Vvzr7lt3OU09vwQwhkpOPPYv2Y/edit?usp=sharing"",""งบพรบ!EK72"")"),0)</f>
        <v>0</v>
      </c>
      <c r="G72" s="176">
        <f ca="1">IFERROR(__xludf.DUMMYFUNCTION("IMPORTRANGE(""https://docs.google.com/spreadsheets/d/1-uDff_7J0KD5mKrp0Vvzr7lt3OU09vwQwhkpOPPYv2Y/edit?usp=sharing"",""งบพรบ!EL72"")"),0)</f>
        <v>0</v>
      </c>
      <c r="H72" s="176">
        <f ca="1">IFERROR(__xludf.DUMMYFUNCTION("IMPORTRANGE(""https://docs.google.com/spreadsheets/d/1-uDff_7J0KD5mKrp0Vvzr7lt3OU09vwQwhkpOPPYv2Y/edit?usp=sharing"",""งบพรบ!EN72"")"),0)</f>
        <v>0</v>
      </c>
      <c r="I72" s="176">
        <f ca="1">IFERROR(__xludf.DUMMYFUNCTION("IMPORTRANGE(""https://docs.google.com/spreadsheets/d/1-uDff_7J0KD5mKrp0Vvzr7lt3OU09vwQwhkpOPPYv2Y/edit?usp=sharing"",""งบพรบ!EO72"")"),0)</f>
        <v>0</v>
      </c>
      <c r="J72" s="176">
        <f t="shared" ca="1" si="17"/>
        <v>0</v>
      </c>
      <c r="K72" s="181">
        <f t="shared" ca="1" si="18"/>
        <v>0</v>
      </c>
      <c r="L72" s="176">
        <f ca="1">IFERROR(__xludf.DUMMYFUNCTION("IMPORTRANGE(""https://docs.google.com/spreadsheets/d/1-uDff_7J0KD5mKrp0Vvzr7lt3OU09vwQwhkpOPPYv2Y/edit?usp=sharing"",""งบพรบ!EP72"")"),0)</f>
        <v>0</v>
      </c>
      <c r="M72" s="179">
        <f t="shared" ca="1" si="19"/>
        <v>0</v>
      </c>
      <c r="N72" s="179">
        <f t="shared" ca="1" si="20"/>
        <v>0</v>
      </c>
      <c r="O72" s="180">
        <f ca="1">IFERROR(__xludf.DUMMYFUNCTION("IMPORTRANGE(""https://docs.google.com/spreadsheets/d/1-uDff_7J0KD5mKrp0Vvzr7lt3OU09vwQwhkpOPPYv2Y/edit?usp=sharing"",""งบพรบ!EQ72"")"),0)</f>
        <v>0</v>
      </c>
      <c r="P72" s="180">
        <f t="shared" ca="1" si="21"/>
        <v>0</v>
      </c>
      <c r="Q72" s="179">
        <f t="shared" ca="1" si="22"/>
        <v>0</v>
      </c>
      <c r="R72" s="344">
        <f ca="1">IFERROR(__xludf.DUMMYFUNCTION("IMPORTRANGE(""https://docs.google.com/spreadsheets/d/1H1EalTWKUSzO4Z1-1CwzoDUaVffgrThEBe2sl74kKG0/edit?usp=sharing"",""สุพรรณบุรี!I330"")"),0)</f>
        <v>0</v>
      </c>
      <c r="S72" s="177">
        <f ca="1">IFERROR(__xludf.DUMMYFUNCTION("IMPORTRANGE(""https://docs.google.com/spreadsheets/d/1H1EalTWKUSzO4Z1-1CwzoDUaVffgrThEBe2sl74kKG0/edit?usp=sharing"",""สุพรรณบุรี!J330"")"),0)</f>
        <v>0</v>
      </c>
      <c r="T72" s="345">
        <f t="shared" ca="1" si="24"/>
        <v>0</v>
      </c>
    </row>
    <row r="73" spans="1:20" ht="21" customHeight="1" x14ac:dyDescent="0.3">
      <c r="A73" s="95">
        <v>21</v>
      </c>
      <c r="B73" s="96" t="s">
        <v>95</v>
      </c>
      <c r="C73" s="184">
        <f t="shared" ca="1" si="15"/>
        <v>0</v>
      </c>
      <c r="D73" s="185">
        <f t="shared" ca="1" si="31"/>
        <v>0</v>
      </c>
      <c r="E73" s="186">
        <f ca="1">IFERROR(__xludf.DUMMYFUNCTION("IMPORTRANGE(""https://docs.google.com/spreadsheets/d/1-uDff_7J0KD5mKrp0Vvzr7lt3OU09vwQwhkpOPPYv2Y/edit?usp=sharing"",""งบพรบ!EJ73"")"),0)</f>
        <v>0</v>
      </c>
      <c r="F73" s="186">
        <f ca="1">IFERROR(__xludf.DUMMYFUNCTION("IMPORTRANGE(""https://docs.google.com/spreadsheets/d/1-uDff_7J0KD5mKrp0Vvzr7lt3OU09vwQwhkpOPPYv2Y/edit?usp=sharing"",""งบพรบ!EK73"")"),0)</f>
        <v>0</v>
      </c>
      <c r="G73" s="186">
        <f ca="1">IFERROR(__xludf.DUMMYFUNCTION("IMPORTRANGE(""https://docs.google.com/spreadsheets/d/1-uDff_7J0KD5mKrp0Vvzr7lt3OU09vwQwhkpOPPYv2Y/edit?usp=sharing"",""งบพรบ!EL73"")"),0)</f>
        <v>0</v>
      </c>
      <c r="H73" s="186">
        <f ca="1">IFERROR(__xludf.DUMMYFUNCTION("IMPORTRANGE(""https://docs.google.com/spreadsheets/d/1-uDff_7J0KD5mKrp0Vvzr7lt3OU09vwQwhkpOPPYv2Y/edit?usp=sharing"",""งบพรบ!EN73"")"),0)</f>
        <v>0</v>
      </c>
      <c r="I73" s="186">
        <f ca="1">IFERROR(__xludf.DUMMYFUNCTION("IMPORTRANGE(""https://docs.google.com/spreadsheets/d/1-uDff_7J0KD5mKrp0Vvzr7lt3OU09vwQwhkpOPPYv2Y/edit?usp=sharing"",""งบพรบ!EO73"")"),0)</f>
        <v>0</v>
      </c>
      <c r="J73" s="186">
        <f t="shared" ca="1" si="17"/>
        <v>0</v>
      </c>
      <c r="K73" s="187">
        <f t="shared" ca="1" si="18"/>
        <v>0</v>
      </c>
      <c r="L73" s="186">
        <f ca="1">IFERROR(__xludf.DUMMYFUNCTION("IMPORTRANGE(""https://docs.google.com/spreadsheets/d/1-uDff_7J0KD5mKrp0Vvzr7lt3OU09vwQwhkpOPPYv2Y/edit?usp=sharing"",""งบพรบ!EP73"")"),0)</f>
        <v>0</v>
      </c>
      <c r="M73" s="188">
        <f t="shared" ca="1" si="19"/>
        <v>0</v>
      </c>
      <c r="N73" s="188">
        <f t="shared" ca="1" si="20"/>
        <v>0</v>
      </c>
      <c r="O73" s="189">
        <f ca="1">IFERROR(__xludf.DUMMYFUNCTION("IMPORTRANGE(""https://docs.google.com/spreadsheets/d/1-uDff_7J0KD5mKrp0Vvzr7lt3OU09vwQwhkpOPPYv2Y/edit?usp=sharing"",""งบพรบ!EQ73"")"),0)</f>
        <v>0</v>
      </c>
      <c r="P73" s="189">
        <f t="shared" ca="1" si="21"/>
        <v>0</v>
      </c>
      <c r="Q73" s="188">
        <f t="shared" ca="1" si="22"/>
        <v>0</v>
      </c>
      <c r="R73" s="347">
        <f ca="1">IFERROR(__xludf.DUMMYFUNCTION("IMPORTRANGE(""https://docs.google.com/spreadsheets/d/1BmIruG_sIrJLYao_Pdr7zVArWsfoBt2692TMi6x_854/edit?usp=sharing"",""อ่างทอง!I330"")"),0)</f>
        <v>0</v>
      </c>
      <c r="S73" s="190">
        <f ca="1">IFERROR(__xludf.DUMMYFUNCTION("IMPORTRANGE(""https://docs.google.com/spreadsheets/d/1BmIruG_sIrJLYao_Pdr7zVArWsfoBt2692TMi6x_854/edit?usp=sharing"",""อ่างทอง!J330"")"),0)</f>
        <v>0</v>
      </c>
      <c r="T73" s="348">
        <f t="shared" ca="1" si="24"/>
        <v>0</v>
      </c>
    </row>
    <row r="74" spans="1:20" ht="21" customHeight="1" x14ac:dyDescent="0.3">
      <c r="A74" s="394" t="s">
        <v>96</v>
      </c>
      <c r="B74" s="374"/>
      <c r="C74" s="154">
        <f t="shared" ca="1" si="15"/>
        <v>90000</v>
      </c>
      <c r="D74" s="154">
        <f t="shared" ref="D74:I74" ca="1" si="32">SUM(D75:D88)</f>
        <v>90000</v>
      </c>
      <c r="E74" s="154">
        <f t="shared" ca="1" si="32"/>
        <v>0</v>
      </c>
      <c r="F74" s="154">
        <f t="shared" ca="1" si="32"/>
        <v>90000</v>
      </c>
      <c r="G74" s="154">
        <f t="shared" ca="1" si="32"/>
        <v>0</v>
      </c>
      <c r="H74" s="154">
        <f t="shared" ca="1" si="32"/>
        <v>150000</v>
      </c>
      <c r="I74" s="154">
        <f t="shared" ca="1" si="32"/>
        <v>0</v>
      </c>
      <c r="J74" s="154">
        <f t="shared" ca="1" si="17"/>
        <v>92924.1</v>
      </c>
      <c r="K74" s="155">
        <f t="shared" ca="1" si="18"/>
        <v>103.249</v>
      </c>
      <c r="L74" s="154">
        <f ca="1">SUM(L75:L88)</f>
        <v>92924.1</v>
      </c>
      <c r="M74" s="156">
        <f t="shared" ca="1" si="19"/>
        <v>103.249</v>
      </c>
      <c r="N74" s="156">
        <f t="shared" ca="1" si="20"/>
        <v>61.949399999999997</v>
      </c>
      <c r="O74" s="157">
        <f ca="1">SUM(O75:O88)</f>
        <v>0</v>
      </c>
      <c r="P74" s="157">
        <f t="shared" ca="1" si="21"/>
        <v>0</v>
      </c>
      <c r="Q74" s="156">
        <f t="shared" ca="1" si="22"/>
        <v>0</v>
      </c>
      <c r="R74" s="339">
        <f t="shared" ref="R74:S74" ca="1" si="33">SUM(R75:R88)</f>
        <v>4</v>
      </c>
      <c r="S74" s="154">
        <f t="shared" ca="1" si="33"/>
        <v>0</v>
      </c>
      <c r="T74" s="156">
        <f t="shared" ca="1" si="24"/>
        <v>0</v>
      </c>
    </row>
    <row r="75" spans="1:20" ht="21" customHeight="1" x14ac:dyDescent="0.3">
      <c r="A75" s="74">
        <v>1</v>
      </c>
      <c r="B75" s="75" t="s">
        <v>97</v>
      </c>
      <c r="C75" s="174">
        <f t="shared" ca="1" si="15"/>
        <v>30000</v>
      </c>
      <c r="D75" s="175">
        <f t="shared" ref="D75:D88" ca="1" si="34">+E75+F75</f>
        <v>30000</v>
      </c>
      <c r="E75" s="176">
        <f ca="1">IFERROR(__xludf.DUMMYFUNCTION("IMPORTRANGE(""https://docs.google.com/spreadsheets/d/1-uDff_7J0KD5mKrp0Vvzr7lt3OU09vwQwhkpOPPYv2Y/edit?usp=sharing"",""งบพรบ!EJ75"")"),0)</f>
        <v>0</v>
      </c>
      <c r="F75" s="176">
        <f ca="1">IFERROR(__xludf.DUMMYFUNCTION("IMPORTRANGE(""https://docs.google.com/spreadsheets/d/1-uDff_7J0KD5mKrp0Vvzr7lt3OU09vwQwhkpOPPYv2Y/edit?usp=sharing"",""งบพรบ!EK75"")"),30000)</f>
        <v>30000</v>
      </c>
      <c r="G75" s="176">
        <f ca="1">IFERROR(__xludf.DUMMYFUNCTION("IMPORTRANGE(""https://docs.google.com/spreadsheets/d/1-uDff_7J0KD5mKrp0Vvzr7lt3OU09vwQwhkpOPPYv2Y/edit?usp=sharing"",""งบพรบ!EL75"")"),0)</f>
        <v>0</v>
      </c>
      <c r="H75" s="176">
        <f ca="1">IFERROR(__xludf.DUMMYFUNCTION("IMPORTRANGE(""https://docs.google.com/spreadsheets/d/1-uDff_7J0KD5mKrp0Vvzr7lt3OU09vwQwhkpOPPYv2Y/edit?usp=sharing"",""งบพรบ!EN75"")"),90000)</f>
        <v>90000</v>
      </c>
      <c r="I75" s="176">
        <f ca="1">IFERROR(__xludf.DUMMYFUNCTION("IMPORTRANGE(""https://docs.google.com/spreadsheets/d/1-uDff_7J0KD5mKrp0Vvzr7lt3OU09vwQwhkpOPPYv2Y/edit?usp=sharing"",""งบพรบ!EO75"")"),0)</f>
        <v>0</v>
      </c>
      <c r="J75" s="176">
        <f t="shared" ca="1" si="17"/>
        <v>84380</v>
      </c>
      <c r="K75" s="181">
        <f t="shared" ca="1" si="18"/>
        <v>281.26666666666665</v>
      </c>
      <c r="L75" s="176">
        <f ca="1">IFERROR(__xludf.DUMMYFUNCTION("IMPORTRANGE(""https://docs.google.com/spreadsheets/d/1-uDff_7J0KD5mKrp0Vvzr7lt3OU09vwQwhkpOPPYv2Y/edit?usp=sharing"",""งบพรบ!EP75"")"),84380)</f>
        <v>84380</v>
      </c>
      <c r="M75" s="179">
        <f t="shared" ca="1" si="19"/>
        <v>281.26666666666665</v>
      </c>
      <c r="N75" s="179">
        <f t="shared" ca="1" si="20"/>
        <v>93.75555555555556</v>
      </c>
      <c r="O75" s="180">
        <f ca="1">IFERROR(__xludf.DUMMYFUNCTION("IMPORTRANGE(""https://docs.google.com/spreadsheets/d/1-uDff_7J0KD5mKrp0Vvzr7lt3OU09vwQwhkpOPPYv2Y/edit?usp=sharing"",""งบพรบ!EQ75"")"),0)</f>
        <v>0</v>
      </c>
      <c r="P75" s="180">
        <f t="shared" ca="1" si="21"/>
        <v>0</v>
      </c>
      <c r="Q75" s="179">
        <f t="shared" ca="1" si="22"/>
        <v>0</v>
      </c>
      <c r="R75" s="344">
        <f ca="1">IFERROR(__xludf.DUMMYFUNCTION("IMPORTRANGE(""https://docs.google.com/spreadsheets/d/1kKUcYdkIfrgTSj8iHHHB2MD2FAtwyyocFgqGQn6ADyI/edit?usp=sharing"",""กระบี่!I330"")"),1)</f>
        <v>1</v>
      </c>
      <c r="S75" s="177">
        <f ca="1">IFERROR(__xludf.DUMMYFUNCTION("IMPORTRANGE(""https://docs.google.com/spreadsheets/d/1kKUcYdkIfrgTSj8iHHHB2MD2FAtwyyocFgqGQn6ADyI/edit?usp=sharing"",""กระบี่!J330"")"),0)</f>
        <v>0</v>
      </c>
      <c r="T75" s="345">
        <f t="shared" ca="1" si="24"/>
        <v>0</v>
      </c>
    </row>
    <row r="76" spans="1:20" ht="21" customHeight="1" x14ac:dyDescent="0.3">
      <c r="A76" s="84">
        <v>2</v>
      </c>
      <c r="B76" s="85" t="s">
        <v>98</v>
      </c>
      <c r="C76" s="174">
        <f t="shared" ca="1" si="15"/>
        <v>20000</v>
      </c>
      <c r="D76" s="175">
        <f t="shared" ca="1" si="34"/>
        <v>20000</v>
      </c>
      <c r="E76" s="176">
        <f ca="1">IFERROR(__xludf.DUMMYFUNCTION("IMPORTRANGE(""https://docs.google.com/spreadsheets/d/1-uDff_7J0KD5mKrp0Vvzr7lt3OU09vwQwhkpOPPYv2Y/edit?usp=sharing"",""งบพรบ!EJ76"")"),0)</f>
        <v>0</v>
      </c>
      <c r="F76" s="176">
        <f ca="1">IFERROR(__xludf.DUMMYFUNCTION("IMPORTRANGE(""https://docs.google.com/spreadsheets/d/1-uDff_7J0KD5mKrp0Vvzr7lt3OU09vwQwhkpOPPYv2Y/edit?usp=sharing"",""งบพรบ!EK76"")"),20000)</f>
        <v>20000</v>
      </c>
      <c r="G76" s="176">
        <f ca="1">IFERROR(__xludf.DUMMYFUNCTION("IMPORTRANGE(""https://docs.google.com/spreadsheets/d/1-uDff_7J0KD5mKrp0Vvzr7lt3OU09vwQwhkpOPPYv2Y/edit?usp=sharing"",""งบพรบ!EL76"")"),0)</f>
        <v>0</v>
      </c>
      <c r="H76" s="176">
        <f ca="1">IFERROR(__xludf.DUMMYFUNCTION("IMPORTRANGE(""https://docs.google.com/spreadsheets/d/1-uDff_7J0KD5mKrp0Vvzr7lt3OU09vwQwhkpOPPYv2Y/edit?usp=sharing"",""งบพรบ!EN76"")"),20000)</f>
        <v>20000</v>
      </c>
      <c r="I76" s="176">
        <f ca="1">IFERROR(__xludf.DUMMYFUNCTION("IMPORTRANGE(""https://docs.google.com/spreadsheets/d/1-uDff_7J0KD5mKrp0Vvzr7lt3OU09vwQwhkpOPPYv2Y/edit?usp=sharing"",""งบพรบ!EO76"")"),0)</f>
        <v>0</v>
      </c>
      <c r="J76" s="176">
        <f t="shared" ca="1" si="17"/>
        <v>5984.1</v>
      </c>
      <c r="K76" s="181">
        <f t="shared" ca="1" si="18"/>
        <v>29.920500000000001</v>
      </c>
      <c r="L76" s="176">
        <f ca="1">IFERROR(__xludf.DUMMYFUNCTION("IMPORTRANGE(""https://docs.google.com/spreadsheets/d/1-uDff_7J0KD5mKrp0Vvzr7lt3OU09vwQwhkpOPPYv2Y/edit?usp=sharing"",""งบพรบ!EP76"")"),5984.1)</f>
        <v>5984.1</v>
      </c>
      <c r="M76" s="179">
        <f t="shared" ca="1" si="19"/>
        <v>29.920500000000001</v>
      </c>
      <c r="N76" s="179">
        <f t="shared" ca="1" si="20"/>
        <v>29.920500000000001</v>
      </c>
      <c r="O76" s="180">
        <f ca="1">IFERROR(__xludf.DUMMYFUNCTION("IMPORTRANGE(""https://docs.google.com/spreadsheets/d/1-uDff_7J0KD5mKrp0Vvzr7lt3OU09vwQwhkpOPPYv2Y/edit?usp=sharing"",""งบพรบ!EQ76"")"),0)</f>
        <v>0</v>
      </c>
      <c r="P76" s="180">
        <f t="shared" ca="1" si="21"/>
        <v>0</v>
      </c>
      <c r="Q76" s="179">
        <f t="shared" ca="1" si="22"/>
        <v>0</v>
      </c>
      <c r="R76" s="344">
        <f ca="1">IFERROR(__xludf.DUMMYFUNCTION("IMPORTRANGE(""https://docs.google.com/spreadsheets/d/1GwtLaSlNZkLk7iDqcyZz22giiy40b_usZZBXYciEN1U/edit?usp=sharing"",""ชุมพร!I330"")"),1)</f>
        <v>1</v>
      </c>
      <c r="S76" s="177">
        <f ca="1">IFERROR(__xludf.DUMMYFUNCTION("IMPORTRANGE(""https://docs.google.com/spreadsheets/d/1GwtLaSlNZkLk7iDqcyZz22giiy40b_usZZBXYciEN1U/edit?usp=sharing"",""ชุมพร!J330"")"),0)</f>
        <v>0</v>
      </c>
      <c r="T76" s="345">
        <f t="shared" ca="1" si="24"/>
        <v>0</v>
      </c>
    </row>
    <row r="77" spans="1:20" ht="21" customHeight="1" x14ac:dyDescent="0.3">
      <c r="A77" s="84">
        <v>3</v>
      </c>
      <c r="B77" s="85" t="s">
        <v>99</v>
      </c>
      <c r="C77" s="174">
        <f t="shared" ca="1" si="15"/>
        <v>0</v>
      </c>
      <c r="D77" s="175">
        <f t="shared" ca="1" si="34"/>
        <v>0</v>
      </c>
      <c r="E77" s="176">
        <f ca="1">IFERROR(__xludf.DUMMYFUNCTION("IMPORTRANGE(""https://docs.google.com/spreadsheets/d/1-uDff_7J0KD5mKrp0Vvzr7lt3OU09vwQwhkpOPPYv2Y/edit?usp=sharing"",""งบพรบ!EJ77"")"),0)</f>
        <v>0</v>
      </c>
      <c r="F77" s="176">
        <f ca="1">IFERROR(__xludf.DUMMYFUNCTION("IMPORTRANGE(""https://docs.google.com/spreadsheets/d/1-uDff_7J0KD5mKrp0Vvzr7lt3OU09vwQwhkpOPPYv2Y/edit?usp=sharing"",""งบพรบ!EK77"")"),0)</f>
        <v>0</v>
      </c>
      <c r="G77" s="176">
        <f ca="1">IFERROR(__xludf.DUMMYFUNCTION("IMPORTRANGE(""https://docs.google.com/spreadsheets/d/1-uDff_7J0KD5mKrp0Vvzr7lt3OU09vwQwhkpOPPYv2Y/edit?usp=sharing"",""งบพรบ!EL77"")"),0)</f>
        <v>0</v>
      </c>
      <c r="H77" s="176">
        <f ca="1">IFERROR(__xludf.DUMMYFUNCTION("IMPORTRANGE(""https://docs.google.com/spreadsheets/d/1-uDff_7J0KD5mKrp0Vvzr7lt3OU09vwQwhkpOPPYv2Y/edit?usp=sharing"",""งบพรบ!EN77"")"),0)</f>
        <v>0</v>
      </c>
      <c r="I77" s="176">
        <f ca="1">IFERROR(__xludf.DUMMYFUNCTION("IMPORTRANGE(""https://docs.google.com/spreadsheets/d/1-uDff_7J0KD5mKrp0Vvzr7lt3OU09vwQwhkpOPPYv2Y/edit?usp=sharing"",""งบพรบ!EO77"")"),0)</f>
        <v>0</v>
      </c>
      <c r="J77" s="176">
        <f t="shared" ca="1" si="17"/>
        <v>0</v>
      </c>
      <c r="K77" s="181">
        <f t="shared" ca="1" si="18"/>
        <v>0</v>
      </c>
      <c r="L77" s="176">
        <f ca="1">IFERROR(__xludf.DUMMYFUNCTION("IMPORTRANGE(""https://docs.google.com/spreadsheets/d/1-uDff_7J0KD5mKrp0Vvzr7lt3OU09vwQwhkpOPPYv2Y/edit?usp=sharing"",""งบพรบ!EP77"")"),0)</f>
        <v>0</v>
      </c>
      <c r="M77" s="179">
        <f t="shared" ca="1" si="19"/>
        <v>0</v>
      </c>
      <c r="N77" s="179">
        <f t="shared" ca="1" si="20"/>
        <v>0</v>
      </c>
      <c r="O77" s="180">
        <f ca="1">IFERROR(__xludf.DUMMYFUNCTION("IMPORTRANGE(""https://docs.google.com/spreadsheets/d/1-uDff_7J0KD5mKrp0Vvzr7lt3OU09vwQwhkpOPPYv2Y/edit?usp=sharing"",""งบพรบ!EQ77"")"),0)</f>
        <v>0</v>
      </c>
      <c r="P77" s="180">
        <f t="shared" ca="1" si="21"/>
        <v>0</v>
      </c>
      <c r="Q77" s="179">
        <f t="shared" ca="1" si="22"/>
        <v>0</v>
      </c>
      <c r="R77" s="344">
        <f ca="1">IFERROR(__xludf.DUMMYFUNCTION("IMPORTRANGE(""https://docs.google.com/spreadsheets/d/16pAz3pOhQEZBhvFNMa5KGgZS6iKWpsKX0pg6tQmwFpo/edit?usp=sharing"",""ตรัง!I330"")"),0)</f>
        <v>0</v>
      </c>
      <c r="S77" s="177">
        <f ca="1">IFERROR(__xludf.DUMMYFUNCTION("IMPORTRANGE(""https://docs.google.com/spreadsheets/d/16pAz3pOhQEZBhvFNMa5KGgZS6iKWpsKX0pg6tQmwFpo/edit?usp=sharing"",""ตรัง!J330"")"),0)</f>
        <v>0</v>
      </c>
      <c r="T77" s="345">
        <f t="shared" ca="1" si="24"/>
        <v>0</v>
      </c>
    </row>
    <row r="78" spans="1:20" ht="21" customHeight="1" x14ac:dyDescent="0.3">
      <c r="A78" s="84">
        <v>4</v>
      </c>
      <c r="B78" s="85" t="s">
        <v>100</v>
      </c>
      <c r="C78" s="174">
        <f t="shared" ca="1" si="15"/>
        <v>0</v>
      </c>
      <c r="D78" s="175">
        <f t="shared" ca="1" si="34"/>
        <v>0</v>
      </c>
      <c r="E78" s="176">
        <f ca="1">IFERROR(__xludf.DUMMYFUNCTION("IMPORTRANGE(""https://docs.google.com/spreadsheets/d/1-uDff_7J0KD5mKrp0Vvzr7lt3OU09vwQwhkpOPPYv2Y/edit?usp=sharing"",""งบพรบ!EJ78"")"),0)</f>
        <v>0</v>
      </c>
      <c r="F78" s="176">
        <f ca="1">IFERROR(__xludf.DUMMYFUNCTION("IMPORTRANGE(""https://docs.google.com/spreadsheets/d/1-uDff_7J0KD5mKrp0Vvzr7lt3OU09vwQwhkpOPPYv2Y/edit?usp=sharing"",""งบพรบ!EK78"")"),0)</f>
        <v>0</v>
      </c>
      <c r="G78" s="176">
        <f ca="1">IFERROR(__xludf.DUMMYFUNCTION("IMPORTRANGE(""https://docs.google.com/spreadsheets/d/1-uDff_7J0KD5mKrp0Vvzr7lt3OU09vwQwhkpOPPYv2Y/edit?usp=sharing"",""งบพรบ!EL78"")"),0)</f>
        <v>0</v>
      </c>
      <c r="H78" s="176">
        <f ca="1">IFERROR(__xludf.DUMMYFUNCTION("IMPORTRANGE(""https://docs.google.com/spreadsheets/d/1-uDff_7J0KD5mKrp0Vvzr7lt3OU09vwQwhkpOPPYv2Y/edit?usp=sharing"",""งบพรบ!EN78"")"),0)</f>
        <v>0</v>
      </c>
      <c r="I78" s="176">
        <f ca="1">IFERROR(__xludf.DUMMYFUNCTION("IMPORTRANGE(""https://docs.google.com/spreadsheets/d/1-uDff_7J0KD5mKrp0Vvzr7lt3OU09vwQwhkpOPPYv2Y/edit?usp=sharing"",""งบพรบ!EO78"")"),0)</f>
        <v>0</v>
      </c>
      <c r="J78" s="176">
        <f t="shared" ca="1" si="17"/>
        <v>0</v>
      </c>
      <c r="K78" s="181">
        <f t="shared" ca="1" si="18"/>
        <v>0</v>
      </c>
      <c r="L78" s="176">
        <f ca="1">IFERROR(__xludf.DUMMYFUNCTION("IMPORTRANGE(""https://docs.google.com/spreadsheets/d/1-uDff_7J0KD5mKrp0Vvzr7lt3OU09vwQwhkpOPPYv2Y/edit?usp=sharing"",""งบพรบ!EP78"")"),0)</f>
        <v>0</v>
      </c>
      <c r="M78" s="179">
        <f t="shared" ca="1" si="19"/>
        <v>0</v>
      </c>
      <c r="N78" s="179">
        <f t="shared" ca="1" si="20"/>
        <v>0</v>
      </c>
      <c r="O78" s="180">
        <f ca="1">IFERROR(__xludf.DUMMYFUNCTION("IMPORTRANGE(""https://docs.google.com/spreadsheets/d/1-uDff_7J0KD5mKrp0Vvzr7lt3OU09vwQwhkpOPPYv2Y/edit?usp=sharing"",""งบพรบ!EQ78"")"),0)</f>
        <v>0</v>
      </c>
      <c r="P78" s="180">
        <f t="shared" ca="1" si="21"/>
        <v>0</v>
      </c>
      <c r="Q78" s="179">
        <f t="shared" ca="1" si="22"/>
        <v>0</v>
      </c>
      <c r="R78" s="344">
        <f ca="1">IFERROR(__xludf.DUMMYFUNCTION("IMPORTRANGE(""https://docs.google.com/spreadsheets/d/1Dj4jcHCTV9JXKCaMoheSXS52JE63kDKyG7bPXnFogHk/edit?usp=sharing"",""นครศรีธรรมราช!I330"")"),0)</f>
        <v>0</v>
      </c>
      <c r="S78" s="177">
        <f ca="1">IFERROR(__xludf.DUMMYFUNCTION("IMPORTRANGE(""https://docs.google.com/spreadsheets/d/1Dj4jcHCTV9JXKCaMoheSXS52JE63kDKyG7bPXnFogHk/edit?usp=sharing"",""นครศรีธรรมราช!J330"")"),0)</f>
        <v>0</v>
      </c>
      <c r="T78" s="345">
        <f t="shared" ca="1" si="24"/>
        <v>0</v>
      </c>
    </row>
    <row r="79" spans="1:20" ht="21" customHeight="1" x14ac:dyDescent="0.3">
      <c r="A79" s="84">
        <v>5</v>
      </c>
      <c r="B79" s="85" t="s">
        <v>101</v>
      </c>
      <c r="C79" s="174">
        <f t="shared" ca="1" si="15"/>
        <v>0</v>
      </c>
      <c r="D79" s="175">
        <f t="shared" ca="1" si="34"/>
        <v>0</v>
      </c>
      <c r="E79" s="176">
        <f ca="1">IFERROR(__xludf.DUMMYFUNCTION("IMPORTRANGE(""https://docs.google.com/spreadsheets/d/1-uDff_7J0KD5mKrp0Vvzr7lt3OU09vwQwhkpOPPYv2Y/edit?usp=sharing"",""งบพรบ!EJ79"")"),0)</f>
        <v>0</v>
      </c>
      <c r="F79" s="176">
        <f ca="1">IFERROR(__xludf.DUMMYFUNCTION("IMPORTRANGE(""https://docs.google.com/spreadsheets/d/1-uDff_7J0KD5mKrp0Vvzr7lt3OU09vwQwhkpOPPYv2Y/edit?usp=sharing"",""งบพรบ!EK79"")"),0)</f>
        <v>0</v>
      </c>
      <c r="G79" s="176">
        <f ca="1">IFERROR(__xludf.DUMMYFUNCTION("IMPORTRANGE(""https://docs.google.com/spreadsheets/d/1-uDff_7J0KD5mKrp0Vvzr7lt3OU09vwQwhkpOPPYv2Y/edit?usp=sharing"",""งบพรบ!EL79"")"),0)</f>
        <v>0</v>
      </c>
      <c r="H79" s="176">
        <f ca="1">IFERROR(__xludf.DUMMYFUNCTION("IMPORTRANGE(""https://docs.google.com/spreadsheets/d/1-uDff_7J0KD5mKrp0Vvzr7lt3OU09vwQwhkpOPPYv2Y/edit?usp=sharing"",""งบพรบ!EN79"")"),0)</f>
        <v>0</v>
      </c>
      <c r="I79" s="176">
        <f ca="1">IFERROR(__xludf.DUMMYFUNCTION("IMPORTRANGE(""https://docs.google.com/spreadsheets/d/1-uDff_7J0KD5mKrp0Vvzr7lt3OU09vwQwhkpOPPYv2Y/edit?usp=sharing"",""งบพรบ!EO79"")"),0)</f>
        <v>0</v>
      </c>
      <c r="J79" s="176">
        <f t="shared" ca="1" si="17"/>
        <v>0</v>
      </c>
      <c r="K79" s="181">
        <f t="shared" ca="1" si="18"/>
        <v>0</v>
      </c>
      <c r="L79" s="176">
        <f ca="1">IFERROR(__xludf.DUMMYFUNCTION("IMPORTRANGE(""https://docs.google.com/spreadsheets/d/1-uDff_7J0KD5mKrp0Vvzr7lt3OU09vwQwhkpOPPYv2Y/edit?usp=sharing"",""งบพรบ!EP79"")"),0)</f>
        <v>0</v>
      </c>
      <c r="M79" s="179">
        <f t="shared" ca="1" si="19"/>
        <v>0</v>
      </c>
      <c r="N79" s="179">
        <f t="shared" ca="1" si="20"/>
        <v>0</v>
      </c>
      <c r="O79" s="180">
        <f ca="1">IFERROR(__xludf.DUMMYFUNCTION("IMPORTRANGE(""https://docs.google.com/spreadsheets/d/1-uDff_7J0KD5mKrp0Vvzr7lt3OU09vwQwhkpOPPYv2Y/edit?usp=sharing"",""งบพรบ!EQ79"")"),0)</f>
        <v>0</v>
      </c>
      <c r="P79" s="180">
        <f t="shared" ca="1" si="21"/>
        <v>0</v>
      </c>
      <c r="Q79" s="179">
        <f t="shared" ca="1" si="22"/>
        <v>0</v>
      </c>
      <c r="R79" s="344">
        <f ca="1">IFERROR(__xludf.DUMMYFUNCTION("IMPORTRANGE(""https://docs.google.com/spreadsheets/d/1iodCdmuK2GR3jzUwk8tpccY2JHQQA-87DLOtJP-ooyU/edit?usp=sharing"",""นราธิวาส!I330"")"),0)</f>
        <v>0</v>
      </c>
      <c r="S79" s="177">
        <f ca="1">IFERROR(__xludf.DUMMYFUNCTION("IMPORTRANGE(""https://docs.google.com/spreadsheets/d/1iodCdmuK2GR3jzUwk8tpccY2JHQQA-87DLOtJP-ooyU/edit?usp=sharing"",""นราธิวาส!J330"")"),0)</f>
        <v>0</v>
      </c>
      <c r="T79" s="345">
        <f t="shared" ca="1" si="24"/>
        <v>0</v>
      </c>
    </row>
    <row r="80" spans="1:20" ht="21" customHeight="1" x14ac:dyDescent="0.3">
      <c r="A80" s="84">
        <v>6</v>
      </c>
      <c r="B80" s="85" t="s">
        <v>102</v>
      </c>
      <c r="C80" s="174">
        <f t="shared" ca="1" si="15"/>
        <v>0</v>
      </c>
      <c r="D80" s="175">
        <f t="shared" ca="1" si="34"/>
        <v>0</v>
      </c>
      <c r="E80" s="176">
        <f ca="1">IFERROR(__xludf.DUMMYFUNCTION("IMPORTRANGE(""https://docs.google.com/spreadsheets/d/1-uDff_7J0KD5mKrp0Vvzr7lt3OU09vwQwhkpOPPYv2Y/edit?usp=sharing"",""งบพรบ!EJ80"")"),0)</f>
        <v>0</v>
      </c>
      <c r="F80" s="176">
        <f ca="1">IFERROR(__xludf.DUMMYFUNCTION("IMPORTRANGE(""https://docs.google.com/spreadsheets/d/1-uDff_7J0KD5mKrp0Vvzr7lt3OU09vwQwhkpOPPYv2Y/edit?usp=sharing"",""งบพรบ!EK80"")"),0)</f>
        <v>0</v>
      </c>
      <c r="G80" s="176">
        <f ca="1">IFERROR(__xludf.DUMMYFUNCTION("IMPORTRANGE(""https://docs.google.com/spreadsheets/d/1-uDff_7J0KD5mKrp0Vvzr7lt3OU09vwQwhkpOPPYv2Y/edit?usp=sharing"",""งบพรบ!EL80"")"),0)</f>
        <v>0</v>
      </c>
      <c r="H80" s="176">
        <f ca="1">IFERROR(__xludf.DUMMYFUNCTION("IMPORTRANGE(""https://docs.google.com/spreadsheets/d/1-uDff_7J0KD5mKrp0Vvzr7lt3OU09vwQwhkpOPPYv2Y/edit?usp=sharing"",""งบพรบ!EN80"")"),0)</f>
        <v>0</v>
      </c>
      <c r="I80" s="176">
        <f ca="1">IFERROR(__xludf.DUMMYFUNCTION("IMPORTRANGE(""https://docs.google.com/spreadsheets/d/1-uDff_7J0KD5mKrp0Vvzr7lt3OU09vwQwhkpOPPYv2Y/edit?usp=sharing"",""งบพรบ!EO80"")"),0)</f>
        <v>0</v>
      </c>
      <c r="J80" s="176">
        <f t="shared" ca="1" si="17"/>
        <v>0</v>
      </c>
      <c r="K80" s="181">
        <f t="shared" ca="1" si="18"/>
        <v>0</v>
      </c>
      <c r="L80" s="176">
        <f ca="1">IFERROR(__xludf.DUMMYFUNCTION("IMPORTRANGE(""https://docs.google.com/spreadsheets/d/1-uDff_7J0KD5mKrp0Vvzr7lt3OU09vwQwhkpOPPYv2Y/edit?usp=sharing"",""งบพรบ!EP80"")"),0)</f>
        <v>0</v>
      </c>
      <c r="M80" s="179">
        <f t="shared" ca="1" si="19"/>
        <v>0</v>
      </c>
      <c r="N80" s="179">
        <f t="shared" ca="1" si="20"/>
        <v>0</v>
      </c>
      <c r="O80" s="180">
        <f ca="1">IFERROR(__xludf.DUMMYFUNCTION("IMPORTRANGE(""https://docs.google.com/spreadsheets/d/1-uDff_7J0KD5mKrp0Vvzr7lt3OU09vwQwhkpOPPYv2Y/edit?usp=sharing"",""งบพรบ!EQ80"")"),0)</f>
        <v>0</v>
      </c>
      <c r="P80" s="180">
        <f t="shared" ca="1" si="21"/>
        <v>0</v>
      </c>
      <c r="Q80" s="179">
        <f t="shared" ca="1" si="22"/>
        <v>0</v>
      </c>
      <c r="R80" s="346">
        <f ca="1">IFERROR(__xludf.DUMMYFUNCTION("IMPORTRANGE(""https://docs.google.com/spreadsheets/d/1SDNX3JhDdYRuIOsj0Wh2M-Qa_eaXl0NbWmhAOTbfQAs/edit?usp=sharing"",""ปัตตานี!I330"")"),0)</f>
        <v>0</v>
      </c>
      <c r="S80" s="177">
        <f ca="1">IFERROR(__xludf.DUMMYFUNCTION("IMPORTRANGE(""https://docs.google.com/spreadsheets/d/1SDNX3JhDdYRuIOsj0Wh2M-Qa_eaXl0NbWmhAOTbfQAs/edit?usp=sharing"",""ปัตตานี!J330"")"),0)</f>
        <v>0</v>
      </c>
      <c r="T80" s="345">
        <f t="shared" ca="1" si="24"/>
        <v>0</v>
      </c>
    </row>
    <row r="81" spans="1:20" ht="21" customHeight="1" x14ac:dyDescent="0.3">
      <c r="A81" s="84">
        <v>7</v>
      </c>
      <c r="B81" s="85" t="s">
        <v>103</v>
      </c>
      <c r="C81" s="174">
        <f t="shared" ca="1" si="15"/>
        <v>0</v>
      </c>
      <c r="D81" s="175">
        <f t="shared" ca="1" si="34"/>
        <v>0</v>
      </c>
      <c r="E81" s="176">
        <f ca="1">IFERROR(__xludf.DUMMYFUNCTION("IMPORTRANGE(""https://docs.google.com/spreadsheets/d/1-uDff_7J0KD5mKrp0Vvzr7lt3OU09vwQwhkpOPPYv2Y/edit?usp=sharing"",""งบพรบ!EJ81"")"),0)</f>
        <v>0</v>
      </c>
      <c r="F81" s="176">
        <f ca="1">IFERROR(__xludf.DUMMYFUNCTION("IMPORTRANGE(""https://docs.google.com/spreadsheets/d/1-uDff_7J0KD5mKrp0Vvzr7lt3OU09vwQwhkpOPPYv2Y/edit?usp=sharing"",""งบพรบ!EK81"")"),0)</f>
        <v>0</v>
      </c>
      <c r="G81" s="176">
        <f ca="1">IFERROR(__xludf.DUMMYFUNCTION("IMPORTRANGE(""https://docs.google.com/spreadsheets/d/1-uDff_7J0KD5mKrp0Vvzr7lt3OU09vwQwhkpOPPYv2Y/edit?usp=sharing"",""งบพรบ!EL81"")"),0)</f>
        <v>0</v>
      </c>
      <c r="H81" s="176">
        <f ca="1">IFERROR(__xludf.DUMMYFUNCTION("IMPORTRANGE(""https://docs.google.com/spreadsheets/d/1-uDff_7J0KD5mKrp0Vvzr7lt3OU09vwQwhkpOPPYv2Y/edit?usp=sharing"",""งบพรบ!EN81"")"),0)</f>
        <v>0</v>
      </c>
      <c r="I81" s="176">
        <f ca="1">IFERROR(__xludf.DUMMYFUNCTION("IMPORTRANGE(""https://docs.google.com/spreadsheets/d/1-uDff_7J0KD5mKrp0Vvzr7lt3OU09vwQwhkpOPPYv2Y/edit?usp=sharing"",""งบพรบ!EO81"")"),0)</f>
        <v>0</v>
      </c>
      <c r="J81" s="176">
        <f t="shared" ca="1" si="17"/>
        <v>0</v>
      </c>
      <c r="K81" s="181">
        <f t="shared" ca="1" si="18"/>
        <v>0</v>
      </c>
      <c r="L81" s="176">
        <f ca="1">IFERROR(__xludf.DUMMYFUNCTION("IMPORTRANGE(""https://docs.google.com/spreadsheets/d/1-uDff_7J0KD5mKrp0Vvzr7lt3OU09vwQwhkpOPPYv2Y/edit?usp=sharing"",""งบพรบ!EP81"")"),0)</f>
        <v>0</v>
      </c>
      <c r="M81" s="179">
        <f t="shared" ca="1" si="19"/>
        <v>0</v>
      </c>
      <c r="N81" s="179">
        <f t="shared" ca="1" si="20"/>
        <v>0</v>
      </c>
      <c r="O81" s="180">
        <f ca="1">IFERROR(__xludf.DUMMYFUNCTION("IMPORTRANGE(""https://docs.google.com/spreadsheets/d/1-uDff_7J0KD5mKrp0Vvzr7lt3OU09vwQwhkpOPPYv2Y/edit?usp=sharing"",""งบพรบ!EQ81"")"),0)</f>
        <v>0</v>
      </c>
      <c r="P81" s="180">
        <f t="shared" ca="1" si="21"/>
        <v>0</v>
      </c>
      <c r="Q81" s="179">
        <f t="shared" ca="1" si="22"/>
        <v>0</v>
      </c>
      <c r="R81" s="344">
        <f ca="1">IFERROR(__xludf.DUMMYFUNCTION("IMPORTRANGE(""https://docs.google.com/spreadsheets/d/16JDLGguT8s5DsGCND1KcwHP_AWR_zDMTqLHPLJUKhaU/edit?usp=sharing"",""พังงา!I330"")"),0)</f>
        <v>0</v>
      </c>
      <c r="S81" s="177">
        <f ca="1">IFERROR(__xludf.DUMMYFUNCTION("IMPORTRANGE(""https://docs.google.com/spreadsheets/d/16JDLGguT8s5DsGCND1KcwHP_AWR_zDMTqLHPLJUKhaU/edit?usp=sharing"",""พังงา!J330"")"),0)</f>
        <v>0</v>
      </c>
      <c r="T81" s="345">
        <f t="shared" ca="1" si="24"/>
        <v>0</v>
      </c>
    </row>
    <row r="82" spans="1:20" ht="21" customHeight="1" x14ac:dyDescent="0.3">
      <c r="A82" s="84">
        <v>8</v>
      </c>
      <c r="B82" s="85" t="s">
        <v>104</v>
      </c>
      <c r="C82" s="174">
        <f t="shared" ca="1" si="15"/>
        <v>0</v>
      </c>
      <c r="D82" s="175">
        <f t="shared" ca="1" si="34"/>
        <v>0</v>
      </c>
      <c r="E82" s="176">
        <f ca="1">IFERROR(__xludf.DUMMYFUNCTION("IMPORTRANGE(""https://docs.google.com/spreadsheets/d/1-uDff_7J0KD5mKrp0Vvzr7lt3OU09vwQwhkpOPPYv2Y/edit?usp=sharing"",""งบพรบ!EJ82"")"),0)</f>
        <v>0</v>
      </c>
      <c r="F82" s="176">
        <f ca="1">IFERROR(__xludf.DUMMYFUNCTION("IMPORTRANGE(""https://docs.google.com/spreadsheets/d/1-uDff_7J0KD5mKrp0Vvzr7lt3OU09vwQwhkpOPPYv2Y/edit?usp=sharing"",""งบพรบ!EK82"")"),0)</f>
        <v>0</v>
      </c>
      <c r="G82" s="176">
        <f ca="1">IFERROR(__xludf.DUMMYFUNCTION("IMPORTRANGE(""https://docs.google.com/spreadsheets/d/1-uDff_7J0KD5mKrp0Vvzr7lt3OU09vwQwhkpOPPYv2Y/edit?usp=sharing"",""งบพรบ!EL82"")"),0)</f>
        <v>0</v>
      </c>
      <c r="H82" s="176">
        <f ca="1">IFERROR(__xludf.DUMMYFUNCTION("IMPORTRANGE(""https://docs.google.com/spreadsheets/d/1-uDff_7J0KD5mKrp0Vvzr7lt3OU09vwQwhkpOPPYv2Y/edit?usp=sharing"",""งบพรบ!EN82"")"),0)</f>
        <v>0</v>
      </c>
      <c r="I82" s="176">
        <f ca="1">IFERROR(__xludf.DUMMYFUNCTION("IMPORTRANGE(""https://docs.google.com/spreadsheets/d/1-uDff_7J0KD5mKrp0Vvzr7lt3OU09vwQwhkpOPPYv2Y/edit?usp=sharing"",""งบพรบ!EO82"")"),0)</f>
        <v>0</v>
      </c>
      <c r="J82" s="176">
        <f t="shared" ca="1" si="17"/>
        <v>0</v>
      </c>
      <c r="K82" s="181">
        <f t="shared" ca="1" si="18"/>
        <v>0</v>
      </c>
      <c r="L82" s="176">
        <f ca="1">IFERROR(__xludf.DUMMYFUNCTION("IMPORTRANGE(""https://docs.google.com/spreadsheets/d/1-uDff_7J0KD5mKrp0Vvzr7lt3OU09vwQwhkpOPPYv2Y/edit?usp=sharing"",""งบพรบ!EP82"")"),0)</f>
        <v>0</v>
      </c>
      <c r="M82" s="179">
        <f t="shared" ca="1" si="19"/>
        <v>0</v>
      </c>
      <c r="N82" s="179">
        <f t="shared" ca="1" si="20"/>
        <v>0</v>
      </c>
      <c r="O82" s="180">
        <f ca="1">IFERROR(__xludf.DUMMYFUNCTION("IMPORTRANGE(""https://docs.google.com/spreadsheets/d/1-uDff_7J0KD5mKrp0Vvzr7lt3OU09vwQwhkpOPPYv2Y/edit?usp=sharing"",""งบพรบ!EQ82"")"),0)</f>
        <v>0</v>
      </c>
      <c r="P82" s="180">
        <f t="shared" ca="1" si="21"/>
        <v>0</v>
      </c>
      <c r="Q82" s="179">
        <f t="shared" ca="1" si="22"/>
        <v>0</v>
      </c>
      <c r="R82" s="344">
        <f ca="1">IFERROR(__xludf.DUMMYFUNCTION("IMPORTRANGE(""https://docs.google.com/spreadsheets/d/17ht0gPKzzT3PObBL1XJkeRmntBXI7wGjpLV7QorqlTk/edit?usp=sharing"",""พัทลุง!I330"")"),0)</f>
        <v>0</v>
      </c>
      <c r="S82" s="177">
        <f ca="1">IFERROR(__xludf.DUMMYFUNCTION("IMPORTRANGE(""https://docs.google.com/spreadsheets/d/17ht0gPKzzT3PObBL1XJkeRmntBXI7wGjpLV7QorqlTk/edit?usp=sharing"",""พัทลุง!J330"")"),0)</f>
        <v>0</v>
      </c>
      <c r="T82" s="345">
        <f t="shared" ca="1" si="24"/>
        <v>0</v>
      </c>
    </row>
    <row r="83" spans="1:20" ht="21" customHeight="1" x14ac:dyDescent="0.3">
      <c r="A83" s="84">
        <v>9</v>
      </c>
      <c r="B83" s="85" t="s">
        <v>105</v>
      </c>
      <c r="C83" s="174">
        <f t="shared" ca="1" si="15"/>
        <v>0</v>
      </c>
      <c r="D83" s="175">
        <f t="shared" ca="1" si="34"/>
        <v>0</v>
      </c>
      <c r="E83" s="176">
        <f ca="1">IFERROR(__xludf.DUMMYFUNCTION("IMPORTRANGE(""https://docs.google.com/spreadsheets/d/1-uDff_7J0KD5mKrp0Vvzr7lt3OU09vwQwhkpOPPYv2Y/edit?usp=sharing"",""งบพรบ!EJ83"")"),0)</f>
        <v>0</v>
      </c>
      <c r="F83" s="176">
        <f ca="1">IFERROR(__xludf.DUMMYFUNCTION("IMPORTRANGE(""https://docs.google.com/spreadsheets/d/1-uDff_7J0KD5mKrp0Vvzr7lt3OU09vwQwhkpOPPYv2Y/edit?usp=sharing"",""งบพรบ!EK83"")"),0)</f>
        <v>0</v>
      </c>
      <c r="G83" s="176">
        <f ca="1">IFERROR(__xludf.DUMMYFUNCTION("IMPORTRANGE(""https://docs.google.com/spreadsheets/d/1-uDff_7J0KD5mKrp0Vvzr7lt3OU09vwQwhkpOPPYv2Y/edit?usp=sharing"",""งบพรบ!EL83"")"),0)</f>
        <v>0</v>
      </c>
      <c r="H83" s="176">
        <f ca="1">IFERROR(__xludf.DUMMYFUNCTION("IMPORTRANGE(""https://docs.google.com/spreadsheets/d/1-uDff_7J0KD5mKrp0Vvzr7lt3OU09vwQwhkpOPPYv2Y/edit?usp=sharing"",""งบพรบ!EN83"")"),0)</f>
        <v>0</v>
      </c>
      <c r="I83" s="176">
        <f ca="1">IFERROR(__xludf.DUMMYFUNCTION("IMPORTRANGE(""https://docs.google.com/spreadsheets/d/1-uDff_7J0KD5mKrp0Vvzr7lt3OU09vwQwhkpOPPYv2Y/edit?usp=sharing"",""งบพรบ!EO83"")"),0)</f>
        <v>0</v>
      </c>
      <c r="J83" s="176">
        <f t="shared" ca="1" si="17"/>
        <v>0</v>
      </c>
      <c r="K83" s="181">
        <f t="shared" ca="1" si="18"/>
        <v>0</v>
      </c>
      <c r="L83" s="176">
        <f ca="1">IFERROR(__xludf.DUMMYFUNCTION("IMPORTRANGE(""https://docs.google.com/spreadsheets/d/1-uDff_7J0KD5mKrp0Vvzr7lt3OU09vwQwhkpOPPYv2Y/edit?usp=sharing"",""งบพรบ!EP83"")"),0)</f>
        <v>0</v>
      </c>
      <c r="M83" s="179">
        <f t="shared" ca="1" si="19"/>
        <v>0</v>
      </c>
      <c r="N83" s="179">
        <f t="shared" ca="1" si="20"/>
        <v>0</v>
      </c>
      <c r="O83" s="180">
        <f ca="1">IFERROR(__xludf.DUMMYFUNCTION("IMPORTRANGE(""https://docs.google.com/spreadsheets/d/1-uDff_7J0KD5mKrp0Vvzr7lt3OU09vwQwhkpOPPYv2Y/edit?usp=sharing"",""งบพรบ!EQ83"")"),0)</f>
        <v>0</v>
      </c>
      <c r="P83" s="180">
        <f t="shared" ca="1" si="21"/>
        <v>0</v>
      </c>
      <c r="Q83" s="179">
        <f t="shared" ca="1" si="22"/>
        <v>0</v>
      </c>
      <c r="R83" s="344">
        <f ca="1">IFERROR(__xludf.DUMMYFUNCTION("IMPORTRANGE(""https://docs.google.com/spreadsheets/d/1rd4qoM1q_hsgaolqNGfrim9gbsoLxQsda4-vOz5x_BM/edit?usp=sharing"",""ภูเก็ต!I330"")"),0)</f>
        <v>0</v>
      </c>
      <c r="S83" s="177">
        <f ca="1">IFERROR(__xludf.DUMMYFUNCTION("IMPORTRANGE(""https://docs.google.com/spreadsheets/d/1rd4qoM1q_hsgaolqNGfrim9gbsoLxQsda4-vOz5x_BM/edit?usp=sharing"",""ภูเก็ต!J330"")"),0)</f>
        <v>0</v>
      </c>
      <c r="T83" s="345">
        <f t="shared" ca="1" si="24"/>
        <v>0</v>
      </c>
    </row>
    <row r="84" spans="1:20" ht="21" customHeight="1" x14ac:dyDescent="0.3">
      <c r="A84" s="84">
        <v>10</v>
      </c>
      <c r="B84" s="85" t="s">
        <v>106</v>
      </c>
      <c r="C84" s="174">
        <f t="shared" ca="1" si="15"/>
        <v>0</v>
      </c>
      <c r="D84" s="175">
        <f t="shared" ca="1" si="34"/>
        <v>0</v>
      </c>
      <c r="E84" s="176">
        <f ca="1">IFERROR(__xludf.DUMMYFUNCTION("IMPORTRANGE(""https://docs.google.com/spreadsheets/d/1-uDff_7J0KD5mKrp0Vvzr7lt3OU09vwQwhkpOPPYv2Y/edit?usp=sharing"",""งบพรบ!EJ84"")"),0)</f>
        <v>0</v>
      </c>
      <c r="F84" s="176">
        <f ca="1">IFERROR(__xludf.DUMMYFUNCTION("IMPORTRANGE(""https://docs.google.com/spreadsheets/d/1-uDff_7J0KD5mKrp0Vvzr7lt3OU09vwQwhkpOPPYv2Y/edit?usp=sharing"",""งบพรบ!EK84"")"),0)</f>
        <v>0</v>
      </c>
      <c r="G84" s="176">
        <f ca="1">IFERROR(__xludf.DUMMYFUNCTION("IMPORTRANGE(""https://docs.google.com/spreadsheets/d/1-uDff_7J0KD5mKrp0Vvzr7lt3OU09vwQwhkpOPPYv2Y/edit?usp=sharing"",""งบพรบ!EL84"")"),0)</f>
        <v>0</v>
      </c>
      <c r="H84" s="176">
        <f ca="1">IFERROR(__xludf.DUMMYFUNCTION("IMPORTRANGE(""https://docs.google.com/spreadsheets/d/1-uDff_7J0KD5mKrp0Vvzr7lt3OU09vwQwhkpOPPYv2Y/edit?usp=sharing"",""งบพรบ!EN84"")"),0)</f>
        <v>0</v>
      </c>
      <c r="I84" s="176">
        <f ca="1">IFERROR(__xludf.DUMMYFUNCTION("IMPORTRANGE(""https://docs.google.com/spreadsheets/d/1-uDff_7J0KD5mKrp0Vvzr7lt3OU09vwQwhkpOPPYv2Y/edit?usp=sharing"",""งบพรบ!EO84"")"),0)</f>
        <v>0</v>
      </c>
      <c r="J84" s="176">
        <f t="shared" ca="1" si="17"/>
        <v>0</v>
      </c>
      <c r="K84" s="181">
        <f t="shared" ca="1" si="18"/>
        <v>0</v>
      </c>
      <c r="L84" s="176">
        <f ca="1">IFERROR(__xludf.DUMMYFUNCTION("IMPORTRANGE(""https://docs.google.com/spreadsheets/d/1-uDff_7J0KD5mKrp0Vvzr7lt3OU09vwQwhkpOPPYv2Y/edit?usp=sharing"",""งบพรบ!EP84"")"),0)</f>
        <v>0</v>
      </c>
      <c r="M84" s="179">
        <f t="shared" ca="1" si="19"/>
        <v>0</v>
      </c>
      <c r="N84" s="179">
        <f t="shared" ca="1" si="20"/>
        <v>0</v>
      </c>
      <c r="O84" s="180">
        <f ca="1">IFERROR(__xludf.DUMMYFUNCTION("IMPORTRANGE(""https://docs.google.com/spreadsheets/d/1-uDff_7J0KD5mKrp0Vvzr7lt3OU09vwQwhkpOPPYv2Y/edit?usp=sharing"",""งบพรบ!EQ84"")"),0)</f>
        <v>0</v>
      </c>
      <c r="P84" s="180">
        <f t="shared" ca="1" si="21"/>
        <v>0</v>
      </c>
      <c r="Q84" s="179">
        <f t="shared" ca="1" si="22"/>
        <v>0</v>
      </c>
      <c r="R84" s="344">
        <f ca="1">IFERROR(__xludf.DUMMYFUNCTION("IMPORTRANGE(""https://docs.google.com/spreadsheets/d/1woKwKjgoLssDvPcPeVyezB5izizAn4X1JDrys69n6xI/edit?usp=sharing"",""ยะลา!I330"")"),0)</f>
        <v>0</v>
      </c>
      <c r="S84" s="177">
        <f ca="1">IFERROR(__xludf.DUMMYFUNCTION("IMPORTRANGE(""https://docs.google.com/spreadsheets/d/1woKwKjgoLssDvPcPeVyezB5izizAn4X1JDrys69n6xI/edit?usp=sharing"",""ยะลา!J330"")"),0)</f>
        <v>0</v>
      </c>
      <c r="T84" s="345">
        <f t="shared" ca="1" si="24"/>
        <v>0</v>
      </c>
    </row>
    <row r="85" spans="1:20" ht="21" customHeight="1" x14ac:dyDescent="0.3">
      <c r="A85" s="84">
        <v>11</v>
      </c>
      <c r="B85" s="85" t="s">
        <v>107</v>
      </c>
      <c r="C85" s="174">
        <f t="shared" ca="1" si="15"/>
        <v>0</v>
      </c>
      <c r="D85" s="175">
        <f t="shared" ca="1" si="34"/>
        <v>0</v>
      </c>
      <c r="E85" s="176">
        <f ca="1">IFERROR(__xludf.DUMMYFUNCTION("IMPORTRANGE(""https://docs.google.com/spreadsheets/d/1-uDff_7J0KD5mKrp0Vvzr7lt3OU09vwQwhkpOPPYv2Y/edit?usp=sharing"",""งบพรบ!EJ85"")"),0)</f>
        <v>0</v>
      </c>
      <c r="F85" s="176">
        <f ca="1">IFERROR(__xludf.DUMMYFUNCTION("IMPORTRANGE(""https://docs.google.com/spreadsheets/d/1-uDff_7J0KD5mKrp0Vvzr7lt3OU09vwQwhkpOPPYv2Y/edit?usp=sharing"",""งบพรบ!EK85"")"),0)</f>
        <v>0</v>
      </c>
      <c r="G85" s="176">
        <f ca="1">IFERROR(__xludf.DUMMYFUNCTION("IMPORTRANGE(""https://docs.google.com/spreadsheets/d/1-uDff_7J0KD5mKrp0Vvzr7lt3OU09vwQwhkpOPPYv2Y/edit?usp=sharing"",""งบพรบ!EL85"")"),0)</f>
        <v>0</v>
      </c>
      <c r="H85" s="176">
        <f ca="1">IFERROR(__xludf.DUMMYFUNCTION("IMPORTRANGE(""https://docs.google.com/spreadsheets/d/1-uDff_7J0KD5mKrp0Vvzr7lt3OU09vwQwhkpOPPYv2Y/edit?usp=sharing"",""งบพรบ!EN85"")"),0)</f>
        <v>0</v>
      </c>
      <c r="I85" s="176">
        <f ca="1">IFERROR(__xludf.DUMMYFUNCTION("IMPORTRANGE(""https://docs.google.com/spreadsheets/d/1-uDff_7J0KD5mKrp0Vvzr7lt3OU09vwQwhkpOPPYv2Y/edit?usp=sharing"",""งบพรบ!EO85"")"),0)</f>
        <v>0</v>
      </c>
      <c r="J85" s="176">
        <f t="shared" ca="1" si="17"/>
        <v>0</v>
      </c>
      <c r="K85" s="181">
        <f t="shared" ca="1" si="18"/>
        <v>0</v>
      </c>
      <c r="L85" s="176">
        <f ca="1">IFERROR(__xludf.DUMMYFUNCTION("IMPORTRANGE(""https://docs.google.com/spreadsheets/d/1-uDff_7J0KD5mKrp0Vvzr7lt3OU09vwQwhkpOPPYv2Y/edit?usp=sharing"",""งบพรบ!EP85"")"),0)</f>
        <v>0</v>
      </c>
      <c r="M85" s="179">
        <f t="shared" ca="1" si="19"/>
        <v>0</v>
      </c>
      <c r="N85" s="179">
        <f t="shared" ca="1" si="20"/>
        <v>0</v>
      </c>
      <c r="O85" s="180">
        <f ca="1">IFERROR(__xludf.DUMMYFUNCTION("IMPORTRANGE(""https://docs.google.com/spreadsheets/d/1-uDff_7J0KD5mKrp0Vvzr7lt3OU09vwQwhkpOPPYv2Y/edit?usp=sharing"",""งบพรบ!EQ85"")"),0)</f>
        <v>0</v>
      </c>
      <c r="P85" s="180">
        <f t="shared" ca="1" si="21"/>
        <v>0</v>
      </c>
      <c r="Q85" s="179">
        <f t="shared" ca="1" si="22"/>
        <v>0</v>
      </c>
      <c r="R85" s="344">
        <f ca="1">IFERROR(__xludf.DUMMYFUNCTION("IMPORTRANGE(""https://docs.google.com/spreadsheets/d/1qfrKjzMhm2HJfxQ-qVlJlJQ25Hne1d0khsySbZyGtPA/edit?usp=sharing"",""ระนอง!I330"")"),0)</f>
        <v>0</v>
      </c>
      <c r="S85" s="177">
        <f ca="1">IFERROR(__xludf.DUMMYFUNCTION("IMPORTRANGE(""https://docs.google.com/spreadsheets/d/1qfrKjzMhm2HJfxQ-qVlJlJQ25Hne1d0khsySbZyGtPA/edit?usp=sharing"",""ระนอง!J330"")"),0)</f>
        <v>0</v>
      </c>
      <c r="T85" s="345">
        <f t="shared" ca="1" si="24"/>
        <v>0</v>
      </c>
    </row>
    <row r="86" spans="1:20" ht="24" customHeight="1" x14ac:dyDescent="0.3">
      <c r="A86" s="84">
        <v>12</v>
      </c>
      <c r="B86" s="85" t="s">
        <v>108</v>
      </c>
      <c r="C86" s="174">
        <f t="shared" ca="1" si="15"/>
        <v>20000</v>
      </c>
      <c r="D86" s="175">
        <f t="shared" ca="1" si="34"/>
        <v>20000</v>
      </c>
      <c r="E86" s="176">
        <f ca="1">IFERROR(__xludf.DUMMYFUNCTION("IMPORTRANGE(""https://docs.google.com/spreadsheets/d/1-uDff_7J0KD5mKrp0Vvzr7lt3OU09vwQwhkpOPPYv2Y/edit?usp=sharing"",""งบพรบ!EJ86"")"),0)</f>
        <v>0</v>
      </c>
      <c r="F86" s="176">
        <f ca="1">IFERROR(__xludf.DUMMYFUNCTION("IMPORTRANGE(""https://docs.google.com/spreadsheets/d/1-uDff_7J0KD5mKrp0Vvzr7lt3OU09vwQwhkpOPPYv2Y/edit?usp=sharing"",""งบพรบ!EK86"")"),20000)</f>
        <v>20000</v>
      </c>
      <c r="G86" s="176">
        <f ca="1">IFERROR(__xludf.DUMMYFUNCTION("IMPORTRANGE(""https://docs.google.com/spreadsheets/d/1-uDff_7J0KD5mKrp0Vvzr7lt3OU09vwQwhkpOPPYv2Y/edit?usp=sharing"",""งบพรบ!EL86"")"),0)</f>
        <v>0</v>
      </c>
      <c r="H86" s="176">
        <f ca="1">IFERROR(__xludf.DUMMYFUNCTION("IMPORTRANGE(""https://docs.google.com/spreadsheets/d/1-uDff_7J0KD5mKrp0Vvzr7lt3OU09vwQwhkpOPPYv2Y/edit?usp=sharing"",""งบพรบ!EN86"")"),20000)</f>
        <v>20000</v>
      </c>
      <c r="I86" s="176">
        <f ca="1">IFERROR(__xludf.DUMMYFUNCTION("IMPORTRANGE(""https://docs.google.com/spreadsheets/d/1-uDff_7J0KD5mKrp0Vvzr7lt3OU09vwQwhkpOPPYv2Y/edit?usp=sharing"",""งบพรบ!EO86"")"),0)</f>
        <v>0</v>
      </c>
      <c r="J86" s="176">
        <f t="shared" ca="1" si="17"/>
        <v>1240</v>
      </c>
      <c r="K86" s="181">
        <f t="shared" ca="1" si="18"/>
        <v>6.2</v>
      </c>
      <c r="L86" s="176">
        <f ca="1">IFERROR(__xludf.DUMMYFUNCTION("IMPORTRANGE(""https://docs.google.com/spreadsheets/d/1-uDff_7J0KD5mKrp0Vvzr7lt3OU09vwQwhkpOPPYv2Y/edit?usp=sharing"",""งบพรบ!EP86"")"),1240)</f>
        <v>1240</v>
      </c>
      <c r="M86" s="179">
        <f t="shared" ca="1" si="19"/>
        <v>6.2</v>
      </c>
      <c r="N86" s="179">
        <f t="shared" ca="1" si="20"/>
        <v>6.2</v>
      </c>
      <c r="O86" s="180">
        <f ca="1">IFERROR(__xludf.DUMMYFUNCTION("IMPORTRANGE(""https://docs.google.com/spreadsheets/d/1-uDff_7J0KD5mKrp0Vvzr7lt3OU09vwQwhkpOPPYv2Y/edit?usp=sharing"",""งบพรบ!EQ86"")"),0)</f>
        <v>0</v>
      </c>
      <c r="P86" s="180">
        <f t="shared" ca="1" si="21"/>
        <v>0</v>
      </c>
      <c r="Q86" s="179">
        <f t="shared" ca="1" si="22"/>
        <v>0</v>
      </c>
      <c r="R86" s="344">
        <f ca="1">IFERROR(__xludf.DUMMYFUNCTION("IMPORTRANGE(""https://docs.google.com/spreadsheets/d/1IbSCnFOKpZsnFogBHJnL_isstZVaOMnFiIN0fGTPZZw/edit?usp=sharing"",""สงขลา!I330"")"),1)</f>
        <v>1</v>
      </c>
      <c r="S86" s="177">
        <f ca="1">IFERROR(__xludf.DUMMYFUNCTION("IMPORTRANGE(""https://docs.google.com/spreadsheets/d/1IbSCnFOKpZsnFogBHJnL_isstZVaOMnFiIN0fGTPZZw/edit?usp=sharing"",""สงขลา!J330"")"),0)</f>
        <v>0</v>
      </c>
      <c r="T86" s="345">
        <f t="shared" ca="1" si="24"/>
        <v>0</v>
      </c>
    </row>
    <row r="87" spans="1:20" ht="24" customHeight="1" x14ac:dyDescent="0.3">
      <c r="A87" s="84">
        <v>13</v>
      </c>
      <c r="B87" s="85" t="s">
        <v>109</v>
      </c>
      <c r="C87" s="174">
        <f t="shared" ca="1" si="15"/>
        <v>0</v>
      </c>
      <c r="D87" s="175">
        <f t="shared" ca="1" si="34"/>
        <v>0</v>
      </c>
      <c r="E87" s="176">
        <f ca="1">IFERROR(__xludf.DUMMYFUNCTION("IMPORTRANGE(""https://docs.google.com/spreadsheets/d/1-uDff_7J0KD5mKrp0Vvzr7lt3OU09vwQwhkpOPPYv2Y/edit?usp=sharing"",""งบพรบ!EJ87"")"),0)</f>
        <v>0</v>
      </c>
      <c r="F87" s="176">
        <f ca="1">IFERROR(__xludf.DUMMYFUNCTION("IMPORTRANGE(""https://docs.google.com/spreadsheets/d/1-uDff_7J0KD5mKrp0Vvzr7lt3OU09vwQwhkpOPPYv2Y/edit?usp=sharing"",""งบพรบ!EK87"")"),0)</f>
        <v>0</v>
      </c>
      <c r="G87" s="176">
        <f ca="1">IFERROR(__xludf.DUMMYFUNCTION("IMPORTRANGE(""https://docs.google.com/spreadsheets/d/1-uDff_7J0KD5mKrp0Vvzr7lt3OU09vwQwhkpOPPYv2Y/edit?usp=sharing"",""งบพรบ!EL87"")"),0)</f>
        <v>0</v>
      </c>
      <c r="H87" s="176">
        <f ca="1">IFERROR(__xludf.DUMMYFUNCTION("IMPORTRANGE(""https://docs.google.com/spreadsheets/d/1-uDff_7J0KD5mKrp0Vvzr7lt3OU09vwQwhkpOPPYv2Y/edit?usp=sharing"",""งบพรบ!EN87"")"),0)</f>
        <v>0</v>
      </c>
      <c r="I87" s="176">
        <f ca="1">IFERROR(__xludf.DUMMYFUNCTION("IMPORTRANGE(""https://docs.google.com/spreadsheets/d/1-uDff_7J0KD5mKrp0Vvzr7lt3OU09vwQwhkpOPPYv2Y/edit?usp=sharing"",""งบพรบ!EO87"")"),0)</f>
        <v>0</v>
      </c>
      <c r="J87" s="176">
        <f t="shared" ca="1" si="17"/>
        <v>0</v>
      </c>
      <c r="K87" s="181">
        <f t="shared" ca="1" si="18"/>
        <v>0</v>
      </c>
      <c r="L87" s="176">
        <f ca="1">IFERROR(__xludf.DUMMYFUNCTION("IMPORTRANGE(""https://docs.google.com/spreadsheets/d/1-uDff_7J0KD5mKrp0Vvzr7lt3OU09vwQwhkpOPPYv2Y/edit?usp=sharing"",""งบพรบ!EP87"")"),0)</f>
        <v>0</v>
      </c>
      <c r="M87" s="179">
        <f t="shared" ca="1" si="19"/>
        <v>0</v>
      </c>
      <c r="N87" s="179">
        <f t="shared" ca="1" si="20"/>
        <v>0</v>
      </c>
      <c r="O87" s="180">
        <f ca="1">IFERROR(__xludf.DUMMYFUNCTION("IMPORTRANGE(""https://docs.google.com/spreadsheets/d/1-uDff_7J0KD5mKrp0Vvzr7lt3OU09vwQwhkpOPPYv2Y/edit?usp=sharing"",""งบพรบ!EQ87"")"),0)</f>
        <v>0</v>
      </c>
      <c r="P87" s="180">
        <f t="shared" ca="1" si="21"/>
        <v>0</v>
      </c>
      <c r="Q87" s="179">
        <f t="shared" ca="1" si="22"/>
        <v>0</v>
      </c>
      <c r="R87" s="344">
        <f ca="1">IFERROR(__xludf.DUMMYFUNCTION("IMPORTRANGE(""https://docs.google.com/spreadsheets/d/1q9nWasZJ-K8bFGvbE9n0qSRuKGA4Toe3Y89cKCiVtCU/edit?usp=sharing"",""สตูล!I330"")"),0)</f>
        <v>0</v>
      </c>
      <c r="S87" s="177">
        <f ca="1">IFERROR(__xludf.DUMMYFUNCTION("IMPORTRANGE(""https://docs.google.com/spreadsheets/d/1q9nWasZJ-K8bFGvbE9n0qSRuKGA4Toe3Y89cKCiVtCU/edit?usp=sharing"",""สตูล!J330"")"),0)</f>
        <v>0</v>
      </c>
      <c r="T87" s="345">
        <f t="shared" ca="1" si="24"/>
        <v>0</v>
      </c>
    </row>
    <row r="88" spans="1:20" ht="24" customHeight="1" x14ac:dyDescent="0.3">
      <c r="A88" s="95">
        <v>14</v>
      </c>
      <c r="B88" s="96" t="s">
        <v>110</v>
      </c>
      <c r="C88" s="184">
        <f t="shared" ca="1" si="15"/>
        <v>20000</v>
      </c>
      <c r="D88" s="185">
        <f t="shared" ca="1" si="34"/>
        <v>20000</v>
      </c>
      <c r="E88" s="186">
        <f ca="1">IFERROR(__xludf.DUMMYFUNCTION("IMPORTRANGE(""https://docs.google.com/spreadsheets/d/1-uDff_7J0KD5mKrp0Vvzr7lt3OU09vwQwhkpOPPYv2Y/edit?usp=sharing"",""งบพรบ!EJ88"")"),0)</f>
        <v>0</v>
      </c>
      <c r="F88" s="186">
        <f ca="1">IFERROR(__xludf.DUMMYFUNCTION("IMPORTRANGE(""https://docs.google.com/spreadsheets/d/1-uDff_7J0KD5mKrp0Vvzr7lt3OU09vwQwhkpOPPYv2Y/edit?usp=sharing"",""งบพรบ!EK88"")"),20000)</f>
        <v>20000</v>
      </c>
      <c r="G88" s="186">
        <f ca="1">IFERROR(__xludf.DUMMYFUNCTION("IMPORTRANGE(""https://docs.google.com/spreadsheets/d/1-uDff_7J0KD5mKrp0Vvzr7lt3OU09vwQwhkpOPPYv2Y/edit?usp=sharing"",""งบพรบ!EL88"")"),0)</f>
        <v>0</v>
      </c>
      <c r="H88" s="186">
        <f ca="1">IFERROR(__xludf.DUMMYFUNCTION("IMPORTRANGE(""https://docs.google.com/spreadsheets/d/1-uDff_7J0KD5mKrp0Vvzr7lt3OU09vwQwhkpOPPYv2Y/edit?usp=sharing"",""งบพรบ!EN88"")"),20000)</f>
        <v>20000</v>
      </c>
      <c r="I88" s="186">
        <f ca="1">IFERROR(__xludf.DUMMYFUNCTION("IMPORTRANGE(""https://docs.google.com/spreadsheets/d/1-uDff_7J0KD5mKrp0Vvzr7lt3OU09vwQwhkpOPPYv2Y/edit?usp=sharing"",""งบพรบ!EO88"")"),0)</f>
        <v>0</v>
      </c>
      <c r="J88" s="186">
        <f t="shared" ca="1" si="17"/>
        <v>1320</v>
      </c>
      <c r="K88" s="187">
        <f t="shared" ca="1" si="18"/>
        <v>6.6</v>
      </c>
      <c r="L88" s="186">
        <f ca="1">IFERROR(__xludf.DUMMYFUNCTION("IMPORTRANGE(""https://docs.google.com/spreadsheets/d/1-uDff_7J0KD5mKrp0Vvzr7lt3OU09vwQwhkpOPPYv2Y/edit?usp=sharing"",""งบพรบ!EP88"")"),1320)</f>
        <v>1320</v>
      </c>
      <c r="M88" s="188">
        <f t="shared" ca="1" si="19"/>
        <v>6.6</v>
      </c>
      <c r="N88" s="188">
        <f t="shared" ca="1" si="20"/>
        <v>6.6</v>
      </c>
      <c r="O88" s="189">
        <f ca="1">IFERROR(__xludf.DUMMYFUNCTION("IMPORTRANGE(""https://docs.google.com/spreadsheets/d/1-uDff_7J0KD5mKrp0Vvzr7lt3OU09vwQwhkpOPPYv2Y/edit?usp=sharing"",""งบพรบ!EQ88"")"),0)</f>
        <v>0</v>
      </c>
      <c r="P88" s="189">
        <f t="shared" ca="1" si="21"/>
        <v>0</v>
      </c>
      <c r="Q88" s="188">
        <f t="shared" ca="1" si="22"/>
        <v>0</v>
      </c>
      <c r="R88" s="347">
        <f ca="1">IFERROR(__xludf.DUMMYFUNCTION("IMPORTRANGE(""https://docs.google.com/spreadsheets/d/18T20gbkS_WBjdscyTOV05cvq_JqvqQ17C81mpxf7Ncs/edit?usp=sharing"",""สุราษฎร์ธานี!I330"")"),1)</f>
        <v>1</v>
      </c>
      <c r="S88" s="190">
        <f ca="1">IFERROR(__xludf.DUMMYFUNCTION("IMPORTRANGE(""https://docs.google.com/spreadsheets/d/18T20gbkS_WBjdscyTOV05cvq_JqvqQ17C81mpxf7Ncs/edit?usp=sharing"",""สุราษฎร์ธานี!J330"")"),0)</f>
        <v>0</v>
      </c>
      <c r="T88" s="348">
        <f t="shared" ca="1" si="24"/>
        <v>0</v>
      </c>
    </row>
    <row r="89" spans="1:20" ht="21" customHeight="1" x14ac:dyDescent="0.3">
      <c r="A89" s="424" t="s">
        <v>111</v>
      </c>
      <c r="B89" s="422"/>
      <c r="C89" s="47">
        <f t="shared" ref="C89:Q89" ca="1" si="35">SUM(C90:C106)</f>
        <v>2517600</v>
      </c>
      <c r="D89" s="46">
        <f t="shared" ca="1" si="35"/>
        <v>2517600</v>
      </c>
      <c r="E89" s="46">
        <f t="shared" ca="1" si="35"/>
        <v>1245400</v>
      </c>
      <c r="F89" s="46">
        <f t="shared" ca="1" si="35"/>
        <v>1272200</v>
      </c>
      <c r="G89" s="46">
        <f t="shared" ca="1" si="35"/>
        <v>0</v>
      </c>
      <c r="H89" s="46">
        <f t="shared" ca="1" si="35"/>
        <v>1867600</v>
      </c>
      <c r="I89" s="46">
        <f t="shared" ca="1" si="35"/>
        <v>0</v>
      </c>
      <c r="J89" s="46">
        <f t="shared" ca="1" si="35"/>
        <v>267920.95</v>
      </c>
      <c r="K89" s="48">
        <f t="shared" ca="1" si="35"/>
        <v>25.628585249053728</v>
      </c>
      <c r="L89" s="46">
        <f t="shared" ca="1" si="35"/>
        <v>267920.95</v>
      </c>
      <c r="M89" s="48">
        <f t="shared" ca="1" si="35"/>
        <v>25.628585249053728</v>
      </c>
      <c r="N89" s="48">
        <f t="shared" ca="1" si="35"/>
        <v>35.890119029082477</v>
      </c>
      <c r="O89" s="46">
        <f t="shared" ca="1" si="35"/>
        <v>0</v>
      </c>
      <c r="P89" s="46">
        <f t="shared" ca="1" si="35"/>
        <v>0</v>
      </c>
      <c r="Q89" s="46">
        <f t="shared" ca="1" si="35"/>
        <v>0</v>
      </c>
      <c r="R89" s="46"/>
      <c r="S89" s="46"/>
      <c r="T89" s="49"/>
    </row>
    <row r="90" spans="1:20" ht="24" customHeight="1" x14ac:dyDescent="0.3">
      <c r="A90" s="192"/>
      <c r="B90" s="114" t="s">
        <v>112</v>
      </c>
      <c r="C90" s="193">
        <f t="shared" ref="C90:C106" ca="1" si="36">D90+G90</f>
        <v>0</v>
      </c>
      <c r="D90" s="194">
        <f t="shared" ref="D90:D106" ca="1" si="37">+E90+F90</f>
        <v>0</v>
      </c>
      <c r="E90" s="78">
        <f ca="1">IFERROR(__xludf.DUMMYFUNCTION("IMPORTRANGE(""https://docs.google.com/spreadsheets/d/1-uDff_7J0KD5mKrp0Vvzr7lt3OU09vwQwhkpOPPYv2Y/edit?usp=sharing"",""งบพรบ!EJ90"")"),0)</f>
        <v>0</v>
      </c>
      <c r="F90" s="78">
        <f ca="1">IFERROR(__xludf.DUMMYFUNCTION("IMPORTRANGE(""https://docs.google.com/spreadsheets/d/1-uDff_7J0KD5mKrp0Vvzr7lt3OU09vwQwhkpOPPYv2Y/edit?usp=sharing"",""งบพรบ!EK90"")"),0)</f>
        <v>0</v>
      </c>
      <c r="G90" s="78">
        <f ca="1">IFERROR(__xludf.DUMMYFUNCTION("IMPORTRANGE(""https://docs.google.com/spreadsheets/d/1-uDff_7J0KD5mKrp0Vvzr7lt3OU09vwQwhkpOPPYv2Y/edit?usp=sharing"",""งบพรบ!EL90"")"),0)</f>
        <v>0</v>
      </c>
      <c r="H90" s="78">
        <f ca="1">IFERROR(__xludf.DUMMYFUNCTION("IMPORTRANGE(""https://docs.google.com/spreadsheets/d/1-uDff_7J0KD5mKrp0Vvzr7lt3OU09vwQwhkpOPPYv2Y/edit?usp=sharing"",""งบพรบ!EN90"")"),0)</f>
        <v>0</v>
      </c>
      <c r="I90" s="78">
        <f ca="1">IFERROR(__xludf.DUMMYFUNCTION("IMPORTRANGE(""https://docs.google.com/spreadsheets/d/1-uDff_7J0KD5mKrp0Vvzr7lt3OU09vwQwhkpOPPYv2Y/edit?usp=sharing"",""งบพรบ!EO90"")"),0)</f>
        <v>0</v>
      </c>
      <c r="J90" s="78">
        <f t="shared" ref="J90:J106" ca="1" si="38">L90+O90</f>
        <v>0</v>
      </c>
      <c r="K90" s="115">
        <f t="shared" ref="K90:K106" ca="1" si="39">IF(C90&gt;0,J90*100/C90,0)</f>
        <v>0</v>
      </c>
      <c r="L90" s="78">
        <f ca="1">IFERROR(__xludf.DUMMYFUNCTION("IMPORTRANGE(""https://docs.google.com/spreadsheets/d/1-uDff_7J0KD5mKrp0Vvzr7lt3OU09vwQwhkpOPPYv2Y/edit?usp=sharing"",""งบพรบ!EP90"")"),0)</f>
        <v>0</v>
      </c>
      <c r="M90" s="81">
        <f t="shared" ref="M90:M106" ca="1" si="40">IF(D90&gt;0,L90*100/D90,0)</f>
        <v>0</v>
      </c>
      <c r="N90" s="81">
        <f t="shared" ref="N90:N106" ca="1" si="41">IF(H90&gt;0,L90*100/H90,0)</f>
        <v>0</v>
      </c>
      <c r="O90" s="82">
        <f ca="1">IFERROR(__xludf.DUMMYFUNCTION("IMPORTRANGE(""https://docs.google.com/spreadsheets/d/1-uDff_7J0KD5mKrp0Vvzr7lt3OU09vwQwhkpOPPYv2Y/edit?usp=sharing"",""งบพรบ!EQ90"")"),0)</f>
        <v>0</v>
      </c>
      <c r="P90" s="82">
        <f t="shared" ref="P90:P106" ca="1" si="42">IF(G90&gt;0,O90*100/G90,0)</f>
        <v>0</v>
      </c>
      <c r="Q90" s="81">
        <f t="shared" ref="Q90:Q106" ca="1" si="43">IF(I90&gt;0,O90*100/I90,0)</f>
        <v>0</v>
      </c>
      <c r="R90" s="78"/>
      <c r="S90" s="78"/>
      <c r="T90" s="81"/>
    </row>
    <row r="91" spans="1:20" ht="24" customHeight="1" x14ac:dyDescent="0.3">
      <c r="A91" s="196"/>
      <c r="B91" s="117" t="s">
        <v>113</v>
      </c>
      <c r="C91" s="197">
        <f t="shared" ca="1" si="36"/>
        <v>0</v>
      </c>
      <c r="D91" s="198">
        <f t="shared" ca="1" si="37"/>
        <v>0</v>
      </c>
      <c r="E91" s="88">
        <f ca="1">IFERROR(__xludf.DUMMYFUNCTION("IMPORTRANGE(""https://docs.google.com/spreadsheets/d/1-uDff_7J0KD5mKrp0Vvzr7lt3OU09vwQwhkpOPPYv2Y/edit?usp=sharing"",""งบพรบ!EJ91"")"),0)</f>
        <v>0</v>
      </c>
      <c r="F91" s="88">
        <f ca="1">IFERROR(__xludf.DUMMYFUNCTION("IMPORTRANGE(""https://docs.google.com/spreadsheets/d/1-uDff_7J0KD5mKrp0Vvzr7lt3OU09vwQwhkpOPPYv2Y/edit?usp=sharing"",""งบพรบ!EK91"")"),0)</f>
        <v>0</v>
      </c>
      <c r="G91" s="88">
        <f ca="1">IFERROR(__xludf.DUMMYFUNCTION("IMPORTRANGE(""https://docs.google.com/spreadsheets/d/1-uDff_7J0KD5mKrp0Vvzr7lt3OU09vwQwhkpOPPYv2Y/edit?usp=sharing"",""งบพรบ!EL91"")"),0)</f>
        <v>0</v>
      </c>
      <c r="H91" s="88">
        <f ca="1">IFERROR(__xludf.DUMMYFUNCTION("IMPORTRANGE(""https://docs.google.com/spreadsheets/d/1-uDff_7J0KD5mKrp0Vvzr7lt3OU09vwQwhkpOPPYv2Y/edit?usp=sharing"",""งบพรบ!EN91"")"),0)</f>
        <v>0</v>
      </c>
      <c r="I91" s="88">
        <f ca="1">IFERROR(__xludf.DUMMYFUNCTION("IMPORTRANGE(""https://docs.google.com/spreadsheets/d/1-uDff_7J0KD5mKrp0Vvzr7lt3OU09vwQwhkpOPPYv2Y/edit?usp=sharing"",""งบพรบ!EO91"")"),0)</f>
        <v>0</v>
      </c>
      <c r="J91" s="88">
        <f t="shared" ca="1" si="38"/>
        <v>0</v>
      </c>
      <c r="K91" s="89">
        <f t="shared" ca="1" si="39"/>
        <v>0</v>
      </c>
      <c r="L91" s="88">
        <f ca="1">IFERROR(__xludf.DUMMYFUNCTION("IMPORTRANGE(""https://docs.google.com/spreadsheets/d/1-uDff_7J0KD5mKrp0Vvzr7lt3OU09vwQwhkpOPPYv2Y/edit?usp=sharing"",""งบพรบ!EP91"")"),0)</f>
        <v>0</v>
      </c>
      <c r="M91" s="90">
        <f t="shared" ca="1" si="40"/>
        <v>0</v>
      </c>
      <c r="N91" s="90">
        <f t="shared" ca="1" si="41"/>
        <v>0</v>
      </c>
      <c r="O91" s="91">
        <f ca="1">IFERROR(__xludf.DUMMYFUNCTION("IMPORTRANGE(""https://docs.google.com/spreadsheets/d/1-uDff_7J0KD5mKrp0Vvzr7lt3OU09vwQwhkpOPPYv2Y/edit?usp=sharing"",""งบพรบ!EQ91"")"),0)</f>
        <v>0</v>
      </c>
      <c r="P91" s="91">
        <f t="shared" ca="1" si="42"/>
        <v>0</v>
      </c>
      <c r="Q91" s="90">
        <f t="shared" ca="1" si="43"/>
        <v>0</v>
      </c>
      <c r="R91" s="88"/>
      <c r="S91" s="88"/>
      <c r="T91" s="90"/>
    </row>
    <row r="92" spans="1:20" ht="24" customHeight="1" x14ac:dyDescent="0.3">
      <c r="A92" s="196"/>
      <c r="B92" s="117" t="s">
        <v>114</v>
      </c>
      <c r="C92" s="197">
        <f t="shared" ca="1" si="36"/>
        <v>0</v>
      </c>
      <c r="D92" s="198">
        <f t="shared" ca="1" si="37"/>
        <v>0</v>
      </c>
      <c r="E92" s="88">
        <f ca="1">IFERROR(__xludf.DUMMYFUNCTION("IMPORTRANGE(""https://docs.google.com/spreadsheets/d/1-uDff_7J0KD5mKrp0Vvzr7lt3OU09vwQwhkpOPPYv2Y/edit?usp=sharing"",""งบพรบ!EJ92"")"),0)</f>
        <v>0</v>
      </c>
      <c r="F92" s="88">
        <f ca="1">IFERROR(__xludf.DUMMYFUNCTION("IMPORTRANGE(""https://docs.google.com/spreadsheets/d/1-uDff_7J0KD5mKrp0Vvzr7lt3OU09vwQwhkpOPPYv2Y/edit?usp=sharing"",""งบพรบ!EK92"")"),0)</f>
        <v>0</v>
      </c>
      <c r="G92" s="88">
        <f ca="1">IFERROR(__xludf.DUMMYFUNCTION("IMPORTRANGE(""https://docs.google.com/spreadsheets/d/1-uDff_7J0KD5mKrp0Vvzr7lt3OU09vwQwhkpOPPYv2Y/edit?usp=sharing"",""งบพรบ!EL92"")"),0)</f>
        <v>0</v>
      </c>
      <c r="H92" s="88">
        <f ca="1">IFERROR(__xludf.DUMMYFUNCTION("IMPORTRANGE(""https://docs.google.com/spreadsheets/d/1-uDff_7J0KD5mKrp0Vvzr7lt3OU09vwQwhkpOPPYv2Y/edit?usp=sharing"",""งบพรบ!EN92"")"),0)</f>
        <v>0</v>
      </c>
      <c r="I92" s="88">
        <f ca="1">IFERROR(__xludf.DUMMYFUNCTION("IMPORTRANGE(""https://docs.google.com/spreadsheets/d/1-uDff_7J0KD5mKrp0Vvzr7lt3OU09vwQwhkpOPPYv2Y/edit?usp=sharing"",""งบพรบ!EO92"")"),0)</f>
        <v>0</v>
      </c>
      <c r="J92" s="88">
        <f t="shared" ca="1" si="38"/>
        <v>0</v>
      </c>
      <c r="K92" s="89">
        <f t="shared" ca="1" si="39"/>
        <v>0</v>
      </c>
      <c r="L92" s="88">
        <f ca="1">IFERROR(__xludf.DUMMYFUNCTION("IMPORTRANGE(""https://docs.google.com/spreadsheets/d/1-uDff_7J0KD5mKrp0Vvzr7lt3OU09vwQwhkpOPPYv2Y/edit?usp=sharing"",""งบพรบ!EP92"")"),0)</f>
        <v>0</v>
      </c>
      <c r="M92" s="90">
        <f t="shared" ca="1" si="40"/>
        <v>0</v>
      </c>
      <c r="N92" s="90">
        <f t="shared" ca="1" si="41"/>
        <v>0</v>
      </c>
      <c r="O92" s="91">
        <f ca="1">IFERROR(__xludf.DUMMYFUNCTION("IMPORTRANGE(""https://docs.google.com/spreadsheets/d/1-uDff_7J0KD5mKrp0Vvzr7lt3OU09vwQwhkpOPPYv2Y/edit?usp=sharing"",""งบพรบ!EQ92"")"),0)</f>
        <v>0</v>
      </c>
      <c r="P92" s="91">
        <f t="shared" ca="1" si="42"/>
        <v>0</v>
      </c>
      <c r="Q92" s="90">
        <f t="shared" ca="1" si="43"/>
        <v>0</v>
      </c>
      <c r="R92" s="88"/>
      <c r="S92" s="88"/>
      <c r="T92" s="90"/>
    </row>
    <row r="93" spans="1:20" ht="24" customHeight="1" x14ac:dyDescent="0.3">
      <c r="A93" s="196"/>
      <c r="B93" s="117" t="s">
        <v>115</v>
      </c>
      <c r="C93" s="197">
        <f t="shared" ca="1" si="36"/>
        <v>0</v>
      </c>
      <c r="D93" s="198">
        <f t="shared" ca="1" si="37"/>
        <v>0</v>
      </c>
      <c r="E93" s="88">
        <f ca="1">IFERROR(__xludf.DUMMYFUNCTION("IMPORTRANGE(""https://docs.google.com/spreadsheets/d/1-uDff_7J0KD5mKrp0Vvzr7lt3OU09vwQwhkpOPPYv2Y/edit?usp=sharing"",""งบพรบ!EJ93"")"),0)</f>
        <v>0</v>
      </c>
      <c r="F93" s="88">
        <f ca="1">IFERROR(__xludf.DUMMYFUNCTION("IMPORTRANGE(""https://docs.google.com/spreadsheets/d/1-uDff_7J0KD5mKrp0Vvzr7lt3OU09vwQwhkpOPPYv2Y/edit?usp=sharing"",""งบพรบ!EK93"")"),0)</f>
        <v>0</v>
      </c>
      <c r="G93" s="88">
        <f ca="1">IFERROR(__xludf.DUMMYFUNCTION("IMPORTRANGE(""https://docs.google.com/spreadsheets/d/1-uDff_7J0KD5mKrp0Vvzr7lt3OU09vwQwhkpOPPYv2Y/edit?usp=sharing"",""งบพรบ!EL93"")"),0)</f>
        <v>0</v>
      </c>
      <c r="H93" s="88">
        <f ca="1">IFERROR(__xludf.DUMMYFUNCTION("IMPORTRANGE(""https://docs.google.com/spreadsheets/d/1-uDff_7J0KD5mKrp0Vvzr7lt3OU09vwQwhkpOPPYv2Y/edit?usp=sharing"",""งบพรบ!EN93"")"),0)</f>
        <v>0</v>
      </c>
      <c r="I93" s="88">
        <f ca="1">IFERROR(__xludf.DUMMYFUNCTION("IMPORTRANGE(""https://docs.google.com/spreadsheets/d/1-uDff_7J0KD5mKrp0Vvzr7lt3OU09vwQwhkpOPPYv2Y/edit?usp=sharing"",""งบพรบ!EO93"")"),0)</f>
        <v>0</v>
      </c>
      <c r="J93" s="88">
        <f t="shared" ca="1" si="38"/>
        <v>0</v>
      </c>
      <c r="K93" s="89">
        <f t="shared" ca="1" si="39"/>
        <v>0</v>
      </c>
      <c r="L93" s="88">
        <f ca="1">IFERROR(__xludf.DUMMYFUNCTION("IMPORTRANGE(""https://docs.google.com/spreadsheets/d/1-uDff_7J0KD5mKrp0Vvzr7lt3OU09vwQwhkpOPPYv2Y/edit?usp=sharing"",""งบพรบ!EP93"")"),0)</f>
        <v>0</v>
      </c>
      <c r="M93" s="90">
        <f t="shared" ca="1" si="40"/>
        <v>0</v>
      </c>
      <c r="N93" s="90">
        <f t="shared" ca="1" si="41"/>
        <v>0</v>
      </c>
      <c r="O93" s="91">
        <f ca="1">IFERROR(__xludf.DUMMYFUNCTION("IMPORTRANGE(""https://docs.google.com/spreadsheets/d/1-uDff_7J0KD5mKrp0Vvzr7lt3OU09vwQwhkpOPPYv2Y/edit?usp=sharing"",""งบพรบ!EQ93"")"),0)</f>
        <v>0</v>
      </c>
      <c r="P93" s="91">
        <f t="shared" ca="1" si="42"/>
        <v>0</v>
      </c>
      <c r="Q93" s="90">
        <f t="shared" ca="1" si="43"/>
        <v>0</v>
      </c>
      <c r="R93" s="88"/>
      <c r="S93" s="88"/>
      <c r="T93" s="90"/>
    </row>
    <row r="94" spans="1:20" ht="24" customHeight="1" x14ac:dyDescent="0.3">
      <c r="A94" s="196"/>
      <c r="B94" s="117" t="s">
        <v>116</v>
      </c>
      <c r="C94" s="197">
        <f t="shared" ca="1" si="36"/>
        <v>0</v>
      </c>
      <c r="D94" s="198">
        <f t="shared" ca="1" si="37"/>
        <v>0</v>
      </c>
      <c r="E94" s="88">
        <f ca="1">IFERROR(__xludf.DUMMYFUNCTION("IMPORTRANGE(""https://docs.google.com/spreadsheets/d/1-uDff_7J0KD5mKrp0Vvzr7lt3OU09vwQwhkpOPPYv2Y/edit?usp=sharing"",""งบพรบ!EJ94"")"),0)</f>
        <v>0</v>
      </c>
      <c r="F94" s="88">
        <f ca="1">IFERROR(__xludf.DUMMYFUNCTION("IMPORTRANGE(""https://docs.google.com/spreadsheets/d/1-uDff_7J0KD5mKrp0Vvzr7lt3OU09vwQwhkpOPPYv2Y/edit?usp=sharing"",""งบพรบ!EK94"")"),0)</f>
        <v>0</v>
      </c>
      <c r="G94" s="88">
        <f ca="1">IFERROR(__xludf.DUMMYFUNCTION("IMPORTRANGE(""https://docs.google.com/spreadsheets/d/1-uDff_7J0KD5mKrp0Vvzr7lt3OU09vwQwhkpOPPYv2Y/edit?usp=sharing"",""งบพรบ!EL94"")"),0)</f>
        <v>0</v>
      </c>
      <c r="H94" s="88">
        <f ca="1">IFERROR(__xludf.DUMMYFUNCTION("IMPORTRANGE(""https://docs.google.com/spreadsheets/d/1-uDff_7J0KD5mKrp0Vvzr7lt3OU09vwQwhkpOPPYv2Y/edit?usp=sharing"",""งบพรบ!EN94"")"),0)</f>
        <v>0</v>
      </c>
      <c r="I94" s="88">
        <f ca="1">IFERROR(__xludf.DUMMYFUNCTION("IMPORTRANGE(""https://docs.google.com/spreadsheets/d/1-uDff_7J0KD5mKrp0Vvzr7lt3OU09vwQwhkpOPPYv2Y/edit?usp=sharing"",""งบพรบ!EO94"")"),0)</f>
        <v>0</v>
      </c>
      <c r="J94" s="88">
        <f t="shared" ca="1" si="38"/>
        <v>0</v>
      </c>
      <c r="K94" s="89">
        <f t="shared" ca="1" si="39"/>
        <v>0</v>
      </c>
      <c r="L94" s="88">
        <f ca="1">IFERROR(__xludf.DUMMYFUNCTION("IMPORTRANGE(""https://docs.google.com/spreadsheets/d/1-uDff_7J0KD5mKrp0Vvzr7lt3OU09vwQwhkpOPPYv2Y/edit?usp=sharing"",""งบพรบ!EP94"")"),0)</f>
        <v>0</v>
      </c>
      <c r="M94" s="90">
        <f t="shared" ca="1" si="40"/>
        <v>0</v>
      </c>
      <c r="N94" s="90">
        <f t="shared" ca="1" si="41"/>
        <v>0</v>
      </c>
      <c r="O94" s="91">
        <f ca="1">IFERROR(__xludf.DUMMYFUNCTION("IMPORTRANGE(""https://docs.google.com/spreadsheets/d/1-uDff_7J0KD5mKrp0Vvzr7lt3OU09vwQwhkpOPPYv2Y/edit?usp=sharing"",""งบพรบ!EQ94"")"),0)</f>
        <v>0</v>
      </c>
      <c r="P94" s="91">
        <f t="shared" ca="1" si="42"/>
        <v>0</v>
      </c>
      <c r="Q94" s="90">
        <f t="shared" ca="1" si="43"/>
        <v>0</v>
      </c>
      <c r="R94" s="88"/>
      <c r="S94" s="88"/>
      <c r="T94" s="90"/>
    </row>
    <row r="95" spans="1:20" ht="24" customHeight="1" x14ac:dyDescent="0.3">
      <c r="A95" s="196"/>
      <c r="B95" s="117" t="s">
        <v>117</v>
      </c>
      <c r="C95" s="197">
        <f t="shared" ca="1" si="36"/>
        <v>1272200</v>
      </c>
      <c r="D95" s="198">
        <f t="shared" ca="1" si="37"/>
        <v>1272200</v>
      </c>
      <c r="E95" s="88">
        <f ca="1">IFERROR(__xludf.DUMMYFUNCTION("IMPORTRANGE(""https://docs.google.com/spreadsheets/d/1-uDff_7J0KD5mKrp0Vvzr7lt3OU09vwQwhkpOPPYv2Y/edit?usp=sharing"",""งบพรบ!EJ95"")"),0)</f>
        <v>0</v>
      </c>
      <c r="F95" s="88">
        <f ca="1">IFERROR(__xludf.DUMMYFUNCTION("IMPORTRANGE(""https://docs.google.com/spreadsheets/d/1-uDff_7J0KD5mKrp0Vvzr7lt3OU09vwQwhkpOPPYv2Y/edit?usp=sharing"",""งบพรบ!EK95"")"),1272200)</f>
        <v>1272200</v>
      </c>
      <c r="G95" s="88">
        <f ca="1">IFERROR(__xludf.DUMMYFUNCTION("IMPORTRANGE(""https://docs.google.com/spreadsheets/d/1-uDff_7J0KD5mKrp0Vvzr7lt3OU09vwQwhkpOPPYv2Y/edit?usp=sharing"",""งบพรบ!EL95"")"),0)</f>
        <v>0</v>
      </c>
      <c r="H95" s="88">
        <f ca="1">IFERROR(__xludf.DUMMYFUNCTION("IMPORTRANGE(""https://docs.google.com/spreadsheets/d/1-uDff_7J0KD5mKrp0Vvzr7lt3OU09vwQwhkpOPPYv2Y/edit?usp=sharing"",""งบพรบ!EN95"")"),895700)</f>
        <v>895700</v>
      </c>
      <c r="I95" s="88">
        <f ca="1">IFERROR(__xludf.DUMMYFUNCTION("IMPORTRANGE(""https://docs.google.com/spreadsheets/d/1-uDff_7J0KD5mKrp0Vvzr7lt3OU09vwQwhkpOPPYv2Y/edit?usp=sharing"",""งบพรบ!EO95"")"),0)</f>
        <v>0</v>
      </c>
      <c r="J95" s="88">
        <f t="shared" ca="1" si="38"/>
        <v>7580.95</v>
      </c>
      <c r="K95" s="89">
        <f t="shared" ca="1" si="39"/>
        <v>0.59589294136142112</v>
      </c>
      <c r="L95" s="88">
        <f ca="1">IFERROR(__xludf.DUMMYFUNCTION("IMPORTRANGE(""https://docs.google.com/spreadsheets/d/1-uDff_7J0KD5mKrp0Vvzr7lt3OU09vwQwhkpOPPYv2Y/edit?usp=sharing"",""งบพรบ!EP95"")"),7580.95)</f>
        <v>7580.95</v>
      </c>
      <c r="M95" s="90">
        <f t="shared" ca="1" si="40"/>
        <v>0.59589294136142112</v>
      </c>
      <c r="N95" s="90">
        <f t="shared" ca="1" si="41"/>
        <v>0.84637155297532651</v>
      </c>
      <c r="O95" s="91">
        <f ca="1">IFERROR(__xludf.DUMMYFUNCTION("IMPORTRANGE(""https://docs.google.com/spreadsheets/d/1-uDff_7J0KD5mKrp0Vvzr7lt3OU09vwQwhkpOPPYv2Y/edit?usp=sharing"",""งบพรบ!EQ95"")"),0)</f>
        <v>0</v>
      </c>
      <c r="P95" s="91">
        <f t="shared" ca="1" si="42"/>
        <v>0</v>
      </c>
      <c r="Q95" s="90">
        <f t="shared" ca="1" si="43"/>
        <v>0</v>
      </c>
      <c r="R95" s="88"/>
      <c r="S95" s="88"/>
      <c r="T95" s="90"/>
    </row>
    <row r="96" spans="1:20" ht="24" customHeight="1" x14ac:dyDescent="0.3">
      <c r="A96" s="196"/>
      <c r="B96" s="117" t="s">
        <v>118</v>
      </c>
      <c r="C96" s="197">
        <f t="shared" ca="1" si="36"/>
        <v>0</v>
      </c>
      <c r="D96" s="198">
        <f t="shared" ca="1" si="37"/>
        <v>0</v>
      </c>
      <c r="E96" s="88">
        <f ca="1">IFERROR(__xludf.DUMMYFUNCTION("IMPORTRANGE(""https://docs.google.com/spreadsheets/d/1-uDff_7J0KD5mKrp0Vvzr7lt3OU09vwQwhkpOPPYv2Y/edit?usp=sharing"",""งบพรบ!EJ96"")"),0)</f>
        <v>0</v>
      </c>
      <c r="F96" s="88">
        <f ca="1">IFERROR(__xludf.DUMMYFUNCTION("IMPORTRANGE(""https://docs.google.com/spreadsheets/d/1-uDff_7J0KD5mKrp0Vvzr7lt3OU09vwQwhkpOPPYv2Y/edit?usp=sharing"",""งบพรบ!EK96"")"),0)</f>
        <v>0</v>
      </c>
      <c r="G96" s="88">
        <f ca="1">IFERROR(__xludf.DUMMYFUNCTION("IMPORTRANGE(""https://docs.google.com/spreadsheets/d/1-uDff_7J0KD5mKrp0Vvzr7lt3OU09vwQwhkpOPPYv2Y/edit?usp=sharing"",""งบพรบ!EL96"")"),0)</f>
        <v>0</v>
      </c>
      <c r="H96" s="88">
        <f ca="1">IFERROR(__xludf.DUMMYFUNCTION("IMPORTRANGE(""https://docs.google.com/spreadsheets/d/1-uDff_7J0KD5mKrp0Vvzr7lt3OU09vwQwhkpOPPYv2Y/edit?usp=sharing"",""งบพรบ!EN96"")"),0)</f>
        <v>0</v>
      </c>
      <c r="I96" s="88">
        <f ca="1">IFERROR(__xludf.DUMMYFUNCTION("IMPORTRANGE(""https://docs.google.com/spreadsheets/d/1-uDff_7J0KD5mKrp0Vvzr7lt3OU09vwQwhkpOPPYv2Y/edit?usp=sharing"",""งบพรบ!EO96"")"),0)</f>
        <v>0</v>
      </c>
      <c r="J96" s="88">
        <f t="shared" ca="1" si="38"/>
        <v>0</v>
      </c>
      <c r="K96" s="89">
        <f t="shared" ca="1" si="39"/>
        <v>0</v>
      </c>
      <c r="L96" s="88">
        <f ca="1">IFERROR(__xludf.DUMMYFUNCTION("IMPORTRANGE(""https://docs.google.com/spreadsheets/d/1-uDff_7J0KD5mKrp0Vvzr7lt3OU09vwQwhkpOPPYv2Y/edit?usp=sharing"",""งบพรบ!EP96"")"),0)</f>
        <v>0</v>
      </c>
      <c r="M96" s="90">
        <f t="shared" ca="1" si="40"/>
        <v>0</v>
      </c>
      <c r="N96" s="90">
        <f t="shared" ca="1" si="41"/>
        <v>0</v>
      </c>
      <c r="O96" s="91">
        <f ca="1">IFERROR(__xludf.DUMMYFUNCTION("IMPORTRANGE(""https://docs.google.com/spreadsheets/d/1-uDff_7J0KD5mKrp0Vvzr7lt3OU09vwQwhkpOPPYv2Y/edit?usp=sharing"",""งบพรบ!EQ96"")"),0)</f>
        <v>0</v>
      </c>
      <c r="P96" s="91">
        <f t="shared" ca="1" si="42"/>
        <v>0</v>
      </c>
      <c r="Q96" s="90">
        <f t="shared" ca="1" si="43"/>
        <v>0</v>
      </c>
      <c r="R96" s="88"/>
      <c r="S96" s="88"/>
      <c r="T96" s="90"/>
    </row>
    <row r="97" spans="1:20" ht="24" customHeight="1" x14ac:dyDescent="0.3">
      <c r="A97" s="196"/>
      <c r="B97" s="117" t="s">
        <v>119</v>
      </c>
      <c r="C97" s="197">
        <f t="shared" ca="1" si="36"/>
        <v>0</v>
      </c>
      <c r="D97" s="198">
        <f t="shared" ca="1" si="37"/>
        <v>0</v>
      </c>
      <c r="E97" s="88">
        <f ca="1">IFERROR(__xludf.DUMMYFUNCTION("IMPORTRANGE(""https://docs.google.com/spreadsheets/d/1-uDff_7J0KD5mKrp0Vvzr7lt3OU09vwQwhkpOPPYv2Y/edit?usp=sharing"",""งบพรบ!EJ97"")"),0)</f>
        <v>0</v>
      </c>
      <c r="F97" s="88">
        <f ca="1">IFERROR(__xludf.DUMMYFUNCTION("IMPORTRANGE(""https://docs.google.com/spreadsheets/d/1-uDff_7J0KD5mKrp0Vvzr7lt3OU09vwQwhkpOPPYv2Y/edit?usp=sharing"",""งบพรบ!EK97"")"),0)</f>
        <v>0</v>
      </c>
      <c r="G97" s="88">
        <f ca="1">IFERROR(__xludf.DUMMYFUNCTION("IMPORTRANGE(""https://docs.google.com/spreadsheets/d/1-uDff_7J0KD5mKrp0Vvzr7lt3OU09vwQwhkpOPPYv2Y/edit?usp=sharing"",""งบพรบ!EL97"")"),0)</f>
        <v>0</v>
      </c>
      <c r="H97" s="88">
        <f ca="1">IFERROR(__xludf.DUMMYFUNCTION("IMPORTRANGE(""https://docs.google.com/spreadsheets/d/1-uDff_7J0KD5mKrp0Vvzr7lt3OU09vwQwhkpOPPYv2Y/edit?usp=sharing"",""งบพรบ!EN97"")"),0)</f>
        <v>0</v>
      </c>
      <c r="I97" s="88">
        <f ca="1">IFERROR(__xludf.DUMMYFUNCTION("IMPORTRANGE(""https://docs.google.com/spreadsheets/d/1-uDff_7J0KD5mKrp0Vvzr7lt3OU09vwQwhkpOPPYv2Y/edit?usp=sharing"",""งบพรบ!EO97"")"),0)</f>
        <v>0</v>
      </c>
      <c r="J97" s="88">
        <f t="shared" ca="1" si="38"/>
        <v>0</v>
      </c>
      <c r="K97" s="89">
        <f t="shared" ca="1" si="39"/>
        <v>0</v>
      </c>
      <c r="L97" s="88">
        <f ca="1">IFERROR(__xludf.DUMMYFUNCTION("IMPORTRANGE(""https://docs.google.com/spreadsheets/d/1-uDff_7J0KD5mKrp0Vvzr7lt3OU09vwQwhkpOPPYv2Y/edit?usp=sharing"",""งบพรบ!EP97"")"),0)</f>
        <v>0</v>
      </c>
      <c r="M97" s="90">
        <f t="shared" ca="1" si="40"/>
        <v>0</v>
      </c>
      <c r="N97" s="90">
        <f t="shared" ca="1" si="41"/>
        <v>0</v>
      </c>
      <c r="O97" s="91">
        <f ca="1">IFERROR(__xludf.DUMMYFUNCTION("IMPORTRANGE(""https://docs.google.com/spreadsheets/d/1-uDff_7J0KD5mKrp0Vvzr7lt3OU09vwQwhkpOPPYv2Y/edit?usp=sharing"",""งบพรบ!EQ97"")"),0)</f>
        <v>0</v>
      </c>
      <c r="P97" s="91">
        <f t="shared" ca="1" si="42"/>
        <v>0</v>
      </c>
      <c r="Q97" s="90">
        <f t="shared" ca="1" si="43"/>
        <v>0</v>
      </c>
      <c r="R97" s="88"/>
      <c r="S97" s="88"/>
      <c r="T97" s="90"/>
    </row>
    <row r="98" spans="1:20" ht="24" customHeight="1" x14ac:dyDescent="0.3">
      <c r="A98" s="196"/>
      <c r="B98" s="117" t="s">
        <v>120</v>
      </c>
      <c r="C98" s="197">
        <f t="shared" ca="1" si="36"/>
        <v>1040000</v>
      </c>
      <c r="D98" s="198">
        <f t="shared" ca="1" si="37"/>
        <v>1040000</v>
      </c>
      <c r="E98" s="88">
        <f ca="1">IFERROR(__xludf.DUMMYFUNCTION("IMPORTRANGE(""https://docs.google.com/spreadsheets/d/1-uDff_7J0KD5mKrp0Vvzr7lt3OU09vwQwhkpOPPYv2Y/edit?usp=sharing"",""งบพรบ!EJ98"")"),1040000)</f>
        <v>1040000</v>
      </c>
      <c r="F98" s="88">
        <f ca="1">IFERROR(__xludf.DUMMYFUNCTION("IMPORTRANGE(""https://docs.google.com/spreadsheets/d/1-uDff_7J0KD5mKrp0Vvzr7lt3OU09vwQwhkpOPPYv2Y/edit?usp=sharing"",""งบพรบ!EK98"")"),0)</f>
        <v>0</v>
      </c>
      <c r="G98" s="88">
        <f ca="1">IFERROR(__xludf.DUMMYFUNCTION("IMPORTRANGE(""https://docs.google.com/spreadsheets/d/1-uDff_7J0KD5mKrp0Vvzr7lt3OU09vwQwhkpOPPYv2Y/edit?usp=sharing"",""งบพรบ!EL98"")"),0)</f>
        <v>0</v>
      </c>
      <c r="H98" s="88">
        <f ca="1">IFERROR(__xludf.DUMMYFUNCTION("IMPORTRANGE(""https://docs.google.com/spreadsheets/d/1-uDff_7J0KD5mKrp0Vvzr7lt3OU09vwQwhkpOPPYv2Y/edit?usp=sharing"",""งบพรบ!EN98"")"),742900)</f>
        <v>742900</v>
      </c>
      <c r="I98" s="88">
        <f ca="1">IFERROR(__xludf.DUMMYFUNCTION("IMPORTRANGE(""https://docs.google.com/spreadsheets/d/1-uDff_7J0KD5mKrp0Vvzr7lt3OU09vwQwhkpOPPYv2Y/edit?usp=sharing"",""งบพรบ!EO98"")"),0)</f>
        <v>0</v>
      </c>
      <c r="J98" s="88">
        <f t="shared" ca="1" si="38"/>
        <v>260340</v>
      </c>
      <c r="K98" s="89">
        <f t="shared" ca="1" si="39"/>
        <v>25.032692307692308</v>
      </c>
      <c r="L98" s="88">
        <f ca="1">IFERROR(__xludf.DUMMYFUNCTION("IMPORTRANGE(""https://docs.google.com/spreadsheets/d/1-uDff_7J0KD5mKrp0Vvzr7lt3OU09vwQwhkpOPPYv2Y/edit?usp=sharing"",""งบพรบ!EP98"")"),260340)</f>
        <v>260340</v>
      </c>
      <c r="M98" s="90">
        <f t="shared" ca="1" si="40"/>
        <v>25.032692307692308</v>
      </c>
      <c r="N98" s="90">
        <f t="shared" ca="1" si="41"/>
        <v>35.04374747610715</v>
      </c>
      <c r="O98" s="91">
        <f ca="1">IFERROR(__xludf.DUMMYFUNCTION("IMPORTRANGE(""https://docs.google.com/spreadsheets/d/1-uDff_7J0KD5mKrp0Vvzr7lt3OU09vwQwhkpOPPYv2Y/edit?usp=sharing"",""งบพรบ!EQ98"")"),0)</f>
        <v>0</v>
      </c>
      <c r="P98" s="91">
        <f t="shared" ca="1" si="42"/>
        <v>0</v>
      </c>
      <c r="Q98" s="90">
        <f t="shared" ca="1" si="43"/>
        <v>0</v>
      </c>
      <c r="R98" s="88"/>
      <c r="S98" s="88"/>
      <c r="T98" s="90"/>
    </row>
    <row r="99" spans="1:20" ht="24" customHeight="1" x14ac:dyDescent="0.3">
      <c r="A99" s="196"/>
      <c r="B99" s="117" t="s">
        <v>121</v>
      </c>
      <c r="C99" s="197">
        <f t="shared" ca="1" si="36"/>
        <v>0</v>
      </c>
      <c r="D99" s="198">
        <f t="shared" ca="1" si="37"/>
        <v>0</v>
      </c>
      <c r="E99" s="88">
        <f ca="1">IFERROR(__xludf.DUMMYFUNCTION("IMPORTRANGE(""https://docs.google.com/spreadsheets/d/1-uDff_7J0KD5mKrp0Vvzr7lt3OU09vwQwhkpOPPYv2Y/edit?usp=sharing"",""งบพรบ!EJ99"")"),0)</f>
        <v>0</v>
      </c>
      <c r="F99" s="88">
        <f ca="1">IFERROR(__xludf.DUMMYFUNCTION("IMPORTRANGE(""https://docs.google.com/spreadsheets/d/1-uDff_7J0KD5mKrp0Vvzr7lt3OU09vwQwhkpOPPYv2Y/edit?usp=sharing"",""งบพรบ!EK99"")"),0)</f>
        <v>0</v>
      </c>
      <c r="G99" s="88">
        <f ca="1">IFERROR(__xludf.DUMMYFUNCTION("IMPORTRANGE(""https://docs.google.com/spreadsheets/d/1-uDff_7J0KD5mKrp0Vvzr7lt3OU09vwQwhkpOPPYv2Y/edit?usp=sharing"",""งบพรบ!EL99"")"),0)</f>
        <v>0</v>
      </c>
      <c r="H99" s="88">
        <f ca="1">IFERROR(__xludf.DUMMYFUNCTION("IMPORTRANGE(""https://docs.google.com/spreadsheets/d/1-uDff_7J0KD5mKrp0Vvzr7lt3OU09vwQwhkpOPPYv2Y/edit?usp=sharing"",""งบพรบ!EN99"")"),0)</f>
        <v>0</v>
      </c>
      <c r="I99" s="88">
        <f ca="1">IFERROR(__xludf.DUMMYFUNCTION("IMPORTRANGE(""https://docs.google.com/spreadsheets/d/1-uDff_7J0KD5mKrp0Vvzr7lt3OU09vwQwhkpOPPYv2Y/edit?usp=sharing"",""งบพรบ!EO99"")"),0)</f>
        <v>0</v>
      </c>
      <c r="J99" s="88">
        <f t="shared" ca="1" si="38"/>
        <v>0</v>
      </c>
      <c r="K99" s="89">
        <f t="shared" ca="1" si="39"/>
        <v>0</v>
      </c>
      <c r="L99" s="88">
        <f ca="1">IFERROR(__xludf.DUMMYFUNCTION("IMPORTRANGE(""https://docs.google.com/spreadsheets/d/1-uDff_7J0KD5mKrp0Vvzr7lt3OU09vwQwhkpOPPYv2Y/edit?usp=sharing"",""งบพรบ!EP99"")"),0)</f>
        <v>0</v>
      </c>
      <c r="M99" s="90">
        <f t="shared" ca="1" si="40"/>
        <v>0</v>
      </c>
      <c r="N99" s="90">
        <f t="shared" ca="1" si="41"/>
        <v>0</v>
      </c>
      <c r="O99" s="91">
        <f ca="1">IFERROR(__xludf.DUMMYFUNCTION("IMPORTRANGE(""https://docs.google.com/spreadsheets/d/1-uDff_7J0KD5mKrp0Vvzr7lt3OU09vwQwhkpOPPYv2Y/edit?usp=sharing"",""งบพรบ!EQ99"")"),0)</f>
        <v>0</v>
      </c>
      <c r="P99" s="91">
        <f t="shared" ca="1" si="42"/>
        <v>0</v>
      </c>
      <c r="Q99" s="90">
        <f t="shared" ca="1" si="43"/>
        <v>0</v>
      </c>
      <c r="R99" s="88"/>
      <c r="S99" s="88"/>
      <c r="T99" s="90"/>
    </row>
    <row r="100" spans="1:20" ht="24" customHeight="1" x14ac:dyDescent="0.3">
      <c r="A100" s="196"/>
      <c r="B100" s="117" t="s">
        <v>122</v>
      </c>
      <c r="C100" s="197">
        <f t="shared" ca="1" si="36"/>
        <v>0</v>
      </c>
      <c r="D100" s="198">
        <f t="shared" ca="1" si="37"/>
        <v>0</v>
      </c>
      <c r="E100" s="88">
        <f ca="1">IFERROR(__xludf.DUMMYFUNCTION("IMPORTRANGE(""https://docs.google.com/spreadsheets/d/1-uDff_7J0KD5mKrp0Vvzr7lt3OU09vwQwhkpOPPYv2Y/edit?usp=sharing"",""งบพรบ!EJ100"")"),0)</f>
        <v>0</v>
      </c>
      <c r="F100" s="88">
        <f ca="1">IFERROR(__xludf.DUMMYFUNCTION("IMPORTRANGE(""https://docs.google.com/spreadsheets/d/1-uDff_7J0KD5mKrp0Vvzr7lt3OU09vwQwhkpOPPYv2Y/edit?usp=sharing"",""งบพรบ!EK100"")"),0)</f>
        <v>0</v>
      </c>
      <c r="G100" s="88">
        <f ca="1">IFERROR(__xludf.DUMMYFUNCTION("IMPORTRANGE(""https://docs.google.com/spreadsheets/d/1-uDff_7J0KD5mKrp0Vvzr7lt3OU09vwQwhkpOPPYv2Y/edit?usp=sharing"",""งบพรบ!EL100"")"),0)</f>
        <v>0</v>
      </c>
      <c r="H100" s="88">
        <f ca="1">IFERROR(__xludf.DUMMYFUNCTION("IMPORTRANGE(""https://docs.google.com/spreadsheets/d/1-uDff_7J0KD5mKrp0Vvzr7lt3OU09vwQwhkpOPPYv2Y/edit?usp=sharing"",""งบพรบ!EN100"")"),0)</f>
        <v>0</v>
      </c>
      <c r="I100" s="88">
        <f ca="1">IFERROR(__xludf.DUMMYFUNCTION("IMPORTRANGE(""https://docs.google.com/spreadsheets/d/1-uDff_7J0KD5mKrp0Vvzr7lt3OU09vwQwhkpOPPYv2Y/edit?usp=sharing"",""งบพรบ!EO100"")"),0)</f>
        <v>0</v>
      </c>
      <c r="J100" s="88">
        <f t="shared" ca="1" si="38"/>
        <v>0</v>
      </c>
      <c r="K100" s="89">
        <f t="shared" ca="1" si="39"/>
        <v>0</v>
      </c>
      <c r="L100" s="88">
        <f ca="1">IFERROR(__xludf.DUMMYFUNCTION("IMPORTRANGE(""https://docs.google.com/spreadsheets/d/1-uDff_7J0KD5mKrp0Vvzr7lt3OU09vwQwhkpOPPYv2Y/edit?usp=sharing"",""งบพรบ!EP100"")"),0)</f>
        <v>0</v>
      </c>
      <c r="M100" s="90">
        <f t="shared" ca="1" si="40"/>
        <v>0</v>
      </c>
      <c r="N100" s="90">
        <f t="shared" ca="1" si="41"/>
        <v>0</v>
      </c>
      <c r="O100" s="91">
        <f ca="1">IFERROR(__xludf.DUMMYFUNCTION("IMPORTRANGE(""https://docs.google.com/spreadsheets/d/1-uDff_7J0KD5mKrp0Vvzr7lt3OU09vwQwhkpOPPYv2Y/edit?usp=sharing"",""งบพรบ!EQ100"")"),0)</f>
        <v>0</v>
      </c>
      <c r="P100" s="91">
        <f t="shared" ca="1" si="42"/>
        <v>0</v>
      </c>
      <c r="Q100" s="90">
        <f t="shared" ca="1" si="43"/>
        <v>0</v>
      </c>
      <c r="R100" s="88"/>
      <c r="S100" s="88"/>
      <c r="T100" s="90"/>
    </row>
    <row r="101" spans="1:20" ht="24" customHeight="1" x14ac:dyDescent="0.3">
      <c r="A101" s="196"/>
      <c r="B101" s="117" t="s">
        <v>123</v>
      </c>
      <c r="C101" s="197">
        <f t="shared" ca="1" si="36"/>
        <v>0</v>
      </c>
      <c r="D101" s="198">
        <f t="shared" ca="1" si="37"/>
        <v>0</v>
      </c>
      <c r="E101" s="88">
        <f ca="1">IFERROR(__xludf.DUMMYFUNCTION("IMPORTRANGE(""https://docs.google.com/spreadsheets/d/1-uDff_7J0KD5mKrp0Vvzr7lt3OU09vwQwhkpOPPYv2Y/edit?usp=sharing"",""งบพรบ!EJ101"")"),0)</f>
        <v>0</v>
      </c>
      <c r="F101" s="88">
        <f ca="1">IFERROR(__xludf.DUMMYFUNCTION("IMPORTRANGE(""https://docs.google.com/spreadsheets/d/1-uDff_7J0KD5mKrp0Vvzr7lt3OU09vwQwhkpOPPYv2Y/edit?usp=sharing"",""งบพรบ!EK101"")"),0)</f>
        <v>0</v>
      </c>
      <c r="G101" s="88">
        <f ca="1">IFERROR(__xludf.DUMMYFUNCTION("IMPORTRANGE(""https://docs.google.com/spreadsheets/d/1-uDff_7J0KD5mKrp0Vvzr7lt3OU09vwQwhkpOPPYv2Y/edit?usp=sharing"",""งบพรบ!EL101"")"),0)</f>
        <v>0</v>
      </c>
      <c r="H101" s="88">
        <f ca="1">IFERROR(__xludf.DUMMYFUNCTION("IMPORTRANGE(""https://docs.google.com/spreadsheets/d/1-uDff_7J0KD5mKrp0Vvzr7lt3OU09vwQwhkpOPPYv2Y/edit?usp=sharing"",""งบพรบ!EN101"")"),0)</f>
        <v>0</v>
      </c>
      <c r="I101" s="88">
        <f ca="1">IFERROR(__xludf.DUMMYFUNCTION("IMPORTRANGE(""https://docs.google.com/spreadsheets/d/1-uDff_7J0KD5mKrp0Vvzr7lt3OU09vwQwhkpOPPYv2Y/edit?usp=sharing"",""งบพรบ!EO101"")"),0)</f>
        <v>0</v>
      </c>
      <c r="J101" s="88">
        <f t="shared" ca="1" si="38"/>
        <v>0</v>
      </c>
      <c r="K101" s="89">
        <f t="shared" ca="1" si="39"/>
        <v>0</v>
      </c>
      <c r="L101" s="88">
        <f ca="1">IFERROR(__xludf.DUMMYFUNCTION("IMPORTRANGE(""https://docs.google.com/spreadsheets/d/1-uDff_7J0KD5mKrp0Vvzr7lt3OU09vwQwhkpOPPYv2Y/edit?usp=sharing"",""งบพรบ!EP101"")"),0)</f>
        <v>0</v>
      </c>
      <c r="M101" s="90">
        <f t="shared" ca="1" si="40"/>
        <v>0</v>
      </c>
      <c r="N101" s="90">
        <f t="shared" ca="1" si="41"/>
        <v>0</v>
      </c>
      <c r="O101" s="91">
        <f ca="1">IFERROR(__xludf.DUMMYFUNCTION("IMPORTRANGE(""https://docs.google.com/spreadsheets/d/1-uDff_7J0KD5mKrp0Vvzr7lt3OU09vwQwhkpOPPYv2Y/edit?usp=sharing"",""งบพรบ!EQ101"")"),0)</f>
        <v>0</v>
      </c>
      <c r="P101" s="91">
        <f t="shared" ca="1" si="42"/>
        <v>0</v>
      </c>
      <c r="Q101" s="90">
        <f t="shared" ca="1" si="43"/>
        <v>0</v>
      </c>
      <c r="R101" s="88"/>
      <c r="S101" s="88"/>
      <c r="T101" s="90"/>
    </row>
    <row r="102" spans="1:20" ht="24" customHeight="1" x14ac:dyDescent="0.3">
      <c r="A102" s="196"/>
      <c r="B102" s="117" t="s">
        <v>124</v>
      </c>
      <c r="C102" s="197">
        <f t="shared" ca="1" si="36"/>
        <v>0</v>
      </c>
      <c r="D102" s="198">
        <f t="shared" ca="1" si="37"/>
        <v>0</v>
      </c>
      <c r="E102" s="88">
        <f ca="1">IFERROR(__xludf.DUMMYFUNCTION("IMPORTRANGE(""https://docs.google.com/spreadsheets/d/1-uDff_7J0KD5mKrp0Vvzr7lt3OU09vwQwhkpOPPYv2Y/edit?usp=sharing"",""งบพรบ!EJ102"")"),0)</f>
        <v>0</v>
      </c>
      <c r="F102" s="88">
        <f ca="1">IFERROR(__xludf.DUMMYFUNCTION("IMPORTRANGE(""https://docs.google.com/spreadsheets/d/1-uDff_7J0KD5mKrp0Vvzr7lt3OU09vwQwhkpOPPYv2Y/edit?usp=sharing"",""งบพรบ!EK102"")"),0)</f>
        <v>0</v>
      </c>
      <c r="G102" s="88">
        <f ca="1">IFERROR(__xludf.DUMMYFUNCTION("IMPORTRANGE(""https://docs.google.com/spreadsheets/d/1-uDff_7J0KD5mKrp0Vvzr7lt3OU09vwQwhkpOPPYv2Y/edit?usp=sharing"",""งบพรบ!EL102"")"),0)</f>
        <v>0</v>
      </c>
      <c r="H102" s="88">
        <f ca="1">IFERROR(__xludf.DUMMYFUNCTION("IMPORTRANGE(""https://docs.google.com/spreadsheets/d/1-uDff_7J0KD5mKrp0Vvzr7lt3OU09vwQwhkpOPPYv2Y/edit?usp=sharing"",""งบพรบ!EN102"")"),0)</f>
        <v>0</v>
      </c>
      <c r="I102" s="88">
        <f ca="1">IFERROR(__xludf.DUMMYFUNCTION("IMPORTRANGE(""https://docs.google.com/spreadsheets/d/1-uDff_7J0KD5mKrp0Vvzr7lt3OU09vwQwhkpOPPYv2Y/edit?usp=sharing"",""งบพรบ!EO102"")"),0)</f>
        <v>0</v>
      </c>
      <c r="J102" s="88">
        <f t="shared" ca="1" si="38"/>
        <v>0</v>
      </c>
      <c r="K102" s="89">
        <f t="shared" ca="1" si="39"/>
        <v>0</v>
      </c>
      <c r="L102" s="88">
        <f ca="1">IFERROR(__xludf.DUMMYFUNCTION("IMPORTRANGE(""https://docs.google.com/spreadsheets/d/1-uDff_7J0KD5mKrp0Vvzr7lt3OU09vwQwhkpOPPYv2Y/edit?usp=sharing"",""งบพรบ!EP102"")"),0)</f>
        <v>0</v>
      </c>
      <c r="M102" s="90">
        <f t="shared" ca="1" si="40"/>
        <v>0</v>
      </c>
      <c r="N102" s="90">
        <f t="shared" ca="1" si="41"/>
        <v>0</v>
      </c>
      <c r="O102" s="91">
        <f ca="1">IFERROR(__xludf.DUMMYFUNCTION("IMPORTRANGE(""https://docs.google.com/spreadsheets/d/1-uDff_7J0KD5mKrp0Vvzr7lt3OU09vwQwhkpOPPYv2Y/edit?usp=sharing"",""งบพรบ!EQ102"")"),0)</f>
        <v>0</v>
      </c>
      <c r="P102" s="91">
        <f t="shared" ca="1" si="42"/>
        <v>0</v>
      </c>
      <c r="Q102" s="90">
        <f t="shared" ca="1" si="43"/>
        <v>0</v>
      </c>
      <c r="R102" s="88"/>
      <c r="S102" s="88"/>
      <c r="T102" s="90"/>
    </row>
    <row r="103" spans="1:20" ht="24" customHeight="1" x14ac:dyDescent="0.3">
      <c r="A103" s="196"/>
      <c r="B103" s="117" t="s">
        <v>125</v>
      </c>
      <c r="C103" s="197">
        <f t="shared" ca="1" si="36"/>
        <v>0</v>
      </c>
      <c r="D103" s="198">
        <f t="shared" ca="1" si="37"/>
        <v>0</v>
      </c>
      <c r="E103" s="88">
        <f ca="1">IFERROR(__xludf.DUMMYFUNCTION("IMPORTRANGE(""https://docs.google.com/spreadsheets/d/1-uDff_7J0KD5mKrp0Vvzr7lt3OU09vwQwhkpOPPYv2Y/edit?usp=sharing"",""งบพรบ!EJ103"")"),0)</f>
        <v>0</v>
      </c>
      <c r="F103" s="88">
        <f ca="1">IFERROR(__xludf.DUMMYFUNCTION("IMPORTRANGE(""https://docs.google.com/spreadsheets/d/1-uDff_7J0KD5mKrp0Vvzr7lt3OU09vwQwhkpOPPYv2Y/edit?usp=sharing"",""งบพรบ!EK103"")"),0)</f>
        <v>0</v>
      </c>
      <c r="G103" s="88">
        <f ca="1">IFERROR(__xludf.DUMMYFUNCTION("IMPORTRANGE(""https://docs.google.com/spreadsheets/d/1-uDff_7J0KD5mKrp0Vvzr7lt3OU09vwQwhkpOPPYv2Y/edit?usp=sharing"",""งบพรบ!EL103"")"),0)</f>
        <v>0</v>
      </c>
      <c r="H103" s="88">
        <f ca="1">IFERROR(__xludf.DUMMYFUNCTION("IMPORTRANGE(""https://docs.google.com/spreadsheets/d/1-uDff_7J0KD5mKrp0Vvzr7lt3OU09vwQwhkpOPPYv2Y/edit?usp=sharing"",""งบพรบ!EN103"")"),0)</f>
        <v>0</v>
      </c>
      <c r="I103" s="88">
        <f ca="1">IFERROR(__xludf.DUMMYFUNCTION("IMPORTRANGE(""https://docs.google.com/spreadsheets/d/1-uDff_7J0KD5mKrp0Vvzr7lt3OU09vwQwhkpOPPYv2Y/edit?usp=sharing"",""งบพรบ!EO103"")"),0)</f>
        <v>0</v>
      </c>
      <c r="J103" s="88">
        <f t="shared" ca="1" si="38"/>
        <v>0</v>
      </c>
      <c r="K103" s="89">
        <f t="shared" ca="1" si="39"/>
        <v>0</v>
      </c>
      <c r="L103" s="88">
        <f ca="1">IFERROR(__xludf.DUMMYFUNCTION("IMPORTRANGE(""https://docs.google.com/spreadsheets/d/1-uDff_7J0KD5mKrp0Vvzr7lt3OU09vwQwhkpOPPYv2Y/edit?usp=sharing"",""งบพรบ!EP103"")"),0)</f>
        <v>0</v>
      </c>
      <c r="M103" s="90">
        <f t="shared" ca="1" si="40"/>
        <v>0</v>
      </c>
      <c r="N103" s="90">
        <f t="shared" ca="1" si="41"/>
        <v>0</v>
      </c>
      <c r="O103" s="91">
        <f ca="1">IFERROR(__xludf.DUMMYFUNCTION("IMPORTRANGE(""https://docs.google.com/spreadsheets/d/1-uDff_7J0KD5mKrp0Vvzr7lt3OU09vwQwhkpOPPYv2Y/edit?usp=sharing"",""งบพรบ!EQ103"")"),0)</f>
        <v>0</v>
      </c>
      <c r="P103" s="91">
        <f t="shared" ca="1" si="42"/>
        <v>0</v>
      </c>
      <c r="Q103" s="90">
        <f t="shared" ca="1" si="43"/>
        <v>0</v>
      </c>
      <c r="R103" s="233"/>
      <c r="S103" s="233"/>
      <c r="T103" s="234"/>
    </row>
    <row r="104" spans="1:20" ht="21" customHeight="1" x14ac:dyDescent="0.3">
      <c r="A104" s="196"/>
      <c r="B104" s="117" t="s">
        <v>126</v>
      </c>
      <c r="C104" s="197">
        <f t="shared" ca="1" si="36"/>
        <v>205400</v>
      </c>
      <c r="D104" s="198">
        <f t="shared" ca="1" si="37"/>
        <v>205400</v>
      </c>
      <c r="E104" s="88">
        <f ca="1">IFERROR(__xludf.DUMMYFUNCTION("IMPORTRANGE(""https://docs.google.com/spreadsheets/d/1-uDff_7J0KD5mKrp0Vvzr7lt3OU09vwQwhkpOPPYv2Y/edit?usp=sharing"",""งบพรบ!EJ104"")"),205400)</f>
        <v>205400</v>
      </c>
      <c r="F104" s="88">
        <f ca="1">IFERROR(__xludf.DUMMYFUNCTION("IMPORTRANGE(""https://docs.google.com/spreadsheets/d/1-uDff_7J0KD5mKrp0Vvzr7lt3OU09vwQwhkpOPPYv2Y/edit?usp=sharing"",""งบพรบ!EK104"")"),0)</f>
        <v>0</v>
      </c>
      <c r="G104" s="88">
        <f ca="1">IFERROR(__xludf.DUMMYFUNCTION("IMPORTRANGE(""https://docs.google.com/spreadsheets/d/1-uDff_7J0KD5mKrp0Vvzr7lt3OU09vwQwhkpOPPYv2Y/edit?usp=sharing"",""งบพรบ!EL104"")"),0)</f>
        <v>0</v>
      </c>
      <c r="H104" s="88">
        <f ca="1">IFERROR(__xludf.DUMMYFUNCTION("IMPORTRANGE(""https://docs.google.com/spreadsheets/d/1-uDff_7J0KD5mKrp0Vvzr7lt3OU09vwQwhkpOPPYv2Y/edit?usp=sharing"",""งบพรบ!EN104"")"),229000)</f>
        <v>229000</v>
      </c>
      <c r="I104" s="88">
        <f ca="1">IFERROR(__xludf.DUMMYFUNCTION("IMPORTRANGE(""https://docs.google.com/spreadsheets/d/1-uDff_7J0KD5mKrp0Vvzr7lt3OU09vwQwhkpOPPYv2Y/edit?usp=sharing"",""งบพรบ!EO104"")"),0)</f>
        <v>0</v>
      </c>
      <c r="J104" s="88">
        <f t="shared" ca="1" si="38"/>
        <v>0</v>
      </c>
      <c r="K104" s="89">
        <f t="shared" ca="1" si="39"/>
        <v>0</v>
      </c>
      <c r="L104" s="88">
        <f ca="1">IFERROR(__xludf.DUMMYFUNCTION("IMPORTRANGE(""https://docs.google.com/spreadsheets/d/1-uDff_7J0KD5mKrp0Vvzr7lt3OU09vwQwhkpOPPYv2Y/edit?usp=sharing"",""งบพรบ!EP104"")"),0)</f>
        <v>0</v>
      </c>
      <c r="M104" s="90">
        <f t="shared" ca="1" si="40"/>
        <v>0</v>
      </c>
      <c r="N104" s="90">
        <f t="shared" ca="1" si="41"/>
        <v>0</v>
      </c>
      <c r="O104" s="91">
        <f ca="1">IFERROR(__xludf.DUMMYFUNCTION("IMPORTRANGE(""https://docs.google.com/spreadsheets/d/1-uDff_7J0KD5mKrp0Vvzr7lt3OU09vwQwhkpOPPYv2Y/edit?usp=sharing"",""งบพรบ!EQ104"")"),0)</f>
        <v>0</v>
      </c>
      <c r="P104" s="91">
        <f t="shared" ca="1" si="42"/>
        <v>0</v>
      </c>
      <c r="Q104" s="90">
        <f t="shared" ca="1" si="43"/>
        <v>0</v>
      </c>
      <c r="R104" s="353"/>
      <c r="S104" s="353"/>
      <c r="T104" s="353"/>
    </row>
    <row r="105" spans="1:20" ht="24" customHeight="1" x14ac:dyDescent="0.3">
      <c r="A105" s="196"/>
      <c r="B105" s="118" t="s">
        <v>127</v>
      </c>
      <c r="C105" s="197">
        <f t="shared" ca="1" si="36"/>
        <v>0</v>
      </c>
      <c r="D105" s="198">
        <f t="shared" ca="1" si="37"/>
        <v>0</v>
      </c>
      <c r="E105" s="88">
        <f ca="1">IFERROR(__xludf.DUMMYFUNCTION("IMPORTRANGE(""https://docs.google.com/spreadsheets/d/1-uDff_7J0KD5mKrp0Vvzr7lt3OU09vwQwhkpOPPYv2Y/edit?usp=sharing"",""งบพรบ!EJ105"")"),0)</f>
        <v>0</v>
      </c>
      <c r="F105" s="88">
        <f ca="1">IFERROR(__xludf.DUMMYFUNCTION("IMPORTRANGE(""https://docs.google.com/spreadsheets/d/1-uDff_7J0KD5mKrp0Vvzr7lt3OU09vwQwhkpOPPYv2Y/edit?usp=sharing"",""งบพรบ!EK105"")"),0)</f>
        <v>0</v>
      </c>
      <c r="G105" s="88">
        <f ca="1">IFERROR(__xludf.DUMMYFUNCTION("IMPORTRANGE(""https://docs.google.com/spreadsheets/d/1-uDff_7J0KD5mKrp0Vvzr7lt3OU09vwQwhkpOPPYv2Y/edit?usp=sharing"",""งบพรบ!EL105"")"),0)</f>
        <v>0</v>
      </c>
      <c r="H105" s="88">
        <f ca="1">IFERROR(__xludf.DUMMYFUNCTION("IMPORTRANGE(""https://docs.google.com/spreadsheets/d/1-uDff_7J0KD5mKrp0Vvzr7lt3OU09vwQwhkpOPPYv2Y/edit?usp=sharing"",""งบพรบ!EN105"")"),0)</f>
        <v>0</v>
      </c>
      <c r="I105" s="88">
        <f ca="1">IFERROR(__xludf.DUMMYFUNCTION("IMPORTRANGE(""https://docs.google.com/spreadsheets/d/1-uDff_7J0KD5mKrp0Vvzr7lt3OU09vwQwhkpOPPYv2Y/edit?usp=sharing"",""งบพรบ!EO105"")"),0)</f>
        <v>0</v>
      </c>
      <c r="J105" s="88">
        <f t="shared" ca="1" si="38"/>
        <v>0</v>
      </c>
      <c r="K105" s="89">
        <f t="shared" ca="1" si="39"/>
        <v>0</v>
      </c>
      <c r="L105" s="88">
        <f ca="1">IFERROR(__xludf.DUMMYFUNCTION("IMPORTRANGE(""https://docs.google.com/spreadsheets/d/1-uDff_7J0KD5mKrp0Vvzr7lt3OU09vwQwhkpOPPYv2Y/edit?usp=sharing"",""งบพรบ!EP105"")"),0)</f>
        <v>0</v>
      </c>
      <c r="M105" s="90">
        <f t="shared" ca="1" si="40"/>
        <v>0</v>
      </c>
      <c r="N105" s="90">
        <f t="shared" ca="1" si="41"/>
        <v>0</v>
      </c>
      <c r="O105" s="91">
        <f ca="1">IFERROR(__xludf.DUMMYFUNCTION("IMPORTRANGE(""https://docs.google.com/spreadsheets/d/1-uDff_7J0KD5mKrp0Vvzr7lt3OU09vwQwhkpOPPYv2Y/edit?usp=sharing"",""งบพรบ!EQ105"")"),0)</f>
        <v>0</v>
      </c>
      <c r="P105" s="91">
        <f t="shared" ca="1" si="42"/>
        <v>0</v>
      </c>
      <c r="Q105" s="90">
        <f t="shared" ca="1" si="43"/>
        <v>0</v>
      </c>
      <c r="R105" s="111"/>
      <c r="S105" s="111"/>
      <c r="T105" s="111"/>
    </row>
    <row r="106" spans="1:20" ht="24" customHeight="1" x14ac:dyDescent="0.3">
      <c r="A106" s="200"/>
      <c r="B106" s="120" t="s">
        <v>128</v>
      </c>
      <c r="C106" s="201">
        <f t="shared" ca="1" si="36"/>
        <v>0</v>
      </c>
      <c r="D106" s="202">
        <f t="shared" ca="1" si="37"/>
        <v>0</v>
      </c>
      <c r="E106" s="99">
        <f ca="1">IFERROR(__xludf.DUMMYFUNCTION("IMPORTRANGE(""https://docs.google.com/spreadsheets/d/1-uDff_7J0KD5mKrp0Vvzr7lt3OU09vwQwhkpOPPYv2Y/edit?usp=sharing"",""งบพรบ!EJ106"")"),0)</f>
        <v>0</v>
      </c>
      <c r="F106" s="99">
        <f ca="1">IFERROR(__xludf.DUMMYFUNCTION("IMPORTRANGE(""https://docs.google.com/spreadsheets/d/1-uDff_7J0KD5mKrp0Vvzr7lt3OU09vwQwhkpOPPYv2Y/edit?usp=sharing"",""งบพรบ!EK106"")"),0)</f>
        <v>0</v>
      </c>
      <c r="G106" s="99">
        <f ca="1">IFERROR(__xludf.DUMMYFUNCTION("IMPORTRANGE(""https://docs.google.com/spreadsheets/d/1-uDff_7J0KD5mKrp0Vvzr7lt3OU09vwQwhkpOPPYv2Y/edit?usp=sharing"",""งบพรบ!EL106"")"),0)</f>
        <v>0</v>
      </c>
      <c r="H106" s="99">
        <f ca="1">IFERROR(__xludf.DUMMYFUNCTION("IMPORTRANGE(""https://docs.google.com/spreadsheets/d/1-uDff_7J0KD5mKrp0Vvzr7lt3OU09vwQwhkpOPPYv2Y/edit?usp=sharing"",""งบพรบ!EN106"")"),0)</f>
        <v>0</v>
      </c>
      <c r="I106" s="99">
        <f ca="1">IFERROR(__xludf.DUMMYFUNCTION("IMPORTRANGE(""https://docs.google.com/spreadsheets/d/1-uDff_7J0KD5mKrp0Vvzr7lt3OU09vwQwhkpOPPYv2Y/edit?usp=sharing"",""งบพรบ!EO106"")"),0)</f>
        <v>0</v>
      </c>
      <c r="J106" s="99">
        <f t="shared" ca="1" si="38"/>
        <v>0</v>
      </c>
      <c r="K106" s="100">
        <f t="shared" ca="1" si="39"/>
        <v>0</v>
      </c>
      <c r="L106" s="99">
        <f ca="1">IFERROR(__xludf.DUMMYFUNCTION("IMPORTRANGE(""https://docs.google.com/spreadsheets/d/1-uDff_7J0KD5mKrp0Vvzr7lt3OU09vwQwhkpOPPYv2Y/edit?usp=sharing"",""งบพรบ!EP106"")"),0)</f>
        <v>0</v>
      </c>
      <c r="M106" s="101">
        <f t="shared" ca="1" si="40"/>
        <v>0</v>
      </c>
      <c r="N106" s="101">
        <f t="shared" ca="1" si="41"/>
        <v>0</v>
      </c>
      <c r="O106" s="102">
        <f ca="1">IFERROR(__xludf.DUMMYFUNCTION("IMPORTRANGE(""https://docs.google.com/spreadsheets/d/1-uDff_7J0KD5mKrp0Vvzr7lt3OU09vwQwhkpOPPYv2Y/edit?usp=sharing"",""งบพรบ!EQ106"")"),0)</f>
        <v>0</v>
      </c>
      <c r="P106" s="102">
        <f t="shared" ca="1" si="42"/>
        <v>0</v>
      </c>
      <c r="Q106" s="101">
        <f t="shared" ca="1" si="43"/>
        <v>0</v>
      </c>
      <c r="R106" s="99"/>
      <c r="S106" s="99"/>
      <c r="T106" s="99"/>
    </row>
    <row r="107" spans="1:20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2"/>
      <c r="T107" s="4"/>
    </row>
    <row r="108" spans="1:20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"/>
      <c r="S108" s="2"/>
      <c r="T108" s="4"/>
    </row>
    <row r="109" spans="1:20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2"/>
      <c r="T109" s="4"/>
    </row>
    <row r="110" spans="1:20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2"/>
      <c r="T110" s="4"/>
    </row>
    <row r="111" spans="1:20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2"/>
      <c r="T111" s="4"/>
    </row>
    <row r="112" spans="1:20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2"/>
      <c r="T112" s="4"/>
    </row>
    <row r="113" spans="1:20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2"/>
      <c r="T113" s="4"/>
    </row>
    <row r="114" spans="1:20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2"/>
      <c r="T114" s="4"/>
    </row>
    <row r="115" spans="1:20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2"/>
      <c r="T115" s="4"/>
    </row>
    <row r="116" spans="1:20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2"/>
      <c r="T116" s="4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123"/>
      <c r="T304" s="124"/>
    </row>
    <row r="305" spans="1:20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123"/>
      <c r="T305" s="124"/>
    </row>
    <row r="306" spans="1:20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123"/>
      <c r="T306" s="124"/>
    </row>
    <row r="307" spans="1:20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123"/>
      <c r="T307" s="124"/>
    </row>
    <row r="308" spans="1:20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123"/>
      <c r="T308" s="124"/>
    </row>
    <row r="309" spans="1:20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123"/>
      <c r="T309" s="124"/>
    </row>
    <row r="310" spans="1:20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123"/>
      <c r="T310" s="124"/>
    </row>
    <row r="311" spans="1:20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123"/>
      <c r="T311" s="124"/>
    </row>
    <row r="312" spans="1:20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123"/>
      <c r="T312" s="124"/>
    </row>
    <row r="313" spans="1:20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123"/>
      <c r="T313" s="124"/>
    </row>
    <row r="314" spans="1:20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123"/>
      <c r="T314" s="124"/>
    </row>
    <row r="315" spans="1:20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123"/>
      <c r="T315" s="124"/>
    </row>
    <row r="316" spans="1:20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123"/>
      <c r="T316" s="124"/>
    </row>
    <row r="317" spans="1:20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123"/>
      <c r="T317" s="124"/>
    </row>
    <row r="318" spans="1:20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123"/>
      <c r="T318" s="124"/>
    </row>
    <row r="319" spans="1:20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123"/>
      <c r="T319" s="124"/>
    </row>
    <row r="320" spans="1:20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123"/>
      <c r="T320" s="124"/>
    </row>
    <row r="321" spans="1:20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123"/>
      <c r="T321" s="124"/>
    </row>
    <row r="322" spans="1:20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123"/>
      <c r="T322" s="124"/>
    </row>
    <row r="323" spans="1:20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123"/>
      <c r="T323" s="124"/>
    </row>
    <row r="324" spans="1:20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123"/>
      <c r="T324" s="124"/>
    </row>
    <row r="325" spans="1:20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123"/>
      <c r="T325" s="124"/>
    </row>
    <row r="326" spans="1:20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123"/>
      <c r="T326" s="124"/>
    </row>
    <row r="327" spans="1:20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123"/>
      <c r="T327" s="124"/>
    </row>
    <row r="328" spans="1:20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123"/>
      <c r="T328" s="124"/>
    </row>
    <row r="329" spans="1:20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123"/>
      <c r="T329" s="124"/>
    </row>
    <row r="330" spans="1:20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123"/>
      <c r="T330" s="124"/>
    </row>
    <row r="331" spans="1:20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123"/>
      <c r="T331" s="124"/>
    </row>
    <row r="332" spans="1:20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123"/>
      <c r="T332" s="124"/>
    </row>
    <row r="333" spans="1:20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123"/>
      <c r="T333" s="124"/>
    </row>
    <row r="334" spans="1:20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123"/>
      <c r="T334" s="124"/>
    </row>
    <row r="335" spans="1:20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123"/>
      <c r="T335" s="124"/>
    </row>
    <row r="336" spans="1:20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123"/>
      <c r="T336" s="124"/>
    </row>
    <row r="337" spans="1:20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123"/>
      <c r="T337" s="124"/>
    </row>
    <row r="338" spans="1:20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123"/>
      <c r="T338" s="124"/>
    </row>
    <row r="339" spans="1:20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123"/>
      <c r="T339" s="124"/>
    </row>
    <row r="340" spans="1:20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123"/>
      <c r="T340" s="124"/>
    </row>
    <row r="341" spans="1:20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123"/>
      <c r="T341" s="124"/>
    </row>
    <row r="342" spans="1:20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123"/>
      <c r="T342" s="124"/>
    </row>
    <row r="343" spans="1:20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123"/>
      <c r="T343" s="124"/>
    </row>
    <row r="344" spans="1:20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123"/>
      <c r="T344" s="124"/>
    </row>
    <row r="345" spans="1:20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123"/>
      <c r="T345" s="124"/>
    </row>
    <row r="346" spans="1:20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123"/>
      <c r="T346" s="124"/>
    </row>
    <row r="347" spans="1:20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123"/>
      <c r="T347" s="124"/>
    </row>
    <row r="348" spans="1:20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123"/>
      <c r="T348" s="124"/>
    </row>
    <row r="349" spans="1:20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123"/>
      <c r="T349" s="124"/>
    </row>
    <row r="350" spans="1:20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123"/>
      <c r="T350" s="124"/>
    </row>
    <row r="351" spans="1:20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123"/>
      <c r="T351" s="124"/>
    </row>
    <row r="352" spans="1:20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123"/>
      <c r="T352" s="124"/>
    </row>
    <row r="353" spans="1:20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123"/>
      <c r="T353" s="124"/>
    </row>
    <row r="354" spans="1:20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123"/>
      <c r="T354" s="124"/>
    </row>
    <row r="355" spans="1:20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123"/>
      <c r="T355" s="124"/>
    </row>
    <row r="356" spans="1:20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123"/>
      <c r="T356" s="124"/>
    </row>
    <row r="357" spans="1:20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123"/>
      <c r="T357" s="124"/>
    </row>
    <row r="358" spans="1:20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123"/>
      <c r="T358" s="124"/>
    </row>
    <row r="359" spans="1:20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123"/>
      <c r="T359" s="124"/>
    </row>
    <row r="360" spans="1:20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123"/>
      <c r="T360" s="124"/>
    </row>
    <row r="361" spans="1:20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123"/>
      <c r="T361" s="124"/>
    </row>
    <row r="362" spans="1:20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123"/>
      <c r="T362" s="124"/>
    </row>
    <row r="363" spans="1:20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123"/>
      <c r="T363" s="124"/>
    </row>
    <row r="364" spans="1:20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123"/>
      <c r="T364" s="124"/>
    </row>
    <row r="365" spans="1:20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123"/>
      <c r="T365" s="124"/>
    </row>
    <row r="366" spans="1:20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123"/>
      <c r="T366" s="124"/>
    </row>
    <row r="367" spans="1:20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123"/>
      <c r="T367" s="124"/>
    </row>
    <row r="368" spans="1:20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123"/>
      <c r="T368" s="124"/>
    </row>
    <row r="369" spans="1:20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123"/>
      <c r="T369" s="124"/>
    </row>
    <row r="370" spans="1:20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123"/>
      <c r="T370" s="124"/>
    </row>
    <row r="371" spans="1:20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123"/>
      <c r="T371" s="124"/>
    </row>
    <row r="372" spans="1:20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123"/>
      <c r="T372" s="124"/>
    </row>
    <row r="373" spans="1:20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123"/>
      <c r="T373" s="124"/>
    </row>
    <row r="374" spans="1:20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123"/>
      <c r="T374" s="124"/>
    </row>
    <row r="375" spans="1:20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123"/>
      <c r="T375" s="124"/>
    </row>
    <row r="376" spans="1:20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123"/>
      <c r="T376" s="124"/>
    </row>
    <row r="377" spans="1:20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123"/>
      <c r="T377" s="124"/>
    </row>
    <row r="378" spans="1:20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123"/>
      <c r="T378" s="124"/>
    </row>
    <row r="379" spans="1:20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123"/>
      <c r="T379" s="124"/>
    </row>
    <row r="380" spans="1:20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123"/>
      <c r="T380" s="124"/>
    </row>
    <row r="381" spans="1:20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123"/>
      <c r="T381" s="124"/>
    </row>
    <row r="382" spans="1:20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123"/>
      <c r="T382" s="124"/>
    </row>
    <row r="383" spans="1:20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123"/>
      <c r="T383" s="124"/>
    </row>
    <row r="384" spans="1:20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123"/>
      <c r="T384" s="124"/>
    </row>
    <row r="385" spans="1:20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123"/>
      <c r="T385" s="124"/>
    </row>
    <row r="386" spans="1:20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123"/>
      <c r="T386" s="124"/>
    </row>
    <row r="387" spans="1:20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123"/>
      <c r="T387" s="124"/>
    </row>
    <row r="388" spans="1:20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123"/>
      <c r="T388" s="124"/>
    </row>
    <row r="389" spans="1:20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123"/>
      <c r="T389" s="124"/>
    </row>
    <row r="390" spans="1:20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123"/>
      <c r="T390" s="124"/>
    </row>
    <row r="391" spans="1:20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123"/>
      <c r="T391" s="124"/>
    </row>
    <row r="392" spans="1:20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123"/>
      <c r="T392" s="124"/>
    </row>
    <row r="393" spans="1:20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123"/>
      <c r="T393" s="124"/>
    </row>
    <row r="394" spans="1:20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123"/>
      <c r="T394" s="124"/>
    </row>
    <row r="395" spans="1:20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123"/>
      <c r="T395" s="124"/>
    </row>
    <row r="396" spans="1:20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123"/>
      <c r="T396" s="124"/>
    </row>
    <row r="397" spans="1:20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123"/>
      <c r="T397" s="124"/>
    </row>
    <row r="398" spans="1:20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123"/>
      <c r="T398" s="124"/>
    </row>
    <row r="399" spans="1:20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123"/>
      <c r="T399" s="124"/>
    </row>
    <row r="400" spans="1:20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123"/>
      <c r="T400" s="124"/>
    </row>
    <row r="401" spans="1:20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123"/>
      <c r="T401" s="124"/>
    </row>
    <row r="402" spans="1:20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123"/>
      <c r="T402" s="124"/>
    </row>
    <row r="403" spans="1:20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123"/>
      <c r="T403" s="124"/>
    </row>
    <row r="404" spans="1:20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123"/>
      <c r="T404" s="124"/>
    </row>
    <row r="405" spans="1:20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123"/>
      <c r="T405" s="124"/>
    </row>
    <row r="406" spans="1:20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123"/>
      <c r="T406" s="124"/>
    </row>
    <row r="407" spans="1:20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123"/>
      <c r="T407" s="124"/>
    </row>
    <row r="408" spans="1:20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123"/>
      <c r="T408" s="124"/>
    </row>
    <row r="409" spans="1:20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123"/>
      <c r="T409" s="124"/>
    </row>
    <row r="410" spans="1:20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123"/>
      <c r="T410" s="124"/>
    </row>
    <row r="411" spans="1:20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123"/>
      <c r="T411" s="124"/>
    </row>
    <row r="412" spans="1:20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123"/>
      <c r="T412" s="124"/>
    </row>
    <row r="413" spans="1:20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123"/>
      <c r="T413" s="124"/>
    </row>
    <row r="414" spans="1:20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123"/>
      <c r="T414" s="124"/>
    </row>
    <row r="415" spans="1:20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123"/>
      <c r="T415" s="124"/>
    </row>
    <row r="416" spans="1:20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123"/>
      <c r="T416" s="124"/>
    </row>
    <row r="417" spans="1:20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123"/>
      <c r="T417" s="124"/>
    </row>
    <row r="418" spans="1:20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123"/>
      <c r="T418" s="124"/>
    </row>
    <row r="419" spans="1:20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123"/>
      <c r="T419" s="124"/>
    </row>
    <row r="420" spans="1:20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123"/>
      <c r="T420" s="124"/>
    </row>
    <row r="421" spans="1:20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123"/>
      <c r="T421" s="124"/>
    </row>
    <row r="422" spans="1:20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123"/>
      <c r="T422" s="124"/>
    </row>
    <row r="423" spans="1:20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123"/>
      <c r="T423" s="124"/>
    </row>
    <row r="424" spans="1:20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123"/>
      <c r="T424" s="124"/>
    </row>
    <row r="425" spans="1:20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123"/>
      <c r="T425" s="124"/>
    </row>
    <row r="426" spans="1:20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123"/>
      <c r="T426" s="124"/>
    </row>
    <row r="427" spans="1:20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123"/>
      <c r="T427" s="124"/>
    </row>
    <row r="428" spans="1:20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123"/>
      <c r="T428" s="124"/>
    </row>
    <row r="429" spans="1:20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123"/>
      <c r="T429" s="124"/>
    </row>
    <row r="430" spans="1:20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123"/>
      <c r="T430" s="124"/>
    </row>
    <row r="431" spans="1:20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123"/>
      <c r="T431" s="124"/>
    </row>
    <row r="432" spans="1:20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123"/>
      <c r="T432" s="124"/>
    </row>
    <row r="433" spans="1:20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123"/>
      <c r="T433" s="124"/>
    </row>
    <row r="434" spans="1:20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123"/>
      <c r="T434" s="124"/>
    </row>
    <row r="435" spans="1:20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123"/>
      <c r="T435" s="124"/>
    </row>
    <row r="436" spans="1:20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123"/>
      <c r="T436" s="124"/>
    </row>
    <row r="437" spans="1:20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123"/>
      <c r="T437" s="124"/>
    </row>
    <row r="438" spans="1:20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123"/>
      <c r="T438" s="124"/>
    </row>
    <row r="439" spans="1:20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123"/>
      <c r="T439" s="124"/>
    </row>
    <row r="440" spans="1:20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123"/>
      <c r="T440" s="124"/>
    </row>
    <row r="441" spans="1:20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123"/>
      <c r="T441" s="124"/>
    </row>
    <row r="442" spans="1:20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123"/>
      <c r="T442" s="124"/>
    </row>
    <row r="443" spans="1:20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123"/>
      <c r="T443" s="124"/>
    </row>
    <row r="444" spans="1:20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123"/>
      <c r="T444" s="124"/>
    </row>
    <row r="445" spans="1:20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123"/>
      <c r="T445" s="124"/>
    </row>
    <row r="446" spans="1:20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123"/>
      <c r="T446" s="124"/>
    </row>
    <row r="447" spans="1:20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123"/>
      <c r="T447" s="124"/>
    </row>
    <row r="448" spans="1:20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123"/>
      <c r="T448" s="124"/>
    </row>
    <row r="449" spans="1:20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123"/>
      <c r="T449" s="124"/>
    </row>
    <row r="450" spans="1:20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123"/>
      <c r="T450" s="124"/>
    </row>
    <row r="451" spans="1:20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123"/>
      <c r="T451" s="124"/>
    </row>
    <row r="452" spans="1:20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123"/>
      <c r="T452" s="124"/>
    </row>
    <row r="453" spans="1:20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123"/>
      <c r="T453" s="124"/>
    </row>
    <row r="454" spans="1:20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123"/>
      <c r="T454" s="124"/>
    </row>
    <row r="455" spans="1:20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123"/>
      <c r="T455" s="124"/>
    </row>
    <row r="456" spans="1:20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123"/>
      <c r="T456" s="124"/>
    </row>
    <row r="457" spans="1:20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123"/>
      <c r="T457" s="124"/>
    </row>
    <row r="458" spans="1:20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123"/>
      <c r="T458" s="124"/>
    </row>
    <row r="459" spans="1:20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123"/>
      <c r="T459" s="124"/>
    </row>
    <row r="460" spans="1:20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123"/>
      <c r="T460" s="124"/>
    </row>
    <row r="461" spans="1:20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123"/>
      <c r="T461" s="124"/>
    </row>
    <row r="462" spans="1:20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123"/>
      <c r="T462" s="124"/>
    </row>
    <row r="463" spans="1:20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123"/>
      <c r="T463" s="124"/>
    </row>
    <row r="464" spans="1:20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123"/>
      <c r="T464" s="124"/>
    </row>
    <row r="465" spans="1:20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123"/>
      <c r="T465" s="124"/>
    </row>
    <row r="466" spans="1:20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123"/>
      <c r="T466" s="124"/>
    </row>
    <row r="467" spans="1:20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123"/>
      <c r="T467" s="124"/>
    </row>
    <row r="468" spans="1:20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123"/>
      <c r="T468" s="124"/>
    </row>
    <row r="469" spans="1:20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123"/>
      <c r="T469" s="124"/>
    </row>
    <row r="470" spans="1:20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123"/>
      <c r="T470" s="124"/>
    </row>
    <row r="471" spans="1:20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123"/>
      <c r="T471" s="124"/>
    </row>
    <row r="472" spans="1:20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123"/>
      <c r="T472" s="124"/>
    </row>
    <row r="473" spans="1:20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123"/>
      <c r="T473" s="124"/>
    </row>
    <row r="474" spans="1:20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123"/>
      <c r="T474" s="124"/>
    </row>
    <row r="475" spans="1:20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123"/>
      <c r="T475" s="124"/>
    </row>
    <row r="476" spans="1:20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123"/>
      <c r="T476" s="124"/>
    </row>
    <row r="477" spans="1:20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123"/>
      <c r="T477" s="124"/>
    </row>
    <row r="478" spans="1:20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123"/>
      <c r="T478" s="124"/>
    </row>
    <row r="479" spans="1:20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123"/>
      <c r="T479" s="124"/>
    </row>
    <row r="480" spans="1:20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123"/>
      <c r="T480" s="124"/>
    </row>
    <row r="481" spans="1:20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123"/>
      <c r="T481" s="124"/>
    </row>
    <row r="482" spans="1:20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123"/>
      <c r="T482" s="124"/>
    </row>
    <row r="483" spans="1:20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123"/>
      <c r="T483" s="124"/>
    </row>
    <row r="484" spans="1:20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123"/>
      <c r="T484" s="124"/>
    </row>
    <row r="485" spans="1:20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123"/>
      <c r="T485" s="124"/>
    </row>
    <row r="486" spans="1:20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123"/>
      <c r="T486" s="124"/>
    </row>
    <row r="487" spans="1:20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123"/>
      <c r="T487" s="124"/>
    </row>
    <row r="488" spans="1:20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123"/>
      <c r="T488" s="124"/>
    </row>
    <row r="489" spans="1:20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123"/>
      <c r="T489" s="124"/>
    </row>
    <row r="490" spans="1:20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123"/>
      <c r="T490" s="124"/>
    </row>
    <row r="491" spans="1:20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123"/>
      <c r="T491" s="124"/>
    </row>
    <row r="492" spans="1:20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123"/>
      <c r="T492" s="124"/>
    </row>
    <row r="493" spans="1:20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123"/>
      <c r="T493" s="124"/>
    </row>
    <row r="494" spans="1:20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123"/>
      <c r="T494" s="124"/>
    </row>
    <row r="495" spans="1:20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123"/>
      <c r="T495" s="124"/>
    </row>
    <row r="496" spans="1:20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123"/>
      <c r="T496" s="124"/>
    </row>
    <row r="497" spans="1:20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123"/>
      <c r="T497" s="124"/>
    </row>
    <row r="498" spans="1:20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123"/>
      <c r="T498" s="124"/>
    </row>
    <row r="499" spans="1:20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123"/>
      <c r="T499" s="124"/>
    </row>
    <row r="500" spans="1:20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123"/>
      <c r="T500" s="124"/>
    </row>
    <row r="501" spans="1:20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123"/>
      <c r="T501" s="124"/>
    </row>
    <row r="502" spans="1:20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123"/>
      <c r="T502" s="124"/>
    </row>
    <row r="503" spans="1:20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123"/>
      <c r="T503" s="124"/>
    </row>
    <row r="504" spans="1:20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123"/>
      <c r="T504" s="124"/>
    </row>
    <row r="505" spans="1:20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123"/>
      <c r="T505" s="124"/>
    </row>
    <row r="506" spans="1:20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123"/>
      <c r="T506" s="124"/>
    </row>
    <row r="507" spans="1:20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123"/>
      <c r="T507" s="124"/>
    </row>
    <row r="508" spans="1:20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123"/>
      <c r="T508" s="124"/>
    </row>
    <row r="509" spans="1:20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123"/>
      <c r="T509" s="124"/>
    </row>
    <row r="510" spans="1:20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123"/>
      <c r="T510" s="124"/>
    </row>
    <row r="511" spans="1:20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123"/>
      <c r="T511" s="124"/>
    </row>
    <row r="512" spans="1:20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123"/>
      <c r="T512" s="124"/>
    </row>
    <row r="513" spans="1:20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123"/>
      <c r="T513" s="124"/>
    </row>
    <row r="514" spans="1:20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123"/>
      <c r="T514" s="124"/>
    </row>
    <row r="515" spans="1:20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123"/>
      <c r="T515" s="124"/>
    </row>
    <row r="516" spans="1:20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123"/>
      <c r="T516" s="124"/>
    </row>
    <row r="517" spans="1:20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123"/>
      <c r="T517" s="124"/>
    </row>
    <row r="518" spans="1:20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123"/>
      <c r="T518" s="124"/>
    </row>
    <row r="519" spans="1:20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123"/>
      <c r="T519" s="124"/>
    </row>
    <row r="520" spans="1:20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123"/>
      <c r="T520" s="124"/>
    </row>
    <row r="521" spans="1:20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123"/>
      <c r="T521" s="124"/>
    </row>
    <row r="522" spans="1:20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123"/>
      <c r="T522" s="124"/>
    </row>
    <row r="523" spans="1:20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123"/>
      <c r="T523" s="124"/>
    </row>
    <row r="524" spans="1:20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123"/>
      <c r="T524" s="124"/>
    </row>
    <row r="525" spans="1:20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123"/>
      <c r="T525" s="124"/>
    </row>
    <row r="526" spans="1:20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123"/>
      <c r="T526" s="124"/>
    </row>
    <row r="527" spans="1:20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123"/>
      <c r="T527" s="124"/>
    </row>
    <row r="528" spans="1:20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123"/>
      <c r="T528" s="124"/>
    </row>
    <row r="529" spans="1:20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123"/>
      <c r="T529" s="124"/>
    </row>
    <row r="530" spans="1:20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123"/>
      <c r="T530" s="124"/>
    </row>
    <row r="531" spans="1:20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123"/>
      <c r="T531" s="124"/>
    </row>
    <row r="532" spans="1:20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123"/>
      <c r="T532" s="124"/>
    </row>
    <row r="533" spans="1:20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123"/>
      <c r="T533" s="124"/>
    </row>
    <row r="534" spans="1:20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123"/>
      <c r="T534" s="124"/>
    </row>
    <row r="535" spans="1:20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123"/>
      <c r="T535" s="124"/>
    </row>
    <row r="536" spans="1:20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123"/>
      <c r="T536" s="124"/>
    </row>
    <row r="537" spans="1:20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123"/>
      <c r="T537" s="124"/>
    </row>
    <row r="538" spans="1:20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123"/>
      <c r="T538" s="124"/>
    </row>
    <row r="539" spans="1:20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123"/>
      <c r="T539" s="124"/>
    </row>
    <row r="540" spans="1:20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123"/>
      <c r="T540" s="124"/>
    </row>
    <row r="541" spans="1:20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123"/>
      <c r="T541" s="124"/>
    </row>
    <row r="542" spans="1:20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123"/>
      <c r="T542" s="124"/>
    </row>
    <row r="543" spans="1:20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123"/>
      <c r="T543" s="124"/>
    </row>
    <row r="544" spans="1:20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123"/>
      <c r="T544" s="124"/>
    </row>
    <row r="545" spans="1:20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123"/>
      <c r="T545" s="124"/>
    </row>
    <row r="546" spans="1:20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123"/>
      <c r="T546" s="124"/>
    </row>
    <row r="547" spans="1:20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123"/>
      <c r="T547" s="124"/>
    </row>
    <row r="548" spans="1:20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123"/>
      <c r="T548" s="124"/>
    </row>
    <row r="549" spans="1:20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123"/>
      <c r="T549" s="124"/>
    </row>
    <row r="550" spans="1:20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123"/>
      <c r="T550" s="124"/>
    </row>
    <row r="551" spans="1:20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123"/>
      <c r="T551" s="124"/>
    </row>
    <row r="552" spans="1:20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123"/>
      <c r="T552" s="124"/>
    </row>
    <row r="553" spans="1:20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123"/>
      <c r="T553" s="124"/>
    </row>
    <row r="554" spans="1:20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123"/>
      <c r="T554" s="124"/>
    </row>
    <row r="555" spans="1:20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123"/>
      <c r="T555" s="124"/>
    </row>
    <row r="556" spans="1:20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123"/>
      <c r="T556" s="124"/>
    </row>
    <row r="557" spans="1:20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123"/>
      <c r="T557" s="124"/>
    </row>
    <row r="558" spans="1:20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123"/>
      <c r="T558" s="124"/>
    </row>
    <row r="559" spans="1:20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123"/>
      <c r="T559" s="124"/>
    </row>
    <row r="560" spans="1:20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123"/>
      <c r="T560" s="124"/>
    </row>
    <row r="561" spans="1:20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123"/>
      <c r="T561" s="124"/>
    </row>
    <row r="562" spans="1:20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123"/>
      <c r="T562" s="124"/>
    </row>
    <row r="563" spans="1:20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123"/>
      <c r="T563" s="124"/>
    </row>
    <row r="564" spans="1:20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123"/>
      <c r="T564" s="124"/>
    </row>
    <row r="565" spans="1:20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123"/>
      <c r="T565" s="124"/>
    </row>
    <row r="566" spans="1:20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123"/>
      <c r="T566" s="124"/>
    </row>
    <row r="567" spans="1:20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123"/>
      <c r="T567" s="124"/>
    </row>
    <row r="568" spans="1:20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123"/>
      <c r="T568" s="124"/>
    </row>
    <row r="569" spans="1:20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123"/>
      <c r="T569" s="124"/>
    </row>
    <row r="570" spans="1:20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123"/>
      <c r="T570" s="124"/>
    </row>
    <row r="571" spans="1:20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123"/>
      <c r="T571" s="124"/>
    </row>
    <row r="572" spans="1:20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123"/>
      <c r="T572" s="124"/>
    </row>
    <row r="573" spans="1:20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123"/>
      <c r="T573" s="124"/>
    </row>
    <row r="574" spans="1:20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123"/>
      <c r="T574" s="124"/>
    </row>
    <row r="575" spans="1:20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123"/>
      <c r="T575" s="124"/>
    </row>
    <row r="576" spans="1:20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123"/>
      <c r="T576" s="124"/>
    </row>
    <row r="577" spans="1:20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123"/>
      <c r="T577" s="124"/>
    </row>
    <row r="578" spans="1:20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123"/>
      <c r="T578" s="124"/>
    </row>
    <row r="579" spans="1:20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123"/>
      <c r="T579" s="124"/>
    </row>
    <row r="580" spans="1:20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123"/>
      <c r="T580" s="124"/>
    </row>
    <row r="581" spans="1:20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123"/>
      <c r="T581" s="124"/>
    </row>
    <row r="582" spans="1:20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123"/>
      <c r="T582" s="124"/>
    </row>
    <row r="583" spans="1:20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123"/>
      <c r="T583" s="124"/>
    </row>
    <row r="584" spans="1:20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123"/>
      <c r="T584" s="124"/>
    </row>
    <row r="585" spans="1:20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123"/>
      <c r="T585" s="124"/>
    </row>
    <row r="586" spans="1:20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123"/>
      <c r="T586" s="124"/>
    </row>
    <row r="587" spans="1:20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123"/>
      <c r="T587" s="124"/>
    </row>
    <row r="588" spans="1:20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123"/>
      <c r="T588" s="124"/>
    </row>
    <row r="589" spans="1:20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123"/>
      <c r="T589" s="124"/>
    </row>
    <row r="590" spans="1:20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123"/>
      <c r="T590" s="124"/>
    </row>
    <row r="591" spans="1:20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123"/>
      <c r="T591" s="124"/>
    </row>
    <row r="592" spans="1:20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123"/>
      <c r="T592" s="124"/>
    </row>
    <row r="593" spans="1:20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123"/>
      <c r="T593" s="124"/>
    </row>
    <row r="594" spans="1:20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123"/>
      <c r="T594" s="124"/>
    </row>
    <row r="595" spans="1:20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123"/>
      <c r="T595" s="124"/>
    </row>
    <row r="596" spans="1:20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123"/>
      <c r="T596" s="124"/>
    </row>
    <row r="597" spans="1:20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123"/>
      <c r="T597" s="124"/>
    </row>
    <row r="598" spans="1:20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123"/>
      <c r="T598" s="124"/>
    </row>
    <row r="599" spans="1:20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123"/>
      <c r="T599" s="124"/>
    </row>
    <row r="600" spans="1:20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123"/>
      <c r="T600" s="124"/>
    </row>
    <row r="601" spans="1:20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123"/>
      <c r="T601" s="124"/>
    </row>
    <row r="602" spans="1:20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123"/>
      <c r="T602" s="124"/>
    </row>
    <row r="603" spans="1:20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123"/>
      <c r="T603" s="124"/>
    </row>
    <row r="604" spans="1:20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123"/>
      <c r="T604" s="124"/>
    </row>
    <row r="605" spans="1:20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123"/>
      <c r="T605" s="124"/>
    </row>
    <row r="606" spans="1:20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123"/>
      <c r="T606" s="124"/>
    </row>
    <row r="607" spans="1:20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123"/>
      <c r="T607" s="124"/>
    </row>
    <row r="608" spans="1:20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123"/>
      <c r="T608" s="124"/>
    </row>
    <row r="609" spans="1:20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123"/>
      <c r="T609" s="124"/>
    </row>
    <row r="610" spans="1:20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123"/>
      <c r="T610" s="124"/>
    </row>
    <row r="611" spans="1:20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123"/>
      <c r="T611" s="124"/>
    </row>
    <row r="612" spans="1:20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123"/>
      <c r="T612" s="124"/>
    </row>
    <row r="613" spans="1:20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123"/>
      <c r="T613" s="124"/>
    </row>
    <row r="614" spans="1:20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123"/>
      <c r="T614" s="124"/>
    </row>
    <row r="615" spans="1:20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123"/>
      <c r="T615" s="124"/>
    </row>
    <row r="616" spans="1:20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123"/>
      <c r="T616" s="124"/>
    </row>
    <row r="617" spans="1:20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123"/>
      <c r="T617" s="124"/>
    </row>
    <row r="618" spans="1:20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123"/>
      <c r="T618" s="124"/>
    </row>
    <row r="619" spans="1:20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123"/>
      <c r="T619" s="124"/>
    </row>
    <row r="620" spans="1:20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123"/>
      <c r="T620" s="124"/>
    </row>
    <row r="621" spans="1:20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123"/>
      <c r="T621" s="124"/>
    </row>
    <row r="622" spans="1:20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123"/>
      <c r="T622" s="124"/>
    </row>
    <row r="623" spans="1:20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123"/>
      <c r="T623" s="124"/>
    </row>
    <row r="624" spans="1:20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123"/>
      <c r="T624" s="124"/>
    </row>
    <row r="625" spans="1:20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123"/>
      <c r="T625" s="124"/>
    </row>
    <row r="626" spans="1:20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123"/>
      <c r="T626" s="124"/>
    </row>
    <row r="627" spans="1:20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123"/>
      <c r="T627" s="124"/>
    </row>
    <row r="628" spans="1:20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123"/>
      <c r="T628" s="124"/>
    </row>
    <row r="629" spans="1:20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123"/>
      <c r="T629" s="124"/>
    </row>
    <row r="630" spans="1:20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123"/>
      <c r="T630" s="124"/>
    </row>
    <row r="631" spans="1:20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123"/>
      <c r="T631" s="124"/>
    </row>
    <row r="632" spans="1:20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123"/>
      <c r="T632" s="124"/>
    </row>
    <row r="633" spans="1:20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123"/>
      <c r="T633" s="124"/>
    </row>
    <row r="634" spans="1:20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123"/>
      <c r="T634" s="124"/>
    </row>
    <row r="635" spans="1:20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123"/>
      <c r="T635" s="124"/>
    </row>
    <row r="636" spans="1:20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123"/>
      <c r="T636" s="124"/>
    </row>
    <row r="637" spans="1:20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123"/>
      <c r="T637" s="124"/>
    </row>
    <row r="638" spans="1:20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123"/>
      <c r="T638" s="124"/>
    </row>
    <row r="639" spans="1:20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123"/>
      <c r="T639" s="124"/>
    </row>
    <row r="640" spans="1:20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123"/>
      <c r="T640" s="124"/>
    </row>
    <row r="641" spans="1:20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123"/>
      <c r="T641" s="124"/>
    </row>
    <row r="642" spans="1:20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123"/>
      <c r="T642" s="124"/>
    </row>
    <row r="643" spans="1:20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123"/>
      <c r="T643" s="124"/>
    </row>
    <row r="644" spans="1:20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123"/>
      <c r="T644" s="124"/>
    </row>
    <row r="645" spans="1:20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123"/>
      <c r="T645" s="124"/>
    </row>
    <row r="646" spans="1:20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123"/>
      <c r="T646" s="124"/>
    </row>
    <row r="647" spans="1:20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123"/>
      <c r="T647" s="124"/>
    </row>
    <row r="648" spans="1:20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123"/>
      <c r="T648" s="124"/>
    </row>
    <row r="649" spans="1:20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123"/>
      <c r="T649" s="124"/>
    </row>
    <row r="650" spans="1:20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123"/>
      <c r="T650" s="124"/>
    </row>
    <row r="651" spans="1:20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123"/>
      <c r="T651" s="124"/>
    </row>
    <row r="652" spans="1:20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123"/>
      <c r="T652" s="124"/>
    </row>
    <row r="653" spans="1:20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123"/>
      <c r="T653" s="124"/>
    </row>
    <row r="654" spans="1:20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123"/>
      <c r="T654" s="124"/>
    </row>
    <row r="655" spans="1:20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123"/>
      <c r="T655" s="124"/>
    </row>
    <row r="656" spans="1:20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123"/>
      <c r="T656" s="124"/>
    </row>
    <row r="657" spans="1:20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123"/>
      <c r="T657" s="124"/>
    </row>
    <row r="658" spans="1:20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123"/>
      <c r="T658" s="124"/>
    </row>
    <row r="659" spans="1:20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123"/>
      <c r="T659" s="124"/>
    </row>
    <row r="660" spans="1:20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123"/>
      <c r="T660" s="124"/>
    </row>
    <row r="661" spans="1:20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123"/>
      <c r="T661" s="124"/>
    </row>
    <row r="662" spans="1:20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123"/>
      <c r="T662" s="124"/>
    </row>
    <row r="663" spans="1:20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123"/>
      <c r="T663" s="124"/>
    </row>
    <row r="664" spans="1:20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123"/>
      <c r="T664" s="124"/>
    </row>
    <row r="665" spans="1:20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123"/>
      <c r="T665" s="124"/>
    </row>
    <row r="666" spans="1:20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123"/>
      <c r="T666" s="124"/>
    </row>
    <row r="667" spans="1:20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123"/>
      <c r="T667" s="124"/>
    </row>
    <row r="668" spans="1:20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123"/>
      <c r="T668" s="124"/>
    </row>
    <row r="669" spans="1:20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123"/>
      <c r="T669" s="124"/>
    </row>
    <row r="670" spans="1:20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123"/>
      <c r="T670" s="124"/>
    </row>
    <row r="671" spans="1:20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123"/>
      <c r="T671" s="124"/>
    </row>
    <row r="672" spans="1:20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123"/>
      <c r="T672" s="124"/>
    </row>
    <row r="673" spans="1:20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123"/>
      <c r="T673" s="124"/>
    </row>
    <row r="674" spans="1:20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123"/>
      <c r="T674" s="124"/>
    </row>
    <row r="675" spans="1:20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123"/>
      <c r="T675" s="124"/>
    </row>
    <row r="676" spans="1:20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123"/>
      <c r="T676" s="124"/>
    </row>
    <row r="677" spans="1:20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123"/>
      <c r="T677" s="124"/>
    </row>
    <row r="678" spans="1:20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123"/>
      <c r="T678" s="124"/>
    </row>
    <row r="679" spans="1:20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123"/>
      <c r="T679" s="124"/>
    </row>
    <row r="680" spans="1:20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123"/>
      <c r="T680" s="124"/>
    </row>
    <row r="681" spans="1:20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123"/>
      <c r="T681" s="124"/>
    </row>
    <row r="682" spans="1:20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123"/>
      <c r="T682" s="124"/>
    </row>
    <row r="683" spans="1:20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123"/>
      <c r="T683" s="124"/>
    </row>
    <row r="684" spans="1:20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123"/>
      <c r="T684" s="124"/>
    </row>
    <row r="685" spans="1:20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123"/>
      <c r="T685" s="124"/>
    </row>
    <row r="686" spans="1:20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123"/>
      <c r="T686" s="124"/>
    </row>
    <row r="687" spans="1:20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123"/>
      <c r="T687" s="124"/>
    </row>
    <row r="688" spans="1:20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123"/>
      <c r="T688" s="124"/>
    </row>
    <row r="689" spans="1:20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123"/>
      <c r="T689" s="124"/>
    </row>
    <row r="690" spans="1:20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123"/>
      <c r="T690" s="124"/>
    </row>
    <row r="691" spans="1:20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123"/>
      <c r="T691" s="124"/>
    </row>
    <row r="692" spans="1:20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123"/>
      <c r="T692" s="124"/>
    </row>
    <row r="693" spans="1:20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123"/>
      <c r="T693" s="124"/>
    </row>
    <row r="694" spans="1:20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123"/>
      <c r="T694" s="124"/>
    </row>
    <row r="695" spans="1:20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123"/>
      <c r="T695" s="124"/>
    </row>
    <row r="696" spans="1:20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123"/>
      <c r="T696" s="124"/>
    </row>
    <row r="697" spans="1:20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123"/>
      <c r="T697" s="124"/>
    </row>
    <row r="698" spans="1:20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123"/>
      <c r="T698" s="124"/>
    </row>
    <row r="699" spans="1:20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123"/>
      <c r="T699" s="124"/>
    </row>
    <row r="700" spans="1:20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123"/>
      <c r="T700" s="124"/>
    </row>
    <row r="701" spans="1:20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123"/>
      <c r="T701" s="124"/>
    </row>
    <row r="702" spans="1:20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123"/>
      <c r="T702" s="124"/>
    </row>
    <row r="703" spans="1:20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123"/>
      <c r="T703" s="124"/>
    </row>
    <row r="704" spans="1:20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123"/>
      <c r="T704" s="124"/>
    </row>
    <row r="705" spans="1:20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123"/>
      <c r="T705" s="124"/>
    </row>
    <row r="706" spans="1:20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123"/>
      <c r="T706" s="124"/>
    </row>
    <row r="707" spans="1:20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123"/>
      <c r="T707" s="124"/>
    </row>
    <row r="708" spans="1:20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123"/>
      <c r="T708" s="124"/>
    </row>
    <row r="709" spans="1:20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123"/>
      <c r="T709" s="124"/>
    </row>
    <row r="710" spans="1:20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123"/>
      <c r="T710" s="124"/>
    </row>
    <row r="711" spans="1:20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123"/>
      <c r="T711" s="124"/>
    </row>
    <row r="712" spans="1:20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123"/>
      <c r="T712" s="124"/>
    </row>
    <row r="713" spans="1:20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123"/>
      <c r="T713" s="124"/>
    </row>
    <row r="714" spans="1:20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123"/>
      <c r="T714" s="124"/>
    </row>
    <row r="715" spans="1:20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123"/>
      <c r="T715" s="124"/>
    </row>
    <row r="716" spans="1:20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123"/>
      <c r="T716" s="124"/>
    </row>
    <row r="717" spans="1:20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123"/>
      <c r="T717" s="124"/>
    </row>
    <row r="718" spans="1:20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123"/>
      <c r="T718" s="124"/>
    </row>
    <row r="719" spans="1:20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123"/>
      <c r="T719" s="124"/>
    </row>
    <row r="720" spans="1:20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123"/>
      <c r="T720" s="124"/>
    </row>
    <row r="721" spans="1:20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123"/>
      <c r="T721" s="124"/>
    </row>
    <row r="722" spans="1:20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123"/>
      <c r="T722" s="124"/>
    </row>
    <row r="723" spans="1:20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123"/>
      <c r="T723" s="124"/>
    </row>
    <row r="724" spans="1:20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123"/>
      <c r="T724" s="124"/>
    </row>
    <row r="725" spans="1:20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123"/>
      <c r="T725" s="124"/>
    </row>
    <row r="726" spans="1:20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123"/>
      <c r="T726" s="124"/>
    </row>
    <row r="727" spans="1:20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123"/>
      <c r="T727" s="124"/>
    </row>
    <row r="728" spans="1:20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123"/>
      <c r="T728" s="124"/>
    </row>
    <row r="729" spans="1:20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123"/>
      <c r="T729" s="124"/>
    </row>
    <row r="730" spans="1:20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123"/>
      <c r="T730" s="124"/>
    </row>
    <row r="731" spans="1:20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123"/>
      <c r="T731" s="124"/>
    </row>
    <row r="732" spans="1:20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123"/>
      <c r="T732" s="124"/>
    </row>
    <row r="733" spans="1:20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123"/>
      <c r="T733" s="124"/>
    </row>
    <row r="734" spans="1:20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123"/>
      <c r="T734" s="124"/>
    </row>
    <row r="735" spans="1:20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123"/>
      <c r="T735" s="124"/>
    </row>
    <row r="736" spans="1:20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123"/>
      <c r="T736" s="124"/>
    </row>
    <row r="737" spans="1:20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123"/>
      <c r="T737" s="124"/>
    </row>
    <row r="738" spans="1:20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123"/>
      <c r="T738" s="124"/>
    </row>
    <row r="739" spans="1:20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123"/>
      <c r="T739" s="124"/>
    </row>
    <row r="740" spans="1:20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123"/>
      <c r="T740" s="124"/>
    </row>
    <row r="741" spans="1:20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123"/>
      <c r="T741" s="124"/>
    </row>
    <row r="742" spans="1:20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123"/>
      <c r="T742" s="124"/>
    </row>
    <row r="743" spans="1:20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123"/>
      <c r="T743" s="124"/>
    </row>
    <row r="744" spans="1:20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123"/>
      <c r="T744" s="124"/>
    </row>
    <row r="745" spans="1:20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123"/>
      <c r="T745" s="124"/>
    </row>
    <row r="746" spans="1:20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123"/>
      <c r="T746" s="124"/>
    </row>
    <row r="747" spans="1:20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123"/>
      <c r="T747" s="124"/>
    </row>
    <row r="748" spans="1:20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123"/>
      <c r="T748" s="124"/>
    </row>
    <row r="749" spans="1:20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123"/>
      <c r="T749" s="124"/>
    </row>
    <row r="750" spans="1:20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123"/>
      <c r="T750" s="124"/>
    </row>
    <row r="751" spans="1:20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123"/>
      <c r="T751" s="124"/>
    </row>
    <row r="752" spans="1:20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123"/>
      <c r="T752" s="124"/>
    </row>
    <row r="753" spans="1:20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123"/>
      <c r="T753" s="124"/>
    </row>
    <row r="754" spans="1:20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123"/>
      <c r="T754" s="124"/>
    </row>
    <row r="755" spans="1:20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123"/>
      <c r="T755" s="124"/>
    </row>
    <row r="756" spans="1:20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123"/>
      <c r="T756" s="124"/>
    </row>
    <row r="757" spans="1:20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123"/>
      <c r="T757" s="124"/>
    </row>
    <row r="758" spans="1:20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123"/>
      <c r="T758" s="124"/>
    </row>
    <row r="759" spans="1:20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123"/>
      <c r="T759" s="124"/>
    </row>
    <row r="760" spans="1:20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123"/>
      <c r="T760" s="124"/>
    </row>
    <row r="761" spans="1:20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123"/>
      <c r="T761" s="124"/>
    </row>
    <row r="762" spans="1:20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123"/>
      <c r="T762" s="124"/>
    </row>
    <row r="763" spans="1:20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123"/>
      <c r="T763" s="124"/>
    </row>
    <row r="764" spans="1:20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123"/>
      <c r="T764" s="124"/>
    </row>
    <row r="765" spans="1:20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123"/>
      <c r="T765" s="124"/>
    </row>
    <row r="766" spans="1:20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123"/>
      <c r="T766" s="124"/>
    </row>
    <row r="767" spans="1:20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123"/>
      <c r="T767" s="124"/>
    </row>
    <row r="768" spans="1:20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123"/>
      <c r="T768" s="124"/>
    </row>
    <row r="769" spans="1:20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123"/>
      <c r="T769" s="124"/>
    </row>
    <row r="770" spans="1:20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123"/>
      <c r="T770" s="124"/>
    </row>
    <row r="771" spans="1:20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123"/>
      <c r="T771" s="124"/>
    </row>
    <row r="772" spans="1:20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123"/>
      <c r="T772" s="124"/>
    </row>
    <row r="773" spans="1:20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123"/>
      <c r="T773" s="124"/>
    </row>
    <row r="774" spans="1:20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123"/>
      <c r="T774" s="124"/>
    </row>
    <row r="775" spans="1:20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123"/>
      <c r="T775" s="124"/>
    </row>
    <row r="776" spans="1:20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123"/>
      <c r="T776" s="124"/>
    </row>
    <row r="777" spans="1:20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123"/>
      <c r="T777" s="124"/>
    </row>
    <row r="778" spans="1:20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123"/>
      <c r="T778" s="124"/>
    </row>
    <row r="779" spans="1:20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123"/>
      <c r="T779" s="124"/>
    </row>
    <row r="780" spans="1:20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123"/>
      <c r="T780" s="124"/>
    </row>
    <row r="781" spans="1:20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123"/>
      <c r="T781" s="124"/>
    </row>
    <row r="782" spans="1:20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123"/>
      <c r="T782" s="124"/>
    </row>
    <row r="783" spans="1:20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123"/>
      <c r="T783" s="124"/>
    </row>
    <row r="784" spans="1:20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123"/>
      <c r="T784" s="124"/>
    </row>
    <row r="785" spans="1:20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123"/>
      <c r="T785" s="124"/>
    </row>
    <row r="786" spans="1:20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123"/>
      <c r="T786" s="124"/>
    </row>
    <row r="787" spans="1:20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123"/>
      <c r="T787" s="124"/>
    </row>
    <row r="788" spans="1:20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123"/>
      <c r="T788" s="124"/>
    </row>
    <row r="789" spans="1:20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123"/>
      <c r="T789" s="124"/>
    </row>
    <row r="790" spans="1:20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123"/>
      <c r="T790" s="124"/>
    </row>
    <row r="791" spans="1:20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123"/>
      <c r="T791" s="124"/>
    </row>
    <row r="792" spans="1:20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123"/>
      <c r="T792" s="124"/>
    </row>
    <row r="793" spans="1:20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123"/>
      <c r="T793" s="124"/>
    </row>
    <row r="794" spans="1:20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123"/>
      <c r="T794" s="124"/>
    </row>
    <row r="795" spans="1:20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123"/>
      <c r="T795" s="124"/>
    </row>
    <row r="796" spans="1:20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123"/>
      <c r="T796" s="124"/>
    </row>
    <row r="797" spans="1:20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123"/>
      <c r="T797" s="124"/>
    </row>
    <row r="798" spans="1:20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123"/>
      <c r="T798" s="124"/>
    </row>
    <row r="799" spans="1:20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123"/>
      <c r="T799" s="124"/>
    </row>
    <row r="800" spans="1:20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123"/>
      <c r="T800" s="124"/>
    </row>
    <row r="801" spans="1:20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123"/>
      <c r="T801" s="124"/>
    </row>
    <row r="802" spans="1:20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123"/>
      <c r="T802" s="124"/>
    </row>
    <row r="803" spans="1:20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123"/>
      <c r="T803" s="124"/>
    </row>
    <row r="804" spans="1:20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123"/>
      <c r="T804" s="124"/>
    </row>
    <row r="805" spans="1:20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123"/>
      <c r="T805" s="124"/>
    </row>
    <row r="806" spans="1:20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123"/>
      <c r="T806" s="124"/>
    </row>
    <row r="807" spans="1:20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123"/>
      <c r="T807" s="124"/>
    </row>
    <row r="808" spans="1:20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123"/>
      <c r="T808" s="124"/>
    </row>
    <row r="809" spans="1:20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123"/>
      <c r="T809" s="124"/>
    </row>
    <row r="810" spans="1:20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123"/>
      <c r="T810" s="124"/>
    </row>
    <row r="811" spans="1:20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123"/>
      <c r="T811" s="124"/>
    </row>
    <row r="812" spans="1:20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123"/>
      <c r="T812" s="124"/>
    </row>
    <row r="813" spans="1:20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123"/>
      <c r="T813" s="124"/>
    </row>
    <row r="814" spans="1:20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123"/>
      <c r="T814" s="124"/>
    </row>
    <row r="815" spans="1:20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123"/>
      <c r="T815" s="124"/>
    </row>
    <row r="816" spans="1:20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123"/>
      <c r="T816" s="124"/>
    </row>
    <row r="817" spans="1:20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123"/>
      <c r="T817" s="124"/>
    </row>
    <row r="818" spans="1:20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123"/>
      <c r="T818" s="124"/>
    </row>
    <row r="819" spans="1:20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123"/>
      <c r="T819" s="124"/>
    </row>
    <row r="820" spans="1:20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123"/>
      <c r="T820" s="124"/>
    </row>
    <row r="821" spans="1:20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123"/>
      <c r="T821" s="124"/>
    </row>
    <row r="822" spans="1:20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123"/>
      <c r="T822" s="124"/>
    </row>
    <row r="823" spans="1:20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123"/>
      <c r="T823" s="124"/>
    </row>
    <row r="824" spans="1:20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123"/>
      <c r="T824" s="124"/>
    </row>
    <row r="825" spans="1:20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123"/>
      <c r="T825" s="124"/>
    </row>
    <row r="826" spans="1:20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123"/>
      <c r="T826" s="124"/>
    </row>
    <row r="827" spans="1:20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123"/>
      <c r="T827" s="124"/>
    </row>
    <row r="828" spans="1:20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123"/>
      <c r="T828" s="124"/>
    </row>
    <row r="829" spans="1:20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123"/>
      <c r="T829" s="124"/>
    </row>
    <row r="830" spans="1:20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123"/>
      <c r="T830" s="124"/>
    </row>
    <row r="831" spans="1:20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123"/>
      <c r="T831" s="124"/>
    </row>
    <row r="832" spans="1:20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123"/>
      <c r="T832" s="124"/>
    </row>
    <row r="833" spans="1:20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123"/>
      <c r="T833" s="124"/>
    </row>
    <row r="834" spans="1:20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123"/>
      <c r="T834" s="124"/>
    </row>
    <row r="835" spans="1:20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123"/>
      <c r="T835" s="124"/>
    </row>
    <row r="836" spans="1:20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123"/>
      <c r="T836" s="124"/>
    </row>
    <row r="837" spans="1:20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123"/>
      <c r="T837" s="124"/>
    </row>
    <row r="838" spans="1:20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123"/>
      <c r="T838" s="124"/>
    </row>
    <row r="839" spans="1:20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123"/>
      <c r="T839" s="124"/>
    </row>
    <row r="840" spans="1:20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123"/>
      <c r="T840" s="124"/>
    </row>
    <row r="841" spans="1:20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123"/>
      <c r="T841" s="124"/>
    </row>
    <row r="842" spans="1:20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123"/>
      <c r="T842" s="124"/>
    </row>
    <row r="843" spans="1:20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123"/>
      <c r="T843" s="124"/>
    </row>
    <row r="844" spans="1:20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123"/>
      <c r="T844" s="124"/>
    </row>
    <row r="845" spans="1:20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123"/>
      <c r="T845" s="124"/>
    </row>
    <row r="846" spans="1:20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123"/>
      <c r="T846" s="124"/>
    </row>
    <row r="847" spans="1:20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123"/>
      <c r="T847" s="124"/>
    </row>
    <row r="848" spans="1:20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123"/>
      <c r="T848" s="124"/>
    </row>
    <row r="849" spans="1:20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123"/>
      <c r="T849" s="124"/>
    </row>
    <row r="850" spans="1:20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123"/>
      <c r="T850" s="124"/>
    </row>
    <row r="851" spans="1:20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123"/>
      <c r="T851" s="124"/>
    </row>
    <row r="852" spans="1:20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123"/>
      <c r="T852" s="124"/>
    </row>
    <row r="853" spans="1:20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123"/>
      <c r="T853" s="124"/>
    </row>
    <row r="854" spans="1:20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123"/>
      <c r="T854" s="124"/>
    </row>
    <row r="855" spans="1:20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123"/>
      <c r="T855" s="124"/>
    </row>
    <row r="856" spans="1:20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123"/>
      <c r="T856" s="124"/>
    </row>
    <row r="857" spans="1:20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123"/>
      <c r="T857" s="124"/>
    </row>
    <row r="858" spans="1:20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123"/>
      <c r="T858" s="124"/>
    </row>
    <row r="859" spans="1:20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123"/>
      <c r="T859" s="124"/>
    </row>
    <row r="860" spans="1:20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123"/>
      <c r="T860" s="124"/>
    </row>
    <row r="861" spans="1:20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123"/>
      <c r="T861" s="124"/>
    </row>
    <row r="862" spans="1:20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123"/>
      <c r="T862" s="124"/>
    </row>
    <row r="863" spans="1:20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123"/>
      <c r="T863" s="124"/>
    </row>
    <row r="864" spans="1:20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123"/>
      <c r="T864" s="124"/>
    </row>
    <row r="865" spans="1:20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123"/>
      <c r="T865" s="124"/>
    </row>
    <row r="866" spans="1:20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123"/>
      <c r="T866" s="124"/>
    </row>
    <row r="867" spans="1:20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123"/>
      <c r="T867" s="124"/>
    </row>
    <row r="868" spans="1:20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123"/>
      <c r="T868" s="124"/>
    </row>
    <row r="869" spans="1:20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123"/>
      <c r="T869" s="124"/>
    </row>
    <row r="870" spans="1:20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123"/>
      <c r="T870" s="124"/>
    </row>
    <row r="871" spans="1:20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123"/>
      <c r="T871" s="124"/>
    </row>
    <row r="872" spans="1:20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123"/>
      <c r="T872" s="124"/>
    </row>
    <row r="873" spans="1:20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123"/>
      <c r="T873" s="124"/>
    </row>
    <row r="874" spans="1:20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123"/>
      <c r="T874" s="124"/>
    </row>
    <row r="875" spans="1:20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123"/>
      <c r="T875" s="124"/>
    </row>
    <row r="876" spans="1:20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123"/>
      <c r="T876" s="124"/>
    </row>
    <row r="877" spans="1:20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123"/>
      <c r="T877" s="124"/>
    </row>
    <row r="878" spans="1:20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123"/>
      <c r="T878" s="124"/>
    </row>
    <row r="879" spans="1:20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123"/>
      <c r="T879" s="124"/>
    </row>
    <row r="880" spans="1:20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123"/>
      <c r="T880" s="124"/>
    </row>
    <row r="881" spans="1:20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123"/>
      <c r="T881" s="124"/>
    </row>
    <row r="882" spans="1:20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123"/>
      <c r="T882" s="124"/>
    </row>
    <row r="883" spans="1:20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123"/>
      <c r="T883" s="124"/>
    </row>
    <row r="884" spans="1:20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123"/>
      <c r="T884" s="124"/>
    </row>
    <row r="885" spans="1:20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123"/>
      <c r="T885" s="124"/>
    </row>
    <row r="886" spans="1:20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123"/>
      <c r="T886" s="124"/>
    </row>
    <row r="887" spans="1:20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123"/>
      <c r="T887" s="124"/>
    </row>
    <row r="888" spans="1:20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123"/>
      <c r="T888" s="124"/>
    </row>
    <row r="889" spans="1:20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123"/>
      <c r="T889" s="124"/>
    </row>
    <row r="890" spans="1:20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123"/>
      <c r="T890" s="124"/>
    </row>
    <row r="891" spans="1:20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123"/>
      <c r="T891" s="124"/>
    </row>
    <row r="892" spans="1:20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123"/>
      <c r="T892" s="124"/>
    </row>
    <row r="893" spans="1:20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123"/>
      <c r="T893" s="124"/>
    </row>
    <row r="894" spans="1:20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123"/>
      <c r="T894" s="124"/>
    </row>
    <row r="895" spans="1:20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123"/>
      <c r="T895" s="124"/>
    </row>
    <row r="896" spans="1:20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123"/>
      <c r="T896" s="124"/>
    </row>
    <row r="897" spans="1:20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123"/>
      <c r="T897" s="124"/>
    </row>
    <row r="898" spans="1:20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123"/>
      <c r="T898" s="124"/>
    </row>
    <row r="899" spans="1:20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123"/>
      <c r="T899" s="124"/>
    </row>
    <row r="900" spans="1:20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123"/>
      <c r="T900" s="124"/>
    </row>
    <row r="901" spans="1:20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123"/>
      <c r="T901" s="124"/>
    </row>
    <row r="902" spans="1:20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123"/>
      <c r="T902" s="124"/>
    </row>
    <row r="903" spans="1:20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123"/>
      <c r="T903" s="124"/>
    </row>
    <row r="904" spans="1:20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123"/>
      <c r="T904" s="124"/>
    </row>
    <row r="905" spans="1:20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123"/>
      <c r="T905" s="124"/>
    </row>
    <row r="906" spans="1:20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123"/>
      <c r="T906" s="124"/>
    </row>
    <row r="907" spans="1:20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123"/>
      <c r="T907" s="124"/>
    </row>
    <row r="908" spans="1:20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123"/>
      <c r="T908" s="124"/>
    </row>
    <row r="909" spans="1:20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123"/>
      <c r="T909" s="124"/>
    </row>
    <row r="910" spans="1:20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123"/>
      <c r="T910" s="124"/>
    </row>
    <row r="911" spans="1:20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123"/>
      <c r="T911" s="124"/>
    </row>
    <row r="912" spans="1:20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123"/>
      <c r="T912" s="124"/>
    </row>
    <row r="913" spans="1:20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123"/>
      <c r="T913" s="124"/>
    </row>
    <row r="914" spans="1:20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123"/>
      <c r="T914" s="124"/>
    </row>
    <row r="915" spans="1:20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123"/>
      <c r="T915" s="124"/>
    </row>
    <row r="916" spans="1:20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123"/>
      <c r="T916" s="124"/>
    </row>
    <row r="917" spans="1:20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123"/>
      <c r="T917" s="124"/>
    </row>
    <row r="918" spans="1:20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123"/>
      <c r="T918" s="124"/>
    </row>
    <row r="919" spans="1:20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123"/>
      <c r="T919" s="124"/>
    </row>
    <row r="920" spans="1:20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123"/>
      <c r="T920" s="124"/>
    </row>
    <row r="921" spans="1:20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123"/>
      <c r="T921" s="124"/>
    </row>
    <row r="922" spans="1:20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123"/>
      <c r="T922" s="124"/>
    </row>
    <row r="923" spans="1:20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123"/>
      <c r="T923" s="124"/>
    </row>
    <row r="924" spans="1:20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123"/>
      <c r="T924" s="124"/>
    </row>
    <row r="925" spans="1:20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123"/>
      <c r="T925" s="124"/>
    </row>
    <row r="926" spans="1:20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123"/>
      <c r="T926" s="124"/>
    </row>
    <row r="927" spans="1:20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123"/>
      <c r="T927" s="124"/>
    </row>
    <row r="928" spans="1:20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123"/>
      <c r="T928" s="124"/>
    </row>
    <row r="929" spans="1:20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123"/>
      <c r="T929" s="124"/>
    </row>
    <row r="930" spans="1:20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123"/>
      <c r="T930" s="124"/>
    </row>
    <row r="931" spans="1:20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123"/>
      <c r="T931" s="124"/>
    </row>
    <row r="932" spans="1:20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123"/>
      <c r="T932" s="124"/>
    </row>
    <row r="933" spans="1:20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123"/>
      <c r="T933" s="124"/>
    </row>
    <row r="934" spans="1:20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123"/>
      <c r="T934" s="124"/>
    </row>
    <row r="935" spans="1:20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123"/>
      <c r="T935" s="124"/>
    </row>
    <row r="936" spans="1:20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123"/>
      <c r="T936" s="124"/>
    </row>
    <row r="937" spans="1:20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123"/>
      <c r="T937" s="124"/>
    </row>
    <row r="938" spans="1:20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123"/>
      <c r="T938" s="124"/>
    </row>
    <row r="939" spans="1:20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123"/>
      <c r="T939" s="124"/>
    </row>
    <row r="940" spans="1:20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123"/>
      <c r="T940" s="124"/>
    </row>
    <row r="941" spans="1:20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123"/>
      <c r="T941" s="124"/>
    </row>
    <row r="942" spans="1:20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123"/>
      <c r="T942" s="124"/>
    </row>
    <row r="943" spans="1:20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123"/>
      <c r="T943" s="124"/>
    </row>
    <row r="944" spans="1:20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123"/>
      <c r="T944" s="124"/>
    </row>
    <row r="945" spans="1:20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123"/>
      <c r="T945" s="124"/>
    </row>
    <row r="946" spans="1:20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123"/>
      <c r="T946" s="124"/>
    </row>
    <row r="947" spans="1:20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123"/>
      <c r="T947" s="124"/>
    </row>
    <row r="948" spans="1:20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123"/>
      <c r="T948" s="124"/>
    </row>
    <row r="949" spans="1:20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123"/>
      <c r="T949" s="124"/>
    </row>
    <row r="950" spans="1:20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123"/>
      <c r="T950" s="124"/>
    </row>
    <row r="951" spans="1:20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123"/>
      <c r="T951" s="124"/>
    </row>
    <row r="952" spans="1:20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123"/>
      <c r="T952" s="124"/>
    </row>
    <row r="953" spans="1:20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123"/>
      <c r="T953" s="124"/>
    </row>
    <row r="954" spans="1:20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123"/>
      <c r="T954" s="124"/>
    </row>
    <row r="955" spans="1:20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123"/>
      <c r="T955" s="124"/>
    </row>
    <row r="956" spans="1:20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123"/>
      <c r="T956" s="124"/>
    </row>
    <row r="957" spans="1:20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123"/>
      <c r="T957" s="124"/>
    </row>
    <row r="958" spans="1:20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123"/>
      <c r="T958" s="124"/>
    </row>
    <row r="959" spans="1:20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123"/>
      <c r="T959" s="124"/>
    </row>
    <row r="960" spans="1:20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123"/>
      <c r="T960" s="124"/>
    </row>
    <row r="961" spans="1:20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123"/>
      <c r="T961" s="124"/>
    </row>
    <row r="962" spans="1:20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123"/>
      <c r="T962" s="124"/>
    </row>
    <row r="963" spans="1:20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123"/>
      <c r="T963" s="124"/>
    </row>
    <row r="964" spans="1:20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123"/>
      <c r="T964" s="124"/>
    </row>
    <row r="965" spans="1:20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123"/>
      <c r="T965" s="124"/>
    </row>
    <row r="966" spans="1:20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123"/>
      <c r="T966" s="124"/>
    </row>
    <row r="967" spans="1:20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123"/>
      <c r="T967" s="124"/>
    </row>
    <row r="968" spans="1:20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123"/>
      <c r="T968" s="124"/>
    </row>
    <row r="969" spans="1:20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123"/>
      <c r="T969" s="124"/>
    </row>
    <row r="970" spans="1:20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123"/>
      <c r="T970" s="124"/>
    </row>
    <row r="971" spans="1:20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123"/>
      <c r="T971" s="124"/>
    </row>
    <row r="972" spans="1:20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123"/>
      <c r="T972" s="124"/>
    </row>
    <row r="973" spans="1:20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123"/>
      <c r="T973" s="124"/>
    </row>
    <row r="974" spans="1:20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123"/>
      <c r="T974" s="124"/>
    </row>
    <row r="975" spans="1:20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123"/>
      <c r="T975" s="124"/>
    </row>
    <row r="976" spans="1:20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123"/>
      <c r="T976" s="124"/>
    </row>
    <row r="977" spans="1:20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123"/>
      <c r="T977" s="124"/>
    </row>
    <row r="978" spans="1:20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123"/>
      <c r="T978" s="124"/>
    </row>
    <row r="979" spans="1:20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123"/>
      <c r="T979" s="124"/>
    </row>
    <row r="980" spans="1:20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123"/>
      <c r="T980" s="124"/>
    </row>
    <row r="981" spans="1:20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123"/>
      <c r="T981" s="124"/>
    </row>
    <row r="982" spans="1:20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123"/>
      <c r="T982" s="124"/>
    </row>
    <row r="983" spans="1:20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123"/>
      <c r="T983" s="124"/>
    </row>
    <row r="984" spans="1:20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123"/>
      <c r="T984" s="124"/>
    </row>
    <row r="985" spans="1:20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123"/>
      <c r="S985" s="123"/>
      <c r="T985" s="124"/>
    </row>
    <row r="986" spans="1:20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123"/>
      <c r="S986" s="123"/>
      <c r="T986" s="124"/>
    </row>
    <row r="987" spans="1:20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123"/>
      <c r="S987" s="123"/>
      <c r="T987" s="124"/>
    </row>
    <row r="988" spans="1:20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123"/>
      <c r="S988" s="123"/>
      <c r="T988" s="124"/>
    </row>
    <row r="989" spans="1:20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123"/>
      <c r="S989" s="123"/>
      <c r="T989" s="124"/>
    </row>
  </sheetData>
  <mergeCells count="22">
    <mergeCell ref="H4:I4"/>
    <mergeCell ref="J5:K5"/>
    <mergeCell ref="L5:N5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AB989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12.5703125" customWidth="1"/>
    <col min="20" max="20" width="10.140625" customWidth="1"/>
    <col min="24" max="26" width="20.140625" customWidth="1"/>
    <col min="27" max="28" width="2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99" t="s">
        <v>1</v>
      </c>
      <c r="B2" s="400"/>
      <c r="C2" s="369" t="s">
        <v>190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1"/>
    </row>
    <row r="3" spans="1:28" ht="37.5" customHeight="1" x14ac:dyDescent="0.2">
      <c r="A3" s="401"/>
      <c r="B3" s="402"/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  <c r="R3" s="444" t="s">
        <v>191</v>
      </c>
      <c r="S3" s="378"/>
      <c r="T3" s="378"/>
      <c r="U3" s="378"/>
      <c r="V3" s="378"/>
      <c r="W3" s="378"/>
      <c r="X3" s="378"/>
      <c r="Y3" s="378"/>
      <c r="Z3" s="379"/>
      <c r="AA3" s="466" t="s">
        <v>192</v>
      </c>
      <c r="AB3" s="379"/>
    </row>
    <row r="4" spans="1:28" ht="55.5" customHeight="1" x14ac:dyDescent="0.2">
      <c r="A4" s="401"/>
      <c r="B4" s="402"/>
      <c r="C4" s="383" t="s">
        <v>6</v>
      </c>
      <c r="D4" s="373"/>
      <c r="E4" s="373"/>
      <c r="F4" s="373"/>
      <c r="G4" s="376"/>
      <c r="H4" s="384" t="s">
        <v>7</v>
      </c>
      <c r="I4" s="376"/>
      <c r="J4" s="388" t="s">
        <v>8</v>
      </c>
      <c r="K4" s="373"/>
      <c r="L4" s="373"/>
      <c r="M4" s="373"/>
      <c r="N4" s="373"/>
      <c r="O4" s="373"/>
      <c r="P4" s="373"/>
      <c r="Q4" s="376"/>
      <c r="R4" s="375" t="s">
        <v>193</v>
      </c>
      <c r="S4" s="373"/>
      <c r="T4" s="376"/>
      <c r="U4" s="375" t="s">
        <v>194</v>
      </c>
      <c r="V4" s="373"/>
      <c r="W4" s="373"/>
      <c r="X4" s="376"/>
      <c r="Y4" s="463" t="s">
        <v>195</v>
      </c>
      <c r="Z4" s="464" t="s">
        <v>196</v>
      </c>
      <c r="AA4" s="465" t="s">
        <v>197</v>
      </c>
      <c r="AB4" s="465" t="s">
        <v>198</v>
      </c>
    </row>
    <row r="5" spans="1:28" ht="24" customHeight="1" x14ac:dyDescent="0.3">
      <c r="A5" s="401"/>
      <c r="B5" s="402"/>
      <c r="C5" s="405" t="s">
        <v>13</v>
      </c>
      <c r="D5" s="407" t="s">
        <v>14</v>
      </c>
      <c r="E5" s="409" t="s">
        <v>15</v>
      </c>
      <c r="F5" s="410" t="s">
        <v>16</v>
      </c>
      <c r="G5" s="411" t="s">
        <v>17</v>
      </c>
      <c r="H5" s="6" t="s">
        <v>18</v>
      </c>
      <c r="I5" s="6" t="s">
        <v>19</v>
      </c>
      <c r="J5" s="389" t="s">
        <v>20</v>
      </c>
      <c r="K5" s="390"/>
      <c r="L5" s="391" t="s">
        <v>18</v>
      </c>
      <c r="M5" s="381"/>
      <c r="N5" s="382"/>
      <c r="O5" s="392" t="s">
        <v>19</v>
      </c>
      <c r="P5" s="381"/>
      <c r="Q5" s="382"/>
      <c r="R5" s="207" t="s">
        <v>21</v>
      </c>
      <c r="S5" s="393" t="s">
        <v>22</v>
      </c>
      <c r="T5" s="376"/>
      <c r="U5" s="207" t="s">
        <v>21</v>
      </c>
      <c r="V5" s="393" t="s">
        <v>22</v>
      </c>
      <c r="W5" s="376"/>
      <c r="X5" s="357" t="s">
        <v>199</v>
      </c>
      <c r="Y5" s="382"/>
      <c r="Z5" s="382"/>
      <c r="AA5" s="382"/>
      <c r="AB5" s="382"/>
    </row>
    <row r="6" spans="1:28" ht="30" customHeight="1" x14ac:dyDescent="0.2">
      <c r="A6" s="403"/>
      <c r="B6" s="404"/>
      <c r="C6" s="406"/>
      <c r="D6" s="408"/>
      <c r="E6" s="408"/>
      <c r="F6" s="408"/>
      <c r="G6" s="408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4" t="s">
        <v>28</v>
      </c>
      <c r="S6" s="17" t="s">
        <v>28</v>
      </c>
      <c r="T6" s="16" t="s">
        <v>24</v>
      </c>
      <c r="U6" s="18" t="s">
        <v>200</v>
      </c>
      <c r="V6" s="210" t="s">
        <v>200</v>
      </c>
      <c r="W6" s="16" t="s">
        <v>24</v>
      </c>
      <c r="X6" s="210" t="s">
        <v>28</v>
      </c>
      <c r="Y6" s="210" t="s">
        <v>28</v>
      </c>
      <c r="Z6" s="210" t="s">
        <v>28</v>
      </c>
      <c r="AA6" s="210" t="s">
        <v>28</v>
      </c>
      <c r="AB6" s="210" t="s">
        <v>28</v>
      </c>
    </row>
    <row r="7" spans="1:28" ht="24" customHeight="1" x14ac:dyDescent="0.3">
      <c r="A7" s="442" t="s">
        <v>31</v>
      </c>
      <c r="B7" s="417"/>
      <c r="C7" s="141">
        <f t="shared" ref="C7:C10" ca="1" si="0">D7+G7</f>
        <v>11006800</v>
      </c>
      <c r="D7" s="142">
        <f t="shared" ref="D7:E7" ca="1" si="1">D8+D9+D12</f>
        <v>11006800</v>
      </c>
      <c r="E7" s="143">
        <f t="shared" ca="1" si="1"/>
        <v>2738800</v>
      </c>
      <c r="F7" s="144">
        <f ca="1">F8+F9</f>
        <v>8268000</v>
      </c>
      <c r="G7" s="145">
        <f t="shared" ref="G7:I7" ca="1" si="2">G8+G9+G12</f>
        <v>0</v>
      </c>
      <c r="H7" s="211">
        <f t="shared" ca="1" si="2"/>
        <v>9065400</v>
      </c>
      <c r="I7" s="211">
        <f t="shared" ca="1" si="2"/>
        <v>0</v>
      </c>
      <c r="J7" s="147">
        <f t="shared" ref="J7:J10" ca="1" si="3">L7+O7</f>
        <v>2549648.36</v>
      </c>
      <c r="K7" s="148">
        <f t="shared" ref="K7:K10" ca="1" si="4">IF(C7&gt;0,J7*100/C7,0)</f>
        <v>23.164301704400916</v>
      </c>
      <c r="L7" s="147">
        <f ca="1">L8+L9+L12</f>
        <v>2549648.36</v>
      </c>
      <c r="M7" s="149">
        <f t="shared" ref="M7:M10" ca="1" si="5">IF(D7&gt;0,L7*100/D7,0)</f>
        <v>23.164301704400916</v>
      </c>
      <c r="N7" s="149">
        <f t="shared" ref="N7:N10" ca="1" si="6">IF(H7&gt;0,L7*100/H7,0)</f>
        <v>28.125050852692656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34">
        <f t="shared" ref="R7:S7" ca="1" si="9">R8</f>
        <v>120000</v>
      </c>
      <c r="S7" s="335">
        <f t="shared" ca="1" si="9"/>
        <v>68297</v>
      </c>
      <c r="T7" s="336">
        <f t="shared" ref="T7:T8" ca="1" si="10">IF(R7&gt;0,S7*100/R7,0)</f>
        <v>56.914166666666667</v>
      </c>
      <c r="U7" s="334">
        <f t="shared" ref="U7:V7" ca="1" si="11">U8</f>
        <v>264</v>
      </c>
      <c r="V7" s="335">
        <f t="shared" ca="1" si="11"/>
        <v>138</v>
      </c>
      <c r="W7" s="336">
        <f t="shared" ref="W7:W8" ca="1" si="12">IF(U7&gt;0,V7*100/U7,0)</f>
        <v>52.272727272727273</v>
      </c>
      <c r="X7" s="335">
        <f t="shared" ref="X7:AB7" ca="1" si="13">X8</f>
        <v>2186</v>
      </c>
      <c r="Y7" s="335">
        <f t="shared" ca="1" si="13"/>
        <v>2047</v>
      </c>
      <c r="Z7" s="335">
        <f t="shared" ca="1" si="13"/>
        <v>362</v>
      </c>
      <c r="AA7" s="335">
        <f t="shared" ca="1" si="13"/>
        <v>53406</v>
      </c>
      <c r="AB7" s="335">
        <f t="shared" ca="1" si="13"/>
        <v>91413</v>
      </c>
    </row>
    <row r="8" spans="1:28" ht="28.5" customHeight="1" x14ac:dyDescent="0.3">
      <c r="A8" s="34" t="s">
        <v>32</v>
      </c>
      <c r="B8" s="35"/>
      <c r="C8" s="154">
        <f t="shared" ca="1" si="0"/>
        <v>10069400</v>
      </c>
      <c r="D8" s="154">
        <f t="shared" ref="D8:I8" ca="1" si="14">+D13+D31+D52+D74</f>
        <v>10069400</v>
      </c>
      <c r="E8" s="154">
        <f t="shared" ca="1" si="14"/>
        <v>2311400</v>
      </c>
      <c r="F8" s="154">
        <f t="shared" ca="1" si="14"/>
        <v>7758000</v>
      </c>
      <c r="G8" s="154">
        <f t="shared" ca="1" si="14"/>
        <v>0</v>
      </c>
      <c r="H8" s="154">
        <f t="shared" ca="1" si="14"/>
        <v>7792500</v>
      </c>
      <c r="I8" s="154">
        <f t="shared" ca="1" si="14"/>
        <v>0</v>
      </c>
      <c r="J8" s="154">
        <f t="shared" ca="1" si="3"/>
        <v>2505375.23</v>
      </c>
      <c r="K8" s="155">
        <f t="shared" ca="1" si="4"/>
        <v>24.881077621308123</v>
      </c>
      <c r="L8" s="154">
        <f ca="1">+L13+L31+L52+L74</f>
        <v>2505375.23</v>
      </c>
      <c r="M8" s="156">
        <f t="shared" ca="1" si="5"/>
        <v>24.881077621308123</v>
      </c>
      <c r="N8" s="156">
        <f t="shared" ca="1" si="6"/>
        <v>32.151109785049726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39">
        <f t="shared" ref="R8:S8" ca="1" si="15">+R13+R31+R52+R74</f>
        <v>120000</v>
      </c>
      <c r="S8" s="154">
        <f t="shared" ca="1" si="15"/>
        <v>68297</v>
      </c>
      <c r="T8" s="156">
        <f t="shared" ca="1" si="10"/>
        <v>56.914166666666667</v>
      </c>
      <c r="U8" s="339">
        <f t="shared" ref="U8:V8" ca="1" si="16">+U13+U31+U52+U74</f>
        <v>264</v>
      </c>
      <c r="V8" s="154">
        <f t="shared" ca="1" si="16"/>
        <v>138</v>
      </c>
      <c r="W8" s="156">
        <f t="shared" ca="1" si="12"/>
        <v>52.272727272727273</v>
      </c>
      <c r="X8" s="154">
        <f t="shared" ref="X8:AB8" ca="1" si="17">+X13+X31+X52+X74</f>
        <v>2186</v>
      </c>
      <c r="Y8" s="154">
        <f t="shared" ca="1" si="17"/>
        <v>2047</v>
      </c>
      <c r="Z8" s="154">
        <f t="shared" ca="1" si="17"/>
        <v>362</v>
      </c>
      <c r="AA8" s="154">
        <f t="shared" ca="1" si="17"/>
        <v>53406</v>
      </c>
      <c r="AB8" s="154">
        <f t="shared" ca="1" si="17"/>
        <v>91413</v>
      </c>
    </row>
    <row r="9" spans="1:28" ht="28.5" customHeight="1" x14ac:dyDescent="0.3">
      <c r="A9" s="44" t="s">
        <v>33</v>
      </c>
      <c r="B9" s="45"/>
      <c r="C9" s="160">
        <f t="shared" ca="1" si="0"/>
        <v>937400</v>
      </c>
      <c r="D9" s="160">
        <f t="shared" ref="D9:I9" ca="1" si="18">+D10+D11</f>
        <v>937400</v>
      </c>
      <c r="E9" s="160">
        <f t="shared" ca="1" si="18"/>
        <v>427400</v>
      </c>
      <c r="F9" s="160">
        <f t="shared" ca="1" si="18"/>
        <v>510000</v>
      </c>
      <c r="G9" s="160">
        <f t="shared" ca="1" si="18"/>
        <v>0</v>
      </c>
      <c r="H9" s="160">
        <f t="shared" ca="1" si="18"/>
        <v>1272900</v>
      </c>
      <c r="I9" s="160">
        <f t="shared" ca="1" si="18"/>
        <v>0</v>
      </c>
      <c r="J9" s="160">
        <f t="shared" ca="1" si="3"/>
        <v>44273.13</v>
      </c>
      <c r="K9" s="161">
        <f t="shared" ca="1" si="4"/>
        <v>4.7229709835715807</v>
      </c>
      <c r="L9" s="160">
        <f ca="1">+L10+L11</f>
        <v>44273.13</v>
      </c>
      <c r="M9" s="162">
        <f t="shared" ca="1" si="5"/>
        <v>4.7229709835715807</v>
      </c>
      <c r="N9" s="162">
        <f t="shared" ca="1" si="6"/>
        <v>3.478131039358944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284"/>
      <c r="S9" s="191"/>
      <c r="T9" s="340"/>
      <c r="U9" s="284"/>
      <c r="V9" s="191"/>
      <c r="W9" s="340"/>
      <c r="X9" s="191"/>
      <c r="Y9" s="191"/>
      <c r="Z9" s="191"/>
      <c r="AA9" s="191"/>
      <c r="AB9" s="191"/>
    </row>
    <row r="10" spans="1:28" ht="28.5" customHeight="1" x14ac:dyDescent="0.3">
      <c r="A10" s="44" t="s">
        <v>34</v>
      </c>
      <c r="B10" s="45"/>
      <c r="C10" s="160">
        <f t="shared" ca="1" si="0"/>
        <v>937400</v>
      </c>
      <c r="D10" s="160">
        <f t="shared" ref="D10:I10" ca="1" si="19">+D89</f>
        <v>937400</v>
      </c>
      <c r="E10" s="160">
        <f t="shared" ca="1" si="19"/>
        <v>427400</v>
      </c>
      <c r="F10" s="160">
        <f t="shared" ca="1" si="19"/>
        <v>510000</v>
      </c>
      <c r="G10" s="160">
        <f t="shared" ca="1" si="19"/>
        <v>0</v>
      </c>
      <c r="H10" s="160">
        <f t="shared" ca="1" si="19"/>
        <v>1272900</v>
      </c>
      <c r="I10" s="160">
        <f t="shared" ca="1" si="19"/>
        <v>0</v>
      </c>
      <c r="J10" s="160">
        <f t="shared" ca="1" si="3"/>
        <v>44273.13</v>
      </c>
      <c r="K10" s="161">
        <f t="shared" ca="1" si="4"/>
        <v>4.7229709835715807</v>
      </c>
      <c r="L10" s="160">
        <f ca="1">+L89</f>
        <v>44273.13</v>
      </c>
      <c r="M10" s="162">
        <f t="shared" ca="1" si="5"/>
        <v>4.7229709835715807</v>
      </c>
      <c r="N10" s="162">
        <f t="shared" ca="1" si="6"/>
        <v>3.478131039358944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284"/>
      <c r="S10" s="191"/>
      <c r="T10" s="340"/>
      <c r="U10" s="284"/>
      <c r="V10" s="191"/>
      <c r="W10" s="340"/>
      <c r="X10" s="191"/>
      <c r="Y10" s="191"/>
      <c r="Z10" s="191"/>
      <c r="AA10" s="191"/>
      <c r="AB10" s="191"/>
    </row>
    <row r="11" spans="1:28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341"/>
      <c r="S11" s="342"/>
      <c r="T11" s="343"/>
      <c r="U11" s="341"/>
      <c r="V11" s="342"/>
      <c r="W11" s="343"/>
      <c r="X11" s="342"/>
      <c r="Y11" s="342"/>
      <c r="Z11" s="342"/>
      <c r="AA11" s="342"/>
      <c r="AB11" s="342"/>
    </row>
    <row r="12" spans="1:28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341"/>
      <c r="S12" s="342"/>
      <c r="T12" s="343"/>
      <c r="U12" s="341"/>
      <c r="V12" s="342"/>
      <c r="W12" s="343"/>
      <c r="X12" s="342"/>
      <c r="Y12" s="342"/>
      <c r="Z12" s="342"/>
      <c r="AA12" s="342"/>
      <c r="AB12" s="342"/>
    </row>
    <row r="13" spans="1:28" ht="28.5" customHeight="1" x14ac:dyDescent="0.3">
      <c r="A13" s="394" t="s">
        <v>35</v>
      </c>
      <c r="B13" s="376"/>
      <c r="C13" s="154">
        <f t="shared" ref="C13:C88" ca="1" si="20">D13+G13</f>
        <v>1861000</v>
      </c>
      <c r="D13" s="154">
        <f t="shared" ref="D13:I13" ca="1" si="21">SUM(D14:D30)</f>
        <v>1861000</v>
      </c>
      <c r="E13" s="154">
        <f t="shared" ca="1" si="21"/>
        <v>0</v>
      </c>
      <c r="F13" s="154">
        <f t="shared" ca="1" si="21"/>
        <v>1861000</v>
      </c>
      <c r="G13" s="154">
        <f t="shared" ca="1" si="21"/>
        <v>0</v>
      </c>
      <c r="H13" s="154">
        <f t="shared" ca="1" si="21"/>
        <v>1469750</v>
      </c>
      <c r="I13" s="154">
        <f t="shared" ca="1" si="21"/>
        <v>0</v>
      </c>
      <c r="J13" s="154">
        <f t="shared" ref="J13:J88" ca="1" si="22">L13+O13</f>
        <v>540347.66999999993</v>
      </c>
      <c r="K13" s="155">
        <f t="shared" ref="K13:K88" ca="1" si="23">IF(C13&gt;0,J13*100/C13,0)</f>
        <v>29.035339602364317</v>
      </c>
      <c r="L13" s="154">
        <f ca="1">SUM(L14:L30)</f>
        <v>540347.66999999993</v>
      </c>
      <c r="M13" s="156">
        <f t="shared" ref="M13:M88" ca="1" si="24">IF(D13&gt;0,L13*100/D13,0)</f>
        <v>29.035339602364317</v>
      </c>
      <c r="N13" s="156">
        <f t="shared" ref="N13:N88" ca="1" si="25">IF(H13&gt;0,L13*100/H13,0)</f>
        <v>36.764597380506885</v>
      </c>
      <c r="O13" s="157">
        <f ca="1">SUM(O14:O30)</f>
        <v>0</v>
      </c>
      <c r="P13" s="157">
        <f t="shared" ref="P13:P88" ca="1" si="26">IF(G13&gt;0,O13*100/G13,0)</f>
        <v>0</v>
      </c>
      <c r="Q13" s="156">
        <f t="shared" ref="Q13:Q88" ca="1" si="27">IF(I13&gt;0,O13*100/I13,0)</f>
        <v>0</v>
      </c>
      <c r="R13" s="339">
        <f t="shared" ref="R13:S13" ca="1" si="28">SUM(R14:R30)</f>
        <v>31240</v>
      </c>
      <c r="S13" s="154">
        <f t="shared" ca="1" si="28"/>
        <v>16836</v>
      </c>
      <c r="T13" s="156">
        <f t="shared" ref="T13:T88" ca="1" si="29">IF(R13&gt;0,S13*100/R13,0)</f>
        <v>53.892445582586426</v>
      </c>
      <c r="U13" s="339">
        <f t="shared" ref="U13:V13" ca="1" si="30">SUM(U14:U30)</f>
        <v>73</v>
      </c>
      <c r="V13" s="154">
        <f t="shared" ca="1" si="30"/>
        <v>25</v>
      </c>
      <c r="W13" s="156">
        <f t="shared" ref="W13:W88" ca="1" si="31">IF(U13&gt;0,V13*100/U13,0)</f>
        <v>34.246575342465754</v>
      </c>
      <c r="X13" s="154">
        <f t="shared" ref="X13:AB13" ca="1" si="32">SUM(X14:X30)</f>
        <v>704</v>
      </c>
      <c r="Y13" s="154">
        <f t="shared" ca="1" si="32"/>
        <v>241</v>
      </c>
      <c r="Z13" s="154">
        <f t="shared" ca="1" si="32"/>
        <v>3</v>
      </c>
      <c r="AA13" s="154">
        <f t="shared" ca="1" si="32"/>
        <v>13433</v>
      </c>
      <c r="AB13" s="154">
        <f t="shared" ca="1" si="32"/>
        <v>21599</v>
      </c>
    </row>
    <row r="14" spans="1:28" ht="24" customHeight="1" x14ac:dyDescent="0.3">
      <c r="A14" s="74">
        <v>1</v>
      </c>
      <c r="B14" s="75" t="s">
        <v>36</v>
      </c>
      <c r="C14" s="174">
        <f t="shared" ca="1" si="20"/>
        <v>116000</v>
      </c>
      <c r="D14" s="175">
        <f t="shared" ref="D14:D30" ca="1" si="33">+E14+F14</f>
        <v>116000</v>
      </c>
      <c r="E14" s="176">
        <f ca="1">IFERROR(__xludf.DUMMYFUNCTION("IMPORTRANGE(""https://docs.google.com/spreadsheets/d/1-uDff_7J0KD5mKrp0Vvzr7lt3OU09vwQwhkpOPPYv2Y/edit?usp=sharing"",""งบพรบ!ET14"")"),0)</f>
        <v>0</v>
      </c>
      <c r="F14" s="176">
        <f ca="1">IFERROR(__xludf.DUMMYFUNCTION("IMPORTRANGE(""https://docs.google.com/spreadsheets/d/1-uDff_7J0KD5mKrp0Vvzr7lt3OU09vwQwhkpOPPYv2Y/edit?usp=sharing"",""งบพรบ!EU14"")"),116000)</f>
        <v>116000</v>
      </c>
      <c r="G14" s="177">
        <f ca="1">IFERROR(__xludf.DUMMYFUNCTION("IMPORTRANGE(""https://docs.google.com/spreadsheets/d/1-uDff_7J0KD5mKrp0Vvzr7lt3OU09vwQwhkpOPPYv2Y/edit?usp=sharing"",""งบพรบ!EV14"")"),0)</f>
        <v>0</v>
      </c>
      <c r="H14" s="177">
        <f ca="1">IFERROR(__xludf.DUMMYFUNCTION("IMPORTRANGE(""https://docs.google.com/spreadsheets/d/1-uDff_7J0KD5mKrp0Vvzr7lt3OU09vwQwhkpOPPYv2Y/edit?usp=sharing"",""งบพรบ!EX14"")"),90550)</f>
        <v>90550</v>
      </c>
      <c r="I14" s="177">
        <f ca="1">IFERROR(__xludf.DUMMYFUNCTION("IMPORTRANGE(""https://docs.google.com/spreadsheets/d/1-uDff_7J0KD5mKrp0Vvzr7lt3OU09vwQwhkpOPPYv2Y/edit?usp=sharing"",""งบพรบ!EY14"")"),0)</f>
        <v>0</v>
      </c>
      <c r="J14" s="177">
        <f t="shared" ca="1" si="22"/>
        <v>18700</v>
      </c>
      <c r="K14" s="178">
        <f t="shared" ca="1" si="23"/>
        <v>16.120689655172413</v>
      </c>
      <c r="L14" s="177">
        <f ca="1">IFERROR(__xludf.DUMMYFUNCTION("IMPORTRANGE(""https://docs.google.com/spreadsheets/d/1-uDff_7J0KD5mKrp0Vvzr7lt3OU09vwQwhkpOPPYv2Y/edit?usp=sharing"",""งบพรบ!EZ14"")"),18700)</f>
        <v>18700</v>
      </c>
      <c r="M14" s="179">
        <f t="shared" ca="1" si="24"/>
        <v>16.120689655172413</v>
      </c>
      <c r="N14" s="179">
        <f t="shared" ca="1" si="25"/>
        <v>20.651573716178905</v>
      </c>
      <c r="O14" s="180">
        <f ca="1">IFERROR(__xludf.DUMMYFUNCTION("IMPORTRANGE(""https://docs.google.com/spreadsheets/d/1-uDff_7J0KD5mKrp0Vvzr7lt3OU09vwQwhkpOPPYv2Y/edit?usp=sharing"",""งบพรบ!FA14"")"),0)</f>
        <v>0</v>
      </c>
      <c r="P14" s="180">
        <f t="shared" ca="1" si="26"/>
        <v>0</v>
      </c>
      <c r="Q14" s="179">
        <f t="shared" ca="1" si="27"/>
        <v>0</v>
      </c>
      <c r="R14" s="344">
        <f ca="1">IFERROR(__xludf.DUMMYFUNCTION("IMPORTRANGE(""https://docs.google.com/spreadsheets/d/1jTcq05yEiRwXcBMLjiodW9e4biSGYWAHcDj22rKWQ3s/edit?usp=sharing"",""กำแพงเพชร!I344"")"),5000)</f>
        <v>5000</v>
      </c>
      <c r="S14" s="177">
        <f ca="1">IFERROR(__xludf.DUMMYFUNCTION("IMPORTRANGE(""https://docs.google.com/spreadsheets/d/1jTcq05yEiRwXcBMLjiodW9e4biSGYWAHcDj22rKWQ3s/edit?usp=sharing"",""กำแพงเพชร!J344"")"),2129)</f>
        <v>2129</v>
      </c>
      <c r="T14" s="345">
        <f t="shared" ca="1" si="29"/>
        <v>42.58</v>
      </c>
      <c r="U14" s="344">
        <f ca="1">IFERROR(__xludf.DUMMYFUNCTION("IMPORTRANGE(""https://docs.google.com/spreadsheets/d/1jTcq05yEiRwXcBMLjiodW9e4biSGYWAHcDj22rKWQ3s/edit?usp=sharing"",""กำแพงเพชร!I346"")"),5)</f>
        <v>5</v>
      </c>
      <c r="V14" s="177">
        <f ca="1">IFERROR(__xludf.DUMMYFUNCTION("IMPORTRANGE(""https://docs.google.com/spreadsheets/d/1jTcq05yEiRwXcBMLjiodW9e4biSGYWAHcDj22rKWQ3s/edit?usp=sharing"",""กำแพงเพชร!J346"")"),4)</f>
        <v>4</v>
      </c>
      <c r="W14" s="345">
        <f t="shared" ca="1" si="31"/>
        <v>80</v>
      </c>
      <c r="X14" s="177">
        <f ca="1">IFERROR(__xludf.DUMMYFUNCTION("IMPORTRANGE(""https://docs.google.com/spreadsheets/d/1jTcq05yEiRwXcBMLjiodW9e4biSGYWAHcDj22rKWQ3s/edit?usp=sharing"",""กำแพงเพชร!J347"")"),0)</f>
        <v>0</v>
      </c>
      <c r="Y14" s="177">
        <f ca="1">IFERROR(__xludf.DUMMYFUNCTION("IMPORTRANGE(""https://docs.google.com/spreadsheets/d/1jTcq05yEiRwXcBMLjiodW9e4biSGYWAHcDj22rKWQ3s/edit?usp=sharing"",""กำแพงเพชร!J348"")"),2)</f>
        <v>2</v>
      </c>
      <c r="Z14" s="177">
        <f ca="1">IFERROR(__xludf.DUMMYFUNCTION("IMPORTRANGE(""https://docs.google.com/spreadsheets/d/1jTcq05yEiRwXcBMLjiodW9e4biSGYWAHcDj22rKWQ3s/edit?usp=sharing"",""กำแพงเพชร!J349"")"),0)</f>
        <v>0</v>
      </c>
      <c r="AA14" s="177">
        <f ca="1">IFERROR(__xludf.DUMMYFUNCTION("IMPORTRANGE(""https://docs.google.com/spreadsheets/d/1jTcq05yEiRwXcBMLjiodW9e4biSGYWAHcDj22rKWQ3s/edit?usp=sharing"",""กำแพงเพชร!J352"")"),2276)</f>
        <v>2276</v>
      </c>
      <c r="AB14" s="177">
        <f ca="1">IFERROR(__xludf.DUMMYFUNCTION("IMPORTRANGE(""https://docs.google.com/spreadsheets/d/1jTcq05yEiRwXcBMLjiodW9e4biSGYWAHcDj22rKWQ3s/edit?usp=sharing"",""กำแพงเพชร!J353"")"),841)</f>
        <v>841</v>
      </c>
    </row>
    <row r="15" spans="1:28" ht="24" customHeight="1" x14ac:dyDescent="0.3">
      <c r="A15" s="84">
        <v>2</v>
      </c>
      <c r="B15" s="85" t="s">
        <v>37</v>
      </c>
      <c r="C15" s="174">
        <f t="shared" ca="1" si="20"/>
        <v>116000</v>
      </c>
      <c r="D15" s="175">
        <f t="shared" ca="1" si="33"/>
        <v>116000</v>
      </c>
      <c r="E15" s="176">
        <f ca="1">IFERROR(__xludf.DUMMYFUNCTION("IMPORTRANGE(""https://docs.google.com/spreadsheets/d/1-uDff_7J0KD5mKrp0Vvzr7lt3OU09vwQwhkpOPPYv2Y/edit?usp=sharing"",""งบพรบ!ET15"")"),0)</f>
        <v>0</v>
      </c>
      <c r="F15" s="176">
        <f ca="1">IFERROR(__xludf.DUMMYFUNCTION("IMPORTRANGE(""https://docs.google.com/spreadsheets/d/1-uDff_7J0KD5mKrp0Vvzr7lt3OU09vwQwhkpOPPYv2Y/edit?usp=sharing"",""งบพรบ!EU15"")"),116000)</f>
        <v>116000</v>
      </c>
      <c r="G15" s="176">
        <f ca="1">IFERROR(__xludf.DUMMYFUNCTION("IMPORTRANGE(""https://docs.google.com/spreadsheets/d/1-uDff_7J0KD5mKrp0Vvzr7lt3OU09vwQwhkpOPPYv2Y/edit?usp=sharing"",""งบพรบ!EV15"")"),0)</f>
        <v>0</v>
      </c>
      <c r="H15" s="176">
        <f ca="1">IFERROR(__xludf.DUMMYFUNCTION("IMPORTRANGE(""https://docs.google.com/spreadsheets/d/1-uDff_7J0KD5mKrp0Vvzr7lt3OU09vwQwhkpOPPYv2Y/edit?usp=sharing"",""งบพรบ!EX15"")"),90550)</f>
        <v>90550</v>
      </c>
      <c r="I15" s="176">
        <f ca="1">IFERROR(__xludf.DUMMYFUNCTION("IMPORTRANGE(""https://docs.google.com/spreadsheets/d/1-uDff_7J0KD5mKrp0Vvzr7lt3OU09vwQwhkpOPPYv2Y/edit?usp=sharing"",""งบพรบ!EY15"")"),0)</f>
        <v>0</v>
      </c>
      <c r="J15" s="176">
        <f t="shared" ca="1" si="22"/>
        <v>51690</v>
      </c>
      <c r="K15" s="181">
        <f t="shared" ca="1" si="23"/>
        <v>44.560344827586206</v>
      </c>
      <c r="L15" s="176">
        <f ca="1">IFERROR(__xludf.DUMMYFUNCTION("IMPORTRANGE(""https://docs.google.com/spreadsheets/d/1-uDff_7J0KD5mKrp0Vvzr7lt3OU09vwQwhkpOPPYv2Y/edit?usp=sharing"",""งบพรบ!EZ15"")"),51690)</f>
        <v>51690</v>
      </c>
      <c r="M15" s="179">
        <f t="shared" ca="1" si="24"/>
        <v>44.560344827586206</v>
      </c>
      <c r="N15" s="179">
        <f t="shared" ca="1" si="25"/>
        <v>57.084483710657096</v>
      </c>
      <c r="O15" s="180">
        <f ca="1">IFERROR(__xludf.DUMMYFUNCTION("IMPORTRANGE(""https://docs.google.com/spreadsheets/d/1-uDff_7J0KD5mKrp0Vvzr7lt3OU09vwQwhkpOPPYv2Y/edit?usp=sharing"",""งบพรบ!FA15"")"),0)</f>
        <v>0</v>
      </c>
      <c r="P15" s="180">
        <f t="shared" ca="1" si="26"/>
        <v>0</v>
      </c>
      <c r="Q15" s="179">
        <f t="shared" ca="1" si="27"/>
        <v>0</v>
      </c>
      <c r="R15" s="344">
        <f ca="1">IFERROR(__xludf.DUMMYFUNCTION("IMPORTRANGE(""https://docs.google.com/spreadsheets/d/1KS0zmDSZPk8KnTAbGN-Xk6MtX1YRZD0ldgdt20K4CRk/edit?usp=sharing"",""เชียงราย!I344"")"),4000)</f>
        <v>4000</v>
      </c>
      <c r="S15" s="177">
        <f ca="1">IFERROR(__xludf.DUMMYFUNCTION("IMPORTRANGE(""https://docs.google.com/spreadsheets/d/1KS0zmDSZPk8KnTAbGN-Xk6MtX1YRZD0ldgdt20K4CRk/edit?usp=sharing"",""เชียงราย!J344"")"),1589)</f>
        <v>1589</v>
      </c>
      <c r="T15" s="345">
        <f t="shared" ca="1" si="29"/>
        <v>39.725000000000001</v>
      </c>
      <c r="U15" s="344">
        <f ca="1">IFERROR(__xludf.DUMMYFUNCTION("IMPORTRANGE(""https://docs.google.com/spreadsheets/d/1KS0zmDSZPk8KnTAbGN-Xk6MtX1YRZD0ldgdt20K4CRk/edit?usp=sharing"",""เชียงราย!I346"")"),5)</f>
        <v>5</v>
      </c>
      <c r="V15" s="177">
        <f ca="1">IFERROR(__xludf.DUMMYFUNCTION("IMPORTRANGE(""https://docs.google.com/spreadsheets/d/1KS0zmDSZPk8KnTAbGN-Xk6MtX1YRZD0ldgdt20K4CRk/edit?usp=sharing"",""เชียงราย!J346"")"),0)</f>
        <v>0</v>
      </c>
      <c r="W15" s="345">
        <f t="shared" ca="1" si="31"/>
        <v>0</v>
      </c>
      <c r="X15" s="177">
        <f ca="1">IFERROR(__xludf.DUMMYFUNCTION("IMPORTRANGE(""https://docs.google.com/spreadsheets/d/1KS0zmDSZPk8KnTAbGN-Xk6MtX1YRZD0ldgdt20K4CRk/edit?usp=sharing"",""เชียงราย!J347"")"),4)</f>
        <v>4</v>
      </c>
      <c r="Y15" s="177">
        <f ca="1">IFERROR(__xludf.DUMMYFUNCTION("IMPORTRANGE(""https://docs.google.com/spreadsheets/d/1KS0zmDSZPk8KnTAbGN-Xk6MtX1YRZD0ldgdt20K4CRk/edit?usp=sharing"",""เชียงราย!J348"")"),7)</f>
        <v>7</v>
      </c>
      <c r="Z15" s="177">
        <f ca="1">IFERROR(__xludf.DUMMYFUNCTION("IMPORTRANGE(""https://docs.google.com/spreadsheets/d/1KS0zmDSZPk8KnTAbGN-Xk6MtX1YRZD0ldgdt20K4CRk/edit?usp=sharing"",""เชียงราย!J349"")"),0)</f>
        <v>0</v>
      </c>
      <c r="AA15" s="177">
        <f ca="1">IFERROR(__xludf.DUMMYFUNCTION("IMPORTRANGE(""https://docs.google.com/spreadsheets/d/1KS0zmDSZPk8KnTAbGN-Xk6MtX1YRZD0ldgdt20K4CRk/edit?usp=sharing"",""เชียงราย!J352"")"),3327)</f>
        <v>3327</v>
      </c>
      <c r="AB15" s="177">
        <f ca="1">IFERROR(__xludf.DUMMYFUNCTION("IMPORTRANGE(""https://docs.google.com/spreadsheets/d/1KS0zmDSZPk8KnTAbGN-Xk6MtX1YRZD0ldgdt20K4CRk/edit?usp=sharing"",""เชียงราย!J353"")"),1250)</f>
        <v>1250</v>
      </c>
    </row>
    <row r="16" spans="1:28" ht="24" customHeight="1" x14ac:dyDescent="0.3">
      <c r="A16" s="84">
        <v>3</v>
      </c>
      <c r="B16" s="85" t="s">
        <v>38</v>
      </c>
      <c r="C16" s="174">
        <f t="shared" ca="1" si="20"/>
        <v>103000</v>
      </c>
      <c r="D16" s="175">
        <f t="shared" ca="1" si="33"/>
        <v>103000</v>
      </c>
      <c r="E16" s="176">
        <f ca="1">IFERROR(__xludf.DUMMYFUNCTION("IMPORTRANGE(""https://docs.google.com/spreadsheets/d/1-uDff_7J0KD5mKrp0Vvzr7lt3OU09vwQwhkpOPPYv2Y/edit?usp=sharing"",""งบพรบ!ET16"")"),0)</f>
        <v>0</v>
      </c>
      <c r="F16" s="176">
        <f ca="1">IFERROR(__xludf.DUMMYFUNCTION("IMPORTRANGE(""https://docs.google.com/spreadsheets/d/1-uDff_7J0KD5mKrp0Vvzr7lt3OU09vwQwhkpOPPYv2Y/edit?usp=sharing"",""งบพรบ!EU16"")"),103000)</f>
        <v>103000</v>
      </c>
      <c r="G16" s="176">
        <f ca="1">IFERROR(__xludf.DUMMYFUNCTION("IMPORTRANGE(""https://docs.google.com/spreadsheets/d/1-uDff_7J0KD5mKrp0Vvzr7lt3OU09vwQwhkpOPPYv2Y/edit?usp=sharing"",""งบพรบ!EV16"")"),0)</f>
        <v>0</v>
      </c>
      <c r="H16" s="176">
        <f ca="1">IFERROR(__xludf.DUMMYFUNCTION("IMPORTRANGE(""https://docs.google.com/spreadsheets/d/1-uDff_7J0KD5mKrp0Vvzr7lt3OU09vwQwhkpOPPYv2Y/edit?usp=sharing"",""งบพรบ!EX16"")"),83350)</f>
        <v>83350</v>
      </c>
      <c r="I16" s="176">
        <f ca="1">IFERROR(__xludf.DUMMYFUNCTION("IMPORTRANGE(""https://docs.google.com/spreadsheets/d/1-uDff_7J0KD5mKrp0Vvzr7lt3OU09vwQwhkpOPPYv2Y/edit?usp=sharing"",""งบพรบ!EY16"")"),0)</f>
        <v>0</v>
      </c>
      <c r="J16" s="176">
        <f t="shared" ca="1" si="22"/>
        <v>36000</v>
      </c>
      <c r="K16" s="181">
        <f t="shared" ca="1" si="23"/>
        <v>34.95145631067961</v>
      </c>
      <c r="L16" s="176">
        <f ca="1">IFERROR(__xludf.DUMMYFUNCTION("IMPORTRANGE(""https://docs.google.com/spreadsheets/d/1-uDff_7J0KD5mKrp0Vvzr7lt3OU09vwQwhkpOPPYv2Y/edit?usp=sharing"",""งบพรบ!EZ16"")"),36000)</f>
        <v>36000</v>
      </c>
      <c r="M16" s="179">
        <f t="shared" ca="1" si="24"/>
        <v>34.95145631067961</v>
      </c>
      <c r="N16" s="179">
        <f t="shared" ca="1" si="25"/>
        <v>43.191361727654467</v>
      </c>
      <c r="O16" s="180">
        <f ca="1">IFERROR(__xludf.DUMMYFUNCTION("IMPORTRANGE(""https://docs.google.com/spreadsheets/d/1-uDff_7J0KD5mKrp0Vvzr7lt3OU09vwQwhkpOPPYv2Y/edit?usp=sharing"",""งบพรบ!FA16"")"),0)</f>
        <v>0</v>
      </c>
      <c r="P16" s="180">
        <f t="shared" ca="1" si="26"/>
        <v>0</v>
      </c>
      <c r="Q16" s="179">
        <f t="shared" ca="1" si="27"/>
        <v>0</v>
      </c>
      <c r="R16" s="344">
        <f ca="1">IFERROR(__xludf.DUMMYFUNCTION("IMPORTRANGE(""https://docs.google.com/spreadsheets/d/1rEDxBtusbi64tE0zunoIbsTVV16HeL0oJ6trHQeQ7K8/edit?usp=sharing"",""เชียงใหม่!I344"")"),600)</f>
        <v>600</v>
      </c>
      <c r="S16" s="177">
        <f ca="1">IFERROR(__xludf.DUMMYFUNCTION("IMPORTRANGE(""https://docs.google.com/spreadsheets/d/1rEDxBtusbi64tE0zunoIbsTVV16HeL0oJ6trHQeQ7K8/edit?usp=sharing"",""เชียงใหม่!J344"")"),593)</f>
        <v>593</v>
      </c>
      <c r="T16" s="345">
        <f t="shared" ca="1" si="29"/>
        <v>98.833333333333329</v>
      </c>
      <c r="U16" s="344">
        <f ca="1">IFERROR(__xludf.DUMMYFUNCTION("IMPORTRANGE(""https://docs.google.com/spreadsheets/d/1rEDxBtusbi64tE0zunoIbsTVV16HeL0oJ6trHQeQ7K8/edit?usp=sharing"",""เชียงใหม่!I346"")"),3)</f>
        <v>3</v>
      </c>
      <c r="V16" s="177">
        <f ca="1">IFERROR(__xludf.DUMMYFUNCTION("IMPORTRANGE(""https://docs.google.com/spreadsheets/d/1rEDxBtusbi64tE0zunoIbsTVV16HeL0oJ6trHQeQ7K8/edit?usp=sharing"",""เชียงใหม่!J346"")"),2)</f>
        <v>2</v>
      </c>
      <c r="W16" s="345">
        <f t="shared" ca="1" si="31"/>
        <v>66.666666666666671</v>
      </c>
      <c r="X16" s="177">
        <f ca="1">IFERROR(__xludf.DUMMYFUNCTION("IMPORTRANGE(""https://docs.google.com/spreadsheets/d/1rEDxBtusbi64tE0zunoIbsTVV16HeL0oJ6trHQeQ7K8/edit?usp=sharing"",""เชียงใหม่!J347"")"),53)</f>
        <v>53</v>
      </c>
      <c r="Y16" s="177">
        <f ca="1">IFERROR(__xludf.DUMMYFUNCTION("IMPORTRANGE(""https://docs.google.com/spreadsheets/d/1rEDxBtusbi64tE0zunoIbsTVV16HeL0oJ6trHQeQ7K8/edit?usp=sharing"",""เชียงใหม่!J348"")"),119)</f>
        <v>119</v>
      </c>
      <c r="Z16" s="177">
        <f ca="1">IFERROR(__xludf.DUMMYFUNCTION("IMPORTRANGE(""https://docs.google.com/spreadsheets/d/1rEDxBtusbi64tE0zunoIbsTVV16HeL0oJ6trHQeQ7K8/edit?usp=sharing"",""เชียงใหม่!J349"")"),0)</f>
        <v>0</v>
      </c>
      <c r="AA16" s="177">
        <f ca="1">IFERROR(__xludf.DUMMYFUNCTION("IMPORTRANGE(""https://docs.google.com/spreadsheets/d/1rEDxBtusbi64tE0zunoIbsTVV16HeL0oJ6trHQeQ7K8/edit?usp=sharing"",""เชียงใหม่!J352"")"),431)</f>
        <v>431</v>
      </c>
      <c r="AB16" s="177">
        <f ca="1">IFERROR(__xludf.DUMMYFUNCTION("IMPORTRANGE(""https://docs.google.com/spreadsheets/d/1rEDxBtusbi64tE0zunoIbsTVV16HeL0oJ6trHQeQ7K8/edit?usp=sharing"",""เชียงใหม่!J353"")"),1767)</f>
        <v>1767</v>
      </c>
    </row>
    <row r="17" spans="1:28" ht="24" customHeight="1" x14ac:dyDescent="0.3">
      <c r="A17" s="84">
        <v>4</v>
      </c>
      <c r="B17" s="85" t="s">
        <v>39</v>
      </c>
      <c r="C17" s="174">
        <f t="shared" ca="1" si="20"/>
        <v>105000</v>
      </c>
      <c r="D17" s="175">
        <f t="shared" ca="1" si="33"/>
        <v>105000</v>
      </c>
      <c r="E17" s="176">
        <f ca="1">IFERROR(__xludf.DUMMYFUNCTION("IMPORTRANGE(""https://docs.google.com/spreadsheets/d/1-uDff_7J0KD5mKrp0Vvzr7lt3OU09vwQwhkpOPPYv2Y/edit?usp=sharing"",""งบพรบ!ET17"")"),0)</f>
        <v>0</v>
      </c>
      <c r="F17" s="176">
        <f ca="1">IFERROR(__xludf.DUMMYFUNCTION("IMPORTRANGE(""https://docs.google.com/spreadsheets/d/1-uDff_7J0KD5mKrp0Vvzr7lt3OU09vwQwhkpOPPYv2Y/edit?usp=sharing"",""งบพรบ!EU17"")"),105000)</f>
        <v>105000</v>
      </c>
      <c r="G17" s="176">
        <f ca="1">IFERROR(__xludf.DUMMYFUNCTION("IMPORTRANGE(""https://docs.google.com/spreadsheets/d/1-uDff_7J0KD5mKrp0Vvzr7lt3OU09vwQwhkpOPPYv2Y/edit?usp=sharing"",""งบพรบ!EV17"")"),0)</f>
        <v>0</v>
      </c>
      <c r="H17" s="176">
        <f ca="1">IFERROR(__xludf.DUMMYFUNCTION("IMPORTRANGE(""https://docs.google.com/spreadsheets/d/1-uDff_7J0KD5mKrp0Vvzr7lt3OU09vwQwhkpOPPYv2Y/edit?usp=sharing"",""งบพรบ!EX17"")"),83350)</f>
        <v>83350</v>
      </c>
      <c r="I17" s="176">
        <f ca="1">IFERROR(__xludf.DUMMYFUNCTION("IMPORTRANGE(""https://docs.google.com/spreadsheets/d/1-uDff_7J0KD5mKrp0Vvzr7lt3OU09vwQwhkpOPPYv2Y/edit?usp=sharing"",""งบพรบ!EY17"")"),0)</f>
        <v>0</v>
      </c>
      <c r="J17" s="176">
        <f t="shared" ca="1" si="22"/>
        <v>47260</v>
      </c>
      <c r="K17" s="181">
        <f t="shared" ca="1" si="23"/>
        <v>45.009523809523813</v>
      </c>
      <c r="L17" s="176">
        <f ca="1">IFERROR(__xludf.DUMMYFUNCTION("IMPORTRANGE(""https://docs.google.com/spreadsheets/d/1-uDff_7J0KD5mKrp0Vvzr7lt3OU09vwQwhkpOPPYv2Y/edit?usp=sharing"",""งบพรบ!EZ17"")"),47260)</f>
        <v>47260</v>
      </c>
      <c r="M17" s="179">
        <f t="shared" ca="1" si="24"/>
        <v>45.009523809523813</v>
      </c>
      <c r="N17" s="179">
        <f t="shared" ca="1" si="25"/>
        <v>56.700659868026392</v>
      </c>
      <c r="O17" s="180">
        <f ca="1">IFERROR(__xludf.DUMMYFUNCTION("IMPORTRANGE(""https://docs.google.com/spreadsheets/d/1-uDff_7J0KD5mKrp0Vvzr7lt3OU09vwQwhkpOPPYv2Y/edit?usp=sharing"",""งบพรบ!FA17"")"),0)</f>
        <v>0</v>
      </c>
      <c r="P17" s="180">
        <f t="shared" ca="1" si="26"/>
        <v>0</v>
      </c>
      <c r="Q17" s="179">
        <f t="shared" ca="1" si="27"/>
        <v>0</v>
      </c>
      <c r="R17" s="344">
        <f ca="1">IFERROR(__xludf.DUMMYFUNCTION("IMPORTRANGE(""https://docs.google.com/spreadsheets/d/1W6MnUbDkMi6xHnHko_XkFDO9kkuL6Wqyc-6OCDFjW9I/edit?usp=sharing"",""ตาก!I344"")"),600)</f>
        <v>600</v>
      </c>
      <c r="S17" s="177">
        <f ca="1">IFERROR(__xludf.DUMMYFUNCTION("IMPORTRANGE(""https://docs.google.com/spreadsheets/d/1W6MnUbDkMi6xHnHko_XkFDO9kkuL6Wqyc-6OCDFjW9I/edit?usp=sharing"",""ตาก!J344"")"),123)</f>
        <v>123</v>
      </c>
      <c r="T17" s="345">
        <f t="shared" ca="1" si="29"/>
        <v>20.5</v>
      </c>
      <c r="U17" s="344">
        <f ca="1">IFERROR(__xludf.DUMMYFUNCTION("IMPORTRANGE(""https://docs.google.com/spreadsheets/d/1W6MnUbDkMi6xHnHko_XkFDO9kkuL6Wqyc-6OCDFjW9I/edit?usp=sharing"",""ตาก!I346"")"),4)</f>
        <v>4</v>
      </c>
      <c r="V17" s="177">
        <f ca="1">IFERROR(__xludf.DUMMYFUNCTION("IMPORTRANGE(""https://docs.google.com/spreadsheets/d/1W6MnUbDkMi6xHnHko_XkFDO9kkuL6Wqyc-6OCDFjW9I/edit?usp=sharing"",""ตาก!J346"")"),6)</f>
        <v>6</v>
      </c>
      <c r="W17" s="345">
        <f t="shared" ca="1" si="31"/>
        <v>150</v>
      </c>
      <c r="X17" s="177">
        <f ca="1">IFERROR(__xludf.DUMMYFUNCTION("IMPORTRANGE(""https://docs.google.com/spreadsheets/d/1W6MnUbDkMi6xHnHko_XkFDO9kkuL6Wqyc-6OCDFjW9I/edit?usp=sharing"",""ตาก!J347"")"),153)</f>
        <v>153</v>
      </c>
      <c r="Y17" s="177">
        <f ca="1">IFERROR(__xludf.DUMMYFUNCTION("IMPORTRANGE(""https://docs.google.com/spreadsheets/d/1W6MnUbDkMi6xHnHko_XkFDO9kkuL6Wqyc-6OCDFjW9I/edit?usp=sharing"",""ตาก!J348"")"),1)</f>
        <v>1</v>
      </c>
      <c r="Z17" s="177">
        <f ca="1">IFERROR(__xludf.DUMMYFUNCTION("IMPORTRANGE(""https://docs.google.com/spreadsheets/d/1W6MnUbDkMi6xHnHko_XkFDO9kkuL6Wqyc-6OCDFjW9I/edit?usp=sharing"",""ตาก!J349"")"),0)</f>
        <v>0</v>
      </c>
      <c r="AA17" s="177">
        <f ca="1">IFERROR(__xludf.DUMMYFUNCTION("IMPORTRANGE(""https://docs.google.com/spreadsheets/d/1W6MnUbDkMi6xHnHko_XkFDO9kkuL6Wqyc-6OCDFjW9I/edit?usp=sharing"",""ตาก!J352"")"),133)</f>
        <v>133</v>
      </c>
      <c r="AB17" s="177">
        <f ca="1">IFERROR(__xludf.DUMMYFUNCTION("IMPORTRANGE(""https://docs.google.com/spreadsheets/d/1W6MnUbDkMi6xHnHko_XkFDO9kkuL6Wqyc-6OCDFjW9I/edit?usp=sharing"",""ตาก!J353"")"),1245)</f>
        <v>1245</v>
      </c>
    </row>
    <row r="18" spans="1:28" ht="24" customHeight="1" x14ac:dyDescent="0.3">
      <c r="A18" s="84">
        <v>5</v>
      </c>
      <c r="B18" s="85" t="s">
        <v>40</v>
      </c>
      <c r="C18" s="174">
        <f t="shared" ca="1" si="20"/>
        <v>113000</v>
      </c>
      <c r="D18" s="175">
        <f t="shared" ca="1" si="33"/>
        <v>113000</v>
      </c>
      <c r="E18" s="176">
        <f ca="1">IFERROR(__xludf.DUMMYFUNCTION("IMPORTRANGE(""https://docs.google.com/spreadsheets/d/1-uDff_7J0KD5mKrp0Vvzr7lt3OU09vwQwhkpOPPYv2Y/edit?usp=sharing"",""งบพรบ!ET18"")"),0)</f>
        <v>0</v>
      </c>
      <c r="F18" s="176">
        <f ca="1">IFERROR(__xludf.DUMMYFUNCTION("IMPORTRANGE(""https://docs.google.com/spreadsheets/d/1-uDff_7J0KD5mKrp0Vvzr7lt3OU09vwQwhkpOPPYv2Y/edit?usp=sharing"",""งบพรบ!EU18"")"),113000)</f>
        <v>113000</v>
      </c>
      <c r="G18" s="176">
        <f ca="1">IFERROR(__xludf.DUMMYFUNCTION("IMPORTRANGE(""https://docs.google.com/spreadsheets/d/1-uDff_7J0KD5mKrp0Vvzr7lt3OU09vwQwhkpOPPYv2Y/edit?usp=sharing"",""งบพรบ!EV18"")"),0)</f>
        <v>0</v>
      </c>
      <c r="H18" s="176">
        <f ca="1">IFERROR(__xludf.DUMMYFUNCTION("IMPORTRANGE(""https://docs.google.com/spreadsheets/d/1-uDff_7J0KD5mKrp0Vvzr7lt3OU09vwQwhkpOPPYv2Y/edit?usp=sharing"",""งบพรบ!EX18"")"),88150)</f>
        <v>88150</v>
      </c>
      <c r="I18" s="176">
        <f ca="1">IFERROR(__xludf.DUMMYFUNCTION("IMPORTRANGE(""https://docs.google.com/spreadsheets/d/1-uDff_7J0KD5mKrp0Vvzr7lt3OU09vwQwhkpOPPYv2Y/edit?usp=sharing"",""งบพรบ!EY18"")"),0)</f>
        <v>0</v>
      </c>
      <c r="J18" s="176">
        <f t="shared" ca="1" si="22"/>
        <v>18624</v>
      </c>
      <c r="K18" s="181">
        <f t="shared" ca="1" si="23"/>
        <v>16.481415929203539</v>
      </c>
      <c r="L18" s="176">
        <f ca="1">IFERROR(__xludf.DUMMYFUNCTION("IMPORTRANGE(""https://docs.google.com/spreadsheets/d/1-uDff_7J0KD5mKrp0Vvzr7lt3OU09vwQwhkpOPPYv2Y/edit?usp=sharing"",""งบพรบ!EZ18"")"),18624)</f>
        <v>18624</v>
      </c>
      <c r="M18" s="179">
        <f t="shared" ca="1" si="24"/>
        <v>16.481415929203539</v>
      </c>
      <c r="N18" s="179">
        <f t="shared" ca="1" si="25"/>
        <v>21.127623369256948</v>
      </c>
      <c r="O18" s="180">
        <f ca="1">IFERROR(__xludf.DUMMYFUNCTION("IMPORTRANGE(""https://docs.google.com/spreadsheets/d/1-uDff_7J0KD5mKrp0Vvzr7lt3OU09vwQwhkpOPPYv2Y/edit?usp=sharing"",""งบพรบ!FA18"")"),0)</f>
        <v>0</v>
      </c>
      <c r="P18" s="180">
        <f t="shared" ca="1" si="26"/>
        <v>0</v>
      </c>
      <c r="Q18" s="179">
        <f t="shared" ca="1" si="27"/>
        <v>0</v>
      </c>
      <c r="R18" s="344">
        <f ca="1">IFERROR(__xludf.DUMMYFUNCTION("IMPORTRANGE(""https://docs.google.com/spreadsheets/d/1IQAWArduLkta9LpYo4a_ULsyqdta6-6aDDiwpUnQT6c/edit?usp=sharing"",""นครสวรรค์!I344"")"),2340)</f>
        <v>2340</v>
      </c>
      <c r="S18" s="177">
        <f ca="1">IFERROR(__xludf.DUMMYFUNCTION("IMPORTRANGE(""https://docs.google.com/spreadsheets/d/1IQAWArduLkta9LpYo4a_ULsyqdta6-6aDDiwpUnQT6c/edit?usp=sharing"",""นครสวรรค์!J344"")"),725)</f>
        <v>725</v>
      </c>
      <c r="T18" s="345">
        <f t="shared" ca="1" si="29"/>
        <v>30.982905982905983</v>
      </c>
      <c r="U18" s="344">
        <f ca="1">IFERROR(__xludf.DUMMYFUNCTION("IMPORTRANGE(""https://docs.google.com/spreadsheets/d/1IQAWArduLkta9LpYo4a_ULsyqdta6-6aDDiwpUnQT6c/edit?usp=sharing"",""นครสวรรค์!I346"")"),5)</f>
        <v>5</v>
      </c>
      <c r="V18" s="177">
        <f ca="1">IFERROR(__xludf.DUMMYFUNCTION("IMPORTRANGE(""https://docs.google.com/spreadsheets/d/1IQAWArduLkta9LpYo4a_ULsyqdta6-6aDDiwpUnQT6c/edit?usp=sharing"",""นครสวรรค์!J346"")"),0)</f>
        <v>0</v>
      </c>
      <c r="W18" s="345">
        <f t="shared" ca="1" si="31"/>
        <v>0</v>
      </c>
      <c r="X18" s="177">
        <f ca="1">IFERROR(__xludf.DUMMYFUNCTION("IMPORTRANGE(""https://docs.google.com/spreadsheets/d/1IQAWArduLkta9LpYo4a_ULsyqdta6-6aDDiwpUnQT6c/edit?usp=sharing"",""นครสวรรค์!J347"")"),0)</f>
        <v>0</v>
      </c>
      <c r="Y18" s="177">
        <f ca="1">IFERROR(__xludf.DUMMYFUNCTION("IMPORTRANGE(""https://docs.google.com/spreadsheets/d/1IQAWArduLkta9LpYo4a_ULsyqdta6-6aDDiwpUnQT6c/edit?usp=sharing"",""นครสวรรค์!J348"")"),1)</f>
        <v>1</v>
      </c>
      <c r="Z18" s="177">
        <f ca="1">IFERROR(__xludf.DUMMYFUNCTION("IMPORTRANGE(""https://docs.google.com/spreadsheets/d/1IQAWArduLkta9LpYo4a_ULsyqdta6-6aDDiwpUnQT6c/edit?usp=sharing"",""นครสวรรค์!J349"")"),0)</f>
        <v>0</v>
      </c>
      <c r="AA18" s="177">
        <f ca="1">IFERROR(__xludf.DUMMYFUNCTION("IMPORTRANGE(""https://docs.google.com/spreadsheets/d/1IQAWArduLkta9LpYo4a_ULsyqdta6-6aDDiwpUnQT6c/edit?usp=sharing"",""นครสวรรค์!J352"")"),490)</f>
        <v>490</v>
      </c>
      <c r="AB18" s="177">
        <f ca="1">IFERROR(__xludf.DUMMYFUNCTION("IMPORTRANGE(""https://docs.google.com/spreadsheets/d/1IQAWArduLkta9LpYo4a_ULsyqdta6-6aDDiwpUnQT6c/edit?usp=sharing"",""นครสวรรค์!J353"")"),629)</f>
        <v>629</v>
      </c>
    </row>
    <row r="19" spans="1:28" ht="24" customHeight="1" x14ac:dyDescent="0.3">
      <c r="A19" s="84">
        <v>6</v>
      </c>
      <c r="B19" s="85" t="s">
        <v>41</v>
      </c>
      <c r="C19" s="174">
        <f t="shared" ca="1" si="20"/>
        <v>110000</v>
      </c>
      <c r="D19" s="175">
        <f t="shared" ca="1" si="33"/>
        <v>110000</v>
      </c>
      <c r="E19" s="176">
        <f ca="1">IFERROR(__xludf.DUMMYFUNCTION("IMPORTRANGE(""https://docs.google.com/spreadsheets/d/1-uDff_7J0KD5mKrp0Vvzr7lt3OU09vwQwhkpOPPYv2Y/edit?usp=sharing"",""งบพรบ!ET19"")"),0)</f>
        <v>0</v>
      </c>
      <c r="F19" s="176">
        <f ca="1">IFERROR(__xludf.DUMMYFUNCTION("IMPORTRANGE(""https://docs.google.com/spreadsheets/d/1-uDff_7J0KD5mKrp0Vvzr7lt3OU09vwQwhkpOPPYv2Y/edit?usp=sharing"",""งบพรบ!EU19"")"),110000)</f>
        <v>110000</v>
      </c>
      <c r="G19" s="176">
        <f ca="1">IFERROR(__xludf.DUMMYFUNCTION("IMPORTRANGE(""https://docs.google.com/spreadsheets/d/1-uDff_7J0KD5mKrp0Vvzr7lt3OU09vwQwhkpOPPYv2Y/edit?usp=sharing"",""งบพรบ!EV19"")"),0)</f>
        <v>0</v>
      </c>
      <c r="H19" s="176">
        <f ca="1">IFERROR(__xludf.DUMMYFUNCTION("IMPORTRANGE(""https://docs.google.com/spreadsheets/d/1-uDff_7J0KD5mKrp0Vvzr7lt3OU09vwQwhkpOPPYv2Y/edit?usp=sharing"",""งบพรบ!EX19"")"),85750)</f>
        <v>85750</v>
      </c>
      <c r="I19" s="176">
        <f ca="1">IFERROR(__xludf.DUMMYFUNCTION("IMPORTRANGE(""https://docs.google.com/spreadsheets/d/1-uDff_7J0KD5mKrp0Vvzr7lt3OU09vwQwhkpOPPYv2Y/edit?usp=sharing"",""งบพรบ!EY19"")"),0)</f>
        <v>0</v>
      </c>
      <c r="J19" s="176">
        <f t="shared" ca="1" si="22"/>
        <v>24000</v>
      </c>
      <c r="K19" s="181">
        <f t="shared" ca="1" si="23"/>
        <v>21.818181818181817</v>
      </c>
      <c r="L19" s="176">
        <f ca="1">IFERROR(__xludf.DUMMYFUNCTION("IMPORTRANGE(""https://docs.google.com/spreadsheets/d/1-uDff_7J0KD5mKrp0Vvzr7lt3OU09vwQwhkpOPPYv2Y/edit?usp=sharing"",""งบพรบ!EZ19"")"),24000)</f>
        <v>24000</v>
      </c>
      <c r="M19" s="179">
        <f t="shared" ca="1" si="24"/>
        <v>21.818181818181817</v>
      </c>
      <c r="N19" s="179">
        <f t="shared" ca="1" si="25"/>
        <v>27.988338192419825</v>
      </c>
      <c r="O19" s="180">
        <f ca="1">IFERROR(__xludf.DUMMYFUNCTION("IMPORTRANGE(""https://docs.google.com/spreadsheets/d/1-uDff_7J0KD5mKrp0Vvzr7lt3OU09vwQwhkpOPPYv2Y/edit?usp=sharing"",""งบพรบ!FA19"")"),0)</f>
        <v>0</v>
      </c>
      <c r="P19" s="180">
        <f t="shared" ca="1" si="26"/>
        <v>0</v>
      </c>
      <c r="Q19" s="179">
        <f t="shared" ca="1" si="27"/>
        <v>0</v>
      </c>
      <c r="R19" s="344">
        <f ca="1">IFERROR(__xludf.DUMMYFUNCTION("IMPORTRANGE(""https://docs.google.com/spreadsheets/d/10s13Sk5xrltsiR-Zkbmk5DwIaDIKO8XlbJAfqyT7Gvg/edit?usp=sharing"",""น่าน!I344"")"),1060)</f>
        <v>1060</v>
      </c>
      <c r="S19" s="177">
        <f ca="1">IFERROR(__xludf.DUMMYFUNCTION("IMPORTRANGE(""https://docs.google.com/spreadsheets/d/10s13Sk5xrltsiR-Zkbmk5DwIaDIKO8XlbJAfqyT7Gvg/edit?usp=sharing"",""น่าน!J344"")"),511)</f>
        <v>511</v>
      </c>
      <c r="T19" s="345">
        <f t="shared" ca="1" si="29"/>
        <v>48.20754716981132</v>
      </c>
      <c r="U19" s="344">
        <f ca="1">IFERROR(__xludf.DUMMYFUNCTION("IMPORTRANGE(""https://docs.google.com/spreadsheets/d/10s13Sk5xrltsiR-Zkbmk5DwIaDIKO8XlbJAfqyT7Gvg/edit?usp=sharing"",""น่าน!I346"")"),5)</f>
        <v>5</v>
      </c>
      <c r="V19" s="177">
        <f ca="1">IFERROR(__xludf.DUMMYFUNCTION("IMPORTRANGE(""https://docs.google.com/spreadsheets/d/10s13Sk5xrltsiR-Zkbmk5DwIaDIKO8XlbJAfqyT7Gvg/edit?usp=sharing"",""น่าน!J346"")"),0)</f>
        <v>0</v>
      </c>
      <c r="W19" s="345">
        <f t="shared" ca="1" si="31"/>
        <v>0</v>
      </c>
      <c r="X19" s="177">
        <f ca="1">IFERROR(__xludf.DUMMYFUNCTION("IMPORTRANGE(""https://docs.google.com/spreadsheets/d/10s13Sk5xrltsiR-Zkbmk5DwIaDIKO8XlbJAfqyT7Gvg/edit?usp=sharing"",""น่าน!J347"")"),0)</f>
        <v>0</v>
      </c>
      <c r="Y19" s="177">
        <f ca="1">IFERROR(__xludf.DUMMYFUNCTION("IMPORTRANGE(""https://docs.google.com/spreadsheets/d/10s13Sk5xrltsiR-Zkbmk5DwIaDIKO8XlbJAfqyT7Gvg/edit?usp=sharing"",""น่าน!J348"")"),0)</f>
        <v>0</v>
      </c>
      <c r="Z19" s="177">
        <f ca="1">IFERROR(__xludf.DUMMYFUNCTION("IMPORTRANGE(""https://docs.google.com/spreadsheets/d/10s13Sk5xrltsiR-Zkbmk5DwIaDIKO8XlbJAfqyT7Gvg/edit?usp=sharing"",""น่าน!J349"")"),0)</f>
        <v>0</v>
      </c>
      <c r="AA19" s="177">
        <f ca="1">IFERROR(__xludf.DUMMYFUNCTION("IMPORTRANGE(""https://docs.google.com/spreadsheets/d/10s13Sk5xrltsiR-Zkbmk5DwIaDIKO8XlbJAfqyT7Gvg/edit?usp=sharing"",""น่าน!J352"")"),301)</f>
        <v>301</v>
      </c>
      <c r="AB19" s="177">
        <f ca="1">IFERROR(__xludf.DUMMYFUNCTION("IMPORTRANGE(""https://docs.google.com/spreadsheets/d/10s13Sk5xrltsiR-Zkbmk5DwIaDIKO8XlbJAfqyT7Gvg/edit?usp=sharing"",""น่าน!J353"")"),1037)</f>
        <v>1037</v>
      </c>
    </row>
    <row r="20" spans="1:28" ht="24" customHeight="1" x14ac:dyDescent="0.3">
      <c r="A20" s="84">
        <v>7</v>
      </c>
      <c r="B20" s="85" t="s">
        <v>42</v>
      </c>
      <c r="C20" s="174">
        <f t="shared" ca="1" si="20"/>
        <v>106000</v>
      </c>
      <c r="D20" s="175">
        <f t="shared" ca="1" si="33"/>
        <v>106000</v>
      </c>
      <c r="E20" s="176">
        <f ca="1">IFERROR(__xludf.DUMMYFUNCTION("IMPORTRANGE(""https://docs.google.com/spreadsheets/d/1-uDff_7J0KD5mKrp0Vvzr7lt3OU09vwQwhkpOPPYv2Y/edit?usp=sharing"",""งบพรบ!ET20"")"),0)</f>
        <v>0</v>
      </c>
      <c r="F20" s="176">
        <f ca="1">IFERROR(__xludf.DUMMYFUNCTION("IMPORTRANGE(""https://docs.google.com/spreadsheets/d/1-uDff_7J0KD5mKrp0Vvzr7lt3OU09vwQwhkpOPPYv2Y/edit?usp=sharing"",""งบพรบ!EU20"")"),106000)</f>
        <v>106000</v>
      </c>
      <c r="G20" s="176">
        <f ca="1">IFERROR(__xludf.DUMMYFUNCTION("IMPORTRANGE(""https://docs.google.com/spreadsheets/d/1-uDff_7J0KD5mKrp0Vvzr7lt3OU09vwQwhkpOPPYv2Y/edit?usp=sharing"",""งบพรบ!EV20"")"),0)</f>
        <v>0</v>
      </c>
      <c r="H20" s="176">
        <f ca="1">IFERROR(__xludf.DUMMYFUNCTION("IMPORTRANGE(""https://docs.google.com/spreadsheets/d/1-uDff_7J0KD5mKrp0Vvzr7lt3OU09vwQwhkpOPPYv2Y/edit?usp=sharing"",""งบพรบ!EX20"")"),85750)</f>
        <v>85750</v>
      </c>
      <c r="I20" s="176">
        <f ca="1">IFERROR(__xludf.DUMMYFUNCTION("IMPORTRANGE(""https://docs.google.com/spreadsheets/d/1-uDff_7J0KD5mKrp0Vvzr7lt3OU09vwQwhkpOPPYv2Y/edit?usp=sharing"",""งบพรบ!EY20"")"),0)</f>
        <v>0</v>
      </c>
      <c r="J20" s="176">
        <f t="shared" ca="1" si="22"/>
        <v>18752</v>
      </c>
      <c r="K20" s="181">
        <f t="shared" ca="1" si="23"/>
        <v>17.690566037735849</v>
      </c>
      <c r="L20" s="176">
        <f ca="1">IFERROR(__xludf.DUMMYFUNCTION("IMPORTRANGE(""https://docs.google.com/spreadsheets/d/1-uDff_7J0KD5mKrp0Vvzr7lt3OU09vwQwhkpOPPYv2Y/edit?usp=sharing"",""งบพรบ!EZ20"")"),18752)</f>
        <v>18752</v>
      </c>
      <c r="M20" s="179">
        <f t="shared" ca="1" si="24"/>
        <v>17.690566037735849</v>
      </c>
      <c r="N20" s="179">
        <f t="shared" ca="1" si="25"/>
        <v>21.868221574344023</v>
      </c>
      <c r="O20" s="180">
        <f ca="1">IFERROR(__xludf.DUMMYFUNCTION("IMPORTRANGE(""https://docs.google.com/spreadsheets/d/1-uDff_7J0KD5mKrp0Vvzr7lt3OU09vwQwhkpOPPYv2Y/edit?usp=sharing"",""งบพรบ!FA20"")"),0)</f>
        <v>0</v>
      </c>
      <c r="P20" s="180">
        <f t="shared" ca="1" si="26"/>
        <v>0</v>
      </c>
      <c r="Q20" s="179">
        <f t="shared" ca="1" si="27"/>
        <v>0</v>
      </c>
      <c r="R20" s="344">
        <f ca="1">IFERROR(__xludf.DUMMYFUNCTION("IMPORTRANGE(""https://docs.google.com/spreadsheets/d/1uu4nAn4Dbi1XREnLKKotUANlKXa7yCgRcgq8HEzQYW8/edit?usp=sharing"",""พะเยา!I344"")"),1060)</f>
        <v>1060</v>
      </c>
      <c r="S20" s="177">
        <f ca="1">IFERROR(__xludf.DUMMYFUNCTION("IMPORTRANGE(""https://docs.google.com/spreadsheets/d/1uu4nAn4Dbi1XREnLKKotUANlKXa7yCgRcgq8HEzQYW8/edit?usp=sharing"",""พะเยา!J344"")"),890)</f>
        <v>890</v>
      </c>
      <c r="T20" s="345">
        <f t="shared" ca="1" si="29"/>
        <v>83.962264150943398</v>
      </c>
      <c r="U20" s="344">
        <f ca="1">IFERROR(__xludf.DUMMYFUNCTION("IMPORTRANGE(""https://docs.google.com/spreadsheets/d/1uu4nAn4Dbi1XREnLKKotUANlKXa7yCgRcgq8HEzQYW8/edit?usp=sharing"",""พะเยา!I346"")"),3)</f>
        <v>3</v>
      </c>
      <c r="V20" s="177">
        <f ca="1">IFERROR(__xludf.DUMMYFUNCTION("IMPORTRANGE(""https://docs.google.com/spreadsheets/d/1uu4nAn4Dbi1XREnLKKotUANlKXa7yCgRcgq8HEzQYW8/edit?usp=sharing"",""พะเยา!J346"")"),0)</f>
        <v>0</v>
      </c>
      <c r="W20" s="345">
        <f t="shared" ca="1" si="31"/>
        <v>0</v>
      </c>
      <c r="X20" s="177">
        <f ca="1">IFERROR(__xludf.DUMMYFUNCTION("IMPORTRANGE(""https://docs.google.com/spreadsheets/d/1uu4nAn4Dbi1XREnLKKotUANlKXa7yCgRcgq8HEzQYW8/edit?usp=sharing"",""พะเยา!J347"")"),0)</f>
        <v>0</v>
      </c>
      <c r="Y20" s="177">
        <f ca="1">IFERROR(__xludf.DUMMYFUNCTION("IMPORTRANGE(""https://docs.google.com/spreadsheets/d/1uu4nAn4Dbi1XREnLKKotUANlKXa7yCgRcgq8HEzQYW8/edit?usp=sharing"",""พะเยา!J348"")"),2)</f>
        <v>2</v>
      </c>
      <c r="Z20" s="177">
        <f ca="1">IFERROR(__xludf.DUMMYFUNCTION("IMPORTRANGE(""https://docs.google.com/spreadsheets/d/1uu4nAn4Dbi1XREnLKKotUANlKXa7yCgRcgq8HEzQYW8/edit?usp=sharing"",""พะเยา!J349"")"),0)</f>
        <v>0</v>
      </c>
      <c r="AA20" s="177">
        <f ca="1">IFERROR(__xludf.DUMMYFUNCTION("IMPORTRANGE(""https://docs.google.com/spreadsheets/d/1uu4nAn4Dbi1XREnLKKotUANlKXa7yCgRcgq8HEzQYW8/edit?usp=sharing"",""พะเยา!J352"")"),952)</f>
        <v>952</v>
      </c>
      <c r="AB20" s="177">
        <f ca="1">IFERROR(__xludf.DUMMYFUNCTION("IMPORTRANGE(""https://docs.google.com/spreadsheets/d/1uu4nAn4Dbi1XREnLKKotUANlKXa7yCgRcgq8HEzQYW8/edit?usp=sharing"",""พะเยา!J353"")"),4630)</f>
        <v>4630</v>
      </c>
    </row>
    <row r="21" spans="1:28" ht="24" customHeight="1" x14ac:dyDescent="0.3">
      <c r="A21" s="84">
        <v>8</v>
      </c>
      <c r="B21" s="85" t="s">
        <v>43</v>
      </c>
      <c r="C21" s="174">
        <f t="shared" ca="1" si="20"/>
        <v>103000</v>
      </c>
      <c r="D21" s="175">
        <f t="shared" ca="1" si="33"/>
        <v>103000</v>
      </c>
      <c r="E21" s="176">
        <f ca="1">IFERROR(__xludf.DUMMYFUNCTION("IMPORTRANGE(""https://docs.google.com/spreadsheets/d/1-uDff_7J0KD5mKrp0Vvzr7lt3OU09vwQwhkpOPPYv2Y/edit?usp=sharing"",""งบพรบ!ET21"")"),0)</f>
        <v>0</v>
      </c>
      <c r="F21" s="176">
        <f ca="1">IFERROR(__xludf.DUMMYFUNCTION("IMPORTRANGE(""https://docs.google.com/spreadsheets/d/1-uDff_7J0KD5mKrp0Vvzr7lt3OU09vwQwhkpOPPYv2Y/edit?usp=sharing"",""งบพรบ!EU21"")"),103000)</f>
        <v>103000</v>
      </c>
      <c r="G21" s="176">
        <f ca="1">IFERROR(__xludf.DUMMYFUNCTION("IMPORTRANGE(""https://docs.google.com/spreadsheets/d/1-uDff_7J0KD5mKrp0Vvzr7lt3OU09vwQwhkpOPPYv2Y/edit?usp=sharing"",""งบพรบ!EV21"")"),0)</f>
        <v>0</v>
      </c>
      <c r="H21" s="176">
        <f ca="1">IFERROR(__xludf.DUMMYFUNCTION("IMPORTRANGE(""https://docs.google.com/spreadsheets/d/1-uDff_7J0KD5mKrp0Vvzr7lt3OU09vwQwhkpOPPYv2Y/edit?usp=sharing"",""งบพรบ!EX21"")"),83350)</f>
        <v>83350</v>
      </c>
      <c r="I21" s="176">
        <f ca="1">IFERROR(__xludf.DUMMYFUNCTION("IMPORTRANGE(""https://docs.google.com/spreadsheets/d/1-uDff_7J0KD5mKrp0Vvzr7lt3OU09vwQwhkpOPPYv2Y/edit?usp=sharing"",""งบพรบ!EY21"")"),0)</f>
        <v>0</v>
      </c>
      <c r="J21" s="176">
        <f t="shared" ca="1" si="22"/>
        <v>39106.67</v>
      </c>
      <c r="K21" s="181">
        <f t="shared" ca="1" si="23"/>
        <v>37.967640776699028</v>
      </c>
      <c r="L21" s="176">
        <f ca="1">IFERROR(__xludf.DUMMYFUNCTION("IMPORTRANGE(""https://docs.google.com/spreadsheets/d/1-uDff_7J0KD5mKrp0Vvzr7lt3OU09vwQwhkpOPPYv2Y/edit?usp=sharing"",""งบพรบ!EZ21"")"),39106.67)</f>
        <v>39106.67</v>
      </c>
      <c r="M21" s="179">
        <f t="shared" ca="1" si="24"/>
        <v>37.967640776699028</v>
      </c>
      <c r="N21" s="179">
        <f t="shared" ca="1" si="25"/>
        <v>46.918620275944811</v>
      </c>
      <c r="O21" s="180">
        <f ca="1">IFERROR(__xludf.DUMMYFUNCTION("IMPORTRANGE(""https://docs.google.com/spreadsheets/d/1-uDff_7J0KD5mKrp0Vvzr7lt3OU09vwQwhkpOPPYv2Y/edit?usp=sharing"",""งบพรบ!FA21"")"),0)</f>
        <v>0</v>
      </c>
      <c r="P21" s="180">
        <f t="shared" ca="1" si="26"/>
        <v>0</v>
      </c>
      <c r="Q21" s="179">
        <f t="shared" ca="1" si="27"/>
        <v>0</v>
      </c>
      <c r="R21" s="344">
        <f ca="1">IFERROR(__xludf.DUMMYFUNCTION("IMPORTRANGE(""https://docs.google.com/spreadsheets/d/1xfJKIQxVOaPDIICqsflNlLu3JacTDk1FP9RH4phX7mI/edit?usp=sharing"",""พิจิตร!I344"")"),660)</f>
        <v>660</v>
      </c>
      <c r="S21" s="177">
        <f ca="1">IFERROR(__xludf.DUMMYFUNCTION("IMPORTRANGE(""https://docs.google.com/spreadsheets/d/1xfJKIQxVOaPDIICqsflNlLu3JacTDk1FP9RH4phX7mI/edit?usp=sharing"",""พิจิตร!J344"")"),110)</f>
        <v>110</v>
      </c>
      <c r="T21" s="345">
        <f t="shared" ca="1" si="29"/>
        <v>16.666666666666668</v>
      </c>
      <c r="U21" s="344">
        <f ca="1">IFERROR(__xludf.DUMMYFUNCTION("IMPORTRANGE(""https://docs.google.com/spreadsheets/d/1xfJKIQxVOaPDIICqsflNlLu3JacTDk1FP9RH4phX7mI/edit?usp=sharing"",""พิจิตร!I346"")"),3)</f>
        <v>3</v>
      </c>
      <c r="V21" s="177">
        <f ca="1">IFERROR(__xludf.DUMMYFUNCTION("IMPORTRANGE(""https://docs.google.com/spreadsheets/d/1xfJKIQxVOaPDIICqsflNlLu3JacTDk1FP9RH4phX7mI/edit?usp=sharing"",""พิจิตร!J346"")"),0)</f>
        <v>0</v>
      </c>
      <c r="W21" s="345">
        <f t="shared" ca="1" si="31"/>
        <v>0</v>
      </c>
      <c r="X21" s="177">
        <f ca="1">IFERROR(__xludf.DUMMYFUNCTION("IMPORTRANGE(""https://docs.google.com/spreadsheets/d/1xfJKIQxVOaPDIICqsflNlLu3JacTDk1FP9RH4phX7mI/edit?usp=sharing"",""พิจิตร!J347"")"),73)</f>
        <v>73</v>
      </c>
      <c r="Y21" s="177">
        <f ca="1">IFERROR(__xludf.DUMMYFUNCTION("IMPORTRANGE(""https://docs.google.com/spreadsheets/d/1xfJKIQxVOaPDIICqsflNlLu3JacTDk1FP9RH4phX7mI/edit?usp=sharing"",""พิจิตร!J348"")"),1)</f>
        <v>1</v>
      </c>
      <c r="Z21" s="177">
        <f ca="1">IFERROR(__xludf.DUMMYFUNCTION("IMPORTRANGE(""https://docs.google.com/spreadsheets/d/1xfJKIQxVOaPDIICqsflNlLu3JacTDk1FP9RH4phX7mI/edit?usp=sharing"",""พิจิตร!J349"")"),0)</f>
        <v>0</v>
      </c>
      <c r="AA21" s="177">
        <f ca="1">IFERROR(__xludf.DUMMYFUNCTION("IMPORTRANGE(""https://docs.google.com/spreadsheets/d/1xfJKIQxVOaPDIICqsflNlLu3JacTDk1FP9RH4phX7mI/edit?usp=sharing"",""พิจิตร!J352"")"),86)</f>
        <v>86</v>
      </c>
      <c r="AB21" s="177">
        <f ca="1">IFERROR(__xludf.DUMMYFUNCTION("IMPORTRANGE(""https://docs.google.com/spreadsheets/d/1xfJKIQxVOaPDIICqsflNlLu3JacTDk1FP9RH4phX7mI/edit?usp=sharing"",""พิจิตร!J353"")"),511)</f>
        <v>511</v>
      </c>
    </row>
    <row r="22" spans="1:28" ht="24" customHeight="1" x14ac:dyDescent="0.3">
      <c r="A22" s="84">
        <v>9</v>
      </c>
      <c r="B22" s="85" t="s">
        <v>44</v>
      </c>
      <c r="C22" s="174">
        <f t="shared" ca="1" si="20"/>
        <v>110000</v>
      </c>
      <c r="D22" s="175">
        <f t="shared" ca="1" si="33"/>
        <v>110000</v>
      </c>
      <c r="E22" s="176">
        <f ca="1">IFERROR(__xludf.DUMMYFUNCTION("IMPORTRANGE(""https://docs.google.com/spreadsheets/d/1-uDff_7J0KD5mKrp0Vvzr7lt3OU09vwQwhkpOPPYv2Y/edit?usp=sharing"",""งบพรบ!ET22"")"),0)</f>
        <v>0</v>
      </c>
      <c r="F22" s="176">
        <f ca="1">IFERROR(__xludf.DUMMYFUNCTION("IMPORTRANGE(""https://docs.google.com/spreadsheets/d/1-uDff_7J0KD5mKrp0Vvzr7lt3OU09vwQwhkpOPPYv2Y/edit?usp=sharing"",""งบพรบ!EU22"")"),110000)</f>
        <v>110000</v>
      </c>
      <c r="G22" s="176">
        <f ca="1">IFERROR(__xludf.DUMMYFUNCTION("IMPORTRANGE(""https://docs.google.com/spreadsheets/d/1-uDff_7J0KD5mKrp0Vvzr7lt3OU09vwQwhkpOPPYv2Y/edit?usp=sharing"",""งบพรบ!EV22"")"),0)</f>
        <v>0</v>
      </c>
      <c r="H22" s="176">
        <f ca="1">IFERROR(__xludf.DUMMYFUNCTION("IMPORTRANGE(""https://docs.google.com/spreadsheets/d/1-uDff_7J0KD5mKrp0Vvzr7lt3OU09vwQwhkpOPPYv2Y/edit?usp=sharing"",""งบพรบ!EX22"")"),85750)</f>
        <v>85750</v>
      </c>
      <c r="I22" s="176">
        <f ca="1">IFERROR(__xludf.DUMMYFUNCTION("IMPORTRANGE(""https://docs.google.com/spreadsheets/d/1-uDff_7J0KD5mKrp0Vvzr7lt3OU09vwQwhkpOPPYv2Y/edit?usp=sharing"",""งบพรบ!EY22"")"),0)</f>
        <v>0</v>
      </c>
      <c r="J22" s="176">
        <f t="shared" ca="1" si="22"/>
        <v>17160</v>
      </c>
      <c r="K22" s="181">
        <f t="shared" ca="1" si="23"/>
        <v>15.6</v>
      </c>
      <c r="L22" s="176">
        <f ca="1">IFERROR(__xludf.DUMMYFUNCTION("IMPORTRANGE(""https://docs.google.com/spreadsheets/d/1-uDff_7J0KD5mKrp0Vvzr7lt3OU09vwQwhkpOPPYv2Y/edit?usp=sharing"",""งบพรบ!EZ22"")"),17160)</f>
        <v>17160</v>
      </c>
      <c r="M22" s="179">
        <f t="shared" ca="1" si="24"/>
        <v>15.6</v>
      </c>
      <c r="N22" s="179">
        <f t="shared" ca="1" si="25"/>
        <v>20.011661807580175</v>
      </c>
      <c r="O22" s="180">
        <f ca="1">IFERROR(__xludf.DUMMYFUNCTION("IMPORTRANGE(""https://docs.google.com/spreadsheets/d/1-uDff_7J0KD5mKrp0Vvzr7lt3OU09vwQwhkpOPPYv2Y/edit?usp=sharing"",""งบพรบ!FA22"")"),0)</f>
        <v>0</v>
      </c>
      <c r="P22" s="180">
        <f t="shared" ca="1" si="26"/>
        <v>0</v>
      </c>
      <c r="Q22" s="179">
        <f t="shared" ca="1" si="27"/>
        <v>0</v>
      </c>
      <c r="R22" s="344">
        <f ca="1">IFERROR(__xludf.DUMMYFUNCTION("IMPORTRANGE(""https://docs.google.com/spreadsheets/d/1JtRfZkJMHtEhI5RdRHxYUG4FIZHqKDpNyIuN7A1Q0_k/edit?usp=sharing"",""พิษณุโลก!I344"")"),1060)</f>
        <v>1060</v>
      </c>
      <c r="S22" s="177">
        <f ca="1">IFERROR(__xludf.DUMMYFUNCTION("IMPORTRANGE(""https://docs.google.com/spreadsheets/d/1JtRfZkJMHtEhI5RdRHxYUG4FIZHqKDpNyIuN7A1Q0_k/edit?usp=sharing"",""พิษณุโลก!J344"")"),471)</f>
        <v>471</v>
      </c>
      <c r="T22" s="345">
        <f t="shared" ca="1" si="29"/>
        <v>44.433962264150942</v>
      </c>
      <c r="U22" s="344">
        <f ca="1">IFERROR(__xludf.DUMMYFUNCTION("IMPORTRANGE(""https://docs.google.com/spreadsheets/d/1JtRfZkJMHtEhI5RdRHxYUG4FIZHqKDpNyIuN7A1Q0_k/edit?usp=sharing"",""พิษณุโลก!I346"")"),5)</f>
        <v>5</v>
      </c>
      <c r="V22" s="177">
        <f ca="1">IFERROR(__xludf.DUMMYFUNCTION("IMPORTRANGE(""https://docs.google.com/spreadsheets/d/1JtRfZkJMHtEhI5RdRHxYUG4FIZHqKDpNyIuN7A1Q0_k/edit?usp=sharing"",""พิษณุโลก!J346"")"),4)</f>
        <v>4</v>
      </c>
      <c r="W22" s="345">
        <f t="shared" ca="1" si="31"/>
        <v>80</v>
      </c>
      <c r="X22" s="177">
        <f ca="1">IFERROR(__xludf.DUMMYFUNCTION("IMPORTRANGE(""https://docs.google.com/spreadsheets/d/1JtRfZkJMHtEhI5RdRHxYUG4FIZHqKDpNyIuN7A1Q0_k/edit?usp=sharing"",""พิษณุโลก!J347"")"),69)</f>
        <v>69</v>
      </c>
      <c r="Y22" s="177">
        <f ca="1">IFERROR(__xludf.DUMMYFUNCTION("IMPORTRANGE(""https://docs.google.com/spreadsheets/d/1JtRfZkJMHtEhI5RdRHxYUG4FIZHqKDpNyIuN7A1Q0_k/edit?usp=sharing"",""พิษณุโลก!J348"")"),2)</f>
        <v>2</v>
      </c>
      <c r="Z22" s="177">
        <f ca="1">IFERROR(__xludf.DUMMYFUNCTION("IMPORTRANGE(""https://docs.google.com/spreadsheets/d/1JtRfZkJMHtEhI5RdRHxYUG4FIZHqKDpNyIuN7A1Q0_k/edit?usp=sharing"",""พิษณุโลก!J349"")"),2)</f>
        <v>2</v>
      </c>
      <c r="AA22" s="177">
        <f ca="1">IFERROR(__xludf.DUMMYFUNCTION("IMPORTRANGE(""https://docs.google.com/spreadsheets/d/1JtRfZkJMHtEhI5RdRHxYUG4FIZHqKDpNyIuN7A1Q0_k/edit?usp=sharing"",""พิษณุโลก!J352"")"),350)</f>
        <v>350</v>
      </c>
      <c r="AB22" s="177">
        <f ca="1">IFERROR(__xludf.DUMMYFUNCTION("IMPORTRANGE(""https://docs.google.com/spreadsheets/d/1JtRfZkJMHtEhI5RdRHxYUG4FIZHqKDpNyIuN7A1Q0_k/edit?usp=sharing"",""พิษณุโลก!J353"")"),554)</f>
        <v>554</v>
      </c>
    </row>
    <row r="23" spans="1:28" ht="24" customHeight="1" x14ac:dyDescent="0.3">
      <c r="A23" s="84">
        <v>10</v>
      </c>
      <c r="B23" s="85" t="s">
        <v>45</v>
      </c>
      <c r="C23" s="174">
        <f t="shared" ca="1" si="20"/>
        <v>116000</v>
      </c>
      <c r="D23" s="175">
        <f t="shared" ca="1" si="33"/>
        <v>116000</v>
      </c>
      <c r="E23" s="176">
        <f ca="1">IFERROR(__xludf.DUMMYFUNCTION("IMPORTRANGE(""https://docs.google.com/spreadsheets/d/1-uDff_7J0KD5mKrp0Vvzr7lt3OU09vwQwhkpOPPYv2Y/edit?usp=sharing"",""งบพรบ!ET23"")"),0)</f>
        <v>0</v>
      </c>
      <c r="F23" s="176">
        <f ca="1">IFERROR(__xludf.DUMMYFUNCTION("IMPORTRANGE(""https://docs.google.com/spreadsheets/d/1-uDff_7J0KD5mKrp0Vvzr7lt3OU09vwQwhkpOPPYv2Y/edit?usp=sharing"",""งบพรบ!EU23"")"),116000)</f>
        <v>116000</v>
      </c>
      <c r="G23" s="176">
        <f ca="1">IFERROR(__xludf.DUMMYFUNCTION("IMPORTRANGE(""https://docs.google.com/spreadsheets/d/1-uDff_7J0KD5mKrp0Vvzr7lt3OU09vwQwhkpOPPYv2Y/edit?usp=sharing"",""งบพรบ!EV23"")"),0)</f>
        <v>0</v>
      </c>
      <c r="H23" s="176">
        <f ca="1">IFERROR(__xludf.DUMMYFUNCTION("IMPORTRANGE(""https://docs.google.com/spreadsheets/d/1-uDff_7J0KD5mKrp0Vvzr7lt3OU09vwQwhkpOPPYv2Y/edit?usp=sharing"",""งบพรบ!EX23"")"),90550)</f>
        <v>90550</v>
      </c>
      <c r="I23" s="176">
        <f ca="1">IFERROR(__xludf.DUMMYFUNCTION("IMPORTRANGE(""https://docs.google.com/spreadsheets/d/1-uDff_7J0KD5mKrp0Vvzr7lt3OU09vwQwhkpOPPYv2Y/edit?usp=sharing"",""งบพรบ!EY23"")"),0)</f>
        <v>0</v>
      </c>
      <c r="J23" s="176">
        <f t="shared" ca="1" si="22"/>
        <v>63190</v>
      </c>
      <c r="K23" s="181">
        <f t="shared" ca="1" si="23"/>
        <v>54.474137931034484</v>
      </c>
      <c r="L23" s="176">
        <f ca="1">IFERROR(__xludf.DUMMYFUNCTION("IMPORTRANGE(""https://docs.google.com/spreadsheets/d/1-uDff_7J0KD5mKrp0Vvzr7lt3OU09vwQwhkpOPPYv2Y/edit?usp=sharing"",""งบพรบ!EZ23"")"),63190)</f>
        <v>63190</v>
      </c>
      <c r="M23" s="179">
        <f t="shared" ca="1" si="24"/>
        <v>54.474137931034484</v>
      </c>
      <c r="N23" s="179">
        <f t="shared" ca="1" si="25"/>
        <v>69.784649364991722</v>
      </c>
      <c r="O23" s="180">
        <f ca="1">IFERROR(__xludf.DUMMYFUNCTION("IMPORTRANGE(""https://docs.google.com/spreadsheets/d/1-uDff_7J0KD5mKrp0Vvzr7lt3OU09vwQwhkpOPPYv2Y/edit?usp=sharing"",""งบพรบ!FA23"")"),0)</f>
        <v>0</v>
      </c>
      <c r="P23" s="180">
        <f t="shared" ca="1" si="26"/>
        <v>0</v>
      </c>
      <c r="Q23" s="179">
        <f t="shared" ca="1" si="27"/>
        <v>0</v>
      </c>
      <c r="R23" s="344">
        <f ca="1">IFERROR(__xludf.DUMMYFUNCTION("IMPORTRANGE(""https://docs.google.com/spreadsheets/d/1xlcVZWUNn6SuWm0c307h32SiGkd9BaeQWlAktfD3KO8/edit?usp=sharing"",""เพชรบูรณ์!I344"")"),5060)</f>
        <v>5060</v>
      </c>
      <c r="S23" s="177">
        <f ca="1">IFERROR(__xludf.DUMMYFUNCTION("IMPORTRANGE(""https://docs.google.com/spreadsheets/d/1xlcVZWUNn6SuWm0c307h32SiGkd9BaeQWlAktfD3KO8/edit?usp=sharing"",""เพชรบูรณ์!J344"")"),5123)</f>
        <v>5123</v>
      </c>
      <c r="T23" s="345">
        <f t="shared" ca="1" si="29"/>
        <v>101.24505928853755</v>
      </c>
      <c r="U23" s="344">
        <f ca="1">IFERROR(__xludf.DUMMYFUNCTION("IMPORTRANGE(""https://docs.google.com/spreadsheets/d/1xlcVZWUNn6SuWm0c307h32SiGkd9BaeQWlAktfD3KO8/edit?usp=sharing"",""เพชรบูรณ์!I346"")"),5)</f>
        <v>5</v>
      </c>
      <c r="V23" s="177">
        <f ca="1">IFERROR(__xludf.DUMMYFUNCTION("IMPORTRANGE(""https://docs.google.com/spreadsheets/d/1xlcVZWUNn6SuWm0c307h32SiGkd9BaeQWlAktfD3KO8/edit?usp=sharing"",""เพชรบูรณ์!J346"")"),1)</f>
        <v>1</v>
      </c>
      <c r="W23" s="345">
        <f t="shared" ca="1" si="31"/>
        <v>20</v>
      </c>
      <c r="X23" s="177">
        <f ca="1">IFERROR(__xludf.DUMMYFUNCTION("IMPORTRANGE(""https://docs.google.com/spreadsheets/d/1xlcVZWUNn6SuWm0c307h32SiGkd9BaeQWlAktfD3KO8/edit?usp=sharing"",""เพชรบูรณ์!J347"")"),213)</f>
        <v>213</v>
      </c>
      <c r="Y23" s="177">
        <f ca="1">IFERROR(__xludf.DUMMYFUNCTION("IMPORTRANGE(""https://docs.google.com/spreadsheets/d/1xlcVZWUNn6SuWm0c307h32SiGkd9BaeQWlAktfD3KO8/edit?usp=sharing"",""เพชรบูรณ์!J348"")"),0)</f>
        <v>0</v>
      </c>
      <c r="Z23" s="177">
        <f ca="1">IFERROR(__xludf.DUMMYFUNCTION("IMPORTRANGE(""https://docs.google.com/spreadsheets/d/1xlcVZWUNn6SuWm0c307h32SiGkd9BaeQWlAktfD3KO8/edit?usp=sharing"",""เพชรบูรณ์!J349"")"),1)</f>
        <v>1</v>
      </c>
      <c r="AA23" s="177">
        <f ca="1">IFERROR(__xludf.DUMMYFUNCTION("IMPORTRANGE(""https://docs.google.com/spreadsheets/d/1xlcVZWUNn6SuWm0c307h32SiGkd9BaeQWlAktfD3KO8/edit?usp=sharing"",""เพชรบูรณ์!J352"")"),1660)</f>
        <v>1660</v>
      </c>
      <c r="AB23" s="177">
        <f ca="1">IFERROR(__xludf.DUMMYFUNCTION("IMPORTRANGE(""https://docs.google.com/spreadsheets/d/1xlcVZWUNn6SuWm0c307h32SiGkd9BaeQWlAktfD3KO8/edit?usp=sharing"",""เพชรบูรณ์!J353"")"),2228)</f>
        <v>2228</v>
      </c>
    </row>
    <row r="24" spans="1:28" ht="24" customHeight="1" x14ac:dyDescent="0.3">
      <c r="A24" s="84">
        <v>11</v>
      </c>
      <c r="B24" s="85" t="s">
        <v>46</v>
      </c>
      <c r="C24" s="174">
        <f t="shared" ca="1" si="20"/>
        <v>108000</v>
      </c>
      <c r="D24" s="175">
        <f t="shared" ca="1" si="33"/>
        <v>108000</v>
      </c>
      <c r="E24" s="176">
        <f ca="1">IFERROR(__xludf.DUMMYFUNCTION("IMPORTRANGE(""https://docs.google.com/spreadsheets/d/1-uDff_7J0KD5mKrp0Vvzr7lt3OU09vwQwhkpOPPYv2Y/edit?usp=sharing"",""งบพรบ!ET24"")"),0)</f>
        <v>0</v>
      </c>
      <c r="F24" s="176">
        <f ca="1">IFERROR(__xludf.DUMMYFUNCTION("IMPORTRANGE(""https://docs.google.com/spreadsheets/d/1-uDff_7J0KD5mKrp0Vvzr7lt3OU09vwQwhkpOPPYv2Y/edit?usp=sharing"",""งบพรบ!EU24"")"),108000)</f>
        <v>108000</v>
      </c>
      <c r="G24" s="176">
        <f ca="1">IFERROR(__xludf.DUMMYFUNCTION("IMPORTRANGE(""https://docs.google.com/spreadsheets/d/1-uDff_7J0KD5mKrp0Vvzr7lt3OU09vwQwhkpOPPYv2Y/edit?usp=sharing"",""งบพรบ!EV24"")"),0)</f>
        <v>0</v>
      </c>
      <c r="H24" s="176">
        <f ca="1">IFERROR(__xludf.DUMMYFUNCTION("IMPORTRANGE(""https://docs.google.com/spreadsheets/d/1-uDff_7J0KD5mKrp0Vvzr7lt3OU09vwQwhkpOPPYv2Y/edit?usp=sharing"",""งบพรบ!EX24"")"),85750)</f>
        <v>85750</v>
      </c>
      <c r="I24" s="176">
        <f ca="1">IFERROR(__xludf.DUMMYFUNCTION("IMPORTRANGE(""https://docs.google.com/spreadsheets/d/1-uDff_7J0KD5mKrp0Vvzr7lt3OU09vwQwhkpOPPYv2Y/edit?usp=sharing"",""งบพรบ!EY24"")"),0)</f>
        <v>0</v>
      </c>
      <c r="J24" s="176">
        <f t="shared" ca="1" si="22"/>
        <v>26500</v>
      </c>
      <c r="K24" s="181">
        <f t="shared" ca="1" si="23"/>
        <v>24.537037037037038</v>
      </c>
      <c r="L24" s="176">
        <f ca="1">IFERROR(__xludf.DUMMYFUNCTION("IMPORTRANGE(""https://docs.google.com/spreadsheets/d/1-uDff_7J0KD5mKrp0Vvzr7lt3OU09vwQwhkpOPPYv2Y/edit?usp=sharing"",""งบพรบ!EZ24"")"),26500)</f>
        <v>26500</v>
      </c>
      <c r="M24" s="179">
        <f t="shared" ca="1" si="24"/>
        <v>24.537037037037038</v>
      </c>
      <c r="N24" s="179">
        <f t="shared" ca="1" si="25"/>
        <v>30.903790087463555</v>
      </c>
      <c r="O24" s="180">
        <f ca="1">IFERROR(__xludf.DUMMYFUNCTION("IMPORTRANGE(""https://docs.google.com/spreadsheets/d/1-uDff_7J0KD5mKrp0Vvzr7lt3OU09vwQwhkpOPPYv2Y/edit?usp=sharing"",""งบพรบ!FA24"")"),0)</f>
        <v>0</v>
      </c>
      <c r="P24" s="180">
        <f t="shared" ca="1" si="26"/>
        <v>0</v>
      </c>
      <c r="Q24" s="179">
        <f t="shared" ca="1" si="27"/>
        <v>0</v>
      </c>
      <c r="R24" s="344">
        <f ca="1">IFERROR(__xludf.DUMMYFUNCTION("IMPORTRANGE(""https://docs.google.com/spreadsheets/d/1lOVebEIsI9qjGXl6EX66luk7wiuP2tBaryw-wKvv4e0/edit?usp=sharing"",""แพร่!I344"")"),1140)</f>
        <v>1140</v>
      </c>
      <c r="S24" s="177">
        <f ca="1">IFERROR(__xludf.DUMMYFUNCTION("IMPORTRANGE(""https://docs.google.com/spreadsheets/d/1lOVebEIsI9qjGXl6EX66luk7wiuP2tBaryw-wKvv4e0/edit?usp=sharing"",""แพร่!J344"")"),555)</f>
        <v>555</v>
      </c>
      <c r="T24" s="345">
        <f t="shared" ca="1" si="29"/>
        <v>48.684210526315788</v>
      </c>
      <c r="U24" s="344">
        <f ca="1">IFERROR(__xludf.DUMMYFUNCTION("IMPORTRANGE(""https://docs.google.com/spreadsheets/d/1lOVebEIsI9qjGXl6EX66luk7wiuP2tBaryw-wKvv4e0/edit?usp=sharing"",""แพร่!I346"")"),4)</f>
        <v>4</v>
      </c>
      <c r="V24" s="177">
        <f ca="1">IFERROR(__xludf.DUMMYFUNCTION("IMPORTRANGE(""https://docs.google.com/spreadsheets/d/1lOVebEIsI9qjGXl6EX66luk7wiuP2tBaryw-wKvv4e0/edit?usp=sharing"",""แพร่!J346"")"),0)</f>
        <v>0</v>
      </c>
      <c r="W24" s="345">
        <f t="shared" ca="1" si="31"/>
        <v>0</v>
      </c>
      <c r="X24" s="177">
        <f ca="1">IFERROR(__xludf.DUMMYFUNCTION("IMPORTRANGE(""https://docs.google.com/spreadsheets/d/1lOVebEIsI9qjGXl6EX66luk7wiuP2tBaryw-wKvv4e0/edit?usp=sharing"",""แพร่!J347"")"),0)</f>
        <v>0</v>
      </c>
      <c r="Y24" s="177">
        <f ca="1">IFERROR(__xludf.DUMMYFUNCTION("IMPORTRANGE(""https://docs.google.com/spreadsheets/d/1lOVebEIsI9qjGXl6EX66luk7wiuP2tBaryw-wKvv4e0/edit?usp=sharing"",""แพร่!J348"")"),17)</f>
        <v>17</v>
      </c>
      <c r="Z24" s="177">
        <f ca="1">IFERROR(__xludf.DUMMYFUNCTION("IMPORTRANGE(""https://docs.google.com/spreadsheets/d/1lOVebEIsI9qjGXl6EX66luk7wiuP2tBaryw-wKvv4e0/edit?usp=sharing"",""แพร่!J349"")"),0)</f>
        <v>0</v>
      </c>
      <c r="AA24" s="177">
        <f ca="1">IFERROR(__xludf.DUMMYFUNCTION("IMPORTRANGE(""https://docs.google.com/spreadsheets/d/1lOVebEIsI9qjGXl6EX66luk7wiuP2tBaryw-wKvv4e0/edit?usp=sharing"",""แพร่!J352"")"),207)</f>
        <v>207</v>
      </c>
      <c r="AB24" s="177">
        <f ca="1">IFERROR(__xludf.DUMMYFUNCTION("IMPORTRANGE(""https://docs.google.com/spreadsheets/d/1lOVebEIsI9qjGXl6EX66luk7wiuP2tBaryw-wKvv4e0/edit?usp=sharing"",""แพร่!J353"")"),955)</f>
        <v>955</v>
      </c>
    </row>
    <row r="25" spans="1:28" ht="24" customHeight="1" x14ac:dyDescent="0.3">
      <c r="A25" s="84">
        <v>12</v>
      </c>
      <c r="B25" s="85" t="s">
        <v>47</v>
      </c>
      <c r="C25" s="174">
        <f t="shared" ca="1" si="20"/>
        <v>105000</v>
      </c>
      <c r="D25" s="175">
        <f t="shared" ca="1" si="33"/>
        <v>105000</v>
      </c>
      <c r="E25" s="176">
        <f ca="1">IFERROR(__xludf.DUMMYFUNCTION("IMPORTRANGE(""https://docs.google.com/spreadsheets/d/1-uDff_7J0KD5mKrp0Vvzr7lt3OU09vwQwhkpOPPYv2Y/edit?usp=sharing"",""งบพรบ!ET25"")"),0)</f>
        <v>0</v>
      </c>
      <c r="F25" s="176">
        <f ca="1">IFERROR(__xludf.DUMMYFUNCTION("IMPORTRANGE(""https://docs.google.com/spreadsheets/d/1-uDff_7J0KD5mKrp0Vvzr7lt3OU09vwQwhkpOPPYv2Y/edit?usp=sharing"",""งบพรบ!EU25"")"),105000)</f>
        <v>105000</v>
      </c>
      <c r="G25" s="176">
        <f ca="1">IFERROR(__xludf.DUMMYFUNCTION("IMPORTRANGE(""https://docs.google.com/spreadsheets/d/1-uDff_7J0KD5mKrp0Vvzr7lt3OU09vwQwhkpOPPYv2Y/edit?usp=sharing"",""งบพรบ!EV25"")"),0)</f>
        <v>0</v>
      </c>
      <c r="H25" s="176">
        <f ca="1">IFERROR(__xludf.DUMMYFUNCTION("IMPORTRANGE(""https://docs.google.com/spreadsheets/d/1-uDff_7J0KD5mKrp0Vvzr7lt3OU09vwQwhkpOPPYv2Y/edit?usp=sharing"",""งบพรบ!EX25"")"),83350)</f>
        <v>83350</v>
      </c>
      <c r="I25" s="176">
        <f ca="1">IFERROR(__xludf.DUMMYFUNCTION("IMPORTRANGE(""https://docs.google.com/spreadsheets/d/1-uDff_7J0KD5mKrp0Vvzr7lt3OU09vwQwhkpOPPYv2Y/edit?usp=sharing"",""งบพรบ!EY25"")"),0)</f>
        <v>0</v>
      </c>
      <c r="J25" s="176">
        <f t="shared" ca="1" si="22"/>
        <v>29550</v>
      </c>
      <c r="K25" s="181">
        <f t="shared" ca="1" si="23"/>
        <v>28.142857142857142</v>
      </c>
      <c r="L25" s="176">
        <f ca="1">IFERROR(__xludf.DUMMYFUNCTION("IMPORTRANGE(""https://docs.google.com/spreadsheets/d/1-uDff_7J0KD5mKrp0Vvzr7lt3OU09vwQwhkpOPPYv2Y/edit?usp=sharing"",""งบพรบ!EZ25"")"),29550)</f>
        <v>29550</v>
      </c>
      <c r="M25" s="179">
        <f t="shared" ca="1" si="24"/>
        <v>28.142857142857142</v>
      </c>
      <c r="N25" s="179">
        <f t="shared" ca="1" si="25"/>
        <v>35.452909418116377</v>
      </c>
      <c r="O25" s="180">
        <f ca="1">IFERROR(__xludf.DUMMYFUNCTION("IMPORTRANGE(""https://docs.google.com/spreadsheets/d/1-uDff_7J0KD5mKrp0Vvzr7lt3OU09vwQwhkpOPPYv2Y/edit?usp=sharing"",""งบพรบ!FA25"")"),0)</f>
        <v>0</v>
      </c>
      <c r="P25" s="180">
        <f t="shared" ca="1" si="26"/>
        <v>0</v>
      </c>
      <c r="Q25" s="179">
        <f t="shared" ca="1" si="27"/>
        <v>0</v>
      </c>
      <c r="R25" s="344">
        <f ca="1">IFERROR(__xludf.DUMMYFUNCTION("IMPORTRANGE(""https://docs.google.com/spreadsheets/d/1dQrvX0vEcN7Gu0fnZ0B5S90AeR19zth4XlExFBeExMY/edit?usp=sharing"",""แม่ฮ่องสอน!I344"")"),260)</f>
        <v>260</v>
      </c>
      <c r="S25" s="177">
        <f ca="1">IFERROR(__xludf.DUMMYFUNCTION("IMPORTRANGE(""https://docs.google.com/spreadsheets/d/1dQrvX0vEcN7Gu0fnZ0B5S90AeR19zth4XlExFBeExMY/edit?usp=sharing"",""แม่ฮ่องสอน!J344"")"),29)</f>
        <v>29</v>
      </c>
      <c r="T25" s="345">
        <f t="shared" ca="1" si="29"/>
        <v>11.153846153846153</v>
      </c>
      <c r="U25" s="344">
        <f ca="1">IFERROR(__xludf.DUMMYFUNCTION("IMPORTRANGE(""https://docs.google.com/spreadsheets/d/1dQrvX0vEcN7Gu0fnZ0B5S90AeR19zth4XlExFBeExMY/edit?usp=sharing"",""แม่ฮ่องสอน!I346"")"),4)</f>
        <v>4</v>
      </c>
      <c r="V25" s="177">
        <f ca="1">IFERROR(__xludf.DUMMYFUNCTION("IMPORTRANGE(""https://docs.google.com/spreadsheets/d/1dQrvX0vEcN7Gu0fnZ0B5S90AeR19zth4XlExFBeExMY/edit?usp=sharing"",""แม่ฮ่องสอน!J346"")"),2)</f>
        <v>2</v>
      </c>
      <c r="W25" s="345">
        <f t="shared" ca="1" si="31"/>
        <v>50</v>
      </c>
      <c r="X25" s="177">
        <f ca="1">IFERROR(__xludf.DUMMYFUNCTION("IMPORTRANGE(""https://docs.google.com/spreadsheets/d/1dQrvX0vEcN7Gu0fnZ0B5S90AeR19zth4XlExFBeExMY/edit?usp=sharing"",""แม่ฮ่องสอน!J347"")"),1)</f>
        <v>1</v>
      </c>
      <c r="Y25" s="177">
        <f ca="1">IFERROR(__xludf.DUMMYFUNCTION("IMPORTRANGE(""https://docs.google.com/spreadsheets/d/1dQrvX0vEcN7Gu0fnZ0B5S90AeR19zth4XlExFBeExMY/edit?usp=sharing"",""แม่ฮ่องสอน!J348"")"),2)</f>
        <v>2</v>
      </c>
      <c r="Z25" s="177">
        <f ca="1">IFERROR(__xludf.DUMMYFUNCTION("IMPORTRANGE(""https://docs.google.com/spreadsheets/d/1dQrvX0vEcN7Gu0fnZ0B5S90AeR19zth4XlExFBeExMY/edit?usp=sharing"",""แม่ฮ่องสอน!J349"")"),0)</f>
        <v>0</v>
      </c>
      <c r="AA25" s="177">
        <f ca="1">IFERROR(__xludf.DUMMYFUNCTION("IMPORTRANGE(""https://docs.google.com/spreadsheets/d/1dQrvX0vEcN7Gu0fnZ0B5S90AeR19zth4XlExFBeExMY/edit?usp=sharing"",""แม่ฮ่องสอน!J352"")"),3)</f>
        <v>3</v>
      </c>
      <c r="AB25" s="177">
        <f ca="1">IFERROR(__xludf.DUMMYFUNCTION("IMPORTRANGE(""https://docs.google.com/spreadsheets/d/1dQrvX0vEcN7Gu0fnZ0B5S90AeR19zth4XlExFBeExMY/edit?usp=sharing"",""แม่ฮ่องสอน!J353"")"),268)</f>
        <v>268</v>
      </c>
    </row>
    <row r="26" spans="1:28" ht="24" customHeight="1" x14ac:dyDescent="0.3">
      <c r="A26" s="84">
        <v>13</v>
      </c>
      <c r="B26" s="85" t="s">
        <v>48</v>
      </c>
      <c r="C26" s="174">
        <f t="shared" ca="1" si="20"/>
        <v>110000</v>
      </c>
      <c r="D26" s="175">
        <f t="shared" ca="1" si="33"/>
        <v>110000</v>
      </c>
      <c r="E26" s="176">
        <f ca="1">IFERROR(__xludf.DUMMYFUNCTION("IMPORTRANGE(""https://docs.google.com/spreadsheets/d/1-uDff_7J0KD5mKrp0Vvzr7lt3OU09vwQwhkpOPPYv2Y/edit?usp=sharing"",""งบพรบ!ET26"")"),0)</f>
        <v>0</v>
      </c>
      <c r="F26" s="176">
        <f ca="1">IFERROR(__xludf.DUMMYFUNCTION("IMPORTRANGE(""https://docs.google.com/spreadsheets/d/1-uDff_7J0KD5mKrp0Vvzr7lt3OU09vwQwhkpOPPYv2Y/edit?usp=sharing"",""งบพรบ!EU26"")"),110000)</f>
        <v>110000</v>
      </c>
      <c r="G26" s="176">
        <f ca="1">IFERROR(__xludf.DUMMYFUNCTION("IMPORTRANGE(""https://docs.google.com/spreadsheets/d/1-uDff_7J0KD5mKrp0Vvzr7lt3OU09vwQwhkpOPPYv2Y/edit?usp=sharing"",""งบพรบ!EV26"")"),0)</f>
        <v>0</v>
      </c>
      <c r="H26" s="176">
        <f ca="1">IFERROR(__xludf.DUMMYFUNCTION("IMPORTRANGE(""https://docs.google.com/spreadsheets/d/1-uDff_7J0KD5mKrp0Vvzr7lt3OU09vwQwhkpOPPYv2Y/edit?usp=sharing"",""งบพรบ!EX26"")"),85750)</f>
        <v>85750</v>
      </c>
      <c r="I26" s="176">
        <f ca="1">IFERROR(__xludf.DUMMYFUNCTION("IMPORTRANGE(""https://docs.google.com/spreadsheets/d/1-uDff_7J0KD5mKrp0Vvzr7lt3OU09vwQwhkpOPPYv2Y/edit?usp=sharing"",""งบพรบ!EY26"")"),0)</f>
        <v>0</v>
      </c>
      <c r="J26" s="176">
        <f t="shared" ca="1" si="22"/>
        <v>39000</v>
      </c>
      <c r="K26" s="181">
        <f t="shared" ca="1" si="23"/>
        <v>35.454545454545453</v>
      </c>
      <c r="L26" s="176">
        <f ca="1">IFERROR(__xludf.DUMMYFUNCTION("IMPORTRANGE(""https://docs.google.com/spreadsheets/d/1-uDff_7J0KD5mKrp0Vvzr7lt3OU09vwQwhkpOPPYv2Y/edit?usp=sharing"",""งบพรบ!EZ26"")"),39000)</f>
        <v>39000</v>
      </c>
      <c r="M26" s="179">
        <f t="shared" ca="1" si="24"/>
        <v>35.454545454545453</v>
      </c>
      <c r="N26" s="179">
        <f t="shared" ca="1" si="25"/>
        <v>45.481049562682216</v>
      </c>
      <c r="O26" s="180">
        <f ca="1">IFERROR(__xludf.DUMMYFUNCTION("IMPORTRANGE(""https://docs.google.com/spreadsheets/d/1-uDff_7J0KD5mKrp0Vvzr7lt3OU09vwQwhkpOPPYv2Y/edit?usp=sharing"",""งบพรบ!FA26"")"),0)</f>
        <v>0</v>
      </c>
      <c r="P26" s="180">
        <f t="shared" ca="1" si="26"/>
        <v>0</v>
      </c>
      <c r="Q26" s="179">
        <f t="shared" ca="1" si="27"/>
        <v>0</v>
      </c>
      <c r="R26" s="346">
        <f ca="1">IFERROR(__xludf.DUMMYFUNCTION("IMPORTRANGE(""https://docs.google.com/spreadsheets/d/1DY4XTNNwjluuxqdfdn6qvOSlMRrZqUtmYcZR0ttFiG4/edit?usp=sharing"",""ลำปาง!I344"")"),1340)</f>
        <v>1340</v>
      </c>
      <c r="S26" s="177">
        <f ca="1">IFERROR(__xludf.DUMMYFUNCTION("IMPORTRANGE(""https://docs.google.com/spreadsheets/d/1DY4XTNNwjluuxqdfdn6qvOSlMRrZqUtmYcZR0ttFiG4/edit?usp=sharing"",""ลำปาง!J344"")"),1711)</f>
        <v>1711</v>
      </c>
      <c r="T26" s="345">
        <f t="shared" ca="1" si="29"/>
        <v>127.68656716417911</v>
      </c>
      <c r="U26" s="346">
        <f ca="1">IFERROR(__xludf.DUMMYFUNCTION("IMPORTRANGE(""https://docs.google.com/spreadsheets/d/1DY4XTNNwjluuxqdfdn6qvOSlMRrZqUtmYcZR0ttFiG4/edit?usp=sharing"",""ลำปาง!I346"")"),5)</f>
        <v>5</v>
      </c>
      <c r="V26" s="177">
        <f ca="1">IFERROR(__xludf.DUMMYFUNCTION("IMPORTRANGE(""https://docs.google.com/spreadsheets/d/1DY4XTNNwjluuxqdfdn6qvOSlMRrZqUtmYcZR0ttFiG4/edit?usp=sharing"",""ลำปาง!J346"")"),1)</f>
        <v>1</v>
      </c>
      <c r="W26" s="345">
        <f t="shared" ca="1" si="31"/>
        <v>20</v>
      </c>
      <c r="X26" s="177">
        <f ca="1">IFERROR(__xludf.DUMMYFUNCTION("IMPORTRANGE(""https://docs.google.com/spreadsheets/d/1DY4XTNNwjluuxqdfdn6qvOSlMRrZqUtmYcZR0ttFiG4/edit?usp=sharing"",""ลำปาง!J347"")"),2)</f>
        <v>2</v>
      </c>
      <c r="Y26" s="177">
        <f ca="1">IFERROR(__xludf.DUMMYFUNCTION("IMPORTRANGE(""https://docs.google.com/spreadsheets/d/1DY4XTNNwjluuxqdfdn6qvOSlMRrZqUtmYcZR0ttFiG4/edit?usp=sharing"",""ลำปาง!J348"")"),3)</f>
        <v>3</v>
      </c>
      <c r="Z26" s="177">
        <f ca="1">IFERROR(__xludf.DUMMYFUNCTION("IMPORTRANGE(""https://docs.google.com/spreadsheets/d/1DY4XTNNwjluuxqdfdn6qvOSlMRrZqUtmYcZR0ttFiG4/edit?usp=sharing"",""ลำปาง!J349"")"),0)</f>
        <v>0</v>
      </c>
      <c r="AA26" s="177">
        <f ca="1">IFERROR(__xludf.DUMMYFUNCTION("IMPORTRANGE(""https://docs.google.com/spreadsheets/d/1DY4XTNNwjluuxqdfdn6qvOSlMRrZqUtmYcZR0ttFiG4/edit?usp=sharing"",""ลำปาง!J352"")"),1041)</f>
        <v>1041</v>
      </c>
      <c r="AB26" s="177">
        <f ca="1">IFERROR(__xludf.DUMMYFUNCTION("IMPORTRANGE(""https://docs.google.com/spreadsheets/d/1DY4XTNNwjluuxqdfdn6qvOSlMRrZqUtmYcZR0ttFiG4/edit?usp=sharing"",""ลำปาง!J353"")"),1426)</f>
        <v>1426</v>
      </c>
    </row>
    <row r="27" spans="1:28" ht="24" customHeight="1" x14ac:dyDescent="0.3">
      <c r="A27" s="84">
        <v>14</v>
      </c>
      <c r="B27" s="85" t="s">
        <v>49</v>
      </c>
      <c r="C27" s="174">
        <f t="shared" ca="1" si="20"/>
        <v>105000</v>
      </c>
      <c r="D27" s="175">
        <f t="shared" ca="1" si="33"/>
        <v>105000</v>
      </c>
      <c r="E27" s="176">
        <f ca="1">IFERROR(__xludf.DUMMYFUNCTION("IMPORTRANGE(""https://docs.google.com/spreadsheets/d/1-uDff_7J0KD5mKrp0Vvzr7lt3OU09vwQwhkpOPPYv2Y/edit?usp=sharing"",""งบพรบ!ET27"")"),0)</f>
        <v>0</v>
      </c>
      <c r="F27" s="176">
        <f ca="1">IFERROR(__xludf.DUMMYFUNCTION("IMPORTRANGE(""https://docs.google.com/spreadsheets/d/1-uDff_7J0KD5mKrp0Vvzr7lt3OU09vwQwhkpOPPYv2Y/edit?usp=sharing"",""งบพรบ!EU27"")"),105000)</f>
        <v>105000</v>
      </c>
      <c r="G27" s="176">
        <f ca="1">IFERROR(__xludf.DUMMYFUNCTION("IMPORTRANGE(""https://docs.google.com/spreadsheets/d/1-uDff_7J0KD5mKrp0Vvzr7lt3OU09vwQwhkpOPPYv2Y/edit?usp=sharing"",""งบพรบ!EV27"")"),0)</f>
        <v>0</v>
      </c>
      <c r="H27" s="176">
        <f ca="1">IFERROR(__xludf.DUMMYFUNCTION("IMPORTRANGE(""https://docs.google.com/spreadsheets/d/1-uDff_7J0KD5mKrp0Vvzr7lt3OU09vwQwhkpOPPYv2Y/edit?usp=sharing"",""งบพรบ!EX27"")"),83350)</f>
        <v>83350</v>
      </c>
      <c r="I27" s="176">
        <f ca="1">IFERROR(__xludf.DUMMYFUNCTION("IMPORTRANGE(""https://docs.google.com/spreadsheets/d/1-uDff_7J0KD5mKrp0Vvzr7lt3OU09vwQwhkpOPPYv2Y/edit?usp=sharing"",""งบพรบ!EY27"")"),0)</f>
        <v>0</v>
      </c>
      <c r="J27" s="176">
        <f t="shared" ca="1" si="22"/>
        <v>35760</v>
      </c>
      <c r="K27" s="181">
        <f t="shared" ca="1" si="23"/>
        <v>34.057142857142857</v>
      </c>
      <c r="L27" s="176">
        <f ca="1">IFERROR(__xludf.DUMMYFUNCTION("IMPORTRANGE(""https://docs.google.com/spreadsheets/d/1-uDff_7J0KD5mKrp0Vvzr7lt3OU09vwQwhkpOPPYv2Y/edit?usp=sharing"",""งบพรบ!EZ27"")"),35760)</f>
        <v>35760</v>
      </c>
      <c r="M27" s="179">
        <f t="shared" ca="1" si="24"/>
        <v>34.057142857142857</v>
      </c>
      <c r="N27" s="179">
        <f t="shared" ca="1" si="25"/>
        <v>42.90341931613677</v>
      </c>
      <c r="O27" s="180">
        <f ca="1">IFERROR(__xludf.DUMMYFUNCTION("IMPORTRANGE(""https://docs.google.com/spreadsheets/d/1-uDff_7J0KD5mKrp0Vvzr7lt3OU09vwQwhkpOPPYv2Y/edit?usp=sharing"",""งบพรบ!FA27"")"),0)</f>
        <v>0</v>
      </c>
      <c r="P27" s="180">
        <f t="shared" ca="1" si="26"/>
        <v>0</v>
      </c>
      <c r="Q27" s="179">
        <f t="shared" ca="1" si="27"/>
        <v>0</v>
      </c>
      <c r="R27" s="344">
        <f ca="1">IFERROR(__xludf.DUMMYFUNCTION("IMPORTRANGE(""https://docs.google.com/spreadsheets/d/1ICwG78r0OFT8biBlxnBF8r7she7gNSzOvJ958PWT09c/edit?usp=sharing"",""ลำพูน!I344"")"),460)</f>
        <v>460</v>
      </c>
      <c r="S27" s="177">
        <f ca="1">IFERROR(__xludf.DUMMYFUNCTION("IMPORTRANGE(""https://docs.google.com/spreadsheets/d/1ICwG78r0OFT8biBlxnBF8r7she7gNSzOvJ958PWT09c/edit?usp=sharing"",""ลำพูน!J344"")"),140)</f>
        <v>140</v>
      </c>
      <c r="T27" s="345">
        <f t="shared" ca="1" si="29"/>
        <v>30.434782608695652</v>
      </c>
      <c r="U27" s="344">
        <f ca="1">IFERROR(__xludf.DUMMYFUNCTION("IMPORTRANGE(""https://docs.google.com/spreadsheets/d/1ICwG78r0OFT8biBlxnBF8r7she7gNSzOvJ958PWT09c/edit?usp=sharing"",""ลำพูน!I346"")"),4)</f>
        <v>4</v>
      </c>
      <c r="V27" s="177">
        <f ca="1">IFERROR(__xludf.DUMMYFUNCTION("IMPORTRANGE(""https://docs.google.com/spreadsheets/d/1ICwG78r0OFT8biBlxnBF8r7she7gNSzOvJ958PWT09c/edit?usp=sharing"",""ลำพูน!J346"")"),0)</f>
        <v>0</v>
      </c>
      <c r="W27" s="345">
        <f t="shared" ca="1" si="31"/>
        <v>0</v>
      </c>
      <c r="X27" s="177">
        <f ca="1">IFERROR(__xludf.DUMMYFUNCTION("IMPORTRANGE(""https://docs.google.com/spreadsheets/d/1ICwG78r0OFT8biBlxnBF8r7she7gNSzOvJ958PWT09c/edit?usp=sharing"",""ลำพูน!J347"")"),0)</f>
        <v>0</v>
      </c>
      <c r="Y27" s="177">
        <f ca="1">IFERROR(__xludf.DUMMYFUNCTION("IMPORTRANGE(""https://docs.google.com/spreadsheets/d/1ICwG78r0OFT8biBlxnBF8r7she7gNSzOvJ958PWT09c/edit?usp=sharing"",""ลำพูน!J348"")"),82)</f>
        <v>82</v>
      </c>
      <c r="Z27" s="177">
        <f ca="1">IFERROR(__xludf.DUMMYFUNCTION("IMPORTRANGE(""https://docs.google.com/spreadsheets/d/1ICwG78r0OFT8biBlxnBF8r7she7gNSzOvJ958PWT09c/edit?usp=sharing"",""ลำพูน!J349"")"),0)</f>
        <v>0</v>
      </c>
      <c r="AA27" s="177">
        <f ca="1">IFERROR(__xludf.DUMMYFUNCTION("IMPORTRANGE(""https://docs.google.com/spreadsheets/d/1ICwG78r0OFT8biBlxnBF8r7she7gNSzOvJ958PWT09c/edit?usp=sharing"",""ลำพูน!J352"")"),39)</f>
        <v>39</v>
      </c>
      <c r="AB27" s="177">
        <f ca="1">IFERROR(__xludf.DUMMYFUNCTION("IMPORTRANGE(""https://docs.google.com/spreadsheets/d/1ICwG78r0OFT8biBlxnBF8r7she7gNSzOvJ958PWT09c/edit?usp=sharing"",""ลำพูน!J353"")"),2117)</f>
        <v>2117</v>
      </c>
    </row>
    <row r="28" spans="1:28" ht="24" customHeight="1" x14ac:dyDescent="0.3">
      <c r="A28" s="84">
        <v>15</v>
      </c>
      <c r="B28" s="85" t="s">
        <v>50</v>
      </c>
      <c r="C28" s="174">
        <f t="shared" ca="1" si="20"/>
        <v>116000</v>
      </c>
      <c r="D28" s="175">
        <f t="shared" ca="1" si="33"/>
        <v>116000</v>
      </c>
      <c r="E28" s="176">
        <f ca="1">IFERROR(__xludf.DUMMYFUNCTION("IMPORTRANGE(""https://docs.google.com/spreadsheets/d/1-uDff_7J0KD5mKrp0Vvzr7lt3OU09vwQwhkpOPPYv2Y/edit?usp=sharing"",""งบพรบ!ET28"")"),0)</f>
        <v>0</v>
      </c>
      <c r="F28" s="176">
        <f ca="1">IFERROR(__xludf.DUMMYFUNCTION("IMPORTRANGE(""https://docs.google.com/spreadsheets/d/1-uDff_7J0KD5mKrp0Vvzr7lt3OU09vwQwhkpOPPYv2Y/edit?usp=sharing"",""งบพรบ!EU28"")"),116000)</f>
        <v>116000</v>
      </c>
      <c r="G28" s="176">
        <f ca="1">IFERROR(__xludf.DUMMYFUNCTION("IMPORTRANGE(""https://docs.google.com/spreadsheets/d/1-uDff_7J0KD5mKrp0Vvzr7lt3OU09vwQwhkpOPPYv2Y/edit?usp=sharing"",""งบพรบ!EV28"")"),0)</f>
        <v>0</v>
      </c>
      <c r="H28" s="176">
        <f ca="1">IFERROR(__xludf.DUMMYFUNCTION("IMPORTRANGE(""https://docs.google.com/spreadsheets/d/1-uDff_7J0KD5mKrp0Vvzr7lt3OU09vwQwhkpOPPYv2Y/edit?usp=sharing"",""งบพรบ!EX28"")"),90550)</f>
        <v>90550</v>
      </c>
      <c r="I28" s="176">
        <f ca="1">IFERROR(__xludf.DUMMYFUNCTION("IMPORTRANGE(""https://docs.google.com/spreadsheets/d/1-uDff_7J0KD5mKrp0Vvzr7lt3OU09vwQwhkpOPPYv2Y/edit?usp=sharing"",""งบพรบ!EY28"")"),0)</f>
        <v>0</v>
      </c>
      <c r="J28" s="176">
        <f t="shared" ca="1" si="22"/>
        <v>13000</v>
      </c>
      <c r="K28" s="181">
        <f t="shared" ca="1" si="23"/>
        <v>11.206896551724139</v>
      </c>
      <c r="L28" s="176">
        <f ca="1">IFERROR(__xludf.DUMMYFUNCTION("IMPORTRANGE(""https://docs.google.com/spreadsheets/d/1-uDff_7J0KD5mKrp0Vvzr7lt3OU09vwQwhkpOPPYv2Y/edit?usp=sharing"",""งบพรบ!EZ28"")"),13000)</f>
        <v>13000</v>
      </c>
      <c r="M28" s="179">
        <f t="shared" ca="1" si="24"/>
        <v>11.206896551724139</v>
      </c>
      <c r="N28" s="179">
        <f t="shared" ca="1" si="25"/>
        <v>14.356709000552181</v>
      </c>
      <c r="O28" s="180">
        <f ca="1">IFERROR(__xludf.DUMMYFUNCTION("IMPORTRANGE(""https://docs.google.com/spreadsheets/d/1-uDff_7J0KD5mKrp0Vvzr7lt3OU09vwQwhkpOPPYv2Y/edit?usp=sharing"",""งบพรบ!FA28"")"),0)</f>
        <v>0</v>
      </c>
      <c r="P28" s="180">
        <f t="shared" ca="1" si="26"/>
        <v>0</v>
      </c>
      <c r="Q28" s="179">
        <f t="shared" ca="1" si="27"/>
        <v>0</v>
      </c>
      <c r="R28" s="344">
        <f ca="1">IFERROR(__xludf.DUMMYFUNCTION("IMPORTRANGE(""https://docs.google.com/spreadsheets/d/1B0f2xJpZUC6Z0xXnqKlZtEPzsf6L84eP1r1Q15seqRM/edit?usp=sharing"",""สุโขทัย!I344"")"),3740)</f>
        <v>3740</v>
      </c>
      <c r="S28" s="177">
        <f ca="1">IFERROR(__xludf.DUMMYFUNCTION("IMPORTRANGE(""https://docs.google.com/spreadsheets/d/1B0f2xJpZUC6Z0xXnqKlZtEPzsf6L84eP1r1Q15seqRM/edit?usp=sharing"",""สุโขทัย!J344"")"),920)</f>
        <v>920</v>
      </c>
      <c r="T28" s="345">
        <f t="shared" ca="1" si="29"/>
        <v>24.598930481283421</v>
      </c>
      <c r="U28" s="344">
        <f ca="1">IFERROR(__xludf.DUMMYFUNCTION("IMPORTRANGE(""https://docs.google.com/spreadsheets/d/1B0f2xJpZUC6Z0xXnqKlZtEPzsf6L84eP1r1Q15seqRM/edit?usp=sharing"",""สุโขทัย!I346"")"),5)</f>
        <v>5</v>
      </c>
      <c r="V28" s="177">
        <f ca="1">IFERROR(__xludf.DUMMYFUNCTION("IMPORTRANGE(""https://docs.google.com/spreadsheets/d/1B0f2xJpZUC6Z0xXnqKlZtEPzsf6L84eP1r1Q15seqRM/edit?usp=sharing"",""สุโขทัย!J346"")"),3)</f>
        <v>3</v>
      </c>
      <c r="W28" s="345">
        <f t="shared" ca="1" si="31"/>
        <v>60</v>
      </c>
      <c r="X28" s="177">
        <f ca="1">IFERROR(__xludf.DUMMYFUNCTION("IMPORTRANGE(""https://docs.google.com/spreadsheets/d/1B0f2xJpZUC6Z0xXnqKlZtEPzsf6L84eP1r1Q15seqRM/edit?usp=sharing"",""สุโขทัย!J347"")"),136)</f>
        <v>136</v>
      </c>
      <c r="Y28" s="177">
        <f ca="1">IFERROR(__xludf.DUMMYFUNCTION("IMPORTRANGE(""https://docs.google.com/spreadsheets/d/1B0f2xJpZUC6Z0xXnqKlZtEPzsf6L84eP1r1Q15seqRM/edit?usp=sharing"",""สุโขทัย!J348"")"),2)</f>
        <v>2</v>
      </c>
      <c r="Z28" s="177">
        <f ca="1">IFERROR(__xludf.DUMMYFUNCTION("IMPORTRANGE(""https://docs.google.com/spreadsheets/d/1B0f2xJpZUC6Z0xXnqKlZtEPzsf6L84eP1r1Q15seqRM/edit?usp=sharing"",""สุโขทัย!J349"")"),0)</f>
        <v>0</v>
      </c>
      <c r="AA28" s="177">
        <f ca="1">IFERROR(__xludf.DUMMYFUNCTION("IMPORTRANGE(""https://docs.google.com/spreadsheets/d/1B0f2xJpZUC6Z0xXnqKlZtEPzsf6L84eP1r1Q15seqRM/edit?usp=sharing"",""สุโขทัย!J352"")"),1043)</f>
        <v>1043</v>
      </c>
      <c r="AB28" s="177">
        <f ca="1">IFERROR(__xludf.DUMMYFUNCTION("IMPORTRANGE(""https://docs.google.com/spreadsheets/d/1B0f2xJpZUC6Z0xXnqKlZtEPzsf6L84eP1r1Q15seqRM/edit?usp=sharing"",""สุโขทัย!J353"")"),742)</f>
        <v>742</v>
      </c>
    </row>
    <row r="29" spans="1:28" ht="24" customHeight="1" x14ac:dyDescent="0.3">
      <c r="A29" s="84">
        <v>16</v>
      </c>
      <c r="B29" s="85" t="s">
        <v>51</v>
      </c>
      <c r="C29" s="174">
        <f t="shared" ca="1" si="20"/>
        <v>111000</v>
      </c>
      <c r="D29" s="175">
        <f t="shared" ca="1" si="33"/>
        <v>111000</v>
      </c>
      <c r="E29" s="176">
        <f ca="1">IFERROR(__xludf.DUMMYFUNCTION("IMPORTRANGE(""https://docs.google.com/spreadsheets/d/1-uDff_7J0KD5mKrp0Vvzr7lt3OU09vwQwhkpOPPYv2Y/edit?usp=sharing"",""งบพรบ!ET29"")"),0)</f>
        <v>0</v>
      </c>
      <c r="F29" s="176">
        <f ca="1">IFERROR(__xludf.DUMMYFUNCTION("IMPORTRANGE(""https://docs.google.com/spreadsheets/d/1-uDff_7J0KD5mKrp0Vvzr7lt3OU09vwQwhkpOPPYv2Y/edit?usp=sharing"",""งบพรบ!EU29"")"),111000)</f>
        <v>111000</v>
      </c>
      <c r="G29" s="176">
        <f ca="1">IFERROR(__xludf.DUMMYFUNCTION("IMPORTRANGE(""https://docs.google.com/spreadsheets/d/1-uDff_7J0KD5mKrp0Vvzr7lt3OU09vwQwhkpOPPYv2Y/edit?usp=sharing"",""งบพรบ!EV29"")"),0)</f>
        <v>0</v>
      </c>
      <c r="H29" s="176">
        <f ca="1">IFERROR(__xludf.DUMMYFUNCTION("IMPORTRANGE(""https://docs.google.com/spreadsheets/d/1-uDff_7J0KD5mKrp0Vvzr7lt3OU09vwQwhkpOPPYv2Y/edit?usp=sharing"",""งบพรบ!EX29"")"),88150)</f>
        <v>88150</v>
      </c>
      <c r="I29" s="176">
        <f ca="1">IFERROR(__xludf.DUMMYFUNCTION("IMPORTRANGE(""https://docs.google.com/spreadsheets/d/1-uDff_7J0KD5mKrp0Vvzr7lt3OU09vwQwhkpOPPYv2Y/edit?usp=sharing"",""งบพรบ!EY29"")"),0)</f>
        <v>0</v>
      </c>
      <c r="J29" s="176">
        <f t="shared" ca="1" si="22"/>
        <v>29255</v>
      </c>
      <c r="K29" s="181">
        <f t="shared" ca="1" si="23"/>
        <v>26.355855855855857</v>
      </c>
      <c r="L29" s="176">
        <f ca="1">IFERROR(__xludf.DUMMYFUNCTION("IMPORTRANGE(""https://docs.google.com/spreadsheets/d/1-uDff_7J0KD5mKrp0Vvzr7lt3OU09vwQwhkpOPPYv2Y/edit?usp=sharing"",""งบพรบ!EZ29"")"),29255)</f>
        <v>29255</v>
      </c>
      <c r="M29" s="179">
        <f t="shared" ca="1" si="24"/>
        <v>26.355855855855857</v>
      </c>
      <c r="N29" s="179">
        <f t="shared" ca="1" si="25"/>
        <v>33.187748156551336</v>
      </c>
      <c r="O29" s="180">
        <f ca="1">IFERROR(__xludf.DUMMYFUNCTION("IMPORTRANGE(""https://docs.google.com/spreadsheets/d/1-uDff_7J0KD5mKrp0Vvzr7lt3OU09vwQwhkpOPPYv2Y/edit?usp=sharing"",""งบพรบ!FA29"")"),0)</f>
        <v>0</v>
      </c>
      <c r="P29" s="180">
        <f t="shared" ca="1" si="26"/>
        <v>0</v>
      </c>
      <c r="Q29" s="179">
        <f t="shared" ca="1" si="27"/>
        <v>0</v>
      </c>
      <c r="R29" s="344">
        <f ca="1">IFERROR(__xludf.DUMMYFUNCTION("IMPORTRANGE(""https://docs.google.com/spreadsheets/d/1v0b9pFQCsKUVExMei7AgY2yQkdeNQvtOssygGsXbiKo/edit?usp=sharing"",""อุตรดิตถ์!I344"")"),1200)</f>
        <v>1200</v>
      </c>
      <c r="S29" s="177">
        <f ca="1">IFERROR(__xludf.DUMMYFUNCTION("IMPORTRANGE(""https://docs.google.com/spreadsheets/d/1v0b9pFQCsKUVExMei7AgY2yQkdeNQvtOssygGsXbiKo/edit?usp=sharing"",""อุตรดิตถ์!J344"")"),534)</f>
        <v>534</v>
      </c>
      <c r="T29" s="345">
        <f t="shared" ca="1" si="29"/>
        <v>44.5</v>
      </c>
      <c r="U29" s="344">
        <f ca="1">IFERROR(__xludf.DUMMYFUNCTION("IMPORTRANGE(""https://docs.google.com/spreadsheets/d/1v0b9pFQCsKUVExMei7AgY2yQkdeNQvtOssygGsXbiKo/edit?usp=sharing"",""อุตรดิตถ์!I346"")"),4)</f>
        <v>4</v>
      </c>
      <c r="V29" s="177">
        <f ca="1">IFERROR(__xludf.DUMMYFUNCTION("IMPORTRANGE(""https://docs.google.com/spreadsheets/d/1v0b9pFQCsKUVExMei7AgY2yQkdeNQvtOssygGsXbiKo/edit?usp=sharing"",""อุตรดิตถ์!J346"")"),2)</f>
        <v>2</v>
      </c>
      <c r="W29" s="345">
        <f t="shared" ca="1" si="31"/>
        <v>50</v>
      </c>
      <c r="X29" s="177">
        <f ca="1">IFERROR(__xludf.DUMMYFUNCTION("IMPORTRANGE(""https://docs.google.com/spreadsheets/d/1v0b9pFQCsKUVExMei7AgY2yQkdeNQvtOssygGsXbiKo/edit?usp=sharing"",""อุตรดิตถ์!J347"")"),0)</f>
        <v>0</v>
      </c>
      <c r="Y29" s="177">
        <f ca="1">IFERROR(__xludf.DUMMYFUNCTION("IMPORTRANGE(""https://docs.google.com/spreadsheets/d/1v0b9pFQCsKUVExMei7AgY2yQkdeNQvtOssygGsXbiKo/edit?usp=sharing"",""อุตรดิตถ์!J348"")"),0)</f>
        <v>0</v>
      </c>
      <c r="Z29" s="177">
        <f ca="1">IFERROR(__xludf.DUMMYFUNCTION("IMPORTRANGE(""https://docs.google.com/spreadsheets/d/1v0b9pFQCsKUVExMei7AgY2yQkdeNQvtOssygGsXbiKo/edit?usp=sharing"",""อุตรดิตถ์!J349"")"),0)</f>
        <v>0</v>
      </c>
      <c r="AA29" s="177">
        <f ca="1">IFERROR(__xludf.DUMMYFUNCTION("IMPORTRANGE(""https://docs.google.com/spreadsheets/d/1v0b9pFQCsKUVExMei7AgY2yQkdeNQvtOssygGsXbiKo/edit?usp=sharing"",""อุตรดิตถ์!J352"")"),303)</f>
        <v>303</v>
      </c>
      <c r="AB29" s="177">
        <f ca="1">IFERROR(__xludf.DUMMYFUNCTION("IMPORTRANGE(""https://docs.google.com/spreadsheets/d/1v0b9pFQCsKUVExMei7AgY2yQkdeNQvtOssygGsXbiKo/edit?usp=sharing"",""อุตรดิตถ์!J353"")"),1123)</f>
        <v>1123</v>
      </c>
    </row>
    <row r="30" spans="1:28" ht="24" customHeight="1" x14ac:dyDescent="0.3">
      <c r="A30" s="95">
        <v>17</v>
      </c>
      <c r="B30" s="96" t="s">
        <v>52</v>
      </c>
      <c r="C30" s="184">
        <f t="shared" ca="1" si="20"/>
        <v>108000</v>
      </c>
      <c r="D30" s="185">
        <f t="shared" ca="1" si="33"/>
        <v>108000</v>
      </c>
      <c r="E30" s="186">
        <f ca="1">IFERROR(__xludf.DUMMYFUNCTION("IMPORTRANGE(""https://docs.google.com/spreadsheets/d/1-uDff_7J0KD5mKrp0Vvzr7lt3OU09vwQwhkpOPPYv2Y/edit?usp=sharing"",""งบพรบ!ET30"")"),0)</f>
        <v>0</v>
      </c>
      <c r="F30" s="186">
        <f ca="1">IFERROR(__xludf.DUMMYFUNCTION("IMPORTRANGE(""https://docs.google.com/spreadsheets/d/1-uDff_7J0KD5mKrp0Vvzr7lt3OU09vwQwhkpOPPYv2Y/edit?usp=sharing"",""งบพรบ!EU30"")"),108000)</f>
        <v>108000</v>
      </c>
      <c r="G30" s="186">
        <f ca="1">IFERROR(__xludf.DUMMYFUNCTION("IMPORTRANGE(""https://docs.google.com/spreadsheets/d/1-uDff_7J0KD5mKrp0Vvzr7lt3OU09vwQwhkpOPPYv2Y/edit?usp=sharing"",""งบพรบ!EV30"")"),0)</f>
        <v>0</v>
      </c>
      <c r="H30" s="186">
        <f ca="1">IFERROR(__xludf.DUMMYFUNCTION("IMPORTRANGE(""https://docs.google.com/spreadsheets/d/1-uDff_7J0KD5mKrp0Vvzr7lt3OU09vwQwhkpOPPYv2Y/edit?usp=sharing"",""งบพรบ!EX30"")"),85750)</f>
        <v>85750</v>
      </c>
      <c r="I30" s="186">
        <f ca="1">IFERROR(__xludf.DUMMYFUNCTION("IMPORTRANGE(""https://docs.google.com/spreadsheets/d/1-uDff_7J0KD5mKrp0Vvzr7lt3OU09vwQwhkpOPPYv2Y/edit?usp=sharing"",""งบพรบ!EY30"")"),0)</f>
        <v>0</v>
      </c>
      <c r="J30" s="186">
        <f t="shared" ca="1" si="22"/>
        <v>32800</v>
      </c>
      <c r="K30" s="187">
        <f t="shared" ca="1" si="23"/>
        <v>30.37037037037037</v>
      </c>
      <c r="L30" s="186">
        <f ca="1">IFERROR(__xludf.DUMMYFUNCTION("IMPORTRANGE(""https://docs.google.com/spreadsheets/d/1-uDff_7J0KD5mKrp0Vvzr7lt3OU09vwQwhkpOPPYv2Y/edit?usp=sharing"",""งบพรบ!EZ30"")"),32800)</f>
        <v>32800</v>
      </c>
      <c r="M30" s="188">
        <f t="shared" ca="1" si="24"/>
        <v>30.37037037037037</v>
      </c>
      <c r="N30" s="188">
        <f t="shared" ca="1" si="25"/>
        <v>38.250728862973759</v>
      </c>
      <c r="O30" s="189">
        <f ca="1">IFERROR(__xludf.DUMMYFUNCTION("IMPORTRANGE(""https://docs.google.com/spreadsheets/d/1-uDff_7J0KD5mKrp0Vvzr7lt3OU09vwQwhkpOPPYv2Y/edit?usp=sharing"",""งบพรบ!FA30"")"),0)</f>
        <v>0</v>
      </c>
      <c r="P30" s="189">
        <f t="shared" ca="1" si="26"/>
        <v>0</v>
      </c>
      <c r="Q30" s="188">
        <f t="shared" ca="1" si="27"/>
        <v>0</v>
      </c>
      <c r="R30" s="347">
        <f ca="1">IFERROR(__xludf.DUMMYFUNCTION("IMPORTRANGE(""https://docs.google.com/spreadsheets/d/1UsNK1e-WWiCo2PvGqdNfdme4m17_Ezd3J69EeeiQPD0/edit?usp=sharing"",""อุทัยธานี!I344"")"),1660)</f>
        <v>1660</v>
      </c>
      <c r="S30" s="190">
        <f ca="1">IFERROR(__xludf.DUMMYFUNCTION("IMPORTRANGE(""https://docs.google.com/spreadsheets/d/1UsNK1e-WWiCo2PvGqdNfdme4m17_Ezd3J69EeeiQPD0/edit?usp=sharing"",""อุทัยธานี!J344"")"),683)</f>
        <v>683</v>
      </c>
      <c r="T30" s="348">
        <f t="shared" ca="1" si="29"/>
        <v>41.144578313253014</v>
      </c>
      <c r="U30" s="347">
        <f ca="1">IFERROR(__xludf.DUMMYFUNCTION("IMPORTRANGE(""https://docs.google.com/spreadsheets/d/1UsNK1e-WWiCo2PvGqdNfdme4m17_Ezd3J69EeeiQPD0/edit?usp=sharing"",""อุทัยธานี!I346"")"),4)</f>
        <v>4</v>
      </c>
      <c r="V30" s="190">
        <f ca="1">IFERROR(__xludf.DUMMYFUNCTION("IMPORTRANGE(""https://docs.google.com/spreadsheets/d/1UsNK1e-WWiCo2PvGqdNfdme4m17_Ezd3J69EeeiQPD0/edit?usp=sharing"",""อุทัยธานี!J346"")"),0)</f>
        <v>0</v>
      </c>
      <c r="W30" s="348">
        <f t="shared" ca="1" si="31"/>
        <v>0</v>
      </c>
      <c r="X30" s="190">
        <f ca="1">IFERROR(__xludf.DUMMYFUNCTION("IMPORTRANGE(""https://docs.google.com/spreadsheets/d/1UsNK1e-WWiCo2PvGqdNfdme4m17_Ezd3J69EeeiQPD0/edit?usp=sharing"",""อุทัยธานี!J347"")"),0)</f>
        <v>0</v>
      </c>
      <c r="Y30" s="190">
        <f ca="1">IFERROR(__xludf.DUMMYFUNCTION("IMPORTRANGE(""https://docs.google.com/spreadsheets/d/1UsNK1e-WWiCo2PvGqdNfdme4m17_Ezd3J69EeeiQPD0/edit?usp=sharing"",""อุทัยธานี!J348"")"),0)</f>
        <v>0</v>
      </c>
      <c r="Z30" s="190">
        <f ca="1">IFERROR(__xludf.DUMMYFUNCTION("IMPORTRANGE(""https://docs.google.com/spreadsheets/d/1UsNK1e-WWiCo2PvGqdNfdme4m17_Ezd3J69EeeiQPD0/edit?usp=sharing"",""อุทัยธานี!J349"")"),0)</f>
        <v>0</v>
      </c>
      <c r="AA30" s="190">
        <f ca="1">IFERROR(__xludf.DUMMYFUNCTION("IMPORTRANGE(""https://docs.google.com/spreadsheets/d/1UsNK1e-WWiCo2PvGqdNfdme4m17_Ezd3J69EeeiQPD0/edit?usp=sharing"",""อุทัยธานี!J352"")"),791)</f>
        <v>791</v>
      </c>
      <c r="AB30" s="190">
        <f ca="1">IFERROR(__xludf.DUMMYFUNCTION("IMPORTRANGE(""https://docs.google.com/spreadsheets/d/1UsNK1e-WWiCo2PvGqdNfdme4m17_Ezd3J69EeeiQPD0/edit?usp=sharing"",""อุทัยธานี!J353"")"),276)</f>
        <v>276</v>
      </c>
    </row>
    <row r="31" spans="1:28" ht="21" customHeight="1" x14ac:dyDescent="0.3">
      <c r="A31" s="395" t="s">
        <v>53</v>
      </c>
      <c r="B31" s="396"/>
      <c r="C31" s="154">
        <f t="shared" ca="1" si="20"/>
        <v>2440700</v>
      </c>
      <c r="D31" s="154">
        <f t="shared" ref="D31:I31" ca="1" si="34">SUM(D32:D51)</f>
        <v>2440700</v>
      </c>
      <c r="E31" s="154">
        <f t="shared" ca="1" si="34"/>
        <v>168700</v>
      </c>
      <c r="F31" s="154">
        <f t="shared" ca="1" si="34"/>
        <v>2272000</v>
      </c>
      <c r="G31" s="154">
        <f t="shared" ca="1" si="34"/>
        <v>0</v>
      </c>
      <c r="H31" s="154">
        <f t="shared" ca="1" si="34"/>
        <v>1918000</v>
      </c>
      <c r="I31" s="154">
        <f t="shared" ca="1" si="34"/>
        <v>0</v>
      </c>
      <c r="J31" s="154">
        <f t="shared" ca="1" si="22"/>
        <v>529405</v>
      </c>
      <c r="K31" s="155">
        <f t="shared" ca="1" si="23"/>
        <v>21.690703486704635</v>
      </c>
      <c r="L31" s="154">
        <f ca="1">SUM(L32:L51)</f>
        <v>529405</v>
      </c>
      <c r="M31" s="156">
        <f t="shared" ca="1" si="24"/>
        <v>21.690703486704635</v>
      </c>
      <c r="N31" s="156">
        <f t="shared" ca="1" si="25"/>
        <v>27.601929092805005</v>
      </c>
      <c r="O31" s="157">
        <f ca="1">SUM(O32:O51)</f>
        <v>0</v>
      </c>
      <c r="P31" s="157">
        <f t="shared" ca="1" si="26"/>
        <v>0</v>
      </c>
      <c r="Q31" s="156">
        <f t="shared" ca="1" si="27"/>
        <v>0</v>
      </c>
      <c r="R31" s="339">
        <f t="shared" ref="R31:S31" ca="1" si="35">SUM(R32:R51)</f>
        <v>57200</v>
      </c>
      <c r="S31" s="154">
        <f t="shared" ca="1" si="35"/>
        <v>29289</v>
      </c>
      <c r="T31" s="156">
        <f t="shared" ca="1" si="29"/>
        <v>51.204545454545453</v>
      </c>
      <c r="U31" s="339">
        <f t="shared" ref="U31:V31" ca="1" si="36">SUM(U32:U51)</f>
        <v>106</v>
      </c>
      <c r="V31" s="154">
        <f t="shared" ca="1" si="36"/>
        <v>49</v>
      </c>
      <c r="W31" s="156">
        <f t="shared" ca="1" si="31"/>
        <v>46.226415094339622</v>
      </c>
      <c r="X31" s="154">
        <f t="shared" ref="X31:AB31" ca="1" si="37">SUM(X32:X51)</f>
        <v>752</v>
      </c>
      <c r="Y31" s="154">
        <f t="shared" ca="1" si="37"/>
        <v>514</v>
      </c>
      <c r="Z31" s="154">
        <f t="shared" ca="1" si="37"/>
        <v>290</v>
      </c>
      <c r="AA31" s="154">
        <f t="shared" ca="1" si="37"/>
        <v>27447</v>
      </c>
      <c r="AB31" s="154">
        <f t="shared" ca="1" si="37"/>
        <v>38613</v>
      </c>
    </row>
    <row r="32" spans="1:28" ht="21" customHeight="1" x14ac:dyDescent="0.3">
      <c r="A32" s="74">
        <v>1</v>
      </c>
      <c r="B32" s="75" t="s">
        <v>54</v>
      </c>
      <c r="C32" s="174">
        <f t="shared" ca="1" si="20"/>
        <v>110000</v>
      </c>
      <c r="D32" s="175">
        <f t="shared" ref="D32:D51" ca="1" si="38">+E32+F32</f>
        <v>110000</v>
      </c>
      <c r="E32" s="176">
        <f ca="1">IFERROR(__xludf.DUMMYFUNCTION("IMPORTRANGE(""https://docs.google.com/spreadsheets/d/1-uDff_7J0KD5mKrp0Vvzr7lt3OU09vwQwhkpOPPYv2Y/edit?usp=sharing"",""งบพรบ!ET32"")"),0)</f>
        <v>0</v>
      </c>
      <c r="F32" s="176">
        <f ca="1">IFERROR(__xludf.DUMMYFUNCTION("IMPORTRANGE(""https://docs.google.com/spreadsheets/d/1-uDff_7J0KD5mKrp0Vvzr7lt3OU09vwQwhkpOPPYv2Y/edit?usp=sharing"",""งบพรบ!EU32"")"),110000)</f>
        <v>110000</v>
      </c>
      <c r="G32" s="177">
        <f ca="1">IFERROR(__xludf.DUMMYFUNCTION("IMPORTRANGE(""https://docs.google.com/spreadsheets/d/1-uDff_7J0KD5mKrp0Vvzr7lt3OU09vwQwhkpOPPYv2Y/edit?usp=sharing"",""งบพรบ!EV32"")"),0)</f>
        <v>0</v>
      </c>
      <c r="H32" s="177">
        <f ca="1">IFERROR(__xludf.DUMMYFUNCTION("IMPORTRANGE(""https://docs.google.com/spreadsheets/d/1-uDff_7J0KD5mKrp0Vvzr7lt3OU09vwQwhkpOPPYv2Y/edit?usp=sharing"",""งบพรบ!EX32"")"),85750)</f>
        <v>85750</v>
      </c>
      <c r="I32" s="177">
        <f ca="1">IFERROR(__xludf.DUMMYFUNCTION("IMPORTRANGE(""https://docs.google.com/spreadsheets/d/1-uDff_7J0KD5mKrp0Vvzr7lt3OU09vwQwhkpOPPYv2Y/edit?usp=sharing"",""งบพรบ!EY32"")"),0)</f>
        <v>0</v>
      </c>
      <c r="J32" s="177">
        <f t="shared" ca="1" si="22"/>
        <v>17000</v>
      </c>
      <c r="K32" s="178">
        <f t="shared" ca="1" si="23"/>
        <v>15.454545454545455</v>
      </c>
      <c r="L32" s="177">
        <f ca="1">IFERROR(__xludf.DUMMYFUNCTION("IMPORTRANGE(""https://docs.google.com/spreadsheets/d/1-uDff_7J0KD5mKrp0Vvzr7lt3OU09vwQwhkpOPPYv2Y/edit?usp=sharing"",""งบพรบ!EZ32"")"),17000)</f>
        <v>17000</v>
      </c>
      <c r="M32" s="179">
        <f t="shared" ca="1" si="24"/>
        <v>15.454545454545455</v>
      </c>
      <c r="N32" s="179">
        <f t="shared" ca="1" si="25"/>
        <v>19.825072886297377</v>
      </c>
      <c r="O32" s="180">
        <f ca="1">IFERROR(__xludf.DUMMYFUNCTION("IMPORTRANGE(""https://docs.google.com/spreadsheets/d/1-uDff_7J0KD5mKrp0Vvzr7lt3OU09vwQwhkpOPPYv2Y/edit?usp=sharing"",""งบพรบ!FA32"")"),0)</f>
        <v>0</v>
      </c>
      <c r="P32" s="180">
        <f t="shared" ca="1" si="26"/>
        <v>0</v>
      </c>
      <c r="Q32" s="179">
        <f t="shared" ca="1" si="27"/>
        <v>0</v>
      </c>
      <c r="R32" s="344">
        <f ca="1">IFERROR(__xludf.DUMMYFUNCTION("IMPORTRANGE(""https://docs.google.com/spreadsheets/d/1yhBcrRPreicbMKl9Bu_Snb2-OcQAF62RKfhTLhJ2eAA/edit?usp=sharing"",""กาฬสินธุ์!I344"")"),1200)</f>
        <v>1200</v>
      </c>
      <c r="S32" s="177">
        <f ca="1">IFERROR(__xludf.DUMMYFUNCTION("IMPORTRANGE(""https://docs.google.com/spreadsheets/d/1yhBcrRPreicbMKl9Bu_Snb2-OcQAF62RKfhTLhJ2eAA/edit?usp=sharing"",""กาฬสินธุ์!J344"")"),159)</f>
        <v>159</v>
      </c>
      <c r="T32" s="345">
        <f t="shared" ca="1" si="29"/>
        <v>13.25</v>
      </c>
      <c r="U32" s="344">
        <f ca="1">IFERROR(__xludf.DUMMYFUNCTION("IMPORTRANGE(""https://docs.google.com/spreadsheets/d/1yhBcrRPreicbMKl9Bu_Snb2-OcQAF62RKfhTLhJ2eAA/edit?usp=sharing"",""กาฬสินธุ์!I346"")"),5)</f>
        <v>5</v>
      </c>
      <c r="V32" s="177">
        <f ca="1">IFERROR(__xludf.DUMMYFUNCTION("IMPORTRANGE(""https://docs.google.com/spreadsheets/d/1yhBcrRPreicbMKl9Bu_Snb2-OcQAF62RKfhTLhJ2eAA/edit?usp=sharing"",""กาฬสินธุ์!J346"")"),1)</f>
        <v>1</v>
      </c>
      <c r="W32" s="345">
        <f t="shared" ca="1" si="31"/>
        <v>20</v>
      </c>
      <c r="X32" s="177">
        <f ca="1">IFERROR(__xludf.DUMMYFUNCTION("IMPORTRANGE(""https://docs.google.com/spreadsheets/d/1yhBcrRPreicbMKl9Bu_Snb2-OcQAF62RKfhTLhJ2eAA/edit?usp=sharing"",""กาฬสินธุ์!J347"")"),0)</f>
        <v>0</v>
      </c>
      <c r="Y32" s="177">
        <f ca="1">IFERROR(__xludf.DUMMYFUNCTION("IMPORTRANGE(""https://docs.google.com/spreadsheets/d/1yhBcrRPreicbMKl9Bu_Snb2-OcQAF62RKfhTLhJ2eAA/edit?usp=sharing"",""กาฬสินธุ์!J348"")"),0)</f>
        <v>0</v>
      </c>
      <c r="Z32" s="177">
        <f ca="1">IFERROR(__xludf.DUMMYFUNCTION("IMPORTRANGE(""https://docs.google.com/spreadsheets/d/1yhBcrRPreicbMKl9Bu_Snb2-OcQAF62RKfhTLhJ2eAA/edit?usp=sharing"",""กาฬสินธุ์!J349"")"),0)</f>
        <v>0</v>
      </c>
      <c r="AA32" s="177">
        <f ca="1">IFERROR(__xludf.DUMMYFUNCTION("IMPORTRANGE(""https://docs.google.com/spreadsheets/d/1yhBcrRPreicbMKl9Bu_Snb2-OcQAF62RKfhTLhJ2eAA/edit?usp=sharing"",""กาฬสินธุ์!J352"")"),997)</f>
        <v>997</v>
      </c>
      <c r="AB32" s="177">
        <f ca="1">IFERROR(__xludf.DUMMYFUNCTION("IMPORTRANGE(""https://docs.google.com/spreadsheets/d/1yhBcrRPreicbMKl9Bu_Snb2-OcQAF62RKfhTLhJ2eAA/edit?usp=sharing"",""กาฬสินธุ์!J353"")"),216)</f>
        <v>216</v>
      </c>
    </row>
    <row r="33" spans="1:28" ht="21" customHeight="1" x14ac:dyDescent="0.3">
      <c r="A33" s="84">
        <v>2</v>
      </c>
      <c r="B33" s="85" t="s">
        <v>55</v>
      </c>
      <c r="C33" s="174">
        <f t="shared" ca="1" si="20"/>
        <v>117000</v>
      </c>
      <c r="D33" s="175">
        <f t="shared" ca="1" si="38"/>
        <v>117000</v>
      </c>
      <c r="E33" s="176">
        <f ca="1">IFERROR(__xludf.DUMMYFUNCTION("IMPORTRANGE(""https://docs.google.com/spreadsheets/d/1-uDff_7J0KD5mKrp0Vvzr7lt3OU09vwQwhkpOPPYv2Y/edit?usp=sharing"",""งบพรบ!ET33"")"),0)</f>
        <v>0</v>
      </c>
      <c r="F33" s="176">
        <f ca="1">IFERROR(__xludf.DUMMYFUNCTION("IMPORTRANGE(""https://docs.google.com/spreadsheets/d/1-uDff_7J0KD5mKrp0Vvzr7lt3OU09vwQwhkpOPPYv2Y/edit?usp=sharing"",""งบพรบ!EU33"")"),117000)</f>
        <v>117000</v>
      </c>
      <c r="G33" s="176">
        <f ca="1">IFERROR(__xludf.DUMMYFUNCTION("IMPORTRANGE(""https://docs.google.com/spreadsheets/d/1-uDff_7J0KD5mKrp0Vvzr7lt3OU09vwQwhkpOPPYv2Y/edit?usp=sharing"",""งบพรบ!EV33"")"),0)</f>
        <v>0</v>
      </c>
      <c r="H33" s="176">
        <f ca="1">IFERROR(__xludf.DUMMYFUNCTION("IMPORTRANGE(""https://docs.google.com/spreadsheets/d/1-uDff_7J0KD5mKrp0Vvzr7lt3OU09vwQwhkpOPPYv2Y/edit?usp=sharing"",""งบพรบ!EX33"")"),92150)</f>
        <v>92150</v>
      </c>
      <c r="I33" s="176">
        <f ca="1">IFERROR(__xludf.DUMMYFUNCTION("IMPORTRANGE(""https://docs.google.com/spreadsheets/d/1-uDff_7J0KD5mKrp0Vvzr7lt3OU09vwQwhkpOPPYv2Y/edit?usp=sharing"",""งบพรบ!EY33"")"),0)</f>
        <v>0</v>
      </c>
      <c r="J33" s="176">
        <f t="shared" ca="1" si="22"/>
        <v>19019</v>
      </c>
      <c r="K33" s="181">
        <f t="shared" ca="1" si="23"/>
        <v>16.255555555555556</v>
      </c>
      <c r="L33" s="176">
        <f ca="1">IFERROR(__xludf.DUMMYFUNCTION("IMPORTRANGE(""https://docs.google.com/spreadsheets/d/1-uDff_7J0KD5mKrp0Vvzr7lt3OU09vwQwhkpOPPYv2Y/edit?usp=sharing"",""งบพรบ!EZ33"")"),19019)</f>
        <v>19019</v>
      </c>
      <c r="M33" s="179">
        <f t="shared" ca="1" si="24"/>
        <v>16.255555555555556</v>
      </c>
      <c r="N33" s="179">
        <f t="shared" ca="1" si="25"/>
        <v>20.63917525773196</v>
      </c>
      <c r="O33" s="180">
        <f ca="1">IFERROR(__xludf.DUMMYFUNCTION("IMPORTRANGE(""https://docs.google.com/spreadsheets/d/1-uDff_7J0KD5mKrp0Vvzr7lt3OU09vwQwhkpOPPYv2Y/edit?usp=sharing"",""งบพรบ!FA33"")"),0)</f>
        <v>0</v>
      </c>
      <c r="P33" s="180">
        <f t="shared" ca="1" si="26"/>
        <v>0</v>
      </c>
      <c r="Q33" s="179">
        <f t="shared" ca="1" si="27"/>
        <v>0</v>
      </c>
      <c r="R33" s="346">
        <f ca="1">IFERROR(__xludf.DUMMYFUNCTION("IMPORTRANGE(""https://docs.google.com/spreadsheets/d/1aHkj4IaQMThhwWwevcOymEh837vdxeC_PycurhTbGFA/edit?usp=sharing"",""ขอนแก่น!I344"")"),2860)</f>
        <v>2860</v>
      </c>
      <c r="S33" s="177">
        <f ca="1">IFERROR(__xludf.DUMMYFUNCTION("IMPORTRANGE(""https://docs.google.com/spreadsheets/d/1aHkj4IaQMThhwWwevcOymEh837vdxeC_PycurhTbGFA/edit?usp=sharing"",""ขอนแก่น!J344"")"),1183)</f>
        <v>1183</v>
      </c>
      <c r="T33" s="345">
        <f t="shared" ca="1" si="29"/>
        <v>41.363636363636367</v>
      </c>
      <c r="U33" s="346">
        <f ca="1">IFERROR(__xludf.DUMMYFUNCTION("IMPORTRANGE(""https://docs.google.com/spreadsheets/d/1aHkj4IaQMThhwWwevcOymEh837vdxeC_PycurhTbGFA/edit?usp=sharing"",""ขอนแก่น!I346"")"),7)</f>
        <v>7</v>
      </c>
      <c r="V33" s="177">
        <f ca="1">IFERROR(__xludf.DUMMYFUNCTION("IMPORTRANGE(""https://docs.google.com/spreadsheets/d/1aHkj4IaQMThhwWwevcOymEh837vdxeC_PycurhTbGFA/edit?usp=sharing"",""ขอนแก่น!J346"")"),1)</f>
        <v>1</v>
      </c>
      <c r="W33" s="345">
        <f t="shared" ca="1" si="31"/>
        <v>14.285714285714286</v>
      </c>
      <c r="X33" s="177">
        <f ca="1">IFERROR(__xludf.DUMMYFUNCTION("IMPORTRANGE(""https://docs.google.com/spreadsheets/d/1aHkj4IaQMThhwWwevcOymEh837vdxeC_PycurhTbGFA/edit?usp=sharing"",""ขอนแก่น!J347"")"),21)</f>
        <v>21</v>
      </c>
      <c r="Y33" s="177">
        <f ca="1">IFERROR(__xludf.DUMMYFUNCTION("IMPORTRANGE(""https://docs.google.com/spreadsheets/d/1aHkj4IaQMThhwWwevcOymEh837vdxeC_PycurhTbGFA/edit?usp=sharing"",""ขอนแก่น!J348"")"),309)</f>
        <v>309</v>
      </c>
      <c r="Z33" s="177">
        <f ca="1">IFERROR(__xludf.DUMMYFUNCTION("IMPORTRANGE(""https://docs.google.com/spreadsheets/d/1aHkj4IaQMThhwWwevcOymEh837vdxeC_PycurhTbGFA/edit?usp=sharing"",""ขอนแก่น!J349"")"),0)</f>
        <v>0</v>
      </c>
      <c r="AA33" s="177">
        <f ca="1">IFERROR(__xludf.DUMMYFUNCTION("IMPORTRANGE(""https://docs.google.com/spreadsheets/d/1aHkj4IaQMThhwWwevcOymEh837vdxeC_PycurhTbGFA/edit?usp=sharing"",""ขอนแก่น!J352"")"),1351)</f>
        <v>1351</v>
      </c>
      <c r="AB33" s="177">
        <f ca="1">IFERROR(__xludf.DUMMYFUNCTION("IMPORTRANGE(""https://docs.google.com/spreadsheets/d/1aHkj4IaQMThhwWwevcOymEh837vdxeC_PycurhTbGFA/edit?usp=sharing"",""ขอนแก่น!J353"")"),2050)</f>
        <v>2050</v>
      </c>
    </row>
    <row r="34" spans="1:28" ht="21" customHeight="1" x14ac:dyDescent="0.3">
      <c r="A34" s="84">
        <v>3</v>
      </c>
      <c r="B34" s="85" t="s">
        <v>56</v>
      </c>
      <c r="C34" s="174">
        <f t="shared" ca="1" si="20"/>
        <v>117000</v>
      </c>
      <c r="D34" s="175">
        <f t="shared" ca="1" si="38"/>
        <v>117000</v>
      </c>
      <c r="E34" s="176">
        <f ca="1">IFERROR(__xludf.DUMMYFUNCTION("IMPORTRANGE(""https://docs.google.com/spreadsheets/d/1-uDff_7J0KD5mKrp0Vvzr7lt3OU09vwQwhkpOPPYv2Y/edit?usp=sharing"",""งบพรบ!ET34"")"),0)</f>
        <v>0</v>
      </c>
      <c r="F34" s="176">
        <f ca="1">IFERROR(__xludf.DUMMYFUNCTION("IMPORTRANGE(""https://docs.google.com/spreadsheets/d/1-uDff_7J0KD5mKrp0Vvzr7lt3OU09vwQwhkpOPPYv2Y/edit?usp=sharing"",""งบพรบ!EU34"")"),117000)</f>
        <v>117000</v>
      </c>
      <c r="G34" s="176">
        <f ca="1">IFERROR(__xludf.DUMMYFUNCTION("IMPORTRANGE(""https://docs.google.com/spreadsheets/d/1-uDff_7J0KD5mKrp0Vvzr7lt3OU09vwQwhkpOPPYv2Y/edit?usp=sharing"",""งบพรบ!EV34"")"),0)</f>
        <v>0</v>
      </c>
      <c r="H34" s="176">
        <f ca="1">IFERROR(__xludf.DUMMYFUNCTION("IMPORTRANGE(""https://docs.google.com/spreadsheets/d/1-uDff_7J0KD5mKrp0Vvzr7lt3OU09vwQwhkpOPPYv2Y/edit?usp=sharing"",""งบพรบ!EX34"")"),92150)</f>
        <v>92150</v>
      </c>
      <c r="I34" s="176">
        <f ca="1">IFERROR(__xludf.DUMMYFUNCTION("IMPORTRANGE(""https://docs.google.com/spreadsheets/d/1-uDff_7J0KD5mKrp0Vvzr7lt3OU09vwQwhkpOPPYv2Y/edit?usp=sharing"",""งบพรบ!EY34"")"),0)</f>
        <v>0</v>
      </c>
      <c r="J34" s="176">
        <f t="shared" ca="1" si="22"/>
        <v>17620</v>
      </c>
      <c r="K34" s="181">
        <f t="shared" ca="1" si="23"/>
        <v>15.05982905982906</v>
      </c>
      <c r="L34" s="176">
        <f ca="1">IFERROR(__xludf.DUMMYFUNCTION("IMPORTRANGE(""https://docs.google.com/spreadsheets/d/1-uDff_7J0KD5mKrp0Vvzr7lt3OU09vwQwhkpOPPYv2Y/edit?usp=sharing"",""งบพรบ!EZ34"")"),17620)</f>
        <v>17620</v>
      </c>
      <c r="M34" s="179">
        <f t="shared" ca="1" si="24"/>
        <v>15.05982905982906</v>
      </c>
      <c r="N34" s="179">
        <f t="shared" ca="1" si="25"/>
        <v>19.120998372219209</v>
      </c>
      <c r="O34" s="180">
        <f ca="1">IFERROR(__xludf.DUMMYFUNCTION("IMPORTRANGE(""https://docs.google.com/spreadsheets/d/1-uDff_7J0KD5mKrp0Vvzr7lt3OU09vwQwhkpOPPYv2Y/edit?usp=sharing"",""งบพรบ!FA34"")"),0)</f>
        <v>0</v>
      </c>
      <c r="P34" s="180">
        <f t="shared" ca="1" si="26"/>
        <v>0</v>
      </c>
      <c r="Q34" s="179">
        <f t="shared" ca="1" si="27"/>
        <v>0</v>
      </c>
      <c r="R34" s="344">
        <f ca="1">IFERROR(__xludf.DUMMYFUNCTION("IMPORTRANGE(""https://docs.google.com/spreadsheets/d/1FvTu2DsIWUjP6WCWra38Bkj_oOl_sOMf14r5Fg5srxU/edit?usp=sharing"",""ชัยภูมิ!I344"")"),2260)</f>
        <v>2260</v>
      </c>
      <c r="S34" s="177">
        <f ca="1">IFERROR(__xludf.DUMMYFUNCTION("IMPORTRANGE(""https://docs.google.com/spreadsheets/d/1FvTu2DsIWUjP6WCWra38Bkj_oOl_sOMf14r5Fg5srxU/edit?usp=sharing"",""ชัยภูมิ!J344"")"),2177)</f>
        <v>2177</v>
      </c>
      <c r="T34" s="345">
        <f t="shared" ca="1" si="29"/>
        <v>96.327433628318587</v>
      </c>
      <c r="U34" s="344">
        <f ca="1">IFERROR(__xludf.DUMMYFUNCTION("IMPORTRANGE(""https://docs.google.com/spreadsheets/d/1FvTu2DsIWUjP6WCWra38Bkj_oOl_sOMf14r5Fg5srxU/edit?usp=sharing"",""ชัยภูมิ!I346"")"),7)</f>
        <v>7</v>
      </c>
      <c r="V34" s="177">
        <f ca="1">IFERROR(__xludf.DUMMYFUNCTION("IMPORTRANGE(""https://docs.google.com/spreadsheets/d/1FvTu2DsIWUjP6WCWra38Bkj_oOl_sOMf14r5Fg5srxU/edit?usp=sharing"",""ชัยภูมิ!J346"")"),2)</f>
        <v>2</v>
      </c>
      <c r="W34" s="345">
        <f t="shared" ca="1" si="31"/>
        <v>28.571428571428573</v>
      </c>
      <c r="X34" s="177">
        <f ca="1">IFERROR(__xludf.DUMMYFUNCTION("IMPORTRANGE(""https://docs.google.com/spreadsheets/d/1FvTu2DsIWUjP6WCWra38Bkj_oOl_sOMf14r5Fg5srxU/edit?usp=sharing"",""ชัยภูมิ!J347"")"),88)</f>
        <v>88</v>
      </c>
      <c r="Y34" s="177">
        <f ca="1">IFERROR(__xludf.DUMMYFUNCTION("IMPORTRANGE(""https://docs.google.com/spreadsheets/d/1FvTu2DsIWUjP6WCWra38Bkj_oOl_sOMf14r5Fg5srxU/edit?usp=sharing"",""ชัยภูมิ!J348"")"),0)</f>
        <v>0</v>
      </c>
      <c r="Z34" s="177">
        <f ca="1">IFERROR(__xludf.DUMMYFUNCTION("IMPORTRANGE(""https://docs.google.com/spreadsheets/d/1FvTu2DsIWUjP6WCWra38Bkj_oOl_sOMf14r5Fg5srxU/edit?usp=sharing"",""ชัยภูมิ!J349"")"),0)</f>
        <v>0</v>
      </c>
      <c r="AA34" s="177">
        <f ca="1">IFERROR(__xludf.DUMMYFUNCTION("IMPORTRANGE(""https://docs.google.com/spreadsheets/d/1FvTu2DsIWUjP6WCWra38Bkj_oOl_sOMf14r5Fg5srxU/edit?usp=sharing"",""ชัยภูมิ!J352"")"),695)</f>
        <v>695</v>
      </c>
      <c r="AB34" s="177">
        <f ca="1">IFERROR(__xludf.DUMMYFUNCTION("IMPORTRANGE(""https://docs.google.com/spreadsheets/d/1FvTu2DsIWUjP6WCWra38Bkj_oOl_sOMf14r5Fg5srxU/edit?usp=sharing"",""ชัยภูมิ!J353"")"),3179)</f>
        <v>3179</v>
      </c>
    </row>
    <row r="35" spans="1:28" ht="21" customHeight="1" x14ac:dyDescent="0.3">
      <c r="A35" s="84">
        <v>4</v>
      </c>
      <c r="B35" s="85" t="s">
        <v>57</v>
      </c>
      <c r="C35" s="174">
        <f t="shared" ca="1" si="20"/>
        <v>108000</v>
      </c>
      <c r="D35" s="175">
        <f t="shared" ca="1" si="38"/>
        <v>108000</v>
      </c>
      <c r="E35" s="176">
        <f ca="1">IFERROR(__xludf.DUMMYFUNCTION("IMPORTRANGE(""https://docs.google.com/spreadsheets/d/1-uDff_7J0KD5mKrp0Vvzr7lt3OU09vwQwhkpOPPYv2Y/edit?usp=sharing"",""งบพรบ!ET35"")"),0)</f>
        <v>0</v>
      </c>
      <c r="F35" s="176">
        <f ca="1">IFERROR(__xludf.DUMMYFUNCTION("IMPORTRANGE(""https://docs.google.com/spreadsheets/d/1-uDff_7J0KD5mKrp0Vvzr7lt3OU09vwQwhkpOPPYv2Y/edit?usp=sharing"",""งบพรบ!EU35"")"),108000)</f>
        <v>108000</v>
      </c>
      <c r="G35" s="176">
        <f ca="1">IFERROR(__xludf.DUMMYFUNCTION("IMPORTRANGE(""https://docs.google.com/spreadsheets/d/1-uDff_7J0KD5mKrp0Vvzr7lt3OU09vwQwhkpOPPYv2Y/edit?usp=sharing"",""งบพรบ!EV35"")"),0)</f>
        <v>0</v>
      </c>
      <c r="H35" s="176">
        <f ca="1">IFERROR(__xludf.DUMMYFUNCTION("IMPORTRANGE(""https://docs.google.com/spreadsheets/d/1-uDff_7J0KD5mKrp0Vvzr7lt3OU09vwQwhkpOPPYv2Y/edit?usp=sharing"",""งบพรบ!EX35"")"),85750)</f>
        <v>85750</v>
      </c>
      <c r="I35" s="176">
        <f ca="1">IFERROR(__xludf.DUMMYFUNCTION("IMPORTRANGE(""https://docs.google.com/spreadsheets/d/1-uDff_7J0KD5mKrp0Vvzr7lt3OU09vwQwhkpOPPYv2Y/edit?usp=sharing"",""งบพรบ!EY35"")"),0)</f>
        <v>0</v>
      </c>
      <c r="J35" s="176">
        <f t="shared" ca="1" si="22"/>
        <v>12340</v>
      </c>
      <c r="K35" s="181">
        <f t="shared" ca="1" si="23"/>
        <v>11.425925925925926</v>
      </c>
      <c r="L35" s="176">
        <f ca="1">IFERROR(__xludf.DUMMYFUNCTION("IMPORTRANGE(""https://docs.google.com/spreadsheets/d/1-uDff_7J0KD5mKrp0Vvzr7lt3OU09vwQwhkpOPPYv2Y/edit?usp=sharing"",""งบพรบ!EZ35"")"),12340)</f>
        <v>12340</v>
      </c>
      <c r="M35" s="179">
        <f t="shared" ca="1" si="24"/>
        <v>11.425925925925926</v>
      </c>
      <c r="N35" s="179">
        <f t="shared" ca="1" si="25"/>
        <v>14.390670553935861</v>
      </c>
      <c r="O35" s="180">
        <f ca="1">IFERROR(__xludf.DUMMYFUNCTION("IMPORTRANGE(""https://docs.google.com/spreadsheets/d/1-uDff_7J0KD5mKrp0Vvzr7lt3OU09vwQwhkpOPPYv2Y/edit?usp=sharing"",""งบพรบ!FA35"")"),0)</f>
        <v>0</v>
      </c>
      <c r="P35" s="180">
        <f t="shared" ca="1" si="26"/>
        <v>0</v>
      </c>
      <c r="Q35" s="179">
        <f t="shared" ca="1" si="27"/>
        <v>0</v>
      </c>
      <c r="R35" s="344">
        <f ca="1">IFERROR(__xludf.DUMMYFUNCTION("IMPORTRANGE(""https://docs.google.com/spreadsheets/d/1XVB7oCJ3pr-vBUdflwPQ8Z2LlzhnCvZaaYjAfP-647E/edit?usp=sharing"",""นครพนม!I344"")"),860)</f>
        <v>860</v>
      </c>
      <c r="S35" s="177">
        <f ca="1">IFERROR(__xludf.DUMMYFUNCTION("IMPORTRANGE(""https://docs.google.com/spreadsheets/d/1XVB7oCJ3pr-vBUdflwPQ8Z2LlzhnCvZaaYjAfP-647E/edit?usp=sharing"",""นครพนม!J344"")"),269)</f>
        <v>269</v>
      </c>
      <c r="T35" s="345">
        <f t="shared" ca="1" si="29"/>
        <v>31.279069767441861</v>
      </c>
      <c r="U35" s="344">
        <f ca="1">IFERROR(__xludf.DUMMYFUNCTION("IMPORTRANGE(""https://docs.google.com/spreadsheets/d/1XVB7oCJ3pr-vBUdflwPQ8Z2LlzhnCvZaaYjAfP-647E/edit?usp=sharing"",""นครพนม!I346"")"),4)</f>
        <v>4</v>
      </c>
      <c r="V35" s="177">
        <f ca="1">IFERROR(__xludf.DUMMYFUNCTION("IMPORTRANGE(""https://docs.google.com/spreadsheets/d/1XVB7oCJ3pr-vBUdflwPQ8Z2LlzhnCvZaaYjAfP-647E/edit?usp=sharing"",""นครพนม!J346"")"),5)</f>
        <v>5</v>
      </c>
      <c r="W35" s="345">
        <f t="shared" ca="1" si="31"/>
        <v>125</v>
      </c>
      <c r="X35" s="177">
        <f ca="1">IFERROR(__xludf.DUMMYFUNCTION("IMPORTRANGE(""https://docs.google.com/spreadsheets/d/1XVB7oCJ3pr-vBUdflwPQ8Z2LlzhnCvZaaYjAfP-647E/edit?usp=sharing"",""นครพนม!J347"")"),0)</f>
        <v>0</v>
      </c>
      <c r="Y35" s="177">
        <f ca="1">IFERROR(__xludf.DUMMYFUNCTION("IMPORTRANGE(""https://docs.google.com/spreadsheets/d/1XVB7oCJ3pr-vBUdflwPQ8Z2LlzhnCvZaaYjAfP-647E/edit?usp=sharing"",""นครพนม!J348"")"),0)</f>
        <v>0</v>
      </c>
      <c r="Z35" s="177">
        <f ca="1">IFERROR(__xludf.DUMMYFUNCTION("IMPORTRANGE(""https://docs.google.com/spreadsheets/d/1XVB7oCJ3pr-vBUdflwPQ8Z2LlzhnCvZaaYjAfP-647E/edit?usp=sharing"",""นครพนม!J349"")"),0)</f>
        <v>0</v>
      </c>
      <c r="AA35" s="177">
        <f ca="1">IFERROR(__xludf.DUMMYFUNCTION("IMPORTRANGE(""https://docs.google.com/spreadsheets/d/1XVB7oCJ3pr-vBUdflwPQ8Z2LlzhnCvZaaYjAfP-647E/edit?usp=sharing"",""นครพนม!J352"")"),131)</f>
        <v>131</v>
      </c>
      <c r="AB35" s="177">
        <f ca="1">IFERROR(__xludf.DUMMYFUNCTION("IMPORTRANGE(""https://docs.google.com/spreadsheets/d/1XVB7oCJ3pr-vBUdflwPQ8Z2LlzhnCvZaaYjAfP-647E/edit?usp=sharing"",""นครพนม!J353"")"),1091)</f>
        <v>1091</v>
      </c>
    </row>
    <row r="36" spans="1:28" ht="21" customHeight="1" x14ac:dyDescent="0.3">
      <c r="A36" s="84">
        <v>5</v>
      </c>
      <c r="B36" s="85" t="s">
        <v>58</v>
      </c>
      <c r="C36" s="174">
        <f t="shared" ca="1" si="20"/>
        <v>126000</v>
      </c>
      <c r="D36" s="175">
        <f t="shared" ca="1" si="38"/>
        <v>126000</v>
      </c>
      <c r="E36" s="176">
        <f ca="1">IFERROR(__xludf.DUMMYFUNCTION("IMPORTRANGE(""https://docs.google.com/spreadsheets/d/1-uDff_7J0KD5mKrp0Vvzr7lt3OU09vwQwhkpOPPYv2Y/edit?usp=sharing"",""งบพรบ!ET36"")"),0)</f>
        <v>0</v>
      </c>
      <c r="F36" s="176">
        <f ca="1">IFERROR(__xludf.DUMMYFUNCTION("IMPORTRANGE(""https://docs.google.com/spreadsheets/d/1-uDff_7J0KD5mKrp0Vvzr7lt3OU09vwQwhkpOPPYv2Y/edit?usp=sharing"",""งบพรบ!EU36"")"),126000)</f>
        <v>126000</v>
      </c>
      <c r="G36" s="176">
        <f ca="1">IFERROR(__xludf.DUMMYFUNCTION("IMPORTRANGE(""https://docs.google.com/spreadsheets/d/1-uDff_7J0KD5mKrp0Vvzr7lt3OU09vwQwhkpOPPYv2Y/edit?usp=sharing"",""งบพรบ!EV36"")"),0)</f>
        <v>0</v>
      </c>
      <c r="H36" s="176">
        <f ca="1">IFERROR(__xludf.DUMMYFUNCTION("IMPORTRANGE(""https://docs.google.com/spreadsheets/d/1-uDff_7J0KD5mKrp0Vvzr7lt3OU09vwQwhkpOPPYv2Y/edit?usp=sharing"",""งบพรบ!EX36"")"),101050)</f>
        <v>101050</v>
      </c>
      <c r="I36" s="176">
        <f ca="1">IFERROR(__xludf.DUMMYFUNCTION("IMPORTRANGE(""https://docs.google.com/spreadsheets/d/1-uDff_7J0KD5mKrp0Vvzr7lt3OU09vwQwhkpOPPYv2Y/edit?usp=sharing"",""งบพรบ!EY36"")"),0)</f>
        <v>0</v>
      </c>
      <c r="J36" s="176">
        <f t="shared" ca="1" si="22"/>
        <v>31000</v>
      </c>
      <c r="K36" s="181">
        <f t="shared" ca="1" si="23"/>
        <v>24.603174603174605</v>
      </c>
      <c r="L36" s="176">
        <f ca="1">IFERROR(__xludf.DUMMYFUNCTION("IMPORTRANGE(""https://docs.google.com/spreadsheets/d/1-uDff_7J0KD5mKrp0Vvzr7lt3OU09vwQwhkpOPPYv2Y/edit?usp=sharing"",""งบพรบ!EZ36"")"),31000)</f>
        <v>31000</v>
      </c>
      <c r="M36" s="179">
        <f t="shared" ca="1" si="24"/>
        <v>24.603174603174605</v>
      </c>
      <c r="N36" s="179">
        <f t="shared" ca="1" si="25"/>
        <v>30.677882236516577</v>
      </c>
      <c r="O36" s="180">
        <f ca="1">IFERROR(__xludf.DUMMYFUNCTION("IMPORTRANGE(""https://docs.google.com/spreadsheets/d/1-uDff_7J0KD5mKrp0Vvzr7lt3OU09vwQwhkpOPPYv2Y/edit?usp=sharing"",""งบพรบ!FA36"")"),0)</f>
        <v>0</v>
      </c>
      <c r="P36" s="180">
        <f t="shared" ca="1" si="26"/>
        <v>0</v>
      </c>
      <c r="Q36" s="179">
        <f t="shared" ca="1" si="27"/>
        <v>0</v>
      </c>
      <c r="R36" s="344">
        <f ca="1">IFERROR(__xludf.DUMMYFUNCTION("IMPORTRANGE(""https://docs.google.com/spreadsheets/d/1Mnpb-8PYAgn85W6KOTD40hc_Xc55CaLfHoGAbrZ8tls/edit?usp=sharing"",""นครราชสีมา!I344"")"),5740)</f>
        <v>5740</v>
      </c>
      <c r="S36" s="177">
        <f ca="1">IFERROR(__xludf.DUMMYFUNCTION("IMPORTRANGE(""https://docs.google.com/spreadsheets/d/1Mnpb-8PYAgn85W6KOTD40hc_Xc55CaLfHoGAbrZ8tls/edit?usp=sharing"",""นครราชสีมา!J344"")"),1450)</f>
        <v>1450</v>
      </c>
      <c r="T36" s="345">
        <f t="shared" ca="1" si="29"/>
        <v>25.261324041811847</v>
      </c>
      <c r="U36" s="344">
        <f ca="1">IFERROR(__xludf.DUMMYFUNCTION("IMPORTRANGE(""https://docs.google.com/spreadsheets/d/1Mnpb-8PYAgn85W6KOTD40hc_Xc55CaLfHoGAbrZ8tls/edit?usp=sharing"",""นครราชสีมา!I346"")"),10)</f>
        <v>10</v>
      </c>
      <c r="V36" s="177">
        <f ca="1">IFERROR(__xludf.DUMMYFUNCTION("IMPORTRANGE(""https://docs.google.com/spreadsheets/d/1Mnpb-8PYAgn85W6KOTD40hc_Xc55CaLfHoGAbrZ8tls/edit?usp=sharing"",""นครราชสีมา!J346"")"),0)</f>
        <v>0</v>
      </c>
      <c r="W36" s="345">
        <f t="shared" ca="1" si="31"/>
        <v>0</v>
      </c>
      <c r="X36" s="177">
        <f ca="1">IFERROR(__xludf.DUMMYFUNCTION("IMPORTRANGE(""https://docs.google.com/spreadsheets/d/1Mnpb-8PYAgn85W6KOTD40hc_Xc55CaLfHoGAbrZ8tls/edit?usp=sharing"",""นครราชสีมา!J347"")"),0)</f>
        <v>0</v>
      </c>
      <c r="Y36" s="177">
        <f ca="1">IFERROR(__xludf.DUMMYFUNCTION("IMPORTRANGE(""https://docs.google.com/spreadsheets/d/1Mnpb-8PYAgn85W6KOTD40hc_Xc55CaLfHoGAbrZ8tls/edit?usp=sharing"",""นครราชสีมา!J348"")"),3)</f>
        <v>3</v>
      </c>
      <c r="Z36" s="177">
        <f ca="1">IFERROR(__xludf.DUMMYFUNCTION("IMPORTRANGE(""https://docs.google.com/spreadsheets/d/1Mnpb-8PYAgn85W6KOTD40hc_Xc55CaLfHoGAbrZ8tls/edit?usp=sharing"",""นครราชสีมา!J349"")"),0)</f>
        <v>0</v>
      </c>
      <c r="AA36" s="177">
        <f ca="1">IFERROR(__xludf.DUMMYFUNCTION("IMPORTRANGE(""https://docs.google.com/spreadsheets/d/1Mnpb-8PYAgn85W6KOTD40hc_Xc55CaLfHoGAbrZ8tls/edit?usp=sharing"",""นครราชสีมา!J352"")"),2787)</f>
        <v>2787</v>
      </c>
      <c r="AB36" s="177">
        <f ca="1">IFERROR(__xludf.DUMMYFUNCTION("IMPORTRANGE(""https://docs.google.com/spreadsheets/d/1Mnpb-8PYAgn85W6KOTD40hc_Xc55CaLfHoGAbrZ8tls/edit?usp=sharing"",""นครราชสีมา!J353"")"),1224)</f>
        <v>1224</v>
      </c>
    </row>
    <row r="37" spans="1:28" ht="21" customHeight="1" x14ac:dyDescent="0.3">
      <c r="A37" s="84">
        <v>6</v>
      </c>
      <c r="B37" s="85" t="s">
        <v>59</v>
      </c>
      <c r="C37" s="174">
        <f t="shared" ca="1" si="20"/>
        <v>113000</v>
      </c>
      <c r="D37" s="175">
        <f t="shared" ca="1" si="38"/>
        <v>113000</v>
      </c>
      <c r="E37" s="176">
        <f ca="1">IFERROR(__xludf.DUMMYFUNCTION("IMPORTRANGE(""https://docs.google.com/spreadsheets/d/1-uDff_7J0KD5mKrp0Vvzr7lt3OU09vwQwhkpOPPYv2Y/edit?usp=sharing"",""งบพรบ!ET37"")"),0)</f>
        <v>0</v>
      </c>
      <c r="F37" s="176">
        <f ca="1">IFERROR(__xludf.DUMMYFUNCTION("IMPORTRANGE(""https://docs.google.com/spreadsheets/d/1-uDff_7J0KD5mKrp0Vvzr7lt3OU09vwQwhkpOPPYv2Y/edit?usp=sharing"",""งบพรบ!EU37"")"),113000)</f>
        <v>113000</v>
      </c>
      <c r="G37" s="176">
        <f ca="1">IFERROR(__xludf.DUMMYFUNCTION("IMPORTRANGE(""https://docs.google.com/spreadsheets/d/1-uDff_7J0KD5mKrp0Vvzr7lt3OU09vwQwhkpOPPYv2Y/edit?usp=sharing"",""งบพรบ!EV37"")"),0)</f>
        <v>0</v>
      </c>
      <c r="H37" s="176">
        <f ca="1">IFERROR(__xludf.DUMMYFUNCTION("IMPORTRANGE(""https://docs.google.com/spreadsheets/d/1-uDff_7J0KD5mKrp0Vvzr7lt3OU09vwQwhkpOPPYv2Y/edit?usp=sharing"",""งบพรบ!EX37"")"),88150)</f>
        <v>88150</v>
      </c>
      <c r="I37" s="176">
        <f ca="1">IFERROR(__xludf.DUMMYFUNCTION("IMPORTRANGE(""https://docs.google.com/spreadsheets/d/1-uDff_7J0KD5mKrp0Vvzr7lt3OU09vwQwhkpOPPYv2Y/edit?usp=sharing"",""งบพรบ!EY37"")"),0)</f>
        <v>0</v>
      </c>
      <c r="J37" s="176">
        <f t="shared" ca="1" si="22"/>
        <v>24000</v>
      </c>
      <c r="K37" s="181">
        <f t="shared" ca="1" si="23"/>
        <v>21.238938053097346</v>
      </c>
      <c r="L37" s="176">
        <f ca="1">IFERROR(__xludf.DUMMYFUNCTION("IMPORTRANGE(""https://docs.google.com/spreadsheets/d/1-uDff_7J0KD5mKrp0Vvzr7lt3OU09vwQwhkpOPPYv2Y/edit?usp=sharing"",""งบพรบ!EZ37"")"),24000)</f>
        <v>24000</v>
      </c>
      <c r="M37" s="179">
        <f t="shared" ca="1" si="24"/>
        <v>21.238938053097346</v>
      </c>
      <c r="N37" s="179">
        <f t="shared" ca="1" si="25"/>
        <v>27.226318774815656</v>
      </c>
      <c r="O37" s="180">
        <f ca="1">IFERROR(__xludf.DUMMYFUNCTION("IMPORTRANGE(""https://docs.google.com/spreadsheets/d/1-uDff_7J0KD5mKrp0Vvzr7lt3OU09vwQwhkpOPPYv2Y/edit?usp=sharing"",""งบพรบ!FA37"")"),0)</f>
        <v>0</v>
      </c>
      <c r="P37" s="180">
        <f t="shared" ca="1" si="26"/>
        <v>0</v>
      </c>
      <c r="Q37" s="179">
        <f t="shared" ca="1" si="27"/>
        <v>0</v>
      </c>
      <c r="R37" s="344">
        <f ca="1">IFERROR(__xludf.DUMMYFUNCTION("IMPORTRANGE(""https://docs.google.com/spreadsheets/d/1xoDLGBv9CYbyosIhki0kTq6IpYNj-gpjxfobnaDiut0/edit?usp=sharing"",""บึงกาฬ!I344"")"),2400)</f>
        <v>2400</v>
      </c>
      <c r="S37" s="177">
        <f ca="1">IFERROR(__xludf.DUMMYFUNCTION("IMPORTRANGE(""https://docs.google.com/spreadsheets/d/1xoDLGBv9CYbyosIhki0kTq6IpYNj-gpjxfobnaDiut0/edit?usp=sharing"",""บึงกาฬ!J344"")"),777)</f>
        <v>777</v>
      </c>
      <c r="T37" s="345">
        <f t="shared" ca="1" si="29"/>
        <v>32.375</v>
      </c>
      <c r="U37" s="344">
        <f ca="1">IFERROR(__xludf.DUMMYFUNCTION("IMPORTRANGE(""https://docs.google.com/spreadsheets/d/1xoDLGBv9CYbyosIhki0kTq6IpYNj-gpjxfobnaDiut0/edit?usp=sharing"",""บึงกาฬ!I346"")"),5)</f>
        <v>5</v>
      </c>
      <c r="V37" s="177">
        <f ca="1">IFERROR(__xludf.DUMMYFUNCTION("IMPORTRANGE(""https://docs.google.com/spreadsheets/d/1xoDLGBv9CYbyosIhki0kTq6IpYNj-gpjxfobnaDiut0/edit?usp=sharing"",""บึงกาฬ!J346"")"),1)</f>
        <v>1</v>
      </c>
      <c r="W37" s="345">
        <f t="shared" ca="1" si="31"/>
        <v>20</v>
      </c>
      <c r="X37" s="177">
        <f ca="1">IFERROR(__xludf.DUMMYFUNCTION("IMPORTRANGE(""https://docs.google.com/spreadsheets/d/1xoDLGBv9CYbyosIhki0kTq6IpYNj-gpjxfobnaDiut0/edit?usp=sharing"",""บึงกาฬ!J347"")"),0)</f>
        <v>0</v>
      </c>
      <c r="Y37" s="177">
        <f ca="1">IFERROR(__xludf.DUMMYFUNCTION("IMPORTRANGE(""https://docs.google.com/spreadsheets/d/1xoDLGBv9CYbyosIhki0kTq6IpYNj-gpjxfobnaDiut0/edit?usp=sharing"",""บึงกาฬ!J348"")"),0)</f>
        <v>0</v>
      </c>
      <c r="Z37" s="177">
        <f ca="1">IFERROR(__xludf.DUMMYFUNCTION("IMPORTRANGE(""https://docs.google.com/spreadsheets/d/1xoDLGBv9CYbyosIhki0kTq6IpYNj-gpjxfobnaDiut0/edit?usp=sharing"",""บึงกาฬ!J349"")"),0)</f>
        <v>0</v>
      </c>
      <c r="AA37" s="177">
        <f ca="1">IFERROR(__xludf.DUMMYFUNCTION("IMPORTRANGE(""https://docs.google.com/spreadsheets/d/1xoDLGBv9CYbyosIhki0kTq6IpYNj-gpjxfobnaDiut0/edit?usp=sharing"",""บึงกาฬ!J352"")"),744)</f>
        <v>744</v>
      </c>
      <c r="AB37" s="177">
        <f ca="1">IFERROR(__xludf.DUMMYFUNCTION("IMPORTRANGE(""https://docs.google.com/spreadsheets/d/1xoDLGBv9CYbyosIhki0kTq6IpYNj-gpjxfobnaDiut0/edit?usp=sharing"",""บึงกาฬ!J353"")"),1582)</f>
        <v>1582</v>
      </c>
    </row>
    <row r="38" spans="1:28" ht="21" customHeight="1" x14ac:dyDescent="0.3">
      <c r="A38" s="84">
        <v>7</v>
      </c>
      <c r="B38" s="85" t="s">
        <v>60</v>
      </c>
      <c r="C38" s="174">
        <f t="shared" ca="1" si="20"/>
        <v>180500</v>
      </c>
      <c r="D38" s="175">
        <f t="shared" ca="1" si="38"/>
        <v>180500</v>
      </c>
      <c r="E38" s="176">
        <f ca="1">IFERROR(__xludf.DUMMYFUNCTION("IMPORTRANGE(""https://docs.google.com/spreadsheets/d/1-uDff_7J0KD5mKrp0Vvzr7lt3OU09vwQwhkpOPPYv2Y/edit?usp=sharing"",""งบพรบ!ET38"")"),66500)</f>
        <v>66500</v>
      </c>
      <c r="F38" s="176">
        <f ca="1">IFERROR(__xludf.DUMMYFUNCTION("IMPORTRANGE(""https://docs.google.com/spreadsheets/d/1-uDff_7J0KD5mKrp0Vvzr7lt3OU09vwQwhkpOPPYv2Y/edit?usp=sharing"",""งบพรบ!EU38"")"),114000)</f>
        <v>114000</v>
      </c>
      <c r="G38" s="176">
        <f ca="1">IFERROR(__xludf.DUMMYFUNCTION("IMPORTRANGE(""https://docs.google.com/spreadsheets/d/1-uDff_7J0KD5mKrp0Vvzr7lt3OU09vwQwhkpOPPYv2Y/edit?usp=sharing"",""งบพรบ!EV38"")"),0)</f>
        <v>0</v>
      </c>
      <c r="H38" s="176">
        <f ca="1">IFERROR(__xludf.DUMMYFUNCTION("IMPORTRANGE(""https://docs.google.com/spreadsheets/d/1-uDff_7J0KD5mKrp0Vvzr7lt3OU09vwQwhkpOPPYv2Y/edit?usp=sharing"",""งบพรบ!EX38"")"),138050)</f>
        <v>138050</v>
      </c>
      <c r="I38" s="176">
        <f ca="1">IFERROR(__xludf.DUMMYFUNCTION("IMPORTRANGE(""https://docs.google.com/spreadsheets/d/1-uDff_7J0KD5mKrp0Vvzr7lt3OU09vwQwhkpOPPYv2Y/edit?usp=sharing"",""งบพรบ!EY38"")"),0)</f>
        <v>0</v>
      </c>
      <c r="J38" s="176">
        <f t="shared" ca="1" si="22"/>
        <v>41320</v>
      </c>
      <c r="K38" s="181">
        <f t="shared" ca="1" si="23"/>
        <v>22.89196675900277</v>
      </c>
      <c r="L38" s="176">
        <f ca="1">IFERROR(__xludf.DUMMYFUNCTION("IMPORTRANGE(""https://docs.google.com/spreadsheets/d/1-uDff_7J0KD5mKrp0Vvzr7lt3OU09vwQwhkpOPPYv2Y/edit?usp=sharing"",""งบพรบ!EZ38"")"),41320)</f>
        <v>41320</v>
      </c>
      <c r="M38" s="179">
        <f t="shared" ca="1" si="24"/>
        <v>22.89196675900277</v>
      </c>
      <c r="N38" s="179">
        <f t="shared" ca="1" si="25"/>
        <v>29.931184353495109</v>
      </c>
      <c r="O38" s="180">
        <f ca="1">IFERROR(__xludf.DUMMYFUNCTION("IMPORTRANGE(""https://docs.google.com/spreadsheets/d/1-uDff_7J0KD5mKrp0Vvzr7lt3OU09vwQwhkpOPPYv2Y/edit?usp=sharing"",""งบพรบ!FA38"")"),0)</f>
        <v>0</v>
      </c>
      <c r="P38" s="180">
        <f t="shared" ca="1" si="26"/>
        <v>0</v>
      </c>
      <c r="Q38" s="179">
        <f t="shared" ca="1" si="27"/>
        <v>0</v>
      </c>
      <c r="R38" s="344">
        <f ca="1">IFERROR(__xludf.DUMMYFUNCTION("IMPORTRANGE(""https://docs.google.com/spreadsheets/d/1MMPq-JyI6DSgQETxuSiXkesP-P7JHuemnE6QJIa-Nlw/edit?usp=sharing"",""บุรีรัมย์!I344"")"),4200)</f>
        <v>4200</v>
      </c>
      <c r="S38" s="177">
        <f ca="1">IFERROR(__xludf.DUMMYFUNCTION("IMPORTRANGE(""https://docs.google.com/spreadsheets/d/1MMPq-JyI6DSgQETxuSiXkesP-P7JHuemnE6QJIa-Nlw/edit?usp=sharing"",""บุรีรัมย์!J344"")"),2244)</f>
        <v>2244</v>
      </c>
      <c r="T38" s="345">
        <f t="shared" ca="1" si="29"/>
        <v>53.428571428571431</v>
      </c>
      <c r="U38" s="344">
        <f ca="1">IFERROR(__xludf.DUMMYFUNCTION("IMPORTRANGE(""https://docs.google.com/spreadsheets/d/1MMPq-JyI6DSgQETxuSiXkesP-P7JHuemnE6QJIa-Nlw/edit?usp=sharing"",""บุรีรัมย์!I346"")"),4)</f>
        <v>4</v>
      </c>
      <c r="V38" s="177">
        <f ca="1">IFERROR(__xludf.DUMMYFUNCTION("IMPORTRANGE(""https://docs.google.com/spreadsheets/d/1MMPq-JyI6DSgQETxuSiXkesP-P7JHuemnE6QJIa-Nlw/edit?usp=sharing"",""บุรีรัมย์!J346"")"),6)</f>
        <v>6</v>
      </c>
      <c r="W38" s="345">
        <f t="shared" ca="1" si="31"/>
        <v>150</v>
      </c>
      <c r="X38" s="177">
        <f ca="1">IFERROR(__xludf.DUMMYFUNCTION("IMPORTRANGE(""https://docs.google.com/spreadsheets/d/1MMPq-JyI6DSgQETxuSiXkesP-P7JHuemnE6QJIa-Nlw/edit?usp=sharing"",""บุรีรัมย์!J347"")"),0)</f>
        <v>0</v>
      </c>
      <c r="Y38" s="177">
        <f ca="1">IFERROR(__xludf.DUMMYFUNCTION("IMPORTRANGE(""https://docs.google.com/spreadsheets/d/1MMPq-JyI6DSgQETxuSiXkesP-P7JHuemnE6QJIa-Nlw/edit?usp=sharing"",""บุรีรัมย์!J348"")"),0)</f>
        <v>0</v>
      </c>
      <c r="Z38" s="177">
        <f ca="1">IFERROR(__xludf.DUMMYFUNCTION("IMPORTRANGE(""https://docs.google.com/spreadsheets/d/1MMPq-JyI6DSgQETxuSiXkesP-P7JHuemnE6QJIa-Nlw/edit?usp=sharing"",""บุรีรัมย์!J349"")"),0)</f>
        <v>0</v>
      </c>
      <c r="AA38" s="177">
        <f ca="1">IFERROR(__xludf.DUMMYFUNCTION("IMPORTRANGE(""https://docs.google.com/spreadsheets/d/1MMPq-JyI6DSgQETxuSiXkesP-P7JHuemnE6QJIa-Nlw/edit?usp=sharing"",""บุรีรัมย์!J352"")"),9755)</f>
        <v>9755</v>
      </c>
      <c r="AB38" s="177">
        <f ca="1">IFERROR(__xludf.DUMMYFUNCTION("IMPORTRANGE(""https://docs.google.com/spreadsheets/d/1MMPq-JyI6DSgQETxuSiXkesP-P7JHuemnE6QJIa-Nlw/edit?usp=sharing"",""บุรีรัมย์!J353"")"),1833)</f>
        <v>1833</v>
      </c>
    </row>
    <row r="39" spans="1:28" ht="21" customHeight="1" x14ac:dyDescent="0.3">
      <c r="A39" s="84">
        <v>8</v>
      </c>
      <c r="B39" s="85" t="s">
        <v>61</v>
      </c>
      <c r="C39" s="174">
        <f t="shared" ca="1" si="20"/>
        <v>103000</v>
      </c>
      <c r="D39" s="175">
        <f t="shared" ca="1" si="38"/>
        <v>103000</v>
      </c>
      <c r="E39" s="176">
        <f ca="1">IFERROR(__xludf.DUMMYFUNCTION("IMPORTRANGE(""https://docs.google.com/spreadsheets/d/1-uDff_7J0KD5mKrp0Vvzr7lt3OU09vwQwhkpOPPYv2Y/edit?usp=sharing"",""งบพรบ!ET39"")"),0)</f>
        <v>0</v>
      </c>
      <c r="F39" s="176">
        <f ca="1">IFERROR(__xludf.DUMMYFUNCTION("IMPORTRANGE(""https://docs.google.com/spreadsheets/d/1-uDff_7J0KD5mKrp0Vvzr7lt3OU09vwQwhkpOPPYv2Y/edit?usp=sharing"",""งบพรบ!EU39"")"),103000)</f>
        <v>103000</v>
      </c>
      <c r="G39" s="176">
        <f ca="1">IFERROR(__xludf.DUMMYFUNCTION("IMPORTRANGE(""https://docs.google.com/spreadsheets/d/1-uDff_7J0KD5mKrp0Vvzr7lt3OU09vwQwhkpOPPYv2Y/edit?usp=sharing"",""งบพรบ!EV39"")"),0)</f>
        <v>0</v>
      </c>
      <c r="H39" s="176">
        <f ca="1">IFERROR(__xludf.DUMMYFUNCTION("IMPORTRANGE(""https://docs.google.com/spreadsheets/d/1-uDff_7J0KD5mKrp0Vvzr7lt3OU09vwQwhkpOPPYv2Y/edit?usp=sharing"",""งบพรบ!EX39"")"),83350)</f>
        <v>83350</v>
      </c>
      <c r="I39" s="176">
        <f ca="1">IFERROR(__xludf.DUMMYFUNCTION("IMPORTRANGE(""https://docs.google.com/spreadsheets/d/1-uDff_7J0KD5mKrp0Vvzr7lt3OU09vwQwhkpOPPYv2Y/edit?usp=sharing"",""งบพรบ!EY39"")"),0)</f>
        <v>0</v>
      </c>
      <c r="J39" s="176">
        <f t="shared" ca="1" si="22"/>
        <v>34360</v>
      </c>
      <c r="K39" s="181">
        <f t="shared" ca="1" si="23"/>
        <v>33.359223300970875</v>
      </c>
      <c r="L39" s="176">
        <f ca="1">IFERROR(__xludf.DUMMYFUNCTION("IMPORTRANGE(""https://docs.google.com/spreadsheets/d/1-uDff_7J0KD5mKrp0Vvzr7lt3OU09vwQwhkpOPPYv2Y/edit?usp=sharing"",""งบพรบ!EZ39"")"),34360)</f>
        <v>34360</v>
      </c>
      <c r="M39" s="179">
        <f t="shared" ca="1" si="24"/>
        <v>33.359223300970875</v>
      </c>
      <c r="N39" s="179">
        <f t="shared" ca="1" si="25"/>
        <v>41.223755248950212</v>
      </c>
      <c r="O39" s="180">
        <f ca="1">IFERROR(__xludf.DUMMYFUNCTION("IMPORTRANGE(""https://docs.google.com/spreadsheets/d/1-uDff_7J0KD5mKrp0Vvzr7lt3OU09vwQwhkpOPPYv2Y/edit?usp=sharing"",""งบพรบ!FA39"")"),0)</f>
        <v>0</v>
      </c>
      <c r="P39" s="180">
        <f t="shared" ca="1" si="26"/>
        <v>0</v>
      </c>
      <c r="Q39" s="179">
        <f t="shared" ca="1" si="27"/>
        <v>0</v>
      </c>
      <c r="R39" s="344">
        <f ca="1">IFERROR(__xludf.DUMMYFUNCTION("IMPORTRANGE(""https://docs.google.com/spreadsheets/d/1l6IZ8xUPgMrESzcTYwhA1k_tPjeQjJPTqlm8Gd9eU5g/edit?usp=sharing"",""มหาสารคาม!I344"")"),660)</f>
        <v>660</v>
      </c>
      <c r="S39" s="177">
        <f ca="1">IFERROR(__xludf.DUMMYFUNCTION("IMPORTRANGE(""https://docs.google.com/spreadsheets/d/1l6IZ8xUPgMrESzcTYwhA1k_tPjeQjJPTqlm8Gd9eU5g/edit?usp=sharing"",""มหาสารคาม!J344"")"),283)</f>
        <v>283</v>
      </c>
      <c r="T39" s="345">
        <f t="shared" ca="1" si="29"/>
        <v>42.878787878787875</v>
      </c>
      <c r="U39" s="344">
        <f ca="1">IFERROR(__xludf.DUMMYFUNCTION("IMPORTRANGE(""https://docs.google.com/spreadsheets/d/1l6IZ8xUPgMrESzcTYwhA1k_tPjeQjJPTqlm8Gd9eU5g/edit?usp=sharing"",""มหาสารคาม!I346"")"),3)</f>
        <v>3</v>
      </c>
      <c r="V39" s="177">
        <f ca="1">IFERROR(__xludf.DUMMYFUNCTION("IMPORTRANGE(""https://docs.google.com/spreadsheets/d/1l6IZ8xUPgMrESzcTYwhA1k_tPjeQjJPTqlm8Gd9eU5g/edit?usp=sharing"",""มหาสารคาม!J346"")"),6)</f>
        <v>6</v>
      </c>
      <c r="W39" s="345">
        <f t="shared" ca="1" si="31"/>
        <v>200</v>
      </c>
      <c r="X39" s="177">
        <f ca="1">IFERROR(__xludf.DUMMYFUNCTION("IMPORTRANGE(""https://docs.google.com/spreadsheets/d/1l6IZ8xUPgMrESzcTYwhA1k_tPjeQjJPTqlm8Gd9eU5g/edit?usp=sharing"",""มหาสารคาม!J347"")"),0)</f>
        <v>0</v>
      </c>
      <c r="Y39" s="177">
        <f ca="1">IFERROR(__xludf.DUMMYFUNCTION("IMPORTRANGE(""https://docs.google.com/spreadsheets/d/1l6IZ8xUPgMrESzcTYwhA1k_tPjeQjJPTqlm8Gd9eU5g/edit?usp=sharing"",""มหาสารคาม!J348"")"),0)</f>
        <v>0</v>
      </c>
      <c r="Z39" s="177">
        <f ca="1">IFERROR(__xludf.DUMMYFUNCTION("IMPORTRANGE(""https://docs.google.com/spreadsheets/d/1l6IZ8xUPgMrESzcTYwhA1k_tPjeQjJPTqlm8Gd9eU5g/edit?usp=sharing"",""มหาสารคาม!J349"")"),0)</f>
        <v>0</v>
      </c>
      <c r="AA39" s="177">
        <f ca="1">IFERROR(__xludf.DUMMYFUNCTION("IMPORTRANGE(""https://docs.google.com/spreadsheets/d/1l6IZ8xUPgMrESzcTYwhA1k_tPjeQjJPTqlm8Gd9eU5g/edit?usp=sharing"",""มหาสารคาม!J352"")"),133)</f>
        <v>133</v>
      </c>
      <c r="AB39" s="177">
        <f ca="1">IFERROR(__xludf.DUMMYFUNCTION("IMPORTRANGE(""https://docs.google.com/spreadsheets/d/1l6IZ8xUPgMrESzcTYwhA1k_tPjeQjJPTqlm8Gd9eU5g/edit?usp=sharing"",""มหาสารคาม!J353"")"),2637)</f>
        <v>2637</v>
      </c>
    </row>
    <row r="40" spans="1:28" ht="21" customHeight="1" x14ac:dyDescent="0.3">
      <c r="A40" s="84">
        <v>9</v>
      </c>
      <c r="B40" s="85" t="s">
        <v>62</v>
      </c>
      <c r="C40" s="174">
        <f t="shared" ca="1" si="20"/>
        <v>108000</v>
      </c>
      <c r="D40" s="175">
        <f t="shared" ca="1" si="38"/>
        <v>108000</v>
      </c>
      <c r="E40" s="176">
        <f ca="1">IFERROR(__xludf.DUMMYFUNCTION("IMPORTRANGE(""https://docs.google.com/spreadsheets/d/1-uDff_7J0KD5mKrp0Vvzr7lt3OU09vwQwhkpOPPYv2Y/edit?usp=sharing"",""งบพรบ!ET40"")"),0)</f>
        <v>0</v>
      </c>
      <c r="F40" s="176">
        <f ca="1">IFERROR(__xludf.DUMMYFUNCTION("IMPORTRANGE(""https://docs.google.com/spreadsheets/d/1-uDff_7J0KD5mKrp0Vvzr7lt3OU09vwQwhkpOPPYv2Y/edit?usp=sharing"",""งบพรบ!EU40"")"),108000)</f>
        <v>108000</v>
      </c>
      <c r="G40" s="176">
        <f ca="1">IFERROR(__xludf.DUMMYFUNCTION("IMPORTRANGE(""https://docs.google.com/spreadsheets/d/1-uDff_7J0KD5mKrp0Vvzr7lt3OU09vwQwhkpOPPYv2Y/edit?usp=sharing"",""งบพรบ!EV40"")"),0)</f>
        <v>0</v>
      </c>
      <c r="H40" s="176">
        <f ca="1">IFERROR(__xludf.DUMMYFUNCTION("IMPORTRANGE(""https://docs.google.com/spreadsheets/d/1-uDff_7J0KD5mKrp0Vvzr7lt3OU09vwQwhkpOPPYv2Y/edit?usp=sharing"",""งบพรบ!EX40"")"),85750)</f>
        <v>85750</v>
      </c>
      <c r="I40" s="176">
        <f ca="1">IFERROR(__xludf.DUMMYFUNCTION("IMPORTRANGE(""https://docs.google.com/spreadsheets/d/1-uDff_7J0KD5mKrp0Vvzr7lt3OU09vwQwhkpOPPYv2Y/edit?usp=sharing"",""งบพรบ!EY40"")"),0)</f>
        <v>0</v>
      </c>
      <c r="J40" s="176">
        <f t="shared" ca="1" si="22"/>
        <v>18080</v>
      </c>
      <c r="K40" s="181">
        <f t="shared" ca="1" si="23"/>
        <v>16.74074074074074</v>
      </c>
      <c r="L40" s="176">
        <f ca="1">IFERROR(__xludf.DUMMYFUNCTION("IMPORTRANGE(""https://docs.google.com/spreadsheets/d/1-uDff_7J0KD5mKrp0Vvzr7lt3OU09vwQwhkpOPPYv2Y/edit?usp=sharing"",""งบพรบ!EZ40"")"),18080)</f>
        <v>18080</v>
      </c>
      <c r="M40" s="179">
        <f t="shared" ca="1" si="24"/>
        <v>16.74074074074074</v>
      </c>
      <c r="N40" s="179">
        <f t="shared" ca="1" si="25"/>
        <v>21.084548104956269</v>
      </c>
      <c r="O40" s="180">
        <f ca="1">IFERROR(__xludf.DUMMYFUNCTION("IMPORTRANGE(""https://docs.google.com/spreadsheets/d/1-uDff_7J0KD5mKrp0Vvzr7lt3OU09vwQwhkpOPPYv2Y/edit?usp=sharing"",""งบพรบ!FA40"")"),0)</f>
        <v>0</v>
      </c>
      <c r="P40" s="180">
        <f t="shared" ca="1" si="26"/>
        <v>0</v>
      </c>
      <c r="Q40" s="179">
        <f t="shared" ca="1" si="27"/>
        <v>0</v>
      </c>
      <c r="R40" s="346">
        <f ca="1">IFERROR(__xludf.DUMMYFUNCTION("IMPORTRANGE(""https://docs.google.com/spreadsheets/d/1uB74YLqNjWX6FObjekfB2NtSYigTQyR2rq9u4Ub2Sq4/edit?usp=sharing"",""มุกดาหาร!I344"")"),1540)</f>
        <v>1540</v>
      </c>
      <c r="S40" s="177">
        <f ca="1">IFERROR(__xludf.DUMMYFUNCTION("IMPORTRANGE(""https://docs.google.com/spreadsheets/d/1uB74YLqNjWX6FObjekfB2NtSYigTQyR2rq9u4Ub2Sq4/edit?usp=sharing"",""มุกดาหาร!J344"")"),116)</f>
        <v>116</v>
      </c>
      <c r="T40" s="345">
        <f t="shared" ca="1" si="29"/>
        <v>7.5324675324675328</v>
      </c>
      <c r="U40" s="346">
        <f ca="1">IFERROR(__xludf.DUMMYFUNCTION("IMPORTRANGE(""https://docs.google.com/spreadsheets/d/1uB74YLqNjWX6FObjekfB2NtSYigTQyR2rq9u4Ub2Sq4/edit?usp=sharing"",""มุกดาหาร!I346"")"),4)</f>
        <v>4</v>
      </c>
      <c r="V40" s="177">
        <f ca="1">IFERROR(__xludf.DUMMYFUNCTION("IMPORTRANGE(""https://docs.google.com/spreadsheets/d/1uB74YLqNjWX6FObjekfB2NtSYigTQyR2rq9u4Ub2Sq4/edit?usp=sharing"",""มุกดาหาร!J346"")"),2)</f>
        <v>2</v>
      </c>
      <c r="W40" s="345">
        <f t="shared" ca="1" si="31"/>
        <v>50</v>
      </c>
      <c r="X40" s="177">
        <f ca="1">IFERROR(__xludf.DUMMYFUNCTION("IMPORTRANGE(""https://docs.google.com/spreadsheets/d/1uB74YLqNjWX6FObjekfB2NtSYigTQyR2rq9u4Ub2Sq4/edit?usp=sharing"",""มุกดาหาร!J347"")"),0)</f>
        <v>0</v>
      </c>
      <c r="Y40" s="177">
        <f ca="1">IFERROR(__xludf.DUMMYFUNCTION("IMPORTRANGE(""https://docs.google.com/spreadsheets/d/1uB74YLqNjWX6FObjekfB2NtSYigTQyR2rq9u4Ub2Sq4/edit?usp=sharing"",""มุกดาหาร!J348"")"),7)</f>
        <v>7</v>
      </c>
      <c r="Z40" s="177">
        <f ca="1">IFERROR(__xludf.DUMMYFUNCTION("IMPORTRANGE(""https://docs.google.com/spreadsheets/d/1uB74YLqNjWX6FObjekfB2NtSYigTQyR2rq9u4Ub2Sq4/edit?usp=sharing"",""มุกดาหาร!J349"")"),0)</f>
        <v>0</v>
      </c>
      <c r="AA40" s="177">
        <f ca="1">IFERROR(__xludf.DUMMYFUNCTION("IMPORTRANGE(""https://docs.google.com/spreadsheets/d/1uB74YLqNjWX6FObjekfB2NtSYigTQyR2rq9u4Ub2Sq4/edit?usp=sharing"",""มุกดาหาร!J352"")"),14)</f>
        <v>14</v>
      </c>
      <c r="AB40" s="177">
        <f ca="1">IFERROR(__xludf.DUMMYFUNCTION("IMPORTRANGE(""https://docs.google.com/spreadsheets/d/1uB74YLqNjWX6FObjekfB2NtSYigTQyR2rq9u4Ub2Sq4/edit?usp=sharing"",""มุกดาหาร!J353"")"),1907)</f>
        <v>1907</v>
      </c>
    </row>
    <row r="41" spans="1:28" ht="21" customHeight="1" x14ac:dyDescent="0.3">
      <c r="A41" s="84">
        <v>10</v>
      </c>
      <c r="B41" s="85" t="s">
        <v>63</v>
      </c>
      <c r="C41" s="174">
        <f t="shared" ca="1" si="20"/>
        <v>215200</v>
      </c>
      <c r="D41" s="175">
        <f t="shared" ca="1" si="38"/>
        <v>215200</v>
      </c>
      <c r="E41" s="176">
        <f ca="1">IFERROR(__xludf.DUMMYFUNCTION("IMPORTRANGE(""https://docs.google.com/spreadsheets/d/1-uDff_7J0KD5mKrp0Vvzr7lt3OU09vwQwhkpOPPYv2Y/edit?usp=sharing"",""งบพรบ!ET41"")"),102200)</f>
        <v>102200</v>
      </c>
      <c r="F41" s="176">
        <f ca="1">IFERROR(__xludf.DUMMYFUNCTION("IMPORTRANGE(""https://docs.google.com/spreadsheets/d/1-uDff_7J0KD5mKrp0Vvzr7lt3OU09vwQwhkpOPPYv2Y/edit?usp=sharing"",""งบพรบ!EU41"")"),113000)</f>
        <v>113000</v>
      </c>
      <c r="G41" s="176">
        <f ca="1">IFERROR(__xludf.DUMMYFUNCTION("IMPORTRANGE(""https://docs.google.com/spreadsheets/d/1-uDff_7J0KD5mKrp0Vvzr7lt3OU09vwQwhkpOPPYv2Y/edit?usp=sharing"",""งบพรบ!EV41"")"),0)</f>
        <v>0</v>
      </c>
      <c r="H41" s="176">
        <f ca="1">IFERROR(__xludf.DUMMYFUNCTION("IMPORTRANGE(""https://docs.google.com/spreadsheets/d/1-uDff_7J0KD5mKrp0Vvzr7lt3OU09vwQwhkpOPPYv2Y/edit?usp=sharing"",""งบพรบ!EX41"")"),161150)</f>
        <v>161150</v>
      </c>
      <c r="I41" s="176">
        <f ca="1">IFERROR(__xludf.DUMMYFUNCTION("IMPORTRANGE(""https://docs.google.com/spreadsheets/d/1-uDff_7J0KD5mKrp0Vvzr7lt3OU09vwQwhkpOPPYv2Y/edit?usp=sharing"",""งบพรบ!EY41"")"),0)</f>
        <v>0</v>
      </c>
      <c r="J41" s="176">
        <f t="shared" ca="1" si="22"/>
        <v>31603</v>
      </c>
      <c r="K41" s="181">
        <f t="shared" ca="1" si="23"/>
        <v>14.685408921933085</v>
      </c>
      <c r="L41" s="176">
        <f ca="1">IFERROR(__xludf.DUMMYFUNCTION("IMPORTRANGE(""https://docs.google.com/spreadsheets/d/1-uDff_7J0KD5mKrp0Vvzr7lt3OU09vwQwhkpOPPYv2Y/edit?usp=sharing"",""งบพรบ!EZ41"")"),31603)</f>
        <v>31603</v>
      </c>
      <c r="M41" s="179">
        <f t="shared" ca="1" si="24"/>
        <v>14.685408921933085</v>
      </c>
      <c r="N41" s="179">
        <f t="shared" ca="1" si="25"/>
        <v>19.610921501706486</v>
      </c>
      <c r="O41" s="180">
        <f ca="1">IFERROR(__xludf.DUMMYFUNCTION("IMPORTRANGE(""https://docs.google.com/spreadsheets/d/1-uDff_7J0KD5mKrp0Vvzr7lt3OU09vwQwhkpOPPYv2Y/edit?usp=sharing"",""งบพรบ!FA41"")"),0)</f>
        <v>0</v>
      </c>
      <c r="P41" s="180">
        <f t="shared" ca="1" si="26"/>
        <v>0</v>
      </c>
      <c r="Q41" s="179">
        <f t="shared" ca="1" si="27"/>
        <v>0</v>
      </c>
      <c r="R41" s="346">
        <f ca="1">IFERROR(__xludf.DUMMYFUNCTION("IMPORTRANGE(""https://docs.google.com/spreadsheets/d/1NexK3geCPxCTO1fzNF8dPec7yZyUx3OaWkFBC9HsQOo/edit?usp=sharing"",""ยโสธร!I344"")"),2140)</f>
        <v>2140</v>
      </c>
      <c r="S41" s="177">
        <f ca="1">IFERROR(__xludf.DUMMYFUNCTION("IMPORTRANGE(""https://docs.google.com/spreadsheets/d/1NexK3geCPxCTO1fzNF8dPec7yZyUx3OaWkFBC9HsQOo/edit?usp=sharing"",""ยโสธร!J344"")"),1252)</f>
        <v>1252</v>
      </c>
      <c r="T41" s="345">
        <f t="shared" ca="1" si="29"/>
        <v>58.504672897196265</v>
      </c>
      <c r="U41" s="346">
        <f ca="1">IFERROR(__xludf.DUMMYFUNCTION("IMPORTRANGE(""https://docs.google.com/spreadsheets/d/1NexK3geCPxCTO1fzNF8dPec7yZyUx3OaWkFBC9HsQOo/edit?usp=sharing"",""ยโสธร!I346"")"),5)</f>
        <v>5</v>
      </c>
      <c r="V41" s="177">
        <f ca="1">IFERROR(__xludf.DUMMYFUNCTION("IMPORTRANGE(""https://docs.google.com/spreadsheets/d/1NexK3geCPxCTO1fzNF8dPec7yZyUx3OaWkFBC9HsQOo/edit?usp=sharing"",""ยโสธร!J346"")"),9)</f>
        <v>9</v>
      </c>
      <c r="W41" s="345">
        <f t="shared" ca="1" si="31"/>
        <v>180</v>
      </c>
      <c r="X41" s="177">
        <f ca="1">IFERROR(__xludf.DUMMYFUNCTION("IMPORTRANGE(""https://docs.google.com/spreadsheets/d/1NexK3geCPxCTO1fzNF8dPec7yZyUx3OaWkFBC9HsQOo/edit?usp=sharing"",""ยโสธร!J347"")"),115)</f>
        <v>115</v>
      </c>
      <c r="Y41" s="177">
        <f ca="1">IFERROR(__xludf.DUMMYFUNCTION("IMPORTRANGE(""https://docs.google.com/spreadsheets/d/1NexK3geCPxCTO1fzNF8dPec7yZyUx3OaWkFBC9HsQOo/edit?usp=sharing"",""ยโสธร!J348"")"),2)</f>
        <v>2</v>
      </c>
      <c r="Z41" s="177">
        <f ca="1">IFERROR(__xludf.DUMMYFUNCTION("IMPORTRANGE(""https://docs.google.com/spreadsheets/d/1NexK3geCPxCTO1fzNF8dPec7yZyUx3OaWkFBC9HsQOo/edit?usp=sharing"",""ยโสธร!J349"")"),0)</f>
        <v>0</v>
      </c>
      <c r="AA41" s="177">
        <f ca="1">IFERROR(__xludf.DUMMYFUNCTION("IMPORTRANGE(""https://docs.google.com/spreadsheets/d/1NexK3geCPxCTO1fzNF8dPec7yZyUx3OaWkFBC9HsQOo/edit?usp=sharing"",""ยโสธร!J352"")"),875)</f>
        <v>875</v>
      </c>
      <c r="AB41" s="177">
        <f ca="1">IFERROR(__xludf.DUMMYFUNCTION("IMPORTRANGE(""https://docs.google.com/spreadsheets/d/1NexK3geCPxCTO1fzNF8dPec7yZyUx3OaWkFBC9HsQOo/edit?usp=sharing"",""ยโสธร!J353"")"),935)</f>
        <v>935</v>
      </c>
    </row>
    <row r="42" spans="1:28" ht="21" customHeight="1" x14ac:dyDescent="0.3">
      <c r="A42" s="84">
        <v>11</v>
      </c>
      <c r="B42" s="85" t="s">
        <v>64</v>
      </c>
      <c r="C42" s="174">
        <f t="shared" ca="1" si="20"/>
        <v>116000</v>
      </c>
      <c r="D42" s="175">
        <f t="shared" ca="1" si="38"/>
        <v>116000</v>
      </c>
      <c r="E42" s="176">
        <f ca="1">IFERROR(__xludf.DUMMYFUNCTION("IMPORTRANGE(""https://docs.google.com/spreadsheets/d/1-uDff_7J0KD5mKrp0Vvzr7lt3OU09vwQwhkpOPPYv2Y/edit?usp=sharing"",""งบพรบ!ET42"")"),0)</f>
        <v>0</v>
      </c>
      <c r="F42" s="176">
        <f ca="1">IFERROR(__xludf.DUMMYFUNCTION("IMPORTRANGE(""https://docs.google.com/spreadsheets/d/1-uDff_7J0KD5mKrp0Vvzr7lt3OU09vwQwhkpOPPYv2Y/edit?usp=sharing"",""งบพรบ!EU42"")"),116000)</f>
        <v>116000</v>
      </c>
      <c r="G42" s="176">
        <f ca="1">IFERROR(__xludf.DUMMYFUNCTION("IMPORTRANGE(""https://docs.google.com/spreadsheets/d/1-uDff_7J0KD5mKrp0Vvzr7lt3OU09vwQwhkpOPPYv2Y/edit?usp=sharing"",""งบพรบ!EV42"")"),0)</f>
        <v>0</v>
      </c>
      <c r="H42" s="176">
        <f ca="1">IFERROR(__xludf.DUMMYFUNCTION("IMPORTRANGE(""https://docs.google.com/spreadsheets/d/1-uDff_7J0KD5mKrp0Vvzr7lt3OU09vwQwhkpOPPYv2Y/edit?usp=sharing"",""งบพรบ!EX42"")"),90550)</f>
        <v>90550</v>
      </c>
      <c r="I42" s="176">
        <f ca="1">IFERROR(__xludf.DUMMYFUNCTION("IMPORTRANGE(""https://docs.google.com/spreadsheets/d/1-uDff_7J0KD5mKrp0Vvzr7lt3OU09vwQwhkpOPPYv2Y/edit?usp=sharing"",""งบพรบ!EY42"")"),0)</f>
        <v>0</v>
      </c>
      <c r="J42" s="176">
        <f t="shared" ca="1" si="22"/>
        <v>20055</v>
      </c>
      <c r="K42" s="181">
        <f t="shared" ca="1" si="23"/>
        <v>17.288793103448278</v>
      </c>
      <c r="L42" s="176">
        <f ca="1">IFERROR(__xludf.DUMMYFUNCTION("IMPORTRANGE(""https://docs.google.com/spreadsheets/d/1-uDff_7J0KD5mKrp0Vvzr7lt3OU09vwQwhkpOPPYv2Y/edit?usp=sharing"",""งบพรบ!EZ42"")"),20055)</f>
        <v>20055</v>
      </c>
      <c r="M42" s="179">
        <f t="shared" ca="1" si="24"/>
        <v>17.288793103448278</v>
      </c>
      <c r="N42" s="179">
        <f t="shared" ca="1" si="25"/>
        <v>22.147984538928768</v>
      </c>
      <c r="O42" s="180">
        <f ca="1">IFERROR(__xludf.DUMMYFUNCTION("IMPORTRANGE(""https://docs.google.com/spreadsheets/d/1-uDff_7J0KD5mKrp0Vvzr7lt3OU09vwQwhkpOPPYv2Y/edit?usp=sharing"",""งบพรบ!FA42"")"),0)</f>
        <v>0</v>
      </c>
      <c r="P42" s="180">
        <f t="shared" ca="1" si="26"/>
        <v>0</v>
      </c>
      <c r="Q42" s="179">
        <f t="shared" ca="1" si="27"/>
        <v>0</v>
      </c>
      <c r="R42" s="344">
        <f ca="1">IFERROR(__xludf.DUMMYFUNCTION("IMPORTRANGE(""https://docs.google.com/spreadsheets/d/1v_cJrbBlyqmnHPReHk44g9NrMRdENNlSy_E_c5M9fIg/edit?usp=sharing"",""ร้อยเอ็ด!I344"")"),3740)</f>
        <v>3740</v>
      </c>
      <c r="S42" s="177">
        <f ca="1">IFERROR(__xludf.DUMMYFUNCTION("IMPORTRANGE(""https://docs.google.com/spreadsheets/d/1v_cJrbBlyqmnHPReHk44g9NrMRdENNlSy_E_c5M9fIg/edit?usp=sharing"",""ร้อยเอ็ด!J344"")"),654)</f>
        <v>654</v>
      </c>
      <c r="T42" s="345">
        <f t="shared" ca="1" si="29"/>
        <v>17.486631016042782</v>
      </c>
      <c r="U42" s="344">
        <f ca="1">IFERROR(__xludf.DUMMYFUNCTION("IMPORTRANGE(""https://docs.google.com/spreadsheets/d/1v_cJrbBlyqmnHPReHk44g9NrMRdENNlSy_E_c5M9fIg/edit?usp=sharing"",""ร้อยเอ็ด!I346"")"),5)</f>
        <v>5</v>
      </c>
      <c r="V42" s="177">
        <f ca="1">IFERROR(__xludf.DUMMYFUNCTION("IMPORTRANGE(""https://docs.google.com/spreadsheets/d/1v_cJrbBlyqmnHPReHk44g9NrMRdENNlSy_E_c5M9fIg/edit?usp=sharing"",""ร้อยเอ็ด!J346"")"),2)</f>
        <v>2</v>
      </c>
      <c r="W42" s="345">
        <f t="shared" ca="1" si="31"/>
        <v>40</v>
      </c>
      <c r="X42" s="177">
        <f ca="1">IFERROR(__xludf.DUMMYFUNCTION("IMPORTRANGE(""https://docs.google.com/spreadsheets/d/1v_cJrbBlyqmnHPReHk44g9NrMRdENNlSy_E_c5M9fIg/edit?usp=sharing"",""ร้อยเอ็ด!J347"")"),0)</f>
        <v>0</v>
      </c>
      <c r="Y42" s="177">
        <f ca="1">IFERROR(__xludf.DUMMYFUNCTION("IMPORTRANGE(""https://docs.google.com/spreadsheets/d/1v_cJrbBlyqmnHPReHk44g9NrMRdENNlSy_E_c5M9fIg/edit?usp=sharing"",""ร้อยเอ็ด!J348"")"),0)</f>
        <v>0</v>
      </c>
      <c r="Z42" s="177">
        <f ca="1">IFERROR(__xludf.DUMMYFUNCTION("IMPORTRANGE(""https://docs.google.com/spreadsheets/d/1v_cJrbBlyqmnHPReHk44g9NrMRdENNlSy_E_c5M9fIg/edit?usp=sharing"",""ร้อยเอ็ด!J349"")"),0)</f>
        <v>0</v>
      </c>
      <c r="AA42" s="177">
        <f ca="1">IFERROR(__xludf.DUMMYFUNCTION("IMPORTRANGE(""https://docs.google.com/spreadsheets/d/1v_cJrbBlyqmnHPReHk44g9NrMRdENNlSy_E_c5M9fIg/edit?usp=sharing"",""ร้อยเอ็ด!J352"")"),2945)</f>
        <v>2945</v>
      </c>
      <c r="AB42" s="177">
        <f ca="1">IFERROR(__xludf.DUMMYFUNCTION("IMPORTRANGE(""https://docs.google.com/spreadsheets/d/1v_cJrbBlyqmnHPReHk44g9NrMRdENNlSy_E_c5M9fIg/edit?usp=sharing"",""ร้อยเอ็ด!J353"")"),596)</f>
        <v>596</v>
      </c>
    </row>
    <row r="43" spans="1:28" ht="21" customHeight="1" x14ac:dyDescent="0.3">
      <c r="A43" s="84">
        <v>12</v>
      </c>
      <c r="B43" s="85" t="s">
        <v>65</v>
      </c>
      <c r="C43" s="174">
        <f t="shared" ca="1" si="20"/>
        <v>113000</v>
      </c>
      <c r="D43" s="175">
        <f t="shared" ca="1" si="38"/>
        <v>113000</v>
      </c>
      <c r="E43" s="176">
        <f ca="1">IFERROR(__xludf.DUMMYFUNCTION("IMPORTRANGE(""https://docs.google.com/spreadsheets/d/1-uDff_7J0KD5mKrp0Vvzr7lt3OU09vwQwhkpOPPYv2Y/edit?usp=sharing"",""งบพรบ!ET43"")"),0)</f>
        <v>0</v>
      </c>
      <c r="F43" s="176">
        <f ca="1">IFERROR(__xludf.DUMMYFUNCTION("IMPORTRANGE(""https://docs.google.com/spreadsheets/d/1-uDff_7J0KD5mKrp0Vvzr7lt3OU09vwQwhkpOPPYv2Y/edit?usp=sharing"",""งบพรบ!EU43"")"),113000)</f>
        <v>113000</v>
      </c>
      <c r="G43" s="176">
        <f ca="1">IFERROR(__xludf.DUMMYFUNCTION("IMPORTRANGE(""https://docs.google.com/spreadsheets/d/1-uDff_7J0KD5mKrp0Vvzr7lt3OU09vwQwhkpOPPYv2Y/edit?usp=sharing"",""งบพรบ!EV43"")"),0)</f>
        <v>0</v>
      </c>
      <c r="H43" s="176">
        <f ca="1">IFERROR(__xludf.DUMMYFUNCTION("IMPORTRANGE(""https://docs.google.com/spreadsheets/d/1-uDff_7J0KD5mKrp0Vvzr7lt3OU09vwQwhkpOPPYv2Y/edit?usp=sharing"",""งบพรบ!EX43"")"),88150)</f>
        <v>88150</v>
      </c>
      <c r="I43" s="176">
        <f ca="1">IFERROR(__xludf.DUMMYFUNCTION("IMPORTRANGE(""https://docs.google.com/spreadsheets/d/1-uDff_7J0KD5mKrp0Vvzr7lt3OU09vwQwhkpOPPYv2Y/edit?usp=sharing"",""งบพรบ!EY43"")"),0)</f>
        <v>0</v>
      </c>
      <c r="J43" s="176">
        <f t="shared" ca="1" si="22"/>
        <v>33420</v>
      </c>
      <c r="K43" s="181">
        <f t="shared" ca="1" si="23"/>
        <v>29.575221238938052</v>
      </c>
      <c r="L43" s="176">
        <f ca="1">IFERROR(__xludf.DUMMYFUNCTION("IMPORTRANGE(""https://docs.google.com/spreadsheets/d/1-uDff_7J0KD5mKrp0Vvzr7lt3OU09vwQwhkpOPPYv2Y/edit?usp=sharing"",""งบพรบ!EZ43"")"),33420)</f>
        <v>33420</v>
      </c>
      <c r="M43" s="179">
        <f t="shared" ca="1" si="24"/>
        <v>29.575221238938052</v>
      </c>
      <c r="N43" s="179">
        <f t="shared" ca="1" si="25"/>
        <v>37.9126488939308</v>
      </c>
      <c r="O43" s="180">
        <f ca="1">IFERROR(__xludf.DUMMYFUNCTION("IMPORTRANGE(""https://docs.google.com/spreadsheets/d/1-uDff_7J0KD5mKrp0Vvzr7lt3OU09vwQwhkpOPPYv2Y/edit?usp=sharing"",""งบพรบ!FA43"")"),0)</f>
        <v>0</v>
      </c>
      <c r="P43" s="180">
        <f t="shared" ca="1" si="26"/>
        <v>0</v>
      </c>
      <c r="Q43" s="179">
        <f t="shared" ca="1" si="27"/>
        <v>0</v>
      </c>
      <c r="R43" s="344">
        <f ca="1">IFERROR(__xludf.DUMMYFUNCTION("IMPORTRANGE(""https://docs.google.com/spreadsheets/d/1Ul4RCpCX66NxYADU1QpwAPjOmBzW64SsT11s1wzXw_c/edit?usp=sharing"",""เลย!I344"")"),2540)</f>
        <v>2540</v>
      </c>
      <c r="S43" s="177">
        <f ca="1">IFERROR(__xludf.DUMMYFUNCTION("IMPORTRANGE(""https://docs.google.com/spreadsheets/d/1Ul4RCpCX66NxYADU1QpwAPjOmBzW64SsT11s1wzXw_c/edit?usp=sharing"",""เลย!J344"")"),1882)</f>
        <v>1882</v>
      </c>
      <c r="T43" s="345">
        <f t="shared" ca="1" si="29"/>
        <v>74.094488188976385</v>
      </c>
      <c r="U43" s="344">
        <f ca="1">IFERROR(__xludf.DUMMYFUNCTION("IMPORTRANGE(""https://docs.google.com/spreadsheets/d/1Ul4RCpCX66NxYADU1QpwAPjOmBzW64SsT11s1wzXw_c/edit?usp=sharing"",""เลย!I346"")"),5)</f>
        <v>5</v>
      </c>
      <c r="V43" s="177">
        <f ca="1">IFERROR(__xludf.DUMMYFUNCTION("IMPORTRANGE(""https://docs.google.com/spreadsheets/d/1Ul4RCpCX66NxYADU1QpwAPjOmBzW64SsT11s1wzXw_c/edit?usp=sharing"",""เลย!J346"")"),2)</f>
        <v>2</v>
      </c>
      <c r="W43" s="345">
        <f t="shared" ca="1" si="31"/>
        <v>40</v>
      </c>
      <c r="X43" s="177">
        <f ca="1">IFERROR(__xludf.DUMMYFUNCTION("IMPORTRANGE(""https://docs.google.com/spreadsheets/d/1Ul4RCpCX66NxYADU1QpwAPjOmBzW64SsT11s1wzXw_c/edit?usp=sharing"",""เลย!J347"")"),91)</f>
        <v>91</v>
      </c>
      <c r="Y43" s="177">
        <f ca="1">IFERROR(__xludf.DUMMYFUNCTION("IMPORTRANGE(""https://docs.google.com/spreadsheets/d/1Ul4RCpCX66NxYADU1QpwAPjOmBzW64SsT11s1wzXw_c/edit?usp=sharing"",""เลย!J348"")"),42)</f>
        <v>42</v>
      </c>
      <c r="Z43" s="177">
        <f ca="1">IFERROR(__xludf.DUMMYFUNCTION("IMPORTRANGE(""https://docs.google.com/spreadsheets/d/1Ul4RCpCX66NxYADU1QpwAPjOmBzW64SsT11s1wzXw_c/edit?usp=sharing"",""เลย!J349"")"),0)</f>
        <v>0</v>
      </c>
      <c r="AA43" s="177">
        <f ca="1">IFERROR(__xludf.DUMMYFUNCTION("IMPORTRANGE(""https://docs.google.com/spreadsheets/d/1Ul4RCpCX66NxYADU1QpwAPjOmBzW64SsT11s1wzXw_c/edit?usp=sharing"",""เลย!J352"")"),661)</f>
        <v>661</v>
      </c>
      <c r="AB43" s="177">
        <f ca="1">IFERROR(__xludf.DUMMYFUNCTION("IMPORTRANGE(""https://docs.google.com/spreadsheets/d/1Ul4RCpCX66NxYADU1QpwAPjOmBzW64SsT11s1wzXw_c/edit?usp=sharing"",""เลย!J353"")"),4335)</f>
        <v>4335</v>
      </c>
    </row>
    <row r="44" spans="1:28" ht="21" customHeight="1" x14ac:dyDescent="0.3">
      <c r="A44" s="84">
        <v>13</v>
      </c>
      <c r="B44" s="85" t="s">
        <v>66</v>
      </c>
      <c r="C44" s="174">
        <f t="shared" ca="1" si="20"/>
        <v>118000</v>
      </c>
      <c r="D44" s="175">
        <f t="shared" ca="1" si="38"/>
        <v>118000</v>
      </c>
      <c r="E44" s="176">
        <f ca="1">IFERROR(__xludf.DUMMYFUNCTION("IMPORTRANGE(""https://docs.google.com/spreadsheets/d/1-uDff_7J0KD5mKrp0Vvzr7lt3OU09vwQwhkpOPPYv2Y/edit?usp=sharing"",""งบพรบ!ET44"")"),0)</f>
        <v>0</v>
      </c>
      <c r="F44" s="176">
        <f ca="1">IFERROR(__xludf.DUMMYFUNCTION("IMPORTRANGE(""https://docs.google.com/spreadsheets/d/1-uDff_7J0KD5mKrp0Vvzr7lt3OU09vwQwhkpOPPYv2Y/edit?usp=sharing"",""งบพรบ!EU44"")"),118000)</f>
        <v>118000</v>
      </c>
      <c r="G44" s="176">
        <f ca="1">IFERROR(__xludf.DUMMYFUNCTION("IMPORTRANGE(""https://docs.google.com/spreadsheets/d/1-uDff_7J0KD5mKrp0Vvzr7lt3OU09vwQwhkpOPPYv2Y/edit?usp=sharing"",""งบพรบ!EV44"")"),0)</f>
        <v>0</v>
      </c>
      <c r="H44" s="176">
        <f ca="1">IFERROR(__xludf.DUMMYFUNCTION("IMPORTRANGE(""https://docs.google.com/spreadsheets/d/1-uDff_7J0KD5mKrp0Vvzr7lt3OU09vwQwhkpOPPYv2Y/edit?usp=sharing"",""งบพรบ!EX44"")"),92550)</f>
        <v>92550</v>
      </c>
      <c r="I44" s="176">
        <f ca="1">IFERROR(__xludf.DUMMYFUNCTION("IMPORTRANGE(""https://docs.google.com/spreadsheets/d/1-uDff_7J0KD5mKrp0Vvzr7lt3OU09vwQwhkpOPPYv2Y/edit?usp=sharing"",""งบพรบ!EY44"")"),0)</f>
        <v>0</v>
      </c>
      <c r="J44" s="176">
        <f t="shared" ca="1" si="22"/>
        <v>30300</v>
      </c>
      <c r="K44" s="181">
        <f t="shared" ca="1" si="23"/>
        <v>25.677966101694917</v>
      </c>
      <c r="L44" s="176">
        <f ca="1">IFERROR(__xludf.DUMMYFUNCTION("IMPORTRANGE(""https://docs.google.com/spreadsheets/d/1-uDff_7J0KD5mKrp0Vvzr7lt3OU09vwQwhkpOPPYv2Y/edit?usp=sharing"",""งบพรบ!EZ44"")"),30300)</f>
        <v>30300</v>
      </c>
      <c r="M44" s="179">
        <f t="shared" ca="1" si="24"/>
        <v>25.677966101694917</v>
      </c>
      <c r="N44" s="179">
        <f t="shared" ca="1" si="25"/>
        <v>32.739059967585092</v>
      </c>
      <c r="O44" s="180">
        <f ca="1">IFERROR(__xludf.DUMMYFUNCTION("IMPORTRANGE(""https://docs.google.com/spreadsheets/d/1-uDff_7J0KD5mKrp0Vvzr7lt3OU09vwQwhkpOPPYv2Y/edit?usp=sharing"",""งบพรบ!FA44"")"),0)</f>
        <v>0</v>
      </c>
      <c r="P44" s="180">
        <f t="shared" ca="1" si="26"/>
        <v>0</v>
      </c>
      <c r="Q44" s="179">
        <f t="shared" ca="1" si="27"/>
        <v>0</v>
      </c>
      <c r="R44" s="346">
        <f ca="1">IFERROR(__xludf.DUMMYFUNCTION("IMPORTRANGE(""https://docs.google.com/spreadsheets/d/1bRrNKwbHDVktQG10isr5vbWRtt5spIZPpkOSWgbT5ug/edit?usp=sharing"",""ศรีสะเกษ!I344"")"),4460)</f>
        <v>4460</v>
      </c>
      <c r="S44" s="177">
        <f ca="1">IFERROR(__xludf.DUMMYFUNCTION("IMPORTRANGE(""https://docs.google.com/spreadsheets/d/1bRrNKwbHDVktQG10isr5vbWRtt5spIZPpkOSWgbT5ug/edit?usp=sharing"",""ศรีสะเกษ!J344"")"),39)</f>
        <v>39</v>
      </c>
      <c r="T44" s="345">
        <f t="shared" ca="1" si="29"/>
        <v>0.87443946188340804</v>
      </c>
      <c r="U44" s="346">
        <f ca="1">IFERROR(__xludf.DUMMYFUNCTION("IMPORTRANGE(""https://docs.google.com/spreadsheets/d/1bRrNKwbHDVktQG10isr5vbWRtt5spIZPpkOSWgbT5ug/edit?usp=sharing"",""ศรีสะเกษ!I346"")"),6)</f>
        <v>6</v>
      </c>
      <c r="V44" s="177">
        <f ca="1">IFERROR(__xludf.DUMMYFUNCTION("IMPORTRANGE(""https://docs.google.com/spreadsheets/d/1bRrNKwbHDVktQG10isr5vbWRtt5spIZPpkOSWgbT5ug/edit?usp=sharing"",""ศรีสะเกษ!J346"")"),0)</f>
        <v>0</v>
      </c>
      <c r="W44" s="345">
        <f t="shared" ca="1" si="31"/>
        <v>0</v>
      </c>
      <c r="X44" s="177">
        <f ca="1">IFERROR(__xludf.DUMMYFUNCTION("IMPORTRANGE(""https://docs.google.com/spreadsheets/d/1bRrNKwbHDVktQG10isr5vbWRtt5spIZPpkOSWgbT5ug/edit?usp=sharing"",""ศรีสะเกษ!J347"")"),0)</f>
        <v>0</v>
      </c>
      <c r="Y44" s="177">
        <f ca="1">IFERROR(__xludf.DUMMYFUNCTION("IMPORTRANGE(""https://docs.google.com/spreadsheets/d/1bRrNKwbHDVktQG10isr5vbWRtt5spIZPpkOSWgbT5ug/edit?usp=sharing"",""ศรีสะเกษ!J348"")"),1)</f>
        <v>1</v>
      </c>
      <c r="Z44" s="177">
        <f ca="1">IFERROR(__xludf.DUMMYFUNCTION("IMPORTRANGE(""https://docs.google.com/spreadsheets/d/1bRrNKwbHDVktQG10isr5vbWRtt5spIZPpkOSWgbT5ug/edit?usp=sharing"",""ศรีสะเกษ!J349"")"),103)</f>
        <v>103</v>
      </c>
      <c r="AA44" s="177">
        <f ca="1">IFERROR(__xludf.DUMMYFUNCTION("IMPORTRANGE(""https://docs.google.com/spreadsheets/d/1bRrNKwbHDVktQG10isr5vbWRtt5spIZPpkOSWgbT5ug/edit?usp=sharing"",""ศรีสะเกษ!J352"")"),1093)</f>
        <v>1093</v>
      </c>
      <c r="AB44" s="177">
        <f ca="1">IFERROR(__xludf.DUMMYFUNCTION("IMPORTRANGE(""https://docs.google.com/spreadsheets/d/1bRrNKwbHDVktQG10isr5vbWRtt5spIZPpkOSWgbT5ug/edit?usp=sharing"",""ศรีสะเกษ!J353"")"),1292)</f>
        <v>1292</v>
      </c>
    </row>
    <row r="45" spans="1:28" ht="21" customHeight="1" x14ac:dyDescent="0.3">
      <c r="A45" s="84">
        <v>14</v>
      </c>
      <c r="B45" s="85" t="s">
        <v>67</v>
      </c>
      <c r="C45" s="174">
        <f t="shared" ca="1" si="20"/>
        <v>112000</v>
      </c>
      <c r="D45" s="175">
        <f t="shared" ca="1" si="38"/>
        <v>112000</v>
      </c>
      <c r="E45" s="176">
        <f ca="1">IFERROR(__xludf.DUMMYFUNCTION("IMPORTRANGE(""https://docs.google.com/spreadsheets/d/1-uDff_7J0KD5mKrp0Vvzr7lt3OU09vwQwhkpOPPYv2Y/edit?usp=sharing"",""งบพรบ!ET45"")"),0)</f>
        <v>0</v>
      </c>
      <c r="F45" s="176">
        <f ca="1">IFERROR(__xludf.DUMMYFUNCTION("IMPORTRANGE(""https://docs.google.com/spreadsheets/d/1-uDff_7J0KD5mKrp0Vvzr7lt3OU09vwQwhkpOPPYv2Y/edit?usp=sharing"",""งบพรบ!EU45"")"),112000)</f>
        <v>112000</v>
      </c>
      <c r="G45" s="176">
        <f ca="1">IFERROR(__xludf.DUMMYFUNCTION("IMPORTRANGE(""https://docs.google.com/spreadsheets/d/1-uDff_7J0KD5mKrp0Vvzr7lt3OU09vwQwhkpOPPYv2Y/edit?usp=sharing"",""งบพรบ!EV45"")"),0)</f>
        <v>0</v>
      </c>
      <c r="H45" s="176">
        <f ca="1">IFERROR(__xludf.DUMMYFUNCTION("IMPORTRANGE(""https://docs.google.com/spreadsheets/d/1-uDff_7J0KD5mKrp0Vvzr7lt3OU09vwQwhkpOPPYv2Y/edit?usp=sharing"",""งบพรบ!EX45"")"),87750)</f>
        <v>87750</v>
      </c>
      <c r="I45" s="176">
        <f ca="1">IFERROR(__xludf.DUMMYFUNCTION("IMPORTRANGE(""https://docs.google.com/spreadsheets/d/1-uDff_7J0KD5mKrp0Vvzr7lt3OU09vwQwhkpOPPYv2Y/edit?usp=sharing"",""งบพรบ!EY45"")"),0)</f>
        <v>0</v>
      </c>
      <c r="J45" s="176">
        <f t="shared" ca="1" si="22"/>
        <v>2800</v>
      </c>
      <c r="K45" s="181">
        <f t="shared" ca="1" si="23"/>
        <v>2.5</v>
      </c>
      <c r="L45" s="176">
        <f ca="1">IFERROR(__xludf.DUMMYFUNCTION("IMPORTRANGE(""https://docs.google.com/spreadsheets/d/1-uDff_7J0KD5mKrp0Vvzr7lt3OU09vwQwhkpOPPYv2Y/edit?usp=sharing"",""งบพรบ!EZ45"")"),2800)</f>
        <v>2800</v>
      </c>
      <c r="M45" s="179">
        <f t="shared" ca="1" si="24"/>
        <v>2.5</v>
      </c>
      <c r="N45" s="179">
        <f t="shared" ca="1" si="25"/>
        <v>3.1908831908831909</v>
      </c>
      <c r="O45" s="180">
        <f ca="1">IFERROR(__xludf.DUMMYFUNCTION("IMPORTRANGE(""https://docs.google.com/spreadsheets/d/1-uDff_7J0KD5mKrp0Vvzr7lt3OU09vwQwhkpOPPYv2Y/edit?usp=sharing"",""งบพรบ!FA45"")"),0)</f>
        <v>0</v>
      </c>
      <c r="P45" s="180">
        <f t="shared" ca="1" si="26"/>
        <v>0</v>
      </c>
      <c r="Q45" s="179">
        <f t="shared" ca="1" si="27"/>
        <v>0</v>
      </c>
      <c r="R45" s="344">
        <f ca="1">IFERROR(__xludf.DUMMYFUNCTION("IMPORTRANGE(""https://docs.google.com/spreadsheets/d/17P34_Ow5kFBfdQD0qspb2UuPX5zpi6WMrQzslghyvrI/edit?usp=sharing"",""สกลนคร!I344"")"),2000)</f>
        <v>2000</v>
      </c>
      <c r="S45" s="177">
        <f ca="1">IFERROR(__xludf.DUMMYFUNCTION("IMPORTRANGE(""https://docs.google.com/spreadsheets/d/17P34_Ow5kFBfdQD0qspb2UuPX5zpi6WMrQzslghyvrI/edit?usp=sharing"",""สกลนคร!J344"")"),1509)</f>
        <v>1509</v>
      </c>
      <c r="T45" s="345">
        <f t="shared" ca="1" si="29"/>
        <v>75.45</v>
      </c>
      <c r="U45" s="344">
        <f ca="1">IFERROR(__xludf.DUMMYFUNCTION("IMPORTRANGE(""https://docs.google.com/spreadsheets/d/17P34_Ow5kFBfdQD0qspb2UuPX5zpi6WMrQzslghyvrI/edit?usp=sharing"",""สกลนคร!I346"")"),6)</f>
        <v>6</v>
      </c>
      <c r="V45" s="177">
        <f ca="1">IFERROR(__xludf.DUMMYFUNCTION("IMPORTRANGE(""https://docs.google.com/spreadsheets/d/17P34_Ow5kFBfdQD0qspb2UuPX5zpi6WMrQzslghyvrI/edit?usp=sharing"",""สกลนคร!J346"")"),2)</f>
        <v>2</v>
      </c>
      <c r="W45" s="345">
        <f t="shared" ca="1" si="31"/>
        <v>33.333333333333336</v>
      </c>
      <c r="X45" s="177">
        <f ca="1">IFERROR(__xludf.DUMMYFUNCTION("IMPORTRANGE(""https://docs.google.com/spreadsheets/d/17P34_Ow5kFBfdQD0qspb2UuPX5zpi6WMrQzslghyvrI/edit?usp=sharing"",""สกลนคร!J347"")"),204)</f>
        <v>204</v>
      </c>
      <c r="Y45" s="177">
        <f ca="1">IFERROR(__xludf.DUMMYFUNCTION("IMPORTRANGE(""https://docs.google.com/spreadsheets/d/17P34_Ow5kFBfdQD0qspb2UuPX5zpi6WMrQzslghyvrI/edit?usp=sharing"",""สกลนคร!J348"")"),0)</f>
        <v>0</v>
      </c>
      <c r="Z45" s="177">
        <f ca="1">IFERROR(__xludf.DUMMYFUNCTION("IMPORTRANGE(""https://docs.google.com/spreadsheets/d/17P34_Ow5kFBfdQD0qspb2UuPX5zpi6WMrQzslghyvrI/edit?usp=sharing"",""สกลนคร!J349"")"),0)</f>
        <v>0</v>
      </c>
      <c r="AA45" s="177">
        <f ca="1">IFERROR(__xludf.DUMMYFUNCTION("IMPORTRANGE(""https://docs.google.com/spreadsheets/d/17P34_Ow5kFBfdQD0qspb2UuPX5zpi6WMrQzslghyvrI/edit?usp=sharing"",""สกลนคร!J352"")"),909)</f>
        <v>909</v>
      </c>
      <c r="AB45" s="177">
        <f ca="1">IFERROR(__xludf.DUMMYFUNCTION("IMPORTRANGE(""https://docs.google.com/spreadsheets/d/17P34_Ow5kFBfdQD0qspb2UuPX5zpi6WMrQzslghyvrI/edit?usp=sharing"",""สกลนคร!J353"")"),1308)</f>
        <v>1308</v>
      </c>
    </row>
    <row r="46" spans="1:28" ht="21" customHeight="1" x14ac:dyDescent="0.3">
      <c r="A46" s="84">
        <v>15</v>
      </c>
      <c r="B46" s="85" t="s">
        <v>68</v>
      </c>
      <c r="C46" s="174">
        <f t="shared" ca="1" si="20"/>
        <v>112000</v>
      </c>
      <c r="D46" s="175">
        <f t="shared" ca="1" si="38"/>
        <v>112000</v>
      </c>
      <c r="E46" s="176">
        <f ca="1">IFERROR(__xludf.DUMMYFUNCTION("IMPORTRANGE(""https://docs.google.com/spreadsheets/d/1-uDff_7J0KD5mKrp0Vvzr7lt3OU09vwQwhkpOPPYv2Y/edit?usp=sharing"",""งบพรบ!ET46"")"),0)</f>
        <v>0</v>
      </c>
      <c r="F46" s="176">
        <f ca="1">IFERROR(__xludf.DUMMYFUNCTION("IMPORTRANGE(""https://docs.google.com/spreadsheets/d/1-uDff_7J0KD5mKrp0Vvzr7lt3OU09vwQwhkpOPPYv2Y/edit?usp=sharing"",""งบพรบ!EU46"")"),112000)</f>
        <v>112000</v>
      </c>
      <c r="G46" s="176">
        <f ca="1">IFERROR(__xludf.DUMMYFUNCTION("IMPORTRANGE(""https://docs.google.com/spreadsheets/d/1-uDff_7J0KD5mKrp0Vvzr7lt3OU09vwQwhkpOPPYv2Y/edit?usp=sharing"",""งบพรบ!EV46"")"),0)</f>
        <v>0</v>
      </c>
      <c r="H46" s="176">
        <f ca="1">IFERROR(__xludf.DUMMYFUNCTION("IMPORTRANGE(""https://docs.google.com/spreadsheets/d/1-uDff_7J0KD5mKrp0Vvzr7lt3OU09vwQwhkpOPPYv2Y/edit?usp=sharing"",""งบพรบ!EX46"")"),90550)</f>
        <v>90550</v>
      </c>
      <c r="I46" s="176">
        <f ca="1">IFERROR(__xludf.DUMMYFUNCTION("IMPORTRANGE(""https://docs.google.com/spreadsheets/d/1-uDff_7J0KD5mKrp0Vvzr7lt3OU09vwQwhkpOPPYv2Y/edit?usp=sharing"",""งบพรบ!EY46"")"),0)</f>
        <v>0</v>
      </c>
      <c r="J46" s="176">
        <f t="shared" ca="1" si="22"/>
        <v>43583</v>
      </c>
      <c r="K46" s="181">
        <f t="shared" ca="1" si="23"/>
        <v>38.91339285714286</v>
      </c>
      <c r="L46" s="176">
        <f ca="1">IFERROR(__xludf.DUMMYFUNCTION("IMPORTRANGE(""https://docs.google.com/spreadsheets/d/1-uDff_7J0KD5mKrp0Vvzr7lt3OU09vwQwhkpOPPYv2Y/edit?usp=sharing"",""งบพรบ!EZ46"")"),43583)</f>
        <v>43583</v>
      </c>
      <c r="M46" s="179">
        <f t="shared" ca="1" si="24"/>
        <v>38.91339285714286</v>
      </c>
      <c r="N46" s="179">
        <f t="shared" ca="1" si="25"/>
        <v>48.131419105466591</v>
      </c>
      <c r="O46" s="180">
        <f ca="1">IFERROR(__xludf.DUMMYFUNCTION("IMPORTRANGE(""https://docs.google.com/spreadsheets/d/1-uDff_7J0KD5mKrp0Vvzr7lt3OU09vwQwhkpOPPYv2Y/edit?usp=sharing"",""งบพรบ!FA46"")"),0)</f>
        <v>0</v>
      </c>
      <c r="P46" s="180">
        <f t="shared" ca="1" si="26"/>
        <v>0</v>
      </c>
      <c r="Q46" s="179">
        <f t="shared" ca="1" si="27"/>
        <v>0</v>
      </c>
      <c r="R46" s="344">
        <f ca="1">IFERROR(__xludf.DUMMYFUNCTION("IMPORTRANGE(""https://docs.google.com/spreadsheets/d/1yswqbM3-AEpThF3ZSUa1AcmHnmRTF1vlJ1CZGcJ8YuU/edit?usp=sharing"",""สุรินทร์!I344"")"),3540)</f>
        <v>3540</v>
      </c>
      <c r="S46" s="177">
        <f ca="1">IFERROR(__xludf.DUMMYFUNCTION("IMPORTRANGE(""https://docs.google.com/spreadsheets/d/1yswqbM3-AEpThF3ZSUa1AcmHnmRTF1vlJ1CZGcJ8YuU/edit?usp=sharing"",""สุรินทร์!J344"")"),649)</f>
        <v>649</v>
      </c>
      <c r="T46" s="345">
        <f t="shared" ca="1" si="29"/>
        <v>18.333333333333332</v>
      </c>
      <c r="U46" s="344">
        <f ca="1">IFERROR(__xludf.DUMMYFUNCTION("IMPORTRANGE(""https://docs.google.com/spreadsheets/d/1yswqbM3-AEpThF3ZSUa1AcmHnmRTF1vlJ1CZGcJ8YuU/edit?usp=sharing"",""สุรินทร์!I346"")"),3)</f>
        <v>3</v>
      </c>
      <c r="V46" s="177">
        <f ca="1">IFERROR(__xludf.DUMMYFUNCTION("IMPORTRANGE(""https://docs.google.com/spreadsheets/d/1yswqbM3-AEpThF3ZSUa1AcmHnmRTF1vlJ1CZGcJ8YuU/edit?usp=sharing"",""สุรินทร์!J346"")"),1)</f>
        <v>1</v>
      </c>
      <c r="W46" s="345">
        <f t="shared" ca="1" si="31"/>
        <v>33.333333333333336</v>
      </c>
      <c r="X46" s="177">
        <f ca="1">IFERROR(__xludf.DUMMYFUNCTION("IMPORTRANGE(""https://docs.google.com/spreadsheets/d/1yswqbM3-AEpThF3ZSUa1AcmHnmRTF1vlJ1CZGcJ8YuU/edit?usp=sharing"",""สุรินทร์!J347"")"),1)</f>
        <v>1</v>
      </c>
      <c r="Y46" s="177">
        <f ca="1">IFERROR(__xludf.DUMMYFUNCTION("IMPORTRANGE(""https://docs.google.com/spreadsheets/d/1yswqbM3-AEpThF3ZSUa1AcmHnmRTF1vlJ1CZGcJ8YuU/edit?usp=sharing"",""สุรินทร์!J348"")"),7)</f>
        <v>7</v>
      </c>
      <c r="Z46" s="177">
        <f ca="1">IFERROR(__xludf.DUMMYFUNCTION("IMPORTRANGE(""https://docs.google.com/spreadsheets/d/1yswqbM3-AEpThF3ZSUa1AcmHnmRTF1vlJ1CZGcJ8YuU/edit?usp=sharing"",""สุรินทร์!J349"")"),0)</f>
        <v>0</v>
      </c>
      <c r="AA46" s="177">
        <f ca="1">IFERROR(__xludf.DUMMYFUNCTION("IMPORTRANGE(""https://docs.google.com/spreadsheets/d/1yswqbM3-AEpThF3ZSUa1AcmHnmRTF1vlJ1CZGcJ8YuU/edit?usp=sharing"",""สุรินทร์!J352"")"),926)</f>
        <v>926</v>
      </c>
      <c r="AB46" s="177">
        <f ca="1">IFERROR(__xludf.DUMMYFUNCTION("IMPORTRANGE(""https://docs.google.com/spreadsheets/d/1yswqbM3-AEpThF3ZSUa1AcmHnmRTF1vlJ1CZGcJ8YuU/edit?usp=sharing"",""สุรินทร์!J353"")"),2757)</f>
        <v>2757</v>
      </c>
    </row>
    <row r="47" spans="1:28" ht="21" customHeight="1" x14ac:dyDescent="0.3">
      <c r="A47" s="84">
        <v>16</v>
      </c>
      <c r="B47" s="85" t="s">
        <v>69</v>
      </c>
      <c r="C47" s="174">
        <f t="shared" ca="1" si="20"/>
        <v>113000</v>
      </c>
      <c r="D47" s="175">
        <f t="shared" ca="1" si="38"/>
        <v>113000</v>
      </c>
      <c r="E47" s="176">
        <f ca="1">IFERROR(__xludf.DUMMYFUNCTION("IMPORTRANGE(""https://docs.google.com/spreadsheets/d/1-uDff_7J0KD5mKrp0Vvzr7lt3OU09vwQwhkpOPPYv2Y/edit?usp=sharing"",""งบพรบ!ET47"")"),0)</f>
        <v>0</v>
      </c>
      <c r="F47" s="176">
        <f ca="1">IFERROR(__xludf.DUMMYFUNCTION("IMPORTRANGE(""https://docs.google.com/spreadsheets/d/1-uDff_7J0KD5mKrp0Vvzr7lt3OU09vwQwhkpOPPYv2Y/edit?usp=sharing"",""งบพรบ!EU47"")"),113000)</f>
        <v>113000</v>
      </c>
      <c r="G47" s="176">
        <f ca="1">IFERROR(__xludf.DUMMYFUNCTION("IMPORTRANGE(""https://docs.google.com/spreadsheets/d/1-uDff_7J0KD5mKrp0Vvzr7lt3OU09vwQwhkpOPPYv2Y/edit?usp=sharing"",""งบพรบ!EV47"")"),0)</f>
        <v>0</v>
      </c>
      <c r="H47" s="176">
        <f ca="1">IFERROR(__xludf.DUMMYFUNCTION("IMPORTRANGE(""https://docs.google.com/spreadsheets/d/1-uDff_7J0KD5mKrp0Vvzr7lt3OU09vwQwhkpOPPYv2Y/edit?usp=sharing"",""งบพรบ!EX47"")"),88150)</f>
        <v>88150</v>
      </c>
      <c r="I47" s="176">
        <f ca="1">IFERROR(__xludf.DUMMYFUNCTION("IMPORTRANGE(""https://docs.google.com/spreadsheets/d/1-uDff_7J0KD5mKrp0Vvzr7lt3OU09vwQwhkpOPPYv2Y/edit?usp=sharing"",""งบพรบ!EY47"")"),0)</f>
        <v>0</v>
      </c>
      <c r="J47" s="176">
        <f t="shared" ca="1" si="22"/>
        <v>46790</v>
      </c>
      <c r="K47" s="181">
        <f t="shared" ca="1" si="23"/>
        <v>41.407079646017699</v>
      </c>
      <c r="L47" s="176">
        <f ca="1">IFERROR(__xludf.DUMMYFUNCTION("IMPORTRANGE(""https://docs.google.com/spreadsheets/d/1-uDff_7J0KD5mKrp0Vvzr7lt3OU09vwQwhkpOPPYv2Y/edit?usp=sharing"",""งบพรบ!EZ47"")"),46790)</f>
        <v>46790</v>
      </c>
      <c r="M47" s="179">
        <f t="shared" ca="1" si="24"/>
        <v>41.407079646017699</v>
      </c>
      <c r="N47" s="179">
        <f t="shared" ca="1" si="25"/>
        <v>53.079977311401024</v>
      </c>
      <c r="O47" s="180">
        <f ca="1">IFERROR(__xludf.DUMMYFUNCTION("IMPORTRANGE(""https://docs.google.com/spreadsheets/d/1-uDff_7J0KD5mKrp0Vvzr7lt3OU09vwQwhkpOPPYv2Y/edit?usp=sharing"",""งบพรบ!FA47"")"),0)</f>
        <v>0</v>
      </c>
      <c r="P47" s="180">
        <f t="shared" ca="1" si="26"/>
        <v>0</v>
      </c>
      <c r="Q47" s="179">
        <f t="shared" ca="1" si="27"/>
        <v>0</v>
      </c>
      <c r="R47" s="344">
        <f ca="1">IFERROR(__xludf.DUMMYFUNCTION("IMPORTRANGE(""https://docs.google.com/spreadsheets/d/13JHU_EFbsQOUQ0JSQ3dWy1VTRosIWcDq6Nc99z2qzdc/edit?usp=sharing"",""หนองคาย!I344"")"),2540)</f>
        <v>2540</v>
      </c>
      <c r="S47" s="177">
        <f ca="1">IFERROR(__xludf.DUMMYFUNCTION("IMPORTRANGE(""https://docs.google.com/spreadsheets/d/13JHU_EFbsQOUQ0JSQ3dWy1VTRosIWcDq6Nc99z2qzdc/edit?usp=sharing"",""หนองคาย!J344"")"),800)</f>
        <v>800</v>
      </c>
      <c r="T47" s="345">
        <f t="shared" ca="1" si="29"/>
        <v>31.496062992125985</v>
      </c>
      <c r="U47" s="344">
        <f ca="1">IFERROR(__xludf.DUMMYFUNCTION("IMPORTRANGE(""https://docs.google.com/spreadsheets/d/13JHU_EFbsQOUQ0JSQ3dWy1VTRosIWcDq6Nc99z2qzdc/edit?usp=sharing"",""หนองคาย!I346"")"),5)</f>
        <v>5</v>
      </c>
      <c r="V47" s="177">
        <f ca="1">IFERROR(__xludf.DUMMYFUNCTION("IMPORTRANGE(""https://docs.google.com/spreadsheets/d/13JHU_EFbsQOUQ0JSQ3dWy1VTRosIWcDq6Nc99z2qzdc/edit?usp=sharing"",""หนองคาย!J346"")"),2)</f>
        <v>2</v>
      </c>
      <c r="W47" s="345">
        <f t="shared" ca="1" si="31"/>
        <v>40</v>
      </c>
      <c r="X47" s="177">
        <f ca="1">IFERROR(__xludf.DUMMYFUNCTION("IMPORTRANGE(""https://docs.google.com/spreadsheets/d/13JHU_EFbsQOUQ0JSQ3dWy1VTRosIWcDq6Nc99z2qzdc/edit?usp=sharing"",""หนองคาย!J347"")"),0)</f>
        <v>0</v>
      </c>
      <c r="Y47" s="177">
        <f ca="1">IFERROR(__xludf.DUMMYFUNCTION("IMPORTRANGE(""https://docs.google.com/spreadsheets/d/13JHU_EFbsQOUQ0JSQ3dWy1VTRosIWcDq6Nc99z2qzdc/edit?usp=sharing"",""หนองคาย!J348"")"),0)</f>
        <v>0</v>
      </c>
      <c r="Z47" s="177">
        <f ca="1">IFERROR(__xludf.DUMMYFUNCTION("IMPORTRANGE(""https://docs.google.com/spreadsheets/d/13JHU_EFbsQOUQ0JSQ3dWy1VTRosIWcDq6Nc99z2qzdc/edit?usp=sharing"",""หนองคาย!J349"")"),0)</f>
        <v>0</v>
      </c>
      <c r="AA47" s="177">
        <f ca="1">IFERROR(__xludf.DUMMYFUNCTION("IMPORTRANGE(""https://docs.google.com/spreadsheets/d/13JHU_EFbsQOUQ0JSQ3dWy1VTRosIWcDq6Nc99z2qzdc/edit?usp=sharing"",""หนองคาย!J352"")"),918)</f>
        <v>918</v>
      </c>
      <c r="AB47" s="177">
        <f ca="1">IFERROR(__xludf.DUMMYFUNCTION("IMPORTRANGE(""https://docs.google.com/spreadsheets/d/13JHU_EFbsQOUQ0JSQ3dWy1VTRosIWcDq6Nc99z2qzdc/edit?usp=sharing"",""หนองคาย!J353"")"),3141)</f>
        <v>3141</v>
      </c>
    </row>
    <row r="48" spans="1:28" ht="21" customHeight="1" x14ac:dyDescent="0.3">
      <c r="A48" s="84">
        <v>17</v>
      </c>
      <c r="B48" s="85" t="s">
        <v>70</v>
      </c>
      <c r="C48" s="174">
        <f t="shared" ca="1" si="20"/>
        <v>111000</v>
      </c>
      <c r="D48" s="175">
        <f t="shared" ca="1" si="38"/>
        <v>111000</v>
      </c>
      <c r="E48" s="176">
        <f ca="1">IFERROR(__xludf.DUMMYFUNCTION("IMPORTRANGE(""https://docs.google.com/spreadsheets/d/1-uDff_7J0KD5mKrp0Vvzr7lt3OU09vwQwhkpOPPYv2Y/edit?usp=sharing"",""งบพรบ!ET48"")"),0)</f>
        <v>0</v>
      </c>
      <c r="F48" s="176">
        <f ca="1">IFERROR(__xludf.DUMMYFUNCTION("IMPORTRANGE(""https://docs.google.com/spreadsheets/d/1-uDff_7J0KD5mKrp0Vvzr7lt3OU09vwQwhkpOPPYv2Y/edit?usp=sharing"",""งบพรบ!EU48"")"),111000)</f>
        <v>111000</v>
      </c>
      <c r="G48" s="176">
        <f ca="1">IFERROR(__xludf.DUMMYFUNCTION("IMPORTRANGE(""https://docs.google.com/spreadsheets/d/1-uDff_7J0KD5mKrp0Vvzr7lt3OU09vwQwhkpOPPYv2Y/edit?usp=sharing"",""งบพรบ!EV48"")"),0)</f>
        <v>0</v>
      </c>
      <c r="H48" s="176">
        <f ca="1">IFERROR(__xludf.DUMMYFUNCTION("IMPORTRANGE(""https://docs.google.com/spreadsheets/d/1-uDff_7J0KD5mKrp0Vvzr7lt3OU09vwQwhkpOPPYv2Y/edit?usp=sharing"",""งบพรบ!EX48"")"),88150)</f>
        <v>88150</v>
      </c>
      <c r="I48" s="176">
        <f ca="1">IFERROR(__xludf.DUMMYFUNCTION("IMPORTRANGE(""https://docs.google.com/spreadsheets/d/1-uDff_7J0KD5mKrp0Vvzr7lt3OU09vwQwhkpOPPYv2Y/edit?usp=sharing"",""งบพรบ!EY48"")"),0)</f>
        <v>0</v>
      </c>
      <c r="J48" s="176">
        <f t="shared" ca="1" si="22"/>
        <v>25935</v>
      </c>
      <c r="K48" s="181">
        <f t="shared" ca="1" si="23"/>
        <v>23.364864864864863</v>
      </c>
      <c r="L48" s="176">
        <f ca="1">IFERROR(__xludf.DUMMYFUNCTION("IMPORTRANGE(""https://docs.google.com/spreadsheets/d/1-uDff_7J0KD5mKrp0Vvzr7lt3OU09vwQwhkpOPPYv2Y/edit?usp=sharing"",""งบพรบ!EZ48"")"),25935)</f>
        <v>25935</v>
      </c>
      <c r="M48" s="179">
        <f t="shared" ca="1" si="24"/>
        <v>23.364864864864863</v>
      </c>
      <c r="N48" s="179">
        <f t="shared" ca="1" si="25"/>
        <v>29.421440726035168</v>
      </c>
      <c r="O48" s="180">
        <f ca="1">IFERROR(__xludf.DUMMYFUNCTION("IMPORTRANGE(""https://docs.google.com/spreadsheets/d/1-uDff_7J0KD5mKrp0Vvzr7lt3OU09vwQwhkpOPPYv2Y/edit?usp=sharing"",""งบพรบ!FA48"")"),0)</f>
        <v>0</v>
      </c>
      <c r="P48" s="180">
        <f t="shared" ca="1" si="26"/>
        <v>0</v>
      </c>
      <c r="Q48" s="179">
        <f t="shared" ca="1" si="27"/>
        <v>0</v>
      </c>
      <c r="R48" s="344">
        <f ca="1">IFERROR(__xludf.DUMMYFUNCTION("IMPORTRANGE(""https://docs.google.com/spreadsheets/d/1Hx73zIEgVdDZZaYSTc46Dqv64atFhpr3GelxLbaIN8A/edit?usp=sharing"",""หนองบัวลำภู!I344"")"),3060)</f>
        <v>3060</v>
      </c>
      <c r="S48" s="177">
        <f ca="1">IFERROR(__xludf.DUMMYFUNCTION("IMPORTRANGE(""https://docs.google.com/spreadsheets/d/1Hx73zIEgVdDZZaYSTc46Dqv64atFhpr3GelxLbaIN8A/edit?usp=sharing"",""หนองบัวลำภู!J344"")"),1060)</f>
        <v>1060</v>
      </c>
      <c r="T48" s="345">
        <f t="shared" ca="1" si="29"/>
        <v>34.640522875816991</v>
      </c>
      <c r="U48" s="344">
        <f ca="1">IFERROR(__xludf.DUMMYFUNCTION("IMPORTRANGE(""https://docs.google.com/spreadsheets/d/1Hx73zIEgVdDZZaYSTc46Dqv64atFhpr3GelxLbaIN8A/edit?usp=sharing"",""หนองบัวลำภู!I346"")"),4)</f>
        <v>4</v>
      </c>
      <c r="V48" s="177">
        <f ca="1">IFERROR(__xludf.DUMMYFUNCTION("IMPORTRANGE(""https://docs.google.com/spreadsheets/d/1Hx73zIEgVdDZZaYSTc46Dqv64atFhpr3GelxLbaIN8A/edit?usp=sharing"",""หนองบัวลำภู!J346"")"),0)</f>
        <v>0</v>
      </c>
      <c r="W48" s="345">
        <f t="shared" ca="1" si="31"/>
        <v>0</v>
      </c>
      <c r="X48" s="177">
        <f ca="1">IFERROR(__xludf.DUMMYFUNCTION("IMPORTRANGE(""https://docs.google.com/spreadsheets/d/1Hx73zIEgVdDZZaYSTc46Dqv64atFhpr3GelxLbaIN8A/edit?usp=sharing"",""หนองบัวลำภู!J347"")"),1)</f>
        <v>1</v>
      </c>
      <c r="Y48" s="177">
        <f ca="1">IFERROR(__xludf.DUMMYFUNCTION("IMPORTRANGE(""https://docs.google.com/spreadsheets/d/1Hx73zIEgVdDZZaYSTc46Dqv64atFhpr3GelxLbaIN8A/edit?usp=sharing"",""หนองบัวลำภู!J348"")"),0)</f>
        <v>0</v>
      </c>
      <c r="Z48" s="177">
        <f ca="1">IFERROR(__xludf.DUMMYFUNCTION("IMPORTRANGE(""https://docs.google.com/spreadsheets/d/1Hx73zIEgVdDZZaYSTc46Dqv64atFhpr3GelxLbaIN8A/edit?usp=sharing"",""หนองบัวลำภู!J349"")"),0)</f>
        <v>0</v>
      </c>
      <c r="AA48" s="177">
        <f ca="1">IFERROR(__xludf.DUMMYFUNCTION("IMPORTRANGE(""https://docs.google.com/spreadsheets/d/1Hx73zIEgVdDZZaYSTc46Dqv64atFhpr3GelxLbaIN8A/edit?usp=sharing"",""หนองบัวลำภู!J352"")"),600)</f>
        <v>600</v>
      </c>
      <c r="AB48" s="177">
        <f ca="1">IFERROR(__xludf.DUMMYFUNCTION("IMPORTRANGE(""https://docs.google.com/spreadsheets/d/1Hx73zIEgVdDZZaYSTc46Dqv64atFhpr3GelxLbaIN8A/edit?usp=sharing"",""หนองบัวลำภู!J353"")"),1241)</f>
        <v>1241</v>
      </c>
    </row>
    <row r="49" spans="1:28" ht="21" customHeight="1" x14ac:dyDescent="0.3">
      <c r="A49" s="84">
        <v>18</v>
      </c>
      <c r="B49" s="85" t="s">
        <v>71</v>
      </c>
      <c r="C49" s="174">
        <f t="shared" ca="1" si="20"/>
        <v>106000</v>
      </c>
      <c r="D49" s="175">
        <f t="shared" ca="1" si="38"/>
        <v>106000</v>
      </c>
      <c r="E49" s="176">
        <f ca="1">IFERROR(__xludf.DUMMYFUNCTION("IMPORTRANGE(""https://docs.google.com/spreadsheets/d/1-uDff_7J0KD5mKrp0Vvzr7lt3OU09vwQwhkpOPPYv2Y/edit?usp=sharing"",""งบพรบ!ET49"")"),0)</f>
        <v>0</v>
      </c>
      <c r="F49" s="176">
        <f ca="1">IFERROR(__xludf.DUMMYFUNCTION("IMPORTRANGE(""https://docs.google.com/spreadsheets/d/1-uDff_7J0KD5mKrp0Vvzr7lt3OU09vwQwhkpOPPYv2Y/edit?usp=sharing"",""งบพรบ!EU49"")"),106000)</f>
        <v>106000</v>
      </c>
      <c r="G49" s="176">
        <f ca="1">IFERROR(__xludf.DUMMYFUNCTION("IMPORTRANGE(""https://docs.google.com/spreadsheets/d/1-uDff_7J0KD5mKrp0Vvzr7lt3OU09vwQwhkpOPPYv2Y/edit?usp=sharing"",""งบพรบ!EV49"")"),0)</f>
        <v>0</v>
      </c>
      <c r="H49" s="176">
        <f ca="1">IFERROR(__xludf.DUMMYFUNCTION("IMPORTRANGE(""https://docs.google.com/spreadsheets/d/1-uDff_7J0KD5mKrp0Vvzr7lt3OU09vwQwhkpOPPYv2Y/edit?usp=sharing"",""งบพรบ!EX49"")"),85750)</f>
        <v>85750</v>
      </c>
      <c r="I49" s="176">
        <f ca="1">IFERROR(__xludf.DUMMYFUNCTION("IMPORTRANGE(""https://docs.google.com/spreadsheets/d/1-uDff_7J0KD5mKrp0Vvzr7lt3OU09vwQwhkpOPPYv2Y/edit?usp=sharing"",""งบพรบ!EY49"")"),0)</f>
        <v>0</v>
      </c>
      <c r="J49" s="176">
        <f t="shared" ca="1" si="22"/>
        <v>12840</v>
      </c>
      <c r="K49" s="181">
        <f t="shared" ca="1" si="23"/>
        <v>12.113207547169811</v>
      </c>
      <c r="L49" s="176">
        <f ca="1">IFERROR(__xludf.DUMMYFUNCTION("IMPORTRANGE(""https://docs.google.com/spreadsheets/d/1-uDff_7J0KD5mKrp0Vvzr7lt3OU09vwQwhkpOPPYv2Y/edit?usp=sharing"",""งบพรบ!EZ49"")"),12840)</f>
        <v>12840</v>
      </c>
      <c r="M49" s="179">
        <f t="shared" ca="1" si="24"/>
        <v>12.113207547169811</v>
      </c>
      <c r="N49" s="179">
        <f t="shared" ca="1" si="25"/>
        <v>14.973760932944606</v>
      </c>
      <c r="O49" s="180">
        <f ca="1">IFERROR(__xludf.DUMMYFUNCTION("IMPORTRANGE(""https://docs.google.com/spreadsheets/d/1-uDff_7J0KD5mKrp0Vvzr7lt3OU09vwQwhkpOPPYv2Y/edit?usp=sharing"",""งบพรบ!FA49"")"),0)</f>
        <v>0</v>
      </c>
      <c r="P49" s="180">
        <f t="shared" ca="1" si="26"/>
        <v>0</v>
      </c>
      <c r="Q49" s="179">
        <f t="shared" ca="1" si="27"/>
        <v>0</v>
      </c>
      <c r="R49" s="344">
        <f ca="1">IFERROR(__xludf.DUMMYFUNCTION("IMPORTRANGE(""https://docs.google.com/spreadsheets/d/1lFxr3ctmjFN90yc-xV6jrQ9Ty8BKYVBWnAZ15wcNIJc/edit?usp=sharing"",""อำนาจเจริญ!I344"")"),1260)</f>
        <v>1260</v>
      </c>
      <c r="S49" s="177">
        <f ca="1">IFERROR(__xludf.DUMMYFUNCTION("IMPORTRANGE(""https://docs.google.com/spreadsheets/d/1lFxr3ctmjFN90yc-xV6jrQ9Ty8BKYVBWnAZ15wcNIJc/edit?usp=sharing"",""อำนาจเจริญ!J344"")"),619)</f>
        <v>619</v>
      </c>
      <c r="T49" s="345">
        <f t="shared" ca="1" si="29"/>
        <v>49.126984126984127</v>
      </c>
      <c r="U49" s="344">
        <f ca="1">IFERROR(__xludf.DUMMYFUNCTION("IMPORTRANGE(""https://docs.google.com/spreadsheets/d/1lFxr3ctmjFN90yc-xV6jrQ9Ty8BKYVBWnAZ15wcNIJc/edit?usp=sharing"",""อำนาจเจริญ!I346"")"),3)</f>
        <v>3</v>
      </c>
      <c r="V49" s="177">
        <f ca="1">IFERROR(__xludf.DUMMYFUNCTION("IMPORTRANGE(""https://docs.google.com/spreadsheets/d/1lFxr3ctmjFN90yc-xV6jrQ9Ty8BKYVBWnAZ15wcNIJc/edit?usp=sharing"",""อำนาจเจริญ!J346"")"),1)</f>
        <v>1</v>
      </c>
      <c r="W49" s="345">
        <f t="shared" ca="1" si="31"/>
        <v>33.333333333333336</v>
      </c>
      <c r="X49" s="177">
        <f ca="1">IFERROR(__xludf.DUMMYFUNCTION("IMPORTRANGE(""https://docs.google.com/spreadsheets/d/1lFxr3ctmjFN90yc-xV6jrQ9Ty8BKYVBWnAZ15wcNIJc/edit?usp=sharing"",""อำนาจเจริญ!J347"")"),159)</f>
        <v>159</v>
      </c>
      <c r="Y49" s="177">
        <f ca="1">IFERROR(__xludf.DUMMYFUNCTION("IMPORTRANGE(""https://docs.google.com/spreadsheets/d/1lFxr3ctmjFN90yc-xV6jrQ9Ty8BKYVBWnAZ15wcNIJc/edit?usp=sharing"",""อำนาจเจริญ!J348"")"),61)</f>
        <v>61</v>
      </c>
      <c r="Z49" s="177">
        <f ca="1">IFERROR(__xludf.DUMMYFUNCTION("IMPORTRANGE(""https://docs.google.com/spreadsheets/d/1lFxr3ctmjFN90yc-xV6jrQ9Ty8BKYVBWnAZ15wcNIJc/edit?usp=sharing"",""อำนาจเจริญ!J349"")"),0)</f>
        <v>0</v>
      </c>
      <c r="AA49" s="177">
        <f ca="1">IFERROR(__xludf.DUMMYFUNCTION("IMPORTRANGE(""https://docs.google.com/spreadsheets/d/1lFxr3ctmjFN90yc-xV6jrQ9Ty8BKYVBWnAZ15wcNIJc/edit?usp=sharing"",""อำนาจเจริญ!J352"")"),101)</f>
        <v>101</v>
      </c>
      <c r="AB49" s="177">
        <f ca="1">IFERROR(__xludf.DUMMYFUNCTION("IMPORTRANGE(""https://docs.google.com/spreadsheets/d/1lFxr3ctmjFN90yc-xV6jrQ9Ty8BKYVBWnAZ15wcNIJc/edit?usp=sharing"",""อำนาจเจริญ!J353"")"),901)</f>
        <v>901</v>
      </c>
    </row>
    <row r="50" spans="1:28" ht="21" customHeight="1" x14ac:dyDescent="0.3">
      <c r="A50" s="84">
        <v>19</v>
      </c>
      <c r="B50" s="85" t="s">
        <v>72</v>
      </c>
      <c r="C50" s="174">
        <f t="shared" ca="1" si="20"/>
        <v>122000</v>
      </c>
      <c r="D50" s="175">
        <f t="shared" ca="1" si="38"/>
        <v>122000</v>
      </c>
      <c r="E50" s="176">
        <f ca="1">IFERROR(__xludf.DUMMYFUNCTION("IMPORTRANGE(""https://docs.google.com/spreadsheets/d/1-uDff_7J0KD5mKrp0Vvzr7lt3OU09vwQwhkpOPPYv2Y/edit?usp=sharing"",""งบพรบ!ET50"")"),0)</f>
        <v>0</v>
      </c>
      <c r="F50" s="176">
        <f ca="1">IFERROR(__xludf.DUMMYFUNCTION("IMPORTRANGE(""https://docs.google.com/spreadsheets/d/1-uDff_7J0KD5mKrp0Vvzr7lt3OU09vwQwhkpOPPYv2Y/edit?usp=sharing"",""งบพรบ!EU50"")"),122000)</f>
        <v>122000</v>
      </c>
      <c r="G50" s="176">
        <f ca="1">IFERROR(__xludf.DUMMYFUNCTION("IMPORTRANGE(""https://docs.google.com/spreadsheets/d/1-uDff_7J0KD5mKrp0Vvzr7lt3OU09vwQwhkpOPPYv2Y/edit?usp=sharing"",""งบพรบ!EV50"")"),0)</f>
        <v>0</v>
      </c>
      <c r="H50" s="176">
        <f ca="1">IFERROR(__xludf.DUMMYFUNCTION("IMPORTRANGE(""https://docs.google.com/spreadsheets/d/1-uDff_7J0KD5mKrp0Vvzr7lt3OU09vwQwhkpOPPYv2Y/edit?usp=sharing"",""งบพรบ!EX50"")"),98550)</f>
        <v>98550</v>
      </c>
      <c r="I50" s="176">
        <f ca="1">IFERROR(__xludf.DUMMYFUNCTION("IMPORTRANGE(""https://docs.google.com/spreadsheets/d/1-uDff_7J0KD5mKrp0Vvzr7lt3OU09vwQwhkpOPPYv2Y/edit?usp=sharing"",""งบพรบ!EY50"")"),0)</f>
        <v>0</v>
      </c>
      <c r="J50" s="176">
        <f t="shared" ca="1" si="22"/>
        <v>26000</v>
      </c>
      <c r="K50" s="181">
        <f t="shared" ca="1" si="23"/>
        <v>21.311475409836067</v>
      </c>
      <c r="L50" s="176">
        <f ca="1">IFERROR(__xludf.DUMMYFUNCTION("IMPORTRANGE(""https://docs.google.com/spreadsheets/d/1-uDff_7J0KD5mKrp0Vvzr7lt3OU09vwQwhkpOPPYv2Y/edit?usp=sharing"",""งบพรบ!EZ50"")"),26000)</f>
        <v>26000</v>
      </c>
      <c r="M50" s="179">
        <f t="shared" ca="1" si="24"/>
        <v>21.311475409836067</v>
      </c>
      <c r="N50" s="179">
        <f t="shared" ca="1" si="25"/>
        <v>26.382546930492136</v>
      </c>
      <c r="O50" s="180">
        <f ca="1">IFERROR(__xludf.DUMMYFUNCTION("IMPORTRANGE(""https://docs.google.com/spreadsheets/d/1-uDff_7J0KD5mKrp0Vvzr7lt3OU09vwQwhkpOPPYv2Y/edit?usp=sharing"",""งบพรบ!FA50"")"),0)</f>
        <v>0</v>
      </c>
      <c r="P50" s="180">
        <f t="shared" ca="1" si="26"/>
        <v>0</v>
      </c>
      <c r="Q50" s="179">
        <f t="shared" ca="1" si="27"/>
        <v>0</v>
      </c>
      <c r="R50" s="344">
        <f ca="1">IFERROR(__xludf.DUMMYFUNCTION("IMPORTRANGE(""https://docs.google.com/spreadsheets/d/1gF7RJpRnL-1oyjyeWxs5SFWEH7y8ahOZsQlyp2A2e-A/edit?usp=sharing"",""อุดรธานี!I344"")"),5860)</f>
        <v>5860</v>
      </c>
      <c r="S50" s="177">
        <f ca="1">IFERROR(__xludf.DUMMYFUNCTION("IMPORTRANGE(""https://docs.google.com/spreadsheets/d/1gF7RJpRnL-1oyjyeWxs5SFWEH7y8ahOZsQlyp2A2e-A/edit?usp=sharing"",""อุดรธานี!J344"")"),8781)</f>
        <v>8781</v>
      </c>
      <c r="T50" s="345">
        <f t="shared" ca="1" si="29"/>
        <v>149.84641638225256</v>
      </c>
      <c r="U50" s="344">
        <f ca="1">IFERROR(__xludf.DUMMYFUNCTION("IMPORTRANGE(""https://docs.google.com/spreadsheets/d/1gF7RJpRnL-1oyjyeWxs5SFWEH7y8ahOZsQlyp2A2e-A/edit?usp=sharing"",""อุดรธานี!I346"")"),8)</f>
        <v>8</v>
      </c>
      <c r="V50" s="177">
        <f ca="1">IFERROR(__xludf.DUMMYFUNCTION("IMPORTRANGE(""https://docs.google.com/spreadsheets/d/1gF7RJpRnL-1oyjyeWxs5SFWEH7y8ahOZsQlyp2A2e-A/edit?usp=sharing"",""อุดรธานี!J346"")"),1)</f>
        <v>1</v>
      </c>
      <c r="W50" s="345">
        <f t="shared" ca="1" si="31"/>
        <v>12.5</v>
      </c>
      <c r="X50" s="177">
        <f ca="1">IFERROR(__xludf.DUMMYFUNCTION("IMPORTRANGE(""https://docs.google.com/spreadsheets/d/1gF7RJpRnL-1oyjyeWxs5SFWEH7y8ahOZsQlyp2A2e-A/edit?usp=sharing"",""อุดรธานี!J347"")"),6)</f>
        <v>6</v>
      </c>
      <c r="Y50" s="177">
        <f ca="1">IFERROR(__xludf.DUMMYFUNCTION("IMPORTRANGE(""https://docs.google.com/spreadsheets/d/1gF7RJpRnL-1oyjyeWxs5SFWEH7y8ahOZsQlyp2A2e-A/edit?usp=sharing"",""อุดรธานี!J348"")"),2)</f>
        <v>2</v>
      </c>
      <c r="Z50" s="177">
        <f ca="1">IFERROR(__xludf.DUMMYFUNCTION("IMPORTRANGE(""https://docs.google.com/spreadsheets/d/1gF7RJpRnL-1oyjyeWxs5SFWEH7y8ahOZsQlyp2A2e-A/edit?usp=sharing"",""อุดรธานี!J349"")"),174)</f>
        <v>174</v>
      </c>
      <c r="AA50" s="177">
        <f ca="1">IFERROR(__xludf.DUMMYFUNCTION("IMPORTRANGE(""https://docs.google.com/spreadsheets/d/1gF7RJpRnL-1oyjyeWxs5SFWEH7y8ahOZsQlyp2A2e-A/edit?usp=sharing"",""อุดรธานี!J352"")"),186)</f>
        <v>186</v>
      </c>
      <c r="AB50" s="177">
        <f ca="1">IFERROR(__xludf.DUMMYFUNCTION("IMPORTRANGE(""https://docs.google.com/spreadsheets/d/1gF7RJpRnL-1oyjyeWxs5SFWEH7y8ahOZsQlyp2A2e-A/edit?usp=sharing"",""อุดรธานี!J353"")"),2749)</f>
        <v>2749</v>
      </c>
    </row>
    <row r="51" spans="1:28" ht="21" customHeight="1" x14ac:dyDescent="0.3">
      <c r="A51" s="95">
        <v>20</v>
      </c>
      <c r="B51" s="96" t="s">
        <v>73</v>
      </c>
      <c r="C51" s="223">
        <f t="shared" ca="1" si="20"/>
        <v>120000</v>
      </c>
      <c r="D51" s="224">
        <f t="shared" ca="1" si="38"/>
        <v>120000</v>
      </c>
      <c r="E51" s="225">
        <f ca="1">IFERROR(__xludf.DUMMYFUNCTION("IMPORTRANGE(""https://docs.google.com/spreadsheets/d/1-uDff_7J0KD5mKrp0Vvzr7lt3OU09vwQwhkpOPPYv2Y/edit?usp=sharing"",""งบพรบ!ET51"")"),0)</f>
        <v>0</v>
      </c>
      <c r="F51" s="225">
        <f ca="1">IFERROR(__xludf.DUMMYFUNCTION("IMPORTRANGE(""https://docs.google.com/spreadsheets/d/1-uDff_7J0KD5mKrp0Vvzr7lt3OU09vwQwhkpOPPYv2Y/edit?usp=sharing"",""งบพรบ!EU51"")"),120000)</f>
        <v>120000</v>
      </c>
      <c r="G51" s="225">
        <f ca="1">IFERROR(__xludf.DUMMYFUNCTION("IMPORTRANGE(""https://docs.google.com/spreadsheets/d/1-uDff_7J0KD5mKrp0Vvzr7lt3OU09vwQwhkpOPPYv2Y/edit?usp=sharing"",""งบพรบ!EV51"")"),0)</f>
        <v>0</v>
      </c>
      <c r="H51" s="225">
        <f ca="1">IFERROR(__xludf.DUMMYFUNCTION("IMPORTRANGE(""https://docs.google.com/spreadsheets/d/1-uDff_7J0KD5mKrp0Vvzr7lt3OU09vwQwhkpOPPYv2Y/edit?usp=sharing"",""งบพรบ!EX51"")"),94550)</f>
        <v>94550</v>
      </c>
      <c r="I51" s="225">
        <f ca="1">IFERROR(__xludf.DUMMYFUNCTION("IMPORTRANGE(""https://docs.google.com/spreadsheets/d/1-uDff_7J0KD5mKrp0Vvzr7lt3OU09vwQwhkpOPPYv2Y/edit?usp=sharing"",""งบพรบ!EY51"")"),0)</f>
        <v>0</v>
      </c>
      <c r="J51" s="225">
        <f t="shared" ca="1" si="22"/>
        <v>41340</v>
      </c>
      <c r="K51" s="226">
        <f t="shared" ca="1" si="23"/>
        <v>34.450000000000003</v>
      </c>
      <c r="L51" s="225">
        <f ca="1">IFERROR(__xludf.DUMMYFUNCTION("IMPORTRANGE(""https://docs.google.com/spreadsheets/d/1-uDff_7J0KD5mKrp0Vvzr7lt3OU09vwQwhkpOPPYv2Y/edit?usp=sharing"",""งบพรบ!EZ51"")"),41340)</f>
        <v>41340</v>
      </c>
      <c r="M51" s="227">
        <f t="shared" ca="1" si="24"/>
        <v>34.450000000000003</v>
      </c>
      <c r="N51" s="227">
        <f t="shared" ca="1" si="25"/>
        <v>43.722897937599157</v>
      </c>
      <c r="O51" s="228">
        <f ca="1">IFERROR(__xludf.DUMMYFUNCTION("IMPORTRANGE(""https://docs.google.com/spreadsheets/d/1-uDff_7J0KD5mKrp0Vvzr7lt3OU09vwQwhkpOPPYv2Y/edit?usp=sharing"",""งบพรบ!FA51"")"),0)</f>
        <v>0</v>
      </c>
      <c r="P51" s="228">
        <f t="shared" ca="1" si="26"/>
        <v>0</v>
      </c>
      <c r="Q51" s="227">
        <f t="shared" ca="1" si="27"/>
        <v>0</v>
      </c>
      <c r="R51" s="347">
        <f ca="1">IFERROR(__xludf.DUMMYFUNCTION("IMPORTRANGE(""https://docs.google.com/spreadsheets/d/1kfLP0j3INXRa8bTDpcEmoWewMBV61jlFlfzczfjWIgc/edit?usp=sharing"",""อุบลราชธานี!I344"")"),4340)</f>
        <v>4340</v>
      </c>
      <c r="S51" s="190">
        <f ca="1">IFERROR(__xludf.DUMMYFUNCTION("IMPORTRANGE(""https://docs.google.com/spreadsheets/d/1kfLP0j3INXRa8bTDpcEmoWewMBV61jlFlfzczfjWIgc/edit?usp=sharing"",""อุบลราชธานี!J344"")"),3386)</f>
        <v>3386</v>
      </c>
      <c r="T51" s="348">
        <f t="shared" ca="1" si="29"/>
        <v>78.018433179723502</v>
      </c>
      <c r="U51" s="347">
        <f ca="1">IFERROR(__xludf.DUMMYFUNCTION("IMPORTRANGE(""https://docs.google.com/spreadsheets/d/1kfLP0j3INXRa8bTDpcEmoWewMBV61jlFlfzczfjWIgc/edit?usp=sharing"",""อุบลราชธานี!I346"")"),7)</f>
        <v>7</v>
      </c>
      <c r="V51" s="190">
        <f ca="1">IFERROR(__xludf.DUMMYFUNCTION("IMPORTRANGE(""https://docs.google.com/spreadsheets/d/1kfLP0j3INXRa8bTDpcEmoWewMBV61jlFlfzczfjWIgc/edit?usp=sharing"",""อุบลราชธานี!J346"")"),5)</f>
        <v>5</v>
      </c>
      <c r="W51" s="348">
        <f t="shared" ca="1" si="31"/>
        <v>71.428571428571431</v>
      </c>
      <c r="X51" s="190">
        <f ca="1">IFERROR(__xludf.DUMMYFUNCTION("IMPORTRANGE(""https://docs.google.com/spreadsheets/d/1kfLP0j3INXRa8bTDpcEmoWewMBV61jlFlfzczfjWIgc/edit?usp=sharing"",""อุบลราชธานี!J347"")"),66)</f>
        <v>66</v>
      </c>
      <c r="Y51" s="190">
        <f ca="1">IFERROR(__xludf.DUMMYFUNCTION("IMPORTRANGE(""https://docs.google.com/spreadsheets/d/1kfLP0j3INXRa8bTDpcEmoWewMBV61jlFlfzczfjWIgc/edit?usp=sharing"",""อุบลราชธานี!J348"")"),80)</f>
        <v>80</v>
      </c>
      <c r="Z51" s="190">
        <f ca="1">IFERROR(__xludf.DUMMYFUNCTION("IMPORTRANGE(""https://docs.google.com/spreadsheets/d/1kfLP0j3INXRa8bTDpcEmoWewMBV61jlFlfzczfjWIgc/edit?usp=sharing"",""อุบลราชธานี!J349"")"),13)</f>
        <v>13</v>
      </c>
      <c r="AA51" s="190">
        <f ca="1">IFERROR(__xludf.DUMMYFUNCTION("IMPORTRANGE(""https://docs.google.com/spreadsheets/d/1kfLP0j3INXRa8bTDpcEmoWewMBV61jlFlfzczfjWIgc/edit?usp=sharing"",""อุบลราชธานี!J352"")"),1626)</f>
        <v>1626</v>
      </c>
      <c r="AB51" s="190">
        <f ca="1">IFERROR(__xludf.DUMMYFUNCTION("IMPORTRANGE(""https://docs.google.com/spreadsheets/d/1kfLP0j3INXRa8bTDpcEmoWewMBV61jlFlfzczfjWIgc/edit?usp=sharing"",""อุบลราชธานี!J353"")"),3639)</f>
        <v>3639</v>
      </c>
    </row>
    <row r="52" spans="1:28" ht="21" customHeight="1" x14ac:dyDescent="0.3">
      <c r="A52" s="443" t="s">
        <v>74</v>
      </c>
      <c r="B52" s="376"/>
      <c r="C52" s="229">
        <f t="shared" ca="1" si="20"/>
        <v>4015000</v>
      </c>
      <c r="D52" s="229">
        <f t="shared" ref="D52:I52" ca="1" si="39">SUM(D53:D73)</f>
        <v>4015000</v>
      </c>
      <c r="E52" s="229">
        <f t="shared" ca="1" si="39"/>
        <v>1841000</v>
      </c>
      <c r="F52" s="229">
        <f t="shared" ca="1" si="39"/>
        <v>2174000</v>
      </c>
      <c r="G52" s="229">
        <f t="shared" ca="1" si="39"/>
        <v>0</v>
      </c>
      <c r="H52" s="229">
        <f t="shared" ca="1" si="39"/>
        <v>3026750</v>
      </c>
      <c r="I52" s="229">
        <f t="shared" ca="1" si="39"/>
        <v>0</v>
      </c>
      <c r="J52" s="229">
        <f t="shared" ca="1" si="22"/>
        <v>1025656.96</v>
      </c>
      <c r="K52" s="230">
        <f t="shared" ca="1" si="23"/>
        <v>25.545627895392279</v>
      </c>
      <c r="L52" s="229">
        <f ca="1">SUM(L53:L73)</f>
        <v>1025656.96</v>
      </c>
      <c r="M52" s="231">
        <f t="shared" ca="1" si="24"/>
        <v>25.545627895392279</v>
      </c>
      <c r="N52" s="231">
        <f t="shared" ca="1" si="25"/>
        <v>33.886411497480793</v>
      </c>
      <c r="O52" s="232">
        <f ca="1">SUM(O53:O73)</f>
        <v>0</v>
      </c>
      <c r="P52" s="232">
        <f t="shared" ca="1" si="26"/>
        <v>0</v>
      </c>
      <c r="Q52" s="231">
        <f t="shared" ca="1" si="27"/>
        <v>0</v>
      </c>
      <c r="R52" s="339">
        <f t="shared" ref="R52:S52" ca="1" si="40">SUM(R53:R73)</f>
        <v>19420</v>
      </c>
      <c r="S52" s="154">
        <f t="shared" ca="1" si="40"/>
        <v>11657</v>
      </c>
      <c r="T52" s="156">
        <f t="shared" ca="1" si="29"/>
        <v>60.025746652935119</v>
      </c>
      <c r="U52" s="339">
        <f t="shared" ref="U52:V52" ca="1" si="41">SUM(U53:U73)</f>
        <v>52</v>
      </c>
      <c r="V52" s="154">
        <f t="shared" ca="1" si="41"/>
        <v>40</v>
      </c>
      <c r="W52" s="156">
        <f t="shared" ca="1" si="31"/>
        <v>76.92307692307692</v>
      </c>
      <c r="X52" s="154">
        <f t="shared" ref="X52:AB52" ca="1" si="42">SUM(X53:X73)</f>
        <v>509</v>
      </c>
      <c r="Y52" s="154">
        <f t="shared" ca="1" si="42"/>
        <v>1277</v>
      </c>
      <c r="Z52" s="154">
        <f t="shared" ca="1" si="42"/>
        <v>67</v>
      </c>
      <c r="AA52" s="154">
        <f t="shared" ca="1" si="42"/>
        <v>4325</v>
      </c>
      <c r="AB52" s="154">
        <f t="shared" ca="1" si="42"/>
        <v>22166</v>
      </c>
    </row>
    <row r="53" spans="1:28" ht="21" customHeight="1" x14ac:dyDescent="0.3">
      <c r="A53" s="74">
        <v>1</v>
      </c>
      <c r="B53" s="75" t="s">
        <v>75</v>
      </c>
      <c r="C53" s="174">
        <f t="shared" ca="1" si="20"/>
        <v>106000</v>
      </c>
      <c r="D53" s="175">
        <f t="shared" ref="D53:D73" ca="1" si="43">+E53+F53</f>
        <v>106000</v>
      </c>
      <c r="E53" s="176">
        <f ca="1">IFERROR(__xludf.DUMMYFUNCTION("IMPORTRANGE(""https://docs.google.com/spreadsheets/d/1-uDff_7J0KD5mKrp0Vvzr7lt3OU09vwQwhkpOPPYv2Y/edit?usp=sharing"",""งบพรบ!ET53"")"),0)</f>
        <v>0</v>
      </c>
      <c r="F53" s="176">
        <f ca="1">IFERROR(__xludf.DUMMYFUNCTION("IMPORTRANGE(""https://docs.google.com/spreadsheets/d/1-uDff_7J0KD5mKrp0Vvzr7lt3OU09vwQwhkpOPPYv2Y/edit?usp=sharing"",""งบพรบ!EU53"")"),106000)</f>
        <v>106000</v>
      </c>
      <c r="G53" s="177">
        <f ca="1">IFERROR(__xludf.DUMMYFUNCTION("IMPORTRANGE(""https://docs.google.com/spreadsheets/d/1-uDff_7J0KD5mKrp0Vvzr7lt3OU09vwQwhkpOPPYv2Y/edit?usp=sharing"",""งบพรบ!EV53"")"),0)</f>
        <v>0</v>
      </c>
      <c r="H53" s="177">
        <f ca="1">IFERROR(__xludf.DUMMYFUNCTION("IMPORTRANGE(""https://docs.google.com/spreadsheets/d/1-uDff_7J0KD5mKrp0Vvzr7lt3OU09vwQwhkpOPPYv2Y/edit?usp=sharing"",""งบพรบ!EX53"")"),85750)</f>
        <v>85750</v>
      </c>
      <c r="I53" s="177">
        <f ca="1">IFERROR(__xludf.DUMMYFUNCTION("IMPORTRANGE(""https://docs.google.com/spreadsheets/d/1-uDff_7J0KD5mKrp0Vvzr7lt3OU09vwQwhkpOPPYv2Y/edit?usp=sharing"",""งบพรบ!EY53"")"),0)</f>
        <v>0</v>
      </c>
      <c r="J53" s="177">
        <f t="shared" ca="1" si="22"/>
        <v>28415</v>
      </c>
      <c r="K53" s="178">
        <f t="shared" ca="1" si="23"/>
        <v>26.806603773584907</v>
      </c>
      <c r="L53" s="177">
        <f ca="1">IFERROR(__xludf.DUMMYFUNCTION("IMPORTRANGE(""https://docs.google.com/spreadsheets/d/1-uDff_7J0KD5mKrp0Vvzr7lt3OU09vwQwhkpOPPYv2Y/edit?usp=sharing"",""งบพรบ!EZ53"")"),28415)</f>
        <v>28415</v>
      </c>
      <c r="M53" s="179">
        <f t="shared" ca="1" si="24"/>
        <v>26.806603773584907</v>
      </c>
      <c r="N53" s="179">
        <f t="shared" ca="1" si="25"/>
        <v>33.137026239067055</v>
      </c>
      <c r="O53" s="180">
        <f ca="1">IFERROR(__xludf.DUMMYFUNCTION("IMPORTRANGE(""https://docs.google.com/spreadsheets/d/1-uDff_7J0KD5mKrp0Vvzr7lt3OU09vwQwhkpOPPYv2Y/edit?usp=sharing"",""งบพรบ!FA53"")"),0)</f>
        <v>0</v>
      </c>
      <c r="P53" s="180">
        <f t="shared" ca="1" si="26"/>
        <v>0</v>
      </c>
      <c r="Q53" s="179">
        <f t="shared" ca="1" si="27"/>
        <v>0</v>
      </c>
      <c r="R53" s="344">
        <f ca="1">IFERROR(__xludf.DUMMYFUNCTION("IMPORTRANGE(""https://docs.google.com/spreadsheets/d/13wPX838HrBrQMCywv1BsuMkt4PEKTChp52zj44s2izQ/edit?usp=sharing"",""กาญจนบุรี!I344"")"),1060)</f>
        <v>1060</v>
      </c>
      <c r="S53" s="177">
        <f ca="1">IFERROR(__xludf.DUMMYFUNCTION("IMPORTRANGE(""https://docs.google.com/spreadsheets/d/13wPX838HrBrQMCywv1BsuMkt4PEKTChp52zj44s2izQ/edit?usp=sharing"",""กาญจนบุรี!J344"")"),457)</f>
        <v>457</v>
      </c>
      <c r="T53" s="345">
        <f t="shared" ca="1" si="29"/>
        <v>43.113207547169814</v>
      </c>
      <c r="U53" s="344">
        <f ca="1">IFERROR(__xludf.DUMMYFUNCTION("IMPORTRANGE(""https://docs.google.com/spreadsheets/d/13wPX838HrBrQMCywv1BsuMkt4PEKTChp52zj44s2izQ/edit?usp=sharing"",""กาญจนบุรี!I346"")"),3)</f>
        <v>3</v>
      </c>
      <c r="V53" s="177">
        <f ca="1">IFERROR(__xludf.DUMMYFUNCTION("IMPORTRANGE(""https://docs.google.com/spreadsheets/d/13wPX838HrBrQMCywv1BsuMkt4PEKTChp52zj44s2izQ/edit?usp=sharing"",""กาญจนบุรี!J346"")"),0)</f>
        <v>0</v>
      </c>
      <c r="W53" s="345">
        <f t="shared" ca="1" si="31"/>
        <v>0</v>
      </c>
      <c r="X53" s="177">
        <f ca="1">IFERROR(__xludf.DUMMYFUNCTION("IMPORTRANGE(""https://docs.google.com/spreadsheets/d/13wPX838HrBrQMCywv1BsuMkt4PEKTChp52zj44s2izQ/edit?usp=sharing"",""กาญจนบุรี!J347"")"),0)</f>
        <v>0</v>
      </c>
      <c r="Y53" s="177">
        <f ca="1">IFERROR(__xludf.DUMMYFUNCTION("IMPORTRANGE(""https://docs.google.com/spreadsheets/d/13wPX838HrBrQMCywv1BsuMkt4PEKTChp52zj44s2izQ/edit?usp=sharing"",""กาญจนบุรี!J348"")"),13)</f>
        <v>13</v>
      </c>
      <c r="Z53" s="177">
        <f ca="1">IFERROR(__xludf.DUMMYFUNCTION("IMPORTRANGE(""https://docs.google.com/spreadsheets/d/13wPX838HrBrQMCywv1BsuMkt4PEKTChp52zj44s2izQ/edit?usp=sharing"",""กาญจนบุรี!J349"")"),60)</f>
        <v>60</v>
      </c>
      <c r="AA53" s="177">
        <f ca="1">IFERROR(__xludf.DUMMYFUNCTION("IMPORTRANGE(""https://docs.google.com/spreadsheets/d/13wPX838HrBrQMCywv1BsuMkt4PEKTChp52zj44s2izQ/edit?usp=sharing"",""กาญจนบุรี!J352"")"),16)</f>
        <v>16</v>
      </c>
      <c r="AB53" s="177">
        <f ca="1">IFERROR(__xludf.DUMMYFUNCTION("IMPORTRANGE(""https://docs.google.com/spreadsheets/d/13wPX838HrBrQMCywv1BsuMkt4PEKTChp52zj44s2izQ/edit?usp=sharing"",""กาญจนบุรี!J353"")"),933)</f>
        <v>933</v>
      </c>
    </row>
    <row r="54" spans="1:28" ht="21" customHeight="1" x14ac:dyDescent="0.3">
      <c r="A54" s="84">
        <v>2</v>
      </c>
      <c r="B54" s="85" t="s">
        <v>76</v>
      </c>
      <c r="C54" s="174">
        <f t="shared" ca="1" si="20"/>
        <v>108000</v>
      </c>
      <c r="D54" s="175">
        <f t="shared" ca="1" si="43"/>
        <v>108000</v>
      </c>
      <c r="E54" s="176">
        <f ca="1">IFERROR(__xludf.DUMMYFUNCTION("IMPORTRANGE(""https://docs.google.com/spreadsheets/d/1-uDff_7J0KD5mKrp0Vvzr7lt3OU09vwQwhkpOPPYv2Y/edit?usp=sharing"",""งบพรบ!ET54"")"),0)</f>
        <v>0</v>
      </c>
      <c r="F54" s="176">
        <f ca="1">IFERROR(__xludf.DUMMYFUNCTION("IMPORTRANGE(""https://docs.google.com/spreadsheets/d/1-uDff_7J0KD5mKrp0Vvzr7lt3OU09vwQwhkpOPPYv2Y/edit?usp=sharing"",""งบพรบ!EU54"")"),108000)</f>
        <v>108000</v>
      </c>
      <c r="G54" s="176">
        <f ca="1">IFERROR(__xludf.DUMMYFUNCTION("IMPORTRANGE(""https://docs.google.com/spreadsheets/d/1-uDff_7J0KD5mKrp0Vvzr7lt3OU09vwQwhkpOPPYv2Y/edit?usp=sharing"",""งบพรบ!EV54"")"),0)</f>
        <v>0</v>
      </c>
      <c r="H54" s="176">
        <f ca="1">IFERROR(__xludf.DUMMYFUNCTION("IMPORTRANGE(""https://docs.google.com/spreadsheets/d/1-uDff_7J0KD5mKrp0Vvzr7lt3OU09vwQwhkpOPPYv2Y/edit?usp=sharing"",""งบพรบ!EX54"")"),85750)</f>
        <v>85750</v>
      </c>
      <c r="I54" s="176">
        <f ca="1">IFERROR(__xludf.DUMMYFUNCTION("IMPORTRANGE(""https://docs.google.com/spreadsheets/d/1-uDff_7J0KD5mKrp0Vvzr7lt3OU09vwQwhkpOPPYv2Y/edit?usp=sharing"",""งบพรบ!EY54"")"),0)</f>
        <v>0</v>
      </c>
      <c r="J54" s="176">
        <f t="shared" ca="1" si="22"/>
        <v>29100</v>
      </c>
      <c r="K54" s="181">
        <f t="shared" ca="1" si="23"/>
        <v>26.944444444444443</v>
      </c>
      <c r="L54" s="176">
        <f ca="1">IFERROR(__xludf.DUMMYFUNCTION("IMPORTRANGE(""https://docs.google.com/spreadsheets/d/1-uDff_7J0KD5mKrp0Vvzr7lt3OU09vwQwhkpOPPYv2Y/edit?usp=sharing"",""งบพรบ!EZ54"")"),29100)</f>
        <v>29100</v>
      </c>
      <c r="M54" s="179">
        <f t="shared" ca="1" si="24"/>
        <v>26.944444444444443</v>
      </c>
      <c r="N54" s="179">
        <f t="shared" ca="1" si="25"/>
        <v>33.935860058309039</v>
      </c>
      <c r="O54" s="180">
        <f ca="1">IFERROR(__xludf.DUMMYFUNCTION("IMPORTRANGE(""https://docs.google.com/spreadsheets/d/1-uDff_7J0KD5mKrp0Vvzr7lt3OU09vwQwhkpOPPYv2Y/edit?usp=sharing"",""งบพรบ!FA54"")"),0)</f>
        <v>0</v>
      </c>
      <c r="P54" s="180">
        <f t="shared" ca="1" si="26"/>
        <v>0</v>
      </c>
      <c r="Q54" s="179">
        <f t="shared" ca="1" si="27"/>
        <v>0</v>
      </c>
      <c r="R54" s="344">
        <f ca="1">IFERROR(__xludf.DUMMYFUNCTION("IMPORTRANGE(""https://docs.google.com/spreadsheets/d/1ddFKvqj1W1NEiWytbGlB1zMx_ykJDVtmfEQ-6-lIUBA/edit?usp=sharing"",""จันทบุรี!I344"")"),1060)</f>
        <v>1060</v>
      </c>
      <c r="S54" s="177">
        <f ca="1">IFERROR(__xludf.DUMMYFUNCTION("IMPORTRANGE(""https://docs.google.com/spreadsheets/d/1ddFKvqj1W1NEiWytbGlB1zMx_ykJDVtmfEQ-6-lIUBA/edit?usp=sharing"",""จันทบุรี!J344"")"),1450)</f>
        <v>1450</v>
      </c>
      <c r="T54" s="345">
        <f t="shared" ca="1" si="29"/>
        <v>136.79245283018867</v>
      </c>
      <c r="U54" s="344">
        <f ca="1">IFERROR(__xludf.DUMMYFUNCTION("IMPORTRANGE(""https://docs.google.com/spreadsheets/d/1ddFKvqj1W1NEiWytbGlB1zMx_ykJDVtmfEQ-6-lIUBA/edit?usp=sharing"",""จันทบุรี!I346"")"),4)</f>
        <v>4</v>
      </c>
      <c r="V54" s="177">
        <f ca="1">IFERROR(__xludf.DUMMYFUNCTION("IMPORTRANGE(""https://docs.google.com/spreadsheets/d/1ddFKvqj1W1NEiWytbGlB1zMx_ykJDVtmfEQ-6-lIUBA/edit?usp=sharing"",""จันทบุรี!J346"")"),0)</f>
        <v>0</v>
      </c>
      <c r="W54" s="345">
        <f t="shared" ca="1" si="31"/>
        <v>0</v>
      </c>
      <c r="X54" s="177">
        <f ca="1">IFERROR(__xludf.DUMMYFUNCTION("IMPORTRANGE(""https://docs.google.com/spreadsheets/d/1ddFKvqj1W1NEiWytbGlB1zMx_ykJDVtmfEQ-6-lIUBA/edit?usp=sharing"",""จันทบุรี!J347"")"),214)</f>
        <v>214</v>
      </c>
      <c r="Y54" s="177">
        <f ca="1">IFERROR(__xludf.DUMMYFUNCTION("IMPORTRANGE(""https://docs.google.com/spreadsheets/d/1ddFKvqj1W1NEiWytbGlB1zMx_ykJDVtmfEQ-6-lIUBA/edit?usp=sharing"",""จันทบุรี!J348"")"),962)</f>
        <v>962</v>
      </c>
      <c r="Z54" s="177">
        <f ca="1">IFERROR(__xludf.DUMMYFUNCTION("IMPORTRANGE(""https://docs.google.com/spreadsheets/d/1ddFKvqj1W1NEiWytbGlB1zMx_ykJDVtmfEQ-6-lIUBA/edit?usp=sharing"",""จันทบุรี!J349"")"),0)</f>
        <v>0</v>
      </c>
      <c r="AA54" s="177">
        <f ca="1">IFERROR(__xludf.DUMMYFUNCTION("IMPORTRANGE(""https://docs.google.com/spreadsheets/d/1ddFKvqj1W1NEiWytbGlB1zMx_ykJDVtmfEQ-6-lIUBA/edit?usp=sharing"",""จันทบุรี!J352"")"),16)</f>
        <v>16</v>
      </c>
      <c r="AB54" s="177">
        <f ca="1">IFERROR(__xludf.DUMMYFUNCTION("IMPORTRANGE(""https://docs.google.com/spreadsheets/d/1ddFKvqj1W1NEiWytbGlB1zMx_ykJDVtmfEQ-6-lIUBA/edit?usp=sharing"",""จันทบุรี!J353"")"),1419)</f>
        <v>1419</v>
      </c>
    </row>
    <row r="55" spans="1:28" ht="21" customHeight="1" x14ac:dyDescent="0.3">
      <c r="A55" s="84">
        <v>3</v>
      </c>
      <c r="B55" s="85" t="s">
        <v>77</v>
      </c>
      <c r="C55" s="174">
        <f t="shared" ca="1" si="20"/>
        <v>379000</v>
      </c>
      <c r="D55" s="175">
        <f t="shared" ca="1" si="43"/>
        <v>379000</v>
      </c>
      <c r="E55" s="176">
        <f ca="1">IFERROR(__xludf.DUMMYFUNCTION("IMPORTRANGE(""https://docs.google.com/spreadsheets/d/1-uDff_7J0KD5mKrp0Vvzr7lt3OU09vwQwhkpOPPYv2Y/edit?usp=sharing"",""งบพรบ!ET55"")"),266000)</f>
        <v>266000</v>
      </c>
      <c r="F55" s="176">
        <f ca="1">IFERROR(__xludf.DUMMYFUNCTION("IMPORTRANGE(""https://docs.google.com/spreadsheets/d/1-uDff_7J0KD5mKrp0Vvzr7lt3OU09vwQwhkpOPPYv2Y/edit?usp=sharing"",""งบพรบ!EU55"")"),113000)</f>
        <v>113000</v>
      </c>
      <c r="G55" s="176">
        <f ca="1">IFERROR(__xludf.DUMMYFUNCTION("IMPORTRANGE(""https://docs.google.com/spreadsheets/d/1-uDff_7J0KD5mKrp0Vvzr7lt3OU09vwQwhkpOPPYv2Y/edit?usp=sharing"",""งบพรบ!EV55"")"),0)</f>
        <v>0</v>
      </c>
      <c r="H55" s="176">
        <f ca="1">IFERROR(__xludf.DUMMYFUNCTION("IMPORTRANGE(""https://docs.google.com/spreadsheets/d/1-uDff_7J0KD5mKrp0Vvzr7lt3OU09vwQwhkpOPPYv2Y/edit?usp=sharing"",""งบพรบ!EX55"")"),278150)</f>
        <v>278150</v>
      </c>
      <c r="I55" s="176">
        <f ca="1">IFERROR(__xludf.DUMMYFUNCTION("IMPORTRANGE(""https://docs.google.com/spreadsheets/d/1-uDff_7J0KD5mKrp0Vvzr7lt3OU09vwQwhkpOPPYv2Y/edit?usp=sharing"",""งบพรบ!EY55"")"),0)</f>
        <v>0</v>
      </c>
      <c r="J55" s="176">
        <f t="shared" ca="1" si="22"/>
        <v>123326.68</v>
      </c>
      <c r="K55" s="181">
        <f t="shared" ca="1" si="23"/>
        <v>32.540021108179417</v>
      </c>
      <c r="L55" s="176">
        <f ca="1">IFERROR(__xludf.DUMMYFUNCTION("IMPORTRANGE(""https://docs.google.com/spreadsheets/d/1-uDff_7J0KD5mKrp0Vvzr7lt3OU09vwQwhkpOPPYv2Y/edit?usp=sharing"",""งบพรบ!EZ55"")"),123326.68)</f>
        <v>123326.68</v>
      </c>
      <c r="M55" s="179">
        <f t="shared" ca="1" si="24"/>
        <v>32.540021108179417</v>
      </c>
      <c r="N55" s="179">
        <f t="shared" ca="1" si="25"/>
        <v>44.33819162322488</v>
      </c>
      <c r="O55" s="180">
        <f ca="1">IFERROR(__xludf.DUMMYFUNCTION("IMPORTRANGE(""https://docs.google.com/spreadsheets/d/1-uDff_7J0KD5mKrp0Vvzr7lt3OU09vwQwhkpOPPYv2Y/edit?usp=sharing"",""งบพรบ!FA55"")"),0)</f>
        <v>0</v>
      </c>
      <c r="P55" s="180">
        <f t="shared" ca="1" si="26"/>
        <v>0</v>
      </c>
      <c r="Q55" s="179">
        <f t="shared" ca="1" si="27"/>
        <v>0</v>
      </c>
      <c r="R55" s="344">
        <f ca="1">IFERROR(__xludf.DUMMYFUNCTION("IMPORTRANGE(""https://docs.google.com/spreadsheets/d/1T1PQvRODqOBZk8BRht_U031fIS1beLA0Ub2CEytj2q0/edit?usp=sharing"",""ฉะเชิงเทรา!I344"")"),2860)</f>
        <v>2860</v>
      </c>
      <c r="S55" s="177">
        <f ca="1">IFERROR(__xludf.DUMMYFUNCTION("IMPORTRANGE(""https://docs.google.com/spreadsheets/d/1T1PQvRODqOBZk8BRht_U031fIS1beLA0Ub2CEytj2q0/edit?usp=sharing"",""ฉะเชิงเทรา!J344"")"),2002)</f>
        <v>2002</v>
      </c>
      <c r="T55" s="345">
        <f t="shared" ca="1" si="29"/>
        <v>70</v>
      </c>
      <c r="U55" s="344">
        <f ca="1">IFERROR(__xludf.DUMMYFUNCTION("IMPORTRANGE(""https://docs.google.com/spreadsheets/d/1T1PQvRODqOBZk8BRht_U031fIS1beLA0Ub2CEytj2q0/edit?usp=sharing"",""ฉะเชิงเทรา!I346"")"),5)</f>
        <v>5</v>
      </c>
      <c r="V55" s="177">
        <f ca="1">IFERROR(__xludf.DUMMYFUNCTION("IMPORTRANGE(""https://docs.google.com/spreadsheets/d/1T1PQvRODqOBZk8BRht_U031fIS1beLA0Ub2CEytj2q0/edit?usp=sharing"",""ฉะเชิงเทรา!J346"")"),5)</f>
        <v>5</v>
      </c>
      <c r="W55" s="345">
        <f t="shared" ca="1" si="31"/>
        <v>100</v>
      </c>
      <c r="X55" s="177">
        <f ca="1">IFERROR(__xludf.DUMMYFUNCTION("IMPORTRANGE(""https://docs.google.com/spreadsheets/d/1T1PQvRODqOBZk8BRht_U031fIS1beLA0Ub2CEytj2q0/edit?usp=sharing"",""ฉะเชิงเทรา!J347"")"),0)</f>
        <v>0</v>
      </c>
      <c r="Y55" s="177">
        <f ca="1">IFERROR(__xludf.DUMMYFUNCTION("IMPORTRANGE(""https://docs.google.com/spreadsheets/d/1T1PQvRODqOBZk8BRht_U031fIS1beLA0Ub2CEytj2q0/edit?usp=sharing"",""ฉะเชิงเทรา!J348"")"),6)</f>
        <v>6</v>
      </c>
      <c r="Z55" s="177">
        <f ca="1">IFERROR(__xludf.DUMMYFUNCTION("IMPORTRANGE(""https://docs.google.com/spreadsheets/d/1T1PQvRODqOBZk8BRht_U031fIS1beLA0Ub2CEytj2q0/edit?usp=sharing"",""ฉะเชิงเทรา!J349"")"),0)</f>
        <v>0</v>
      </c>
      <c r="AA55" s="177">
        <f ca="1">IFERROR(__xludf.DUMMYFUNCTION("IMPORTRANGE(""https://docs.google.com/spreadsheets/d/1T1PQvRODqOBZk8BRht_U031fIS1beLA0Ub2CEytj2q0/edit?usp=sharing"",""ฉะเชิงเทรา!J352"")"),374)</f>
        <v>374</v>
      </c>
      <c r="AB55" s="177">
        <f ca="1">IFERROR(__xludf.DUMMYFUNCTION("IMPORTRANGE(""https://docs.google.com/spreadsheets/d/1T1PQvRODqOBZk8BRht_U031fIS1beLA0Ub2CEytj2q0/edit?usp=sharing"",""ฉะเชิงเทรา!J353"")"),2798)</f>
        <v>2798</v>
      </c>
    </row>
    <row r="56" spans="1:28" ht="21" customHeight="1" x14ac:dyDescent="0.3">
      <c r="A56" s="84">
        <v>4</v>
      </c>
      <c r="B56" s="85" t="s">
        <v>78</v>
      </c>
      <c r="C56" s="174">
        <f t="shared" ca="1" si="20"/>
        <v>106000</v>
      </c>
      <c r="D56" s="175">
        <f t="shared" ca="1" si="43"/>
        <v>106000</v>
      </c>
      <c r="E56" s="176">
        <f ca="1">IFERROR(__xludf.DUMMYFUNCTION("IMPORTRANGE(""https://docs.google.com/spreadsheets/d/1-uDff_7J0KD5mKrp0Vvzr7lt3OU09vwQwhkpOPPYv2Y/edit?usp=sharing"",""งบพรบ!ET56"")"),0)</f>
        <v>0</v>
      </c>
      <c r="F56" s="176">
        <f ca="1">IFERROR(__xludf.DUMMYFUNCTION("IMPORTRANGE(""https://docs.google.com/spreadsheets/d/1-uDff_7J0KD5mKrp0Vvzr7lt3OU09vwQwhkpOPPYv2Y/edit?usp=sharing"",""งบพรบ!EU56"")"),106000)</f>
        <v>106000</v>
      </c>
      <c r="G56" s="176">
        <f ca="1">IFERROR(__xludf.DUMMYFUNCTION("IMPORTRANGE(""https://docs.google.com/spreadsheets/d/1-uDff_7J0KD5mKrp0Vvzr7lt3OU09vwQwhkpOPPYv2Y/edit?usp=sharing"",""งบพรบ!EV56"")"),0)</f>
        <v>0</v>
      </c>
      <c r="H56" s="176">
        <f ca="1">IFERROR(__xludf.DUMMYFUNCTION("IMPORTRANGE(""https://docs.google.com/spreadsheets/d/1-uDff_7J0KD5mKrp0Vvzr7lt3OU09vwQwhkpOPPYv2Y/edit?usp=sharing"",""งบพรบ!EX56"")"),85750)</f>
        <v>85750</v>
      </c>
      <c r="I56" s="176">
        <f ca="1">IFERROR(__xludf.DUMMYFUNCTION("IMPORTRANGE(""https://docs.google.com/spreadsheets/d/1-uDff_7J0KD5mKrp0Vvzr7lt3OU09vwQwhkpOPPYv2Y/edit?usp=sharing"",""งบพรบ!EY56"")"),0)</f>
        <v>0</v>
      </c>
      <c r="J56" s="176">
        <f t="shared" ca="1" si="22"/>
        <v>31000.2</v>
      </c>
      <c r="K56" s="181">
        <f t="shared" ca="1" si="23"/>
        <v>29.245471698113207</v>
      </c>
      <c r="L56" s="176">
        <f ca="1">IFERROR(__xludf.DUMMYFUNCTION("IMPORTRANGE(""https://docs.google.com/spreadsheets/d/1-uDff_7J0KD5mKrp0Vvzr7lt3OU09vwQwhkpOPPYv2Y/edit?usp=sharing"",""งบพรบ!EZ56"")"),31000.2)</f>
        <v>31000.2</v>
      </c>
      <c r="M56" s="179">
        <f t="shared" ca="1" si="24"/>
        <v>29.245471698113207</v>
      </c>
      <c r="N56" s="179">
        <f t="shared" ca="1" si="25"/>
        <v>36.15183673469388</v>
      </c>
      <c r="O56" s="180">
        <f ca="1">IFERROR(__xludf.DUMMYFUNCTION("IMPORTRANGE(""https://docs.google.com/spreadsheets/d/1-uDff_7J0KD5mKrp0Vvzr7lt3OU09vwQwhkpOPPYv2Y/edit?usp=sharing"",""งบพรบ!FA56"")"),0)</f>
        <v>0</v>
      </c>
      <c r="P56" s="180">
        <f t="shared" ca="1" si="26"/>
        <v>0</v>
      </c>
      <c r="Q56" s="179">
        <f t="shared" ca="1" si="27"/>
        <v>0</v>
      </c>
      <c r="R56" s="344">
        <f ca="1">IFERROR(__xludf.DUMMYFUNCTION("IMPORTRANGE(""https://docs.google.com/spreadsheets/d/11tr1B-Bhyr79v2bkwVh5h_fR-PStkgjlZtkrZpYurG0/edit?usp=sharing"",""ชลบุรี!I344"")"),940)</f>
        <v>940</v>
      </c>
      <c r="S56" s="177">
        <f ca="1">IFERROR(__xludf.DUMMYFUNCTION("IMPORTRANGE(""https://docs.google.com/spreadsheets/d/11tr1B-Bhyr79v2bkwVh5h_fR-PStkgjlZtkrZpYurG0/edit?usp=sharing"",""ชลบุรี!J344"")"),303)</f>
        <v>303</v>
      </c>
      <c r="T56" s="345">
        <f t="shared" ca="1" si="29"/>
        <v>32.234042553191486</v>
      </c>
      <c r="U56" s="344">
        <f ca="1">IFERROR(__xludf.DUMMYFUNCTION("IMPORTRANGE(""https://docs.google.com/spreadsheets/d/11tr1B-Bhyr79v2bkwVh5h_fR-PStkgjlZtkrZpYurG0/edit?usp=sharing"",""ชลบุรี!I346"")"),3)</f>
        <v>3</v>
      </c>
      <c r="V56" s="177">
        <f ca="1">IFERROR(__xludf.DUMMYFUNCTION("IMPORTRANGE(""https://docs.google.com/spreadsheets/d/11tr1B-Bhyr79v2bkwVh5h_fR-PStkgjlZtkrZpYurG0/edit?usp=sharing"",""ชลบุรี!J346"")"),3)</f>
        <v>3</v>
      </c>
      <c r="W56" s="345">
        <f t="shared" ca="1" si="31"/>
        <v>100</v>
      </c>
      <c r="X56" s="177">
        <f ca="1">IFERROR(__xludf.DUMMYFUNCTION("IMPORTRANGE(""https://docs.google.com/spreadsheets/d/11tr1B-Bhyr79v2bkwVh5h_fR-PStkgjlZtkrZpYurG0/edit?usp=sharing"",""ชลบุรี!J347"")"),0)</f>
        <v>0</v>
      </c>
      <c r="Y56" s="177">
        <f ca="1">IFERROR(__xludf.DUMMYFUNCTION("IMPORTRANGE(""https://docs.google.com/spreadsheets/d/11tr1B-Bhyr79v2bkwVh5h_fR-PStkgjlZtkrZpYurG0/edit?usp=sharing"",""ชลบุรี!J348"")"),9)</f>
        <v>9</v>
      </c>
      <c r="Z56" s="177">
        <f ca="1">IFERROR(__xludf.DUMMYFUNCTION("IMPORTRANGE(""https://docs.google.com/spreadsheets/d/11tr1B-Bhyr79v2bkwVh5h_fR-PStkgjlZtkrZpYurG0/edit?usp=sharing"",""ชลบุรี!J349"")"),0)</f>
        <v>0</v>
      </c>
      <c r="AA56" s="177">
        <f ca="1">IFERROR(__xludf.DUMMYFUNCTION("IMPORTRANGE(""https://docs.google.com/spreadsheets/d/11tr1B-Bhyr79v2bkwVh5h_fR-PStkgjlZtkrZpYurG0/edit?usp=sharing"",""ชลบุรี!J352"")"),621)</f>
        <v>621</v>
      </c>
      <c r="AB56" s="177">
        <f ca="1">IFERROR(__xludf.DUMMYFUNCTION("IMPORTRANGE(""https://docs.google.com/spreadsheets/d/11tr1B-Bhyr79v2bkwVh5h_fR-PStkgjlZtkrZpYurG0/edit?usp=sharing"",""ชลบุรี!J353"")"),2047)</f>
        <v>2047</v>
      </c>
    </row>
    <row r="57" spans="1:28" ht="21" customHeight="1" x14ac:dyDescent="0.3">
      <c r="A57" s="84">
        <v>5</v>
      </c>
      <c r="B57" s="85" t="s">
        <v>79</v>
      </c>
      <c r="C57" s="174">
        <f t="shared" ca="1" si="20"/>
        <v>103000</v>
      </c>
      <c r="D57" s="175">
        <f t="shared" ca="1" si="43"/>
        <v>103000</v>
      </c>
      <c r="E57" s="176">
        <f ca="1">IFERROR(__xludf.DUMMYFUNCTION("IMPORTRANGE(""https://docs.google.com/spreadsheets/d/1-uDff_7J0KD5mKrp0Vvzr7lt3OU09vwQwhkpOPPYv2Y/edit?usp=sharing"",""งบพรบ!ET57"")"),0)</f>
        <v>0</v>
      </c>
      <c r="F57" s="176">
        <f ca="1">IFERROR(__xludf.DUMMYFUNCTION("IMPORTRANGE(""https://docs.google.com/spreadsheets/d/1-uDff_7J0KD5mKrp0Vvzr7lt3OU09vwQwhkpOPPYv2Y/edit?usp=sharing"",""งบพรบ!EU57"")"),103000)</f>
        <v>103000</v>
      </c>
      <c r="G57" s="176">
        <f ca="1">IFERROR(__xludf.DUMMYFUNCTION("IMPORTRANGE(""https://docs.google.com/spreadsheets/d/1-uDff_7J0KD5mKrp0Vvzr7lt3OU09vwQwhkpOPPYv2Y/edit?usp=sharing"",""งบพรบ!EV57"")"),0)</f>
        <v>0</v>
      </c>
      <c r="H57" s="176">
        <f ca="1">IFERROR(__xludf.DUMMYFUNCTION("IMPORTRANGE(""https://docs.google.com/spreadsheets/d/1-uDff_7J0KD5mKrp0Vvzr7lt3OU09vwQwhkpOPPYv2Y/edit?usp=sharing"",""งบพรบ!EX57"")"),83350)</f>
        <v>83350</v>
      </c>
      <c r="I57" s="176">
        <f ca="1">IFERROR(__xludf.DUMMYFUNCTION("IMPORTRANGE(""https://docs.google.com/spreadsheets/d/1-uDff_7J0KD5mKrp0Vvzr7lt3OU09vwQwhkpOPPYv2Y/edit?usp=sharing"",""งบพรบ!EY57"")"),0)</f>
        <v>0</v>
      </c>
      <c r="J57" s="176">
        <f t="shared" ca="1" si="22"/>
        <v>30320</v>
      </c>
      <c r="K57" s="181">
        <f t="shared" ca="1" si="23"/>
        <v>29.436893203883496</v>
      </c>
      <c r="L57" s="176">
        <f ca="1">IFERROR(__xludf.DUMMYFUNCTION("IMPORTRANGE(""https://docs.google.com/spreadsheets/d/1-uDff_7J0KD5mKrp0Vvzr7lt3OU09vwQwhkpOPPYv2Y/edit?usp=sharing"",""งบพรบ!EZ57"")"),30320)</f>
        <v>30320</v>
      </c>
      <c r="M57" s="179">
        <f t="shared" ca="1" si="24"/>
        <v>29.436893203883496</v>
      </c>
      <c r="N57" s="179">
        <f t="shared" ca="1" si="25"/>
        <v>36.376724655068983</v>
      </c>
      <c r="O57" s="180">
        <f ca="1">IFERROR(__xludf.DUMMYFUNCTION("IMPORTRANGE(""https://docs.google.com/spreadsheets/d/1-uDff_7J0KD5mKrp0Vvzr7lt3OU09vwQwhkpOPPYv2Y/edit?usp=sharing"",""งบพรบ!FA57"")"),0)</f>
        <v>0</v>
      </c>
      <c r="P57" s="180">
        <f t="shared" ca="1" si="26"/>
        <v>0</v>
      </c>
      <c r="Q57" s="179">
        <f t="shared" ca="1" si="27"/>
        <v>0</v>
      </c>
      <c r="R57" s="344">
        <f ca="1">IFERROR(__xludf.DUMMYFUNCTION("IMPORTRANGE(""https://docs.google.com/spreadsheets/d/1hh-FVnSX0vozXhGluamEcS54Dw9_zqW0N7qJUWgJ0Sw/edit?usp=sharing"",""ชัยนาท!I344"")"),540)</f>
        <v>540</v>
      </c>
      <c r="S57" s="177">
        <f ca="1">IFERROR(__xludf.DUMMYFUNCTION("IMPORTRANGE(""https://docs.google.com/spreadsheets/d/1hh-FVnSX0vozXhGluamEcS54Dw9_zqW0N7qJUWgJ0Sw/edit?usp=sharing"",""ชัยนาท!J344"")"),230)</f>
        <v>230</v>
      </c>
      <c r="T57" s="345">
        <f t="shared" ca="1" si="29"/>
        <v>42.592592592592595</v>
      </c>
      <c r="U57" s="344">
        <f ca="1">IFERROR(__xludf.DUMMYFUNCTION("IMPORTRANGE(""https://docs.google.com/spreadsheets/d/1hh-FVnSX0vozXhGluamEcS54Dw9_zqW0N7qJUWgJ0Sw/edit?usp=sharing"",""ชัยนาท!I346"")"),3)</f>
        <v>3</v>
      </c>
      <c r="V57" s="177">
        <f ca="1">IFERROR(__xludf.DUMMYFUNCTION("IMPORTRANGE(""https://docs.google.com/spreadsheets/d/1hh-FVnSX0vozXhGluamEcS54Dw9_zqW0N7qJUWgJ0Sw/edit?usp=sharing"",""ชัยนาท!J346"")"),7)</f>
        <v>7</v>
      </c>
      <c r="W57" s="345">
        <f t="shared" ca="1" si="31"/>
        <v>233.33333333333334</v>
      </c>
      <c r="X57" s="177">
        <f ca="1">IFERROR(__xludf.DUMMYFUNCTION("IMPORTRANGE(""https://docs.google.com/spreadsheets/d/1hh-FVnSX0vozXhGluamEcS54Dw9_zqW0N7qJUWgJ0Sw/edit?usp=sharing"",""ชัยนาท!J347"")"),0)</f>
        <v>0</v>
      </c>
      <c r="Y57" s="177">
        <f ca="1">IFERROR(__xludf.DUMMYFUNCTION("IMPORTRANGE(""https://docs.google.com/spreadsheets/d/1hh-FVnSX0vozXhGluamEcS54Dw9_zqW0N7qJUWgJ0Sw/edit?usp=sharing"",""ชัยนาท!J348"")"),2)</f>
        <v>2</v>
      </c>
      <c r="Z57" s="177">
        <f ca="1">IFERROR(__xludf.DUMMYFUNCTION("IMPORTRANGE(""https://docs.google.com/spreadsheets/d/1hh-FVnSX0vozXhGluamEcS54Dw9_zqW0N7qJUWgJ0Sw/edit?usp=sharing"",""ชัยนาท!J349"")"),0)</f>
        <v>0</v>
      </c>
      <c r="AA57" s="177">
        <f ca="1">IFERROR(__xludf.DUMMYFUNCTION("IMPORTRANGE(""https://docs.google.com/spreadsheets/d/1hh-FVnSX0vozXhGluamEcS54Dw9_zqW0N7qJUWgJ0Sw/edit?usp=sharing"",""ชัยนาท!J352"")"),0)</f>
        <v>0</v>
      </c>
      <c r="AB57" s="177">
        <f ca="1">IFERROR(__xludf.DUMMYFUNCTION("IMPORTRANGE(""https://docs.google.com/spreadsheets/d/1hh-FVnSX0vozXhGluamEcS54Dw9_zqW0N7qJUWgJ0Sw/edit?usp=sharing"",""ชัยนาท!J353"")"),1034)</f>
        <v>1034</v>
      </c>
    </row>
    <row r="58" spans="1:28" ht="21" customHeight="1" x14ac:dyDescent="0.3">
      <c r="A58" s="84">
        <v>6</v>
      </c>
      <c r="B58" s="85" t="s">
        <v>80</v>
      </c>
      <c r="C58" s="174">
        <f t="shared" ca="1" si="20"/>
        <v>216600</v>
      </c>
      <c r="D58" s="175">
        <f t="shared" ca="1" si="43"/>
        <v>216600</v>
      </c>
      <c r="E58" s="176">
        <f ca="1">IFERROR(__xludf.DUMMYFUNCTION("IMPORTRANGE(""https://docs.google.com/spreadsheets/d/1-uDff_7J0KD5mKrp0Vvzr7lt3OU09vwQwhkpOPPYv2Y/edit?usp=sharing"",""งบพรบ!ET58"")"),117600)</f>
        <v>117600</v>
      </c>
      <c r="F58" s="176">
        <f ca="1">IFERROR(__xludf.DUMMYFUNCTION("IMPORTRANGE(""https://docs.google.com/spreadsheets/d/1-uDff_7J0KD5mKrp0Vvzr7lt3OU09vwQwhkpOPPYv2Y/edit?usp=sharing"",""งบพรบ!EU58"")"),99000)</f>
        <v>99000</v>
      </c>
      <c r="G58" s="176">
        <f ca="1">IFERROR(__xludf.DUMMYFUNCTION("IMPORTRANGE(""https://docs.google.com/spreadsheets/d/1-uDff_7J0KD5mKrp0Vvzr7lt3OU09vwQwhkpOPPYv2Y/edit?usp=sharing"",""งบพรบ!EV58"")"),0)</f>
        <v>0</v>
      </c>
      <c r="H58" s="176">
        <f ca="1">IFERROR(__xludf.DUMMYFUNCTION("IMPORTRANGE(""https://docs.google.com/spreadsheets/d/1-uDff_7J0KD5mKrp0Vvzr7lt3OU09vwQwhkpOPPYv2Y/edit?usp=sharing"",""งบพรบ!EX58"")"),163350)</f>
        <v>163350</v>
      </c>
      <c r="I58" s="176">
        <f ca="1">IFERROR(__xludf.DUMMYFUNCTION("IMPORTRANGE(""https://docs.google.com/spreadsheets/d/1-uDff_7J0KD5mKrp0Vvzr7lt3OU09vwQwhkpOPPYv2Y/edit?usp=sharing"",""งบพรบ!EY58"")"),0)</f>
        <v>0</v>
      </c>
      <c r="J58" s="176">
        <f t="shared" ca="1" si="22"/>
        <v>42000</v>
      </c>
      <c r="K58" s="181">
        <f t="shared" ca="1" si="23"/>
        <v>19.390581717451525</v>
      </c>
      <c r="L58" s="176">
        <f ca="1">IFERROR(__xludf.DUMMYFUNCTION("IMPORTRANGE(""https://docs.google.com/spreadsheets/d/1-uDff_7J0KD5mKrp0Vvzr7lt3OU09vwQwhkpOPPYv2Y/edit?usp=sharing"",""งบพรบ!EZ58"")"),42000)</f>
        <v>42000</v>
      </c>
      <c r="M58" s="179">
        <f t="shared" ca="1" si="24"/>
        <v>19.390581717451525</v>
      </c>
      <c r="N58" s="179">
        <f t="shared" ca="1" si="25"/>
        <v>25.711662075298438</v>
      </c>
      <c r="O58" s="180">
        <f ca="1">IFERROR(__xludf.DUMMYFUNCTION("IMPORTRANGE(""https://docs.google.com/spreadsheets/d/1-uDff_7J0KD5mKrp0Vvzr7lt3OU09vwQwhkpOPPYv2Y/edit?usp=sharing"",""งบพรบ!FA58"")"),0)</f>
        <v>0</v>
      </c>
      <c r="P58" s="180">
        <f t="shared" ca="1" si="26"/>
        <v>0</v>
      </c>
      <c r="Q58" s="179">
        <f t="shared" ca="1" si="27"/>
        <v>0</v>
      </c>
      <c r="R58" s="344">
        <f ca="1">IFERROR(__xludf.DUMMYFUNCTION("IMPORTRANGE(""https://docs.google.com/spreadsheets/d/1jkqa6GXxSacMcY1eN8AHjMNJ_7dDXMJVRLDlaFSOdPM/edit?usp=sharing"",""ตราด!I344"")"),400)</f>
        <v>400</v>
      </c>
      <c r="S58" s="177">
        <f ca="1">IFERROR(__xludf.DUMMYFUNCTION("IMPORTRANGE(""https://docs.google.com/spreadsheets/d/1jkqa6GXxSacMcY1eN8AHjMNJ_7dDXMJVRLDlaFSOdPM/edit?usp=sharing"",""ตราด!J344"")"),396)</f>
        <v>396</v>
      </c>
      <c r="T58" s="345">
        <f t="shared" ca="1" si="29"/>
        <v>99</v>
      </c>
      <c r="U58" s="344">
        <f ca="1">IFERROR(__xludf.DUMMYFUNCTION("IMPORTRANGE(""https://docs.google.com/spreadsheets/d/1jkqa6GXxSacMcY1eN8AHjMNJ_7dDXMJVRLDlaFSOdPM/edit?usp=sharing"",""ตราด!I346"")"),1)</f>
        <v>1</v>
      </c>
      <c r="V58" s="177">
        <f ca="1">IFERROR(__xludf.DUMMYFUNCTION("IMPORTRANGE(""https://docs.google.com/spreadsheets/d/1jkqa6GXxSacMcY1eN8AHjMNJ_7dDXMJVRLDlaFSOdPM/edit?usp=sharing"",""ตราด!J346"")"),0)</f>
        <v>0</v>
      </c>
      <c r="W58" s="345">
        <f t="shared" ca="1" si="31"/>
        <v>0</v>
      </c>
      <c r="X58" s="177">
        <f ca="1">IFERROR(__xludf.DUMMYFUNCTION("IMPORTRANGE(""https://docs.google.com/spreadsheets/d/1jkqa6GXxSacMcY1eN8AHjMNJ_7dDXMJVRLDlaFSOdPM/edit?usp=sharing"",""ตราด!J347"")"),0)</f>
        <v>0</v>
      </c>
      <c r="Y58" s="177">
        <f ca="1">IFERROR(__xludf.DUMMYFUNCTION("IMPORTRANGE(""https://docs.google.com/spreadsheets/d/1jkqa6GXxSacMcY1eN8AHjMNJ_7dDXMJVRLDlaFSOdPM/edit?usp=sharing"",""ตราด!J348"")"),6)</f>
        <v>6</v>
      </c>
      <c r="Z58" s="177">
        <f ca="1">IFERROR(__xludf.DUMMYFUNCTION("IMPORTRANGE(""https://docs.google.com/spreadsheets/d/1jkqa6GXxSacMcY1eN8AHjMNJ_7dDXMJVRLDlaFSOdPM/edit?usp=sharing"",""ตราด!J349"")"),0)</f>
        <v>0</v>
      </c>
      <c r="AA58" s="177">
        <f ca="1">IFERROR(__xludf.DUMMYFUNCTION("IMPORTRANGE(""https://docs.google.com/spreadsheets/d/1jkqa6GXxSacMcY1eN8AHjMNJ_7dDXMJVRLDlaFSOdPM/edit?usp=sharing"",""ตราด!J352"")"),46)</f>
        <v>46</v>
      </c>
      <c r="AB58" s="177">
        <f ca="1">IFERROR(__xludf.DUMMYFUNCTION("IMPORTRANGE(""https://docs.google.com/spreadsheets/d/1jkqa6GXxSacMcY1eN8AHjMNJ_7dDXMJVRLDlaFSOdPM/edit?usp=sharing"",""ตราด!J353"")"),2433)</f>
        <v>2433</v>
      </c>
    </row>
    <row r="59" spans="1:28" ht="21" customHeight="1" x14ac:dyDescent="0.3">
      <c r="A59" s="84">
        <v>7</v>
      </c>
      <c r="B59" s="85" t="s">
        <v>81</v>
      </c>
      <c r="C59" s="174">
        <f t="shared" ca="1" si="20"/>
        <v>365000</v>
      </c>
      <c r="D59" s="175">
        <f t="shared" ca="1" si="43"/>
        <v>365000</v>
      </c>
      <c r="E59" s="176">
        <f ca="1">IFERROR(__xludf.DUMMYFUNCTION("IMPORTRANGE(""https://docs.google.com/spreadsheets/d/1-uDff_7J0KD5mKrp0Vvzr7lt3OU09vwQwhkpOPPYv2Y/edit?usp=sharing"",""งบพรบ!ET59"")"),266000)</f>
        <v>266000</v>
      </c>
      <c r="F59" s="176">
        <f ca="1">IFERROR(__xludf.DUMMYFUNCTION("IMPORTRANGE(""https://docs.google.com/spreadsheets/d/1-uDff_7J0KD5mKrp0Vvzr7lt3OU09vwQwhkpOPPYv2Y/edit?usp=sharing"",""งบพรบ!EU59"")"),99000)</f>
        <v>99000</v>
      </c>
      <c r="G59" s="176">
        <f ca="1">IFERROR(__xludf.DUMMYFUNCTION("IMPORTRANGE(""https://docs.google.com/spreadsheets/d/1-uDff_7J0KD5mKrp0Vvzr7lt3OU09vwQwhkpOPPYv2Y/edit?usp=sharing"",""งบพรบ!EV59"")"),0)</f>
        <v>0</v>
      </c>
      <c r="H59" s="176">
        <f ca="1">IFERROR(__xludf.DUMMYFUNCTION("IMPORTRANGE(""https://docs.google.com/spreadsheets/d/1-uDff_7J0KD5mKrp0Vvzr7lt3OU09vwQwhkpOPPYv2Y/edit?usp=sharing"",""งบพรบ!EX59"")"),269350)</f>
        <v>269350</v>
      </c>
      <c r="I59" s="176">
        <f ca="1">IFERROR(__xludf.DUMMYFUNCTION("IMPORTRANGE(""https://docs.google.com/spreadsheets/d/1-uDff_7J0KD5mKrp0Vvzr7lt3OU09vwQwhkpOPPYv2Y/edit?usp=sharing"",""งบพรบ!EY59"")"),0)</f>
        <v>0</v>
      </c>
      <c r="J59" s="176">
        <f t="shared" ca="1" si="22"/>
        <v>76000</v>
      </c>
      <c r="K59" s="181">
        <f t="shared" ca="1" si="23"/>
        <v>20.82191780821918</v>
      </c>
      <c r="L59" s="176">
        <f ca="1">IFERROR(__xludf.DUMMYFUNCTION("IMPORTRANGE(""https://docs.google.com/spreadsheets/d/1-uDff_7J0KD5mKrp0Vvzr7lt3OU09vwQwhkpOPPYv2Y/edit?usp=sharing"",""งบพรบ!EZ59"")"),76000)</f>
        <v>76000</v>
      </c>
      <c r="M59" s="179">
        <f t="shared" ca="1" si="24"/>
        <v>20.82191780821918</v>
      </c>
      <c r="N59" s="179">
        <f t="shared" ca="1" si="25"/>
        <v>28.216075737887508</v>
      </c>
      <c r="O59" s="180">
        <f ca="1">IFERROR(__xludf.DUMMYFUNCTION("IMPORTRANGE(""https://docs.google.com/spreadsheets/d/1-uDff_7J0KD5mKrp0Vvzr7lt3OU09vwQwhkpOPPYv2Y/edit?usp=sharing"",""งบพรบ!FA59"")"),0)</f>
        <v>0</v>
      </c>
      <c r="P59" s="180">
        <f t="shared" ca="1" si="26"/>
        <v>0</v>
      </c>
      <c r="Q59" s="179">
        <f t="shared" ca="1" si="27"/>
        <v>0</v>
      </c>
      <c r="R59" s="344">
        <f ca="1">IFERROR(__xludf.DUMMYFUNCTION("IMPORTRANGE(""https://docs.google.com/spreadsheets/d/18hSgUJ3VwClqi_qtULmmW3cLr0oe3OKaSYoKzdpTsYQ/edit?usp=sharing"",""นครนายก!I344"")"),400)</f>
        <v>400</v>
      </c>
      <c r="S59" s="177">
        <f ca="1">IFERROR(__xludf.DUMMYFUNCTION("IMPORTRANGE(""https://docs.google.com/spreadsheets/d/18hSgUJ3VwClqi_qtULmmW3cLr0oe3OKaSYoKzdpTsYQ/edit?usp=sharing"",""นครนายก!J344"")"),66)</f>
        <v>66</v>
      </c>
      <c r="T59" s="345">
        <f t="shared" ca="1" si="29"/>
        <v>16.5</v>
      </c>
      <c r="U59" s="344">
        <f ca="1">IFERROR(__xludf.DUMMYFUNCTION("IMPORTRANGE(""https://docs.google.com/spreadsheets/d/18hSgUJ3VwClqi_qtULmmW3cLr0oe3OKaSYoKzdpTsYQ/edit?usp=sharing"",""นครนายก!I346"")"),1)</f>
        <v>1</v>
      </c>
      <c r="V59" s="177">
        <f ca="1">IFERROR(__xludf.DUMMYFUNCTION("IMPORTRANGE(""https://docs.google.com/spreadsheets/d/18hSgUJ3VwClqi_qtULmmW3cLr0oe3OKaSYoKzdpTsYQ/edit?usp=sharing"",""นครนายก!J346"")"),0)</f>
        <v>0</v>
      </c>
      <c r="W59" s="345">
        <f t="shared" ca="1" si="31"/>
        <v>0</v>
      </c>
      <c r="X59" s="177">
        <f ca="1">IFERROR(__xludf.DUMMYFUNCTION("IMPORTRANGE(""https://docs.google.com/spreadsheets/d/18hSgUJ3VwClqi_qtULmmW3cLr0oe3OKaSYoKzdpTsYQ/edit?usp=sharing"",""นครนายก!J347"")"),0)</f>
        <v>0</v>
      </c>
      <c r="Y59" s="177">
        <f ca="1">IFERROR(__xludf.DUMMYFUNCTION("IMPORTRANGE(""https://docs.google.com/spreadsheets/d/18hSgUJ3VwClqi_qtULmmW3cLr0oe3OKaSYoKzdpTsYQ/edit?usp=sharing"",""นครนายก!J348"")"),0)</f>
        <v>0</v>
      </c>
      <c r="Z59" s="177">
        <f ca="1">IFERROR(__xludf.DUMMYFUNCTION("IMPORTRANGE(""https://docs.google.com/spreadsheets/d/18hSgUJ3VwClqi_qtULmmW3cLr0oe3OKaSYoKzdpTsYQ/edit?usp=sharing"",""นครนายก!J349"")"),0)</f>
        <v>0</v>
      </c>
      <c r="AA59" s="177">
        <f ca="1">IFERROR(__xludf.DUMMYFUNCTION("IMPORTRANGE(""https://docs.google.com/spreadsheets/d/18hSgUJ3VwClqi_qtULmmW3cLr0oe3OKaSYoKzdpTsYQ/edit?usp=sharing"",""นครนายก!J352"")"),3)</f>
        <v>3</v>
      </c>
      <c r="AB59" s="177">
        <f ca="1">IFERROR(__xludf.DUMMYFUNCTION("IMPORTRANGE(""https://docs.google.com/spreadsheets/d/18hSgUJ3VwClqi_qtULmmW3cLr0oe3OKaSYoKzdpTsYQ/edit?usp=sharing"",""นครนายก!J353"")"),106)</f>
        <v>106</v>
      </c>
    </row>
    <row r="60" spans="1:28" ht="21" customHeight="1" x14ac:dyDescent="0.3">
      <c r="A60" s="84">
        <v>8</v>
      </c>
      <c r="B60" s="85" t="s">
        <v>82</v>
      </c>
      <c r="C60" s="174">
        <f t="shared" ca="1" si="20"/>
        <v>283100</v>
      </c>
      <c r="D60" s="175">
        <f t="shared" ca="1" si="43"/>
        <v>283100</v>
      </c>
      <c r="E60" s="176">
        <f ca="1">IFERROR(__xludf.DUMMYFUNCTION("IMPORTRANGE(""https://docs.google.com/spreadsheets/d/1-uDff_7J0KD5mKrp0Vvzr7lt3OU09vwQwhkpOPPYv2Y/edit?usp=sharing"",""งบพรบ!ET60"")"),184100)</f>
        <v>184100</v>
      </c>
      <c r="F60" s="176">
        <f ca="1">IFERROR(__xludf.DUMMYFUNCTION("IMPORTRANGE(""https://docs.google.com/spreadsheets/d/1-uDff_7J0KD5mKrp0Vvzr7lt3OU09vwQwhkpOPPYv2Y/edit?usp=sharing"",""งบพรบ!EU60"")"),99000)</f>
        <v>99000</v>
      </c>
      <c r="G60" s="176">
        <f ca="1">IFERROR(__xludf.DUMMYFUNCTION("IMPORTRANGE(""https://docs.google.com/spreadsheets/d/1-uDff_7J0KD5mKrp0Vvzr7lt3OU09vwQwhkpOPPYv2Y/edit?usp=sharing"",""งบพรบ!EV60"")"),0)</f>
        <v>0</v>
      </c>
      <c r="H60" s="176">
        <f ca="1">IFERROR(__xludf.DUMMYFUNCTION("IMPORTRANGE(""https://docs.google.com/spreadsheets/d/1-uDff_7J0KD5mKrp0Vvzr7lt3OU09vwQwhkpOPPYv2Y/edit?usp=sharing"",""งบพรบ!EX60"")"),205850)</f>
        <v>205850</v>
      </c>
      <c r="I60" s="176">
        <f ca="1">IFERROR(__xludf.DUMMYFUNCTION("IMPORTRANGE(""https://docs.google.com/spreadsheets/d/1-uDff_7J0KD5mKrp0Vvzr7lt3OU09vwQwhkpOPPYv2Y/edit?usp=sharing"",""งบพรบ!EY60"")"),0)</f>
        <v>0</v>
      </c>
      <c r="J60" s="176">
        <f t="shared" ca="1" si="22"/>
        <v>52165</v>
      </c>
      <c r="K60" s="181">
        <f t="shared" ca="1" si="23"/>
        <v>18.426351112681033</v>
      </c>
      <c r="L60" s="176">
        <f ca="1">IFERROR(__xludf.DUMMYFUNCTION("IMPORTRANGE(""https://docs.google.com/spreadsheets/d/1-uDff_7J0KD5mKrp0Vvzr7lt3OU09vwQwhkpOPPYv2Y/edit?usp=sharing"",""งบพรบ!EZ60"")"),52165)</f>
        <v>52165</v>
      </c>
      <c r="M60" s="179">
        <f t="shared" ca="1" si="24"/>
        <v>18.426351112681033</v>
      </c>
      <c r="N60" s="179">
        <f t="shared" ca="1" si="25"/>
        <v>25.341267913529268</v>
      </c>
      <c r="O60" s="180">
        <f ca="1">IFERROR(__xludf.DUMMYFUNCTION("IMPORTRANGE(""https://docs.google.com/spreadsheets/d/1-uDff_7J0KD5mKrp0Vvzr7lt3OU09vwQwhkpOPPYv2Y/edit?usp=sharing"",""งบพรบ!FA60"")"),0)</f>
        <v>0</v>
      </c>
      <c r="P60" s="180">
        <f t="shared" ca="1" si="26"/>
        <v>0</v>
      </c>
      <c r="Q60" s="179">
        <f t="shared" ca="1" si="27"/>
        <v>0</v>
      </c>
      <c r="R60" s="344">
        <f ca="1">IFERROR(__xludf.DUMMYFUNCTION("IMPORTRANGE(""https://docs.google.com/spreadsheets/d/1YTZo6WM2dQ6Ix6FSdnL5P7uVnVKu40sxZu975tgG10E/edit?usp=sharing"",""นครปฐม!I344"")"),140)</f>
        <v>140</v>
      </c>
      <c r="S60" s="177">
        <f ca="1">IFERROR(__xludf.DUMMYFUNCTION("IMPORTRANGE(""https://docs.google.com/spreadsheets/d/1YTZo6WM2dQ6Ix6FSdnL5P7uVnVKu40sxZu975tgG10E/edit?usp=sharing"",""นครปฐม!J344"")"),47)</f>
        <v>47</v>
      </c>
      <c r="T60" s="345">
        <f t="shared" ca="1" si="29"/>
        <v>33.571428571428569</v>
      </c>
      <c r="U60" s="344">
        <f ca="1">IFERROR(__xludf.DUMMYFUNCTION("IMPORTRANGE(""https://docs.google.com/spreadsheets/d/1YTZo6WM2dQ6Ix6FSdnL5P7uVnVKu40sxZu975tgG10E/edit?usp=sharing"",""นครปฐม!I346"")"),1)</f>
        <v>1</v>
      </c>
      <c r="V60" s="177">
        <f ca="1">IFERROR(__xludf.DUMMYFUNCTION("IMPORTRANGE(""https://docs.google.com/spreadsheets/d/1YTZo6WM2dQ6Ix6FSdnL5P7uVnVKu40sxZu975tgG10E/edit?usp=sharing"",""นครปฐม!J346"")"),1)</f>
        <v>1</v>
      </c>
      <c r="W60" s="345">
        <f t="shared" ca="1" si="31"/>
        <v>100</v>
      </c>
      <c r="X60" s="177">
        <f ca="1">IFERROR(__xludf.DUMMYFUNCTION("IMPORTRANGE(""https://docs.google.com/spreadsheets/d/1YTZo6WM2dQ6Ix6FSdnL5P7uVnVKu40sxZu975tgG10E/edit?usp=sharing"",""นครปฐม!J347"")"),126)</f>
        <v>126</v>
      </c>
      <c r="Y60" s="177">
        <f ca="1">IFERROR(__xludf.DUMMYFUNCTION("IMPORTRANGE(""https://docs.google.com/spreadsheets/d/1YTZo6WM2dQ6Ix6FSdnL5P7uVnVKu40sxZu975tgG10E/edit?usp=sharing"",""นครปฐม!J348"")"),7)</f>
        <v>7</v>
      </c>
      <c r="Z60" s="177">
        <f ca="1">IFERROR(__xludf.DUMMYFUNCTION("IMPORTRANGE(""https://docs.google.com/spreadsheets/d/1YTZo6WM2dQ6Ix6FSdnL5P7uVnVKu40sxZu975tgG10E/edit?usp=sharing"",""นครปฐม!J349"")"),1)</f>
        <v>1</v>
      </c>
      <c r="AA60" s="177">
        <f ca="1">IFERROR(__xludf.DUMMYFUNCTION("IMPORTRANGE(""https://docs.google.com/spreadsheets/d/1YTZo6WM2dQ6Ix6FSdnL5P7uVnVKu40sxZu975tgG10E/edit?usp=sharing"",""นครปฐม!J352"")"),0)</f>
        <v>0</v>
      </c>
      <c r="AB60" s="177">
        <f ca="1">IFERROR(__xludf.DUMMYFUNCTION("IMPORTRANGE(""https://docs.google.com/spreadsheets/d/1YTZo6WM2dQ6Ix6FSdnL5P7uVnVKu40sxZu975tgG10E/edit?usp=sharing"",""นครปฐม!J353"")"),0)</f>
        <v>0</v>
      </c>
    </row>
    <row r="61" spans="1:28" ht="21" customHeight="1" x14ac:dyDescent="0.3">
      <c r="A61" s="84">
        <v>9</v>
      </c>
      <c r="B61" s="85" t="s">
        <v>83</v>
      </c>
      <c r="C61" s="174">
        <f t="shared" ca="1" si="20"/>
        <v>337200</v>
      </c>
      <c r="D61" s="175">
        <f t="shared" ca="1" si="43"/>
        <v>337200</v>
      </c>
      <c r="E61" s="176">
        <f ca="1">IFERROR(__xludf.DUMMYFUNCTION("IMPORTRANGE(""https://docs.google.com/spreadsheets/d/1-uDff_7J0KD5mKrp0Vvzr7lt3OU09vwQwhkpOPPYv2Y/edit?usp=sharing"",""งบพรบ!ET61"")"),235200)</f>
        <v>235200</v>
      </c>
      <c r="F61" s="176">
        <f ca="1">IFERROR(__xludf.DUMMYFUNCTION("IMPORTRANGE(""https://docs.google.com/spreadsheets/d/1-uDff_7J0KD5mKrp0Vvzr7lt3OU09vwQwhkpOPPYv2Y/edit?usp=sharing"",""งบพรบ!EU61"")"),102000)</f>
        <v>102000</v>
      </c>
      <c r="G61" s="176">
        <f ca="1">IFERROR(__xludf.DUMMYFUNCTION("IMPORTRANGE(""https://docs.google.com/spreadsheets/d/1-uDff_7J0KD5mKrp0Vvzr7lt3OU09vwQwhkpOPPYv2Y/edit?usp=sharing"",""งบพรบ!EV61"")"),0)</f>
        <v>0</v>
      </c>
      <c r="H61" s="176">
        <f ca="1">IFERROR(__xludf.DUMMYFUNCTION("IMPORTRANGE(""https://docs.google.com/spreadsheets/d/1-uDff_7J0KD5mKrp0Vvzr7lt3OU09vwQwhkpOPPYv2Y/edit?usp=sharing"",""งบพรบ!EX61"")"),244750)</f>
        <v>244750</v>
      </c>
      <c r="I61" s="176">
        <f ca="1">IFERROR(__xludf.DUMMYFUNCTION("IMPORTRANGE(""https://docs.google.com/spreadsheets/d/1-uDff_7J0KD5mKrp0Vvzr7lt3OU09vwQwhkpOPPYv2Y/edit?usp=sharing"",""งบพรบ!EY61"")"),0)</f>
        <v>0</v>
      </c>
      <c r="J61" s="176">
        <f t="shared" ca="1" si="22"/>
        <v>97649.97</v>
      </c>
      <c r="K61" s="181">
        <f t="shared" ca="1" si="23"/>
        <v>28.959065836298933</v>
      </c>
      <c r="L61" s="176">
        <f ca="1">IFERROR(__xludf.DUMMYFUNCTION("IMPORTRANGE(""https://docs.google.com/spreadsheets/d/1-uDff_7J0KD5mKrp0Vvzr7lt3OU09vwQwhkpOPPYv2Y/edit?usp=sharing"",""งบพรบ!EZ61"")"),97649.97)</f>
        <v>97649.97</v>
      </c>
      <c r="M61" s="179">
        <f t="shared" ca="1" si="24"/>
        <v>28.959065836298933</v>
      </c>
      <c r="N61" s="179">
        <f t="shared" ca="1" si="25"/>
        <v>39.897842696629212</v>
      </c>
      <c r="O61" s="180">
        <f ca="1">IFERROR(__xludf.DUMMYFUNCTION("IMPORTRANGE(""https://docs.google.com/spreadsheets/d/1-uDff_7J0KD5mKrp0Vvzr7lt3OU09vwQwhkpOPPYv2Y/edit?usp=sharing"",""งบพรบ!FA61"")"),0)</f>
        <v>0</v>
      </c>
      <c r="P61" s="180">
        <f t="shared" ca="1" si="26"/>
        <v>0</v>
      </c>
      <c r="Q61" s="179">
        <f t="shared" ca="1" si="27"/>
        <v>0</v>
      </c>
      <c r="R61" s="344">
        <f ca="1">IFERROR(__xludf.DUMMYFUNCTION("IMPORTRANGE(""https://docs.google.com/spreadsheets/d/1OYoGg4WDg5RIzwGeB10padOxJF9E_Vljuvvct_M7RDo/edit?usp=sharing"",""ปทุมธานี!I344"")"),940)</f>
        <v>940</v>
      </c>
      <c r="S61" s="177">
        <f ca="1">IFERROR(__xludf.DUMMYFUNCTION("IMPORTRANGE(""https://docs.google.com/spreadsheets/d/1OYoGg4WDg5RIzwGeB10padOxJF9E_Vljuvvct_M7RDo/edit?usp=sharing"",""ปทุมธานี!J344"")"),112)</f>
        <v>112</v>
      </c>
      <c r="T61" s="345">
        <f t="shared" ca="1" si="29"/>
        <v>11.914893617021276</v>
      </c>
      <c r="U61" s="344">
        <f ca="1">IFERROR(__xludf.DUMMYFUNCTION("IMPORTRANGE(""https://docs.google.com/spreadsheets/d/1OYoGg4WDg5RIzwGeB10padOxJF9E_Vljuvvct_M7RDo/edit?usp=sharing"",""ปทุมธานี!I346"")"),1)</f>
        <v>1</v>
      </c>
      <c r="V61" s="177">
        <f ca="1">IFERROR(__xludf.DUMMYFUNCTION("IMPORTRANGE(""https://docs.google.com/spreadsheets/d/1OYoGg4WDg5RIzwGeB10padOxJF9E_Vljuvvct_M7RDo/edit?usp=sharing"",""ปทุมธานี!J346"")"),0)</f>
        <v>0</v>
      </c>
      <c r="W61" s="345">
        <f t="shared" ca="1" si="31"/>
        <v>0</v>
      </c>
      <c r="X61" s="177">
        <f ca="1">IFERROR(__xludf.DUMMYFUNCTION("IMPORTRANGE(""https://docs.google.com/spreadsheets/d/1OYoGg4WDg5RIzwGeB10padOxJF9E_Vljuvvct_M7RDo/edit?usp=sharing"",""ปทุมธานี!J347"")"),0)</f>
        <v>0</v>
      </c>
      <c r="Y61" s="177">
        <f ca="1">IFERROR(__xludf.DUMMYFUNCTION("IMPORTRANGE(""https://docs.google.com/spreadsheets/d/1OYoGg4WDg5RIzwGeB10padOxJF9E_Vljuvvct_M7RDo/edit?usp=sharing"",""ปทุมธานี!J348"")"),19)</f>
        <v>19</v>
      </c>
      <c r="Z61" s="177">
        <f ca="1">IFERROR(__xludf.DUMMYFUNCTION("IMPORTRANGE(""https://docs.google.com/spreadsheets/d/1OYoGg4WDg5RIzwGeB10padOxJF9E_Vljuvvct_M7RDo/edit?usp=sharing"",""ปทุมธานี!J349"")"),0)</f>
        <v>0</v>
      </c>
      <c r="AA61" s="177">
        <f ca="1">IFERROR(__xludf.DUMMYFUNCTION("IMPORTRANGE(""https://docs.google.com/spreadsheets/d/1OYoGg4WDg5RIzwGeB10padOxJF9E_Vljuvvct_M7RDo/edit?usp=sharing"",""ปทุมธานี!J352"")"),0)</f>
        <v>0</v>
      </c>
      <c r="AB61" s="177">
        <f ca="1">IFERROR(__xludf.DUMMYFUNCTION("IMPORTRANGE(""https://docs.google.com/spreadsheets/d/1OYoGg4WDg5RIzwGeB10padOxJF9E_Vljuvvct_M7RDo/edit?usp=sharing"",""ปทุมธานี!J353"")"),0)</f>
        <v>0</v>
      </c>
    </row>
    <row r="62" spans="1:28" ht="21" customHeight="1" x14ac:dyDescent="0.3">
      <c r="A62" s="84">
        <v>10</v>
      </c>
      <c r="B62" s="85" t="s">
        <v>84</v>
      </c>
      <c r="C62" s="174">
        <f t="shared" ca="1" si="20"/>
        <v>218600</v>
      </c>
      <c r="D62" s="175">
        <f t="shared" ca="1" si="43"/>
        <v>218600</v>
      </c>
      <c r="E62" s="176">
        <f ca="1">IFERROR(__xludf.DUMMYFUNCTION("IMPORTRANGE(""https://docs.google.com/spreadsheets/d/1-uDff_7J0KD5mKrp0Vvzr7lt3OU09vwQwhkpOPPYv2Y/edit?usp=sharing"",""งบพรบ!ET62"")"),117600)</f>
        <v>117600</v>
      </c>
      <c r="F62" s="176">
        <f ca="1">IFERROR(__xludf.DUMMYFUNCTION("IMPORTRANGE(""https://docs.google.com/spreadsheets/d/1-uDff_7J0KD5mKrp0Vvzr7lt3OU09vwQwhkpOPPYv2Y/edit?usp=sharing"",""งบพรบ!EU62"")"),101000)</f>
        <v>101000</v>
      </c>
      <c r="G62" s="176">
        <f ca="1">IFERROR(__xludf.DUMMYFUNCTION("IMPORTRANGE(""https://docs.google.com/spreadsheets/d/1-uDff_7J0KD5mKrp0Vvzr7lt3OU09vwQwhkpOPPYv2Y/edit?usp=sharing"",""งบพรบ!EV62"")"),0)</f>
        <v>0</v>
      </c>
      <c r="H62" s="176">
        <f ca="1">IFERROR(__xludf.DUMMYFUNCTION("IMPORTRANGE(""https://docs.google.com/spreadsheets/d/1-uDff_7J0KD5mKrp0Vvzr7lt3OU09vwQwhkpOPPYv2Y/edit?usp=sharing"",""งบพรบ!EX62"")"),163350)</f>
        <v>163350</v>
      </c>
      <c r="I62" s="176">
        <f ca="1">IFERROR(__xludf.DUMMYFUNCTION("IMPORTRANGE(""https://docs.google.com/spreadsheets/d/1-uDff_7J0KD5mKrp0Vvzr7lt3OU09vwQwhkpOPPYv2Y/edit?usp=sharing"",""งบพรบ!EY62"")"),0)</f>
        <v>0</v>
      </c>
      <c r="J62" s="176">
        <f t="shared" ca="1" si="22"/>
        <v>36415</v>
      </c>
      <c r="K62" s="181">
        <f t="shared" ca="1" si="23"/>
        <v>16.658279963403476</v>
      </c>
      <c r="L62" s="176">
        <f ca="1">IFERROR(__xludf.DUMMYFUNCTION("IMPORTRANGE(""https://docs.google.com/spreadsheets/d/1-uDff_7J0KD5mKrp0Vvzr7lt3OU09vwQwhkpOPPYv2Y/edit?usp=sharing"",""งบพรบ!EZ62"")"),36415)</f>
        <v>36415</v>
      </c>
      <c r="M62" s="179">
        <f t="shared" ca="1" si="24"/>
        <v>16.658279963403476</v>
      </c>
      <c r="N62" s="179">
        <f t="shared" ca="1" si="25"/>
        <v>22.292623201714111</v>
      </c>
      <c r="O62" s="180">
        <f ca="1">IFERROR(__xludf.DUMMYFUNCTION("IMPORTRANGE(""https://docs.google.com/spreadsheets/d/1-uDff_7J0KD5mKrp0Vvzr7lt3OU09vwQwhkpOPPYv2Y/edit?usp=sharing"",""งบพรบ!FA62"")"),0)</f>
        <v>0</v>
      </c>
      <c r="P62" s="180">
        <f t="shared" ca="1" si="26"/>
        <v>0</v>
      </c>
      <c r="Q62" s="179">
        <f t="shared" ca="1" si="27"/>
        <v>0</v>
      </c>
      <c r="R62" s="344">
        <f ca="1">IFERROR(__xludf.DUMMYFUNCTION("IMPORTRANGE(""https://docs.google.com/spreadsheets/d/1GbCIE4D4wk9FUozzqk7SxfDMxDVBwVmI5zcaVUSzKAc/edit?usp=sharing"",""ประจวบคีรีขันธ์!I344"")"),540)</f>
        <v>540</v>
      </c>
      <c r="S62" s="177">
        <f ca="1">IFERROR(__xludf.DUMMYFUNCTION("IMPORTRANGE(""https://docs.google.com/spreadsheets/d/1GbCIE4D4wk9FUozzqk7SxfDMxDVBwVmI5zcaVUSzKAc/edit?usp=sharing"",""ประจวบคีรีขันธ์!J344"")"),133)</f>
        <v>133</v>
      </c>
      <c r="T62" s="345">
        <f t="shared" ca="1" si="29"/>
        <v>24.62962962962963</v>
      </c>
      <c r="U62" s="344">
        <f ca="1">IFERROR(__xludf.DUMMYFUNCTION("IMPORTRANGE(""https://docs.google.com/spreadsheets/d/1GbCIE4D4wk9FUozzqk7SxfDMxDVBwVmI5zcaVUSzKAc/edit?usp=sharing"",""ประจวบคีรีขันธ์!I346"")"),2)</f>
        <v>2</v>
      </c>
      <c r="V62" s="177">
        <f ca="1">IFERROR(__xludf.DUMMYFUNCTION("IMPORTRANGE(""https://docs.google.com/spreadsheets/d/1GbCIE4D4wk9FUozzqk7SxfDMxDVBwVmI5zcaVUSzKAc/edit?usp=sharing"",""ประจวบคีรีขันธ์!J346"")"),0)</f>
        <v>0</v>
      </c>
      <c r="W62" s="345">
        <f t="shared" ca="1" si="31"/>
        <v>0</v>
      </c>
      <c r="X62" s="177">
        <f ca="1">IFERROR(__xludf.DUMMYFUNCTION("IMPORTRANGE(""https://docs.google.com/spreadsheets/d/1GbCIE4D4wk9FUozzqk7SxfDMxDVBwVmI5zcaVUSzKAc/edit?usp=sharing"",""ประจวบคีรีขันธ์!J347"")"),0)</f>
        <v>0</v>
      </c>
      <c r="Y62" s="177">
        <f ca="1">IFERROR(__xludf.DUMMYFUNCTION("IMPORTRANGE(""https://docs.google.com/spreadsheets/d/1GbCIE4D4wk9FUozzqk7SxfDMxDVBwVmI5zcaVUSzKAc/edit?usp=sharing"",""ประจวบคีรีขันธ์!J348"")"),4)</f>
        <v>4</v>
      </c>
      <c r="Z62" s="177">
        <f ca="1">IFERROR(__xludf.DUMMYFUNCTION("IMPORTRANGE(""https://docs.google.com/spreadsheets/d/1GbCIE4D4wk9FUozzqk7SxfDMxDVBwVmI5zcaVUSzKAc/edit?usp=sharing"",""ประจวบคีรีขันธ์!J349"")"),0)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IFERROR(__xludf.DUMMYFUNCTION("IMPORTRANGE(""https://docs.google.com/spreadsheets/d/1GbCIE4D4wk9FUozzqk7SxfDMxDVBwVmI5zcaVUSzKAc/edit?usp=sharing"",""ประจวบคีรีขันธ์!J352"")"),975)</f>
        <v>975</v>
      </c>
      <c r="AB62" s="177">
        <f ca="1">IFERROR(__xludf.DUMMYFUNCTION("IMPORTRANGE(""https://docs.google.com/spreadsheets/d/1GbCIE4D4wk9FUozzqk7SxfDMxDVBwVmI5zcaVUSzKAc/edit?usp=sharing"",""ประจวบคีรีขันธ์!J353"")"),638)</f>
        <v>638</v>
      </c>
    </row>
    <row r="63" spans="1:28" ht="21" customHeight="1" x14ac:dyDescent="0.3">
      <c r="A63" s="84">
        <v>11</v>
      </c>
      <c r="B63" s="85" t="s">
        <v>85</v>
      </c>
      <c r="C63" s="174">
        <f t="shared" ca="1" si="20"/>
        <v>101000</v>
      </c>
      <c r="D63" s="175">
        <f t="shared" ca="1" si="43"/>
        <v>101000</v>
      </c>
      <c r="E63" s="176">
        <f ca="1">IFERROR(__xludf.DUMMYFUNCTION("IMPORTRANGE(""https://docs.google.com/spreadsheets/d/1-uDff_7J0KD5mKrp0Vvzr7lt3OU09vwQwhkpOPPYv2Y/edit?usp=sharing"",""งบพรบ!ET63"")"),0)</f>
        <v>0</v>
      </c>
      <c r="F63" s="176">
        <f ca="1">IFERROR(__xludf.DUMMYFUNCTION("IMPORTRANGE(""https://docs.google.com/spreadsheets/d/1-uDff_7J0KD5mKrp0Vvzr7lt3OU09vwQwhkpOPPYv2Y/edit?usp=sharing"",""งบพรบ!EU63"")"),101000)</f>
        <v>101000</v>
      </c>
      <c r="G63" s="176">
        <f ca="1">IFERROR(__xludf.DUMMYFUNCTION("IMPORTRANGE(""https://docs.google.com/spreadsheets/d/1-uDff_7J0KD5mKrp0Vvzr7lt3OU09vwQwhkpOPPYv2Y/edit?usp=sharing"",""งบพรบ!EV63"")"),0)</f>
        <v>0</v>
      </c>
      <c r="H63" s="176">
        <f ca="1">IFERROR(__xludf.DUMMYFUNCTION("IMPORTRANGE(""https://docs.google.com/spreadsheets/d/1-uDff_7J0KD5mKrp0Vvzr7lt3OU09vwQwhkpOPPYv2Y/edit?usp=sharing"",""งบพรบ!EX63"")"),79350)</f>
        <v>79350</v>
      </c>
      <c r="I63" s="176">
        <f ca="1">IFERROR(__xludf.DUMMYFUNCTION("IMPORTRANGE(""https://docs.google.com/spreadsheets/d/1-uDff_7J0KD5mKrp0Vvzr7lt3OU09vwQwhkpOPPYv2Y/edit?usp=sharing"",""งบพรบ!EY63"")"),0)</f>
        <v>0</v>
      </c>
      <c r="J63" s="176">
        <f t="shared" ca="1" si="22"/>
        <v>26000</v>
      </c>
      <c r="K63" s="181">
        <f t="shared" ca="1" si="23"/>
        <v>25.742574257425744</v>
      </c>
      <c r="L63" s="176">
        <f ca="1">IFERROR(__xludf.DUMMYFUNCTION("IMPORTRANGE(""https://docs.google.com/spreadsheets/d/1-uDff_7J0KD5mKrp0Vvzr7lt3OU09vwQwhkpOPPYv2Y/edit?usp=sharing"",""งบพรบ!EZ63"")"),26000)</f>
        <v>26000</v>
      </c>
      <c r="M63" s="179">
        <f t="shared" ca="1" si="24"/>
        <v>25.742574257425744</v>
      </c>
      <c r="N63" s="179">
        <f t="shared" ca="1" si="25"/>
        <v>32.766225582860741</v>
      </c>
      <c r="O63" s="180">
        <f ca="1">IFERROR(__xludf.DUMMYFUNCTION("IMPORTRANGE(""https://docs.google.com/spreadsheets/d/1-uDff_7J0KD5mKrp0Vvzr7lt3OU09vwQwhkpOPPYv2Y/edit?usp=sharing"",""งบพรบ!FA63"")"),0)</f>
        <v>0</v>
      </c>
      <c r="P63" s="180">
        <f t="shared" ca="1" si="26"/>
        <v>0</v>
      </c>
      <c r="Q63" s="179">
        <f t="shared" ca="1" si="27"/>
        <v>0</v>
      </c>
      <c r="R63" s="344">
        <f ca="1">IFERROR(__xludf.DUMMYFUNCTION("IMPORTRANGE(""https://docs.google.com/spreadsheets/d/1vVf6wykvW_lAyu7Yo9L4hUTqHqIeP_qcVuxCtosJEbg/edit?usp=sharing"",""ปราจีนบุรี!I344"")"),660)</f>
        <v>660</v>
      </c>
      <c r="S63" s="177">
        <f ca="1">IFERROR(__xludf.DUMMYFUNCTION("IMPORTRANGE(""https://docs.google.com/spreadsheets/d/1vVf6wykvW_lAyu7Yo9L4hUTqHqIeP_qcVuxCtosJEbg/edit?usp=sharing"",""ปราจีนบุรี!J344"")"),311)</f>
        <v>311</v>
      </c>
      <c r="T63" s="345">
        <f t="shared" ca="1" si="29"/>
        <v>47.121212121212125</v>
      </c>
      <c r="U63" s="344">
        <f ca="1">IFERROR(__xludf.DUMMYFUNCTION("IMPORTRANGE(""https://docs.google.com/spreadsheets/d/1vVf6wykvW_lAyu7Yo9L4hUTqHqIeP_qcVuxCtosJEbg/edit?usp=sharing"",""ปราจีนบุรี!I346"")"),2)</f>
        <v>2</v>
      </c>
      <c r="V63" s="177">
        <f ca="1">IFERROR(__xludf.DUMMYFUNCTION("IMPORTRANGE(""https://docs.google.com/spreadsheets/d/1vVf6wykvW_lAyu7Yo9L4hUTqHqIeP_qcVuxCtosJEbg/edit?usp=sharing"",""ปราจีนบุรี!J346"")"),0)</f>
        <v>0</v>
      </c>
      <c r="W63" s="345">
        <f t="shared" ca="1" si="31"/>
        <v>0</v>
      </c>
      <c r="X63" s="177">
        <f ca="1">IFERROR(__xludf.DUMMYFUNCTION("IMPORTRANGE(""https://docs.google.com/spreadsheets/d/1vVf6wykvW_lAyu7Yo9L4hUTqHqIeP_qcVuxCtosJEbg/edit?usp=sharing"",""ปราจีนบุรี!J347"")"),0)</f>
        <v>0</v>
      </c>
      <c r="Y63" s="177">
        <f ca="1">IFERROR(__xludf.DUMMYFUNCTION("IMPORTRANGE(""https://docs.google.com/spreadsheets/d/1vVf6wykvW_lAyu7Yo9L4hUTqHqIeP_qcVuxCtosJEbg/edit?usp=sharing"",""ปราจีนบุรี!J348"")"),2)</f>
        <v>2</v>
      </c>
      <c r="Z63" s="177">
        <f ca="1">IFERROR(__xludf.DUMMYFUNCTION("IMPORTRANGE(""https://docs.google.com/spreadsheets/d/1vVf6wykvW_lAyu7Yo9L4hUTqHqIeP_qcVuxCtosJEbg/edit?usp=sharing"",""ปราจีนบุรี!J349"")"),0)</f>
        <v>0</v>
      </c>
      <c r="AA63" s="177">
        <f ca="1">IFERROR(__xludf.DUMMYFUNCTION("IMPORTRANGE(""https://docs.google.com/spreadsheets/d/1vVf6wykvW_lAyu7Yo9L4hUTqHqIeP_qcVuxCtosJEbg/edit?usp=sharing"",""ปราจีนบุรี!J352"")"),35)</f>
        <v>35</v>
      </c>
      <c r="AB63" s="177">
        <f ca="1">IFERROR(__xludf.DUMMYFUNCTION("IMPORTRANGE(""https://docs.google.com/spreadsheets/d/1vVf6wykvW_lAyu7Yo9L4hUTqHqIeP_qcVuxCtosJEbg/edit?usp=sharing"",""ปราจีนบุรี!J353"")"),508)</f>
        <v>508</v>
      </c>
    </row>
    <row r="64" spans="1:28" ht="21" customHeight="1" x14ac:dyDescent="0.3">
      <c r="A64" s="84">
        <v>12</v>
      </c>
      <c r="B64" s="85" t="s">
        <v>86</v>
      </c>
      <c r="C64" s="174">
        <f t="shared" ca="1" si="20"/>
        <v>351600</v>
      </c>
      <c r="D64" s="175">
        <f t="shared" ca="1" si="43"/>
        <v>351600</v>
      </c>
      <c r="E64" s="176">
        <f ca="1">IFERROR(__xludf.DUMMYFUNCTION("IMPORTRANGE(""https://docs.google.com/spreadsheets/d/1-uDff_7J0KD5mKrp0Vvzr7lt3OU09vwQwhkpOPPYv2Y/edit?usp=sharing"",""งบพรบ!ET64"")"),250600)</f>
        <v>250600</v>
      </c>
      <c r="F64" s="176">
        <f ca="1">IFERROR(__xludf.DUMMYFUNCTION("IMPORTRANGE(""https://docs.google.com/spreadsheets/d/1-uDff_7J0KD5mKrp0Vvzr7lt3OU09vwQwhkpOPPYv2Y/edit?usp=sharing"",""งบพรบ!EU64"")"),101000)</f>
        <v>101000</v>
      </c>
      <c r="G64" s="176">
        <f ca="1">IFERROR(__xludf.DUMMYFUNCTION("IMPORTRANGE(""https://docs.google.com/spreadsheets/d/1-uDff_7J0KD5mKrp0Vvzr7lt3OU09vwQwhkpOPPYv2Y/edit?usp=sharing"",""งบพรบ!EV64"")"),0)</f>
        <v>0</v>
      </c>
      <c r="H64" s="176">
        <f ca="1">IFERROR(__xludf.DUMMYFUNCTION("IMPORTRANGE(""https://docs.google.com/spreadsheets/d/1-uDff_7J0KD5mKrp0Vvzr7lt3OU09vwQwhkpOPPYv2Y/edit?usp=sharing"",""งบพรบ!EX64"")"),255350)</f>
        <v>255350</v>
      </c>
      <c r="I64" s="176">
        <f ca="1">IFERROR(__xludf.DUMMYFUNCTION("IMPORTRANGE(""https://docs.google.com/spreadsheets/d/1-uDff_7J0KD5mKrp0Vvzr7lt3OU09vwQwhkpOPPYv2Y/edit?usp=sharing"",""งบพรบ!EY64"")"),0)</f>
        <v>0</v>
      </c>
      <c r="J64" s="176">
        <f t="shared" ca="1" si="22"/>
        <v>81920</v>
      </c>
      <c r="K64" s="181">
        <f t="shared" ca="1" si="23"/>
        <v>23.299203640500568</v>
      </c>
      <c r="L64" s="176">
        <f ca="1">IFERROR(__xludf.DUMMYFUNCTION("IMPORTRANGE(""https://docs.google.com/spreadsheets/d/1-uDff_7J0KD5mKrp0Vvzr7lt3OU09vwQwhkpOPPYv2Y/edit?usp=sharing"",""งบพรบ!EZ64"")"),81920)</f>
        <v>81920</v>
      </c>
      <c r="M64" s="179">
        <f t="shared" ca="1" si="24"/>
        <v>23.299203640500568</v>
      </c>
      <c r="N64" s="179">
        <f t="shared" ca="1" si="25"/>
        <v>32.081456823967102</v>
      </c>
      <c r="O64" s="180">
        <f ca="1">IFERROR(__xludf.DUMMYFUNCTION("IMPORTRANGE(""https://docs.google.com/spreadsheets/d/1-uDff_7J0KD5mKrp0Vvzr7lt3OU09vwQwhkpOPPYv2Y/edit?usp=sharing"",""งบพรบ!FA64"")"),0)</f>
        <v>0</v>
      </c>
      <c r="P64" s="180">
        <f t="shared" ca="1" si="26"/>
        <v>0</v>
      </c>
      <c r="Q64" s="179">
        <f t="shared" ca="1" si="27"/>
        <v>0</v>
      </c>
      <c r="R64" s="344">
        <f ca="1">IFERROR(__xludf.DUMMYFUNCTION("IMPORTRANGE(""https://docs.google.com/spreadsheets/d/1BIDqLLg5jk3v59G8NlR8rk5xfQDKne0sAvZHSj7TI6I/edit?usp=sharing"",""พระนครศรีอยุธยา!I344"")"),540)</f>
        <v>540</v>
      </c>
      <c r="S64" s="177">
        <f ca="1">IFERROR(__xludf.DUMMYFUNCTION("IMPORTRANGE(""https://docs.google.com/spreadsheets/d/1BIDqLLg5jk3v59G8NlR8rk5xfQDKne0sAvZHSj7TI6I/edit?usp=sharing"",""พระนครศรีอยุธยา!J344"")"),532)</f>
        <v>532</v>
      </c>
      <c r="T64" s="345">
        <f t="shared" ca="1" si="29"/>
        <v>98.518518518518519</v>
      </c>
      <c r="U64" s="344">
        <f ca="1">IFERROR(__xludf.DUMMYFUNCTION("IMPORTRANGE(""https://docs.google.com/spreadsheets/d/1BIDqLLg5jk3v59G8NlR8rk5xfQDKne0sAvZHSj7TI6I/edit?usp=sharing"",""พระนครศรีอยุธยา!I346"")"),2)</f>
        <v>2</v>
      </c>
      <c r="V64" s="177">
        <f ca="1">IFERROR(__xludf.DUMMYFUNCTION("IMPORTRANGE(""https://docs.google.com/spreadsheets/d/1BIDqLLg5jk3v59G8NlR8rk5xfQDKne0sAvZHSj7TI6I/edit?usp=sharing"",""พระนครศรีอยุธยา!J346"")"),0)</f>
        <v>0</v>
      </c>
      <c r="W64" s="345">
        <f t="shared" ca="1" si="31"/>
        <v>0</v>
      </c>
      <c r="X64" s="177">
        <f ca="1">IFERROR(__xludf.DUMMYFUNCTION("IMPORTRANGE(""https://docs.google.com/spreadsheets/d/1BIDqLLg5jk3v59G8NlR8rk5xfQDKne0sAvZHSj7TI6I/edit?usp=sharing"",""พระนครศรีอยุธยา!J347"")"),0)</f>
        <v>0</v>
      </c>
      <c r="Y64" s="177">
        <f ca="1">IFERROR(__xludf.DUMMYFUNCTION("IMPORTRANGE(""https://docs.google.com/spreadsheets/d/1BIDqLLg5jk3v59G8NlR8rk5xfQDKne0sAvZHSj7TI6I/edit?usp=sharing"",""พระนครศรีอยุธยา!J348"")"),12)</f>
        <v>12</v>
      </c>
      <c r="Z64" s="177">
        <f ca="1">IFERROR(__xludf.DUMMYFUNCTION("IMPORTRANGE(""https://docs.google.com/spreadsheets/d/1BIDqLLg5jk3v59G8NlR8rk5xfQDKne0sAvZHSj7TI6I/edit?usp=sharing"",""พระนครศรีอยุธยา!J349"")"),0)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IFERROR(__xludf.DUMMYFUNCTION("IMPORTRANGE(""https://docs.google.com/spreadsheets/d/1BIDqLLg5jk3v59G8NlR8rk5xfQDKne0sAvZHSj7TI6I/edit?usp=sharing"",""พระนครศรีอยุธยา!J352"")"),0)</f>
        <v>0</v>
      </c>
      <c r="AB64" s="177">
        <f ca="1">IFERROR(__xludf.DUMMYFUNCTION("IMPORTRANGE(""https://docs.google.com/spreadsheets/d/1BIDqLLg5jk3v59G8NlR8rk5xfQDKne0sAvZHSj7TI6I/edit?usp=sharing"",""พระนครศรีอยุธยา!J353"")"),0)</f>
        <v>0</v>
      </c>
    </row>
    <row r="65" spans="1:28" ht="21" customHeight="1" x14ac:dyDescent="0.3">
      <c r="A65" s="84">
        <v>13</v>
      </c>
      <c r="B65" s="85" t="s">
        <v>87</v>
      </c>
      <c r="C65" s="174">
        <f t="shared" ca="1" si="20"/>
        <v>220600</v>
      </c>
      <c r="D65" s="175">
        <f t="shared" ca="1" si="43"/>
        <v>220600</v>
      </c>
      <c r="E65" s="176">
        <f ca="1">IFERROR(__xludf.DUMMYFUNCTION("IMPORTRANGE(""https://docs.google.com/spreadsheets/d/1-uDff_7J0KD5mKrp0Vvzr7lt3OU09vwQwhkpOPPYv2Y/edit?usp=sharing"",""งบพรบ!ET65"")"),117600)</f>
        <v>117600</v>
      </c>
      <c r="F65" s="176">
        <f ca="1">IFERROR(__xludf.DUMMYFUNCTION("IMPORTRANGE(""https://docs.google.com/spreadsheets/d/1-uDff_7J0KD5mKrp0Vvzr7lt3OU09vwQwhkpOPPYv2Y/edit?usp=sharing"",""งบพรบ!EU65"")"),103000)</f>
        <v>103000</v>
      </c>
      <c r="G65" s="176">
        <f ca="1">IFERROR(__xludf.DUMMYFUNCTION("IMPORTRANGE(""https://docs.google.com/spreadsheets/d/1-uDff_7J0KD5mKrp0Vvzr7lt3OU09vwQwhkpOPPYv2Y/edit?usp=sharing"",""งบพรบ!EV65"")"),0)</f>
        <v>0</v>
      </c>
      <c r="H65" s="176">
        <f ca="1">IFERROR(__xludf.DUMMYFUNCTION("IMPORTRANGE(""https://docs.google.com/spreadsheets/d/1-uDff_7J0KD5mKrp0Vvzr7lt3OU09vwQwhkpOPPYv2Y/edit?usp=sharing"",""งบพรบ!EX65"")"),167350)</f>
        <v>167350</v>
      </c>
      <c r="I65" s="176">
        <f ca="1">IFERROR(__xludf.DUMMYFUNCTION("IMPORTRANGE(""https://docs.google.com/spreadsheets/d/1-uDff_7J0KD5mKrp0Vvzr7lt3OU09vwQwhkpOPPYv2Y/edit?usp=sharing"",""งบพรบ!EY65"")"),0)</f>
        <v>0</v>
      </c>
      <c r="J65" s="176">
        <f t="shared" ca="1" si="22"/>
        <v>58600</v>
      </c>
      <c r="K65" s="181">
        <f t="shared" ca="1" si="23"/>
        <v>26.563916591115142</v>
      </c>
      <c r="L65" s="176">
        <f ca="1">IFERROR(__xludf.DUMMYFUNCTION("IMPORTRANGE(""https://docs.google.com/spreadsheets/d/1-uDff_7J0KD5mKrp0Vvzr7lt3OU09vwQwhkpOPPYv2Y/edit?usp=sharing"",""งบพรบ!EZ65"")"),58600)</f>
        <v>58600</v>
      </c>
      <c r="M65" s="179">
        <f t="shared" ca="1" si="24"/>
        <v>26.563916591115142</v>
      </c>
      <c r="N65" s="179">
        <f t="shared" ca="1" si="25"/>
        <v>35.016432626232444</v>
      </c>
      <c r="O65" s="180">
        <f ca="1">IFERROR(__xludf.DUMMYFUNCTION("IMPORTRANGE(""https://docs.google.com/spreadsheets/d/1-uDff_7J0KD5mKrp0Vvzr7lt3OU09vwQwhkpOPPYv2Y/edit?usp=sharing"",""งบพรบ!FA65"")"),0)</f>
        <v>0</v>
      </c>
      <c r="P65" s="180">
        <f t="shared" ca="1" si="26"/>
        <v>0</v>
      </c>
      <c r="Q65" s="179">
        <f t="shared" ca="1" si="27"/>
        <v>0</v>
      </c>
      <c r="R65" s="344">
        <f ca="1">IFERROR(__xludf.DUMMYFUNCTION("IMPORTRANGE(""https://docs.google.com/spreadsheets/d/1YXvxf8Yu6_rV4hTBrwMqAcAnv6DfhUxh5emyM3CJp_w/edit?usp=sharing"",""เพชรบุรี!I344"")"),460)</f>
        <v>460</v>
      </c>
      <c r="S65" s="177">
        <f ca="1">IFERROR(__xludf.DUMMYFUNCTION("IMPORTRANGE(""https://docs.google.com/spreadsheets/d/1YXvxf8Yu6_rV4hTBrwMqAcAnv6DfhUxh5emyM3CJp_w/edit?usp=sharing"",""เพชรบุรี!J344"")"),100)</f>
        <v>100</v>
      </c>
      <c r="T65" s="345">
        <f t="shared" ca="1" si="29"/>
        <v>21.739130434782609</v>
      </c>
      <c r="U65" s="344">
        <f ca="1">IFERROR(__xludf.DUMMYFUNCTION("IMPORTRANGE(""https://docs.google.com/spreadsheets/d/1YXvxf8Yu6_rV4hTBrwMqAcAnv6DfhUxh5emyM3CJp_w/edit?usp=sharing"",""เพชรบุรี!I346"")"),3)</f>
        <v>3</v>
      </c>
      <c r="V65" s="177">
        <f ca="1">IFERROR(__xludf.DUMMYFUNCTION("IMPORTRANGE(""https://docs.google.com/spreadsheets/d/1YXvxf8Yu6_rV4hTBrwMqAcAnv6DfhUxh5emyM3CJp_w/edit?usp=sharing"",""เพชรบุรี!J346"")"),0)</f>
        <v>0</v>
      </c>
      <c r="W65" s="345">
        <f t="shared" ca="1" si="31"/>
        <v>0</v>
      </c>
      <c r="X65" s="177">
        <f ca="1">IFERROR(__xludf.DUMMYFUNCTION("IMPORTRANGE(""https://docs.google.com/spreadsheets/d/1YXvxf8Yu6_rV4hTBrwMqAcAnv6DfhUxh5emyM3CJp_w/edit?usp=sharing"",""เพชรบุรี!J347"")"),0)</f>
        <v>0</v>
      </c>
      <c r="Y65" s="177">
        <f ca="1">IFERROR(__xludf.DUMMYFUNCTION("IMPORTRANGE(""https://docs.google.com/spreadsheets/d/1YXvxf8Yu6_rV4hTBrwMqAcAnv6DfhUxh5emyM3CJp_w/edit?usp=sharing"",""เพชรบุรี!J348"")"),11)</f>
        <v>11</v>
      </c>
      <c r="Z65" s="177">
        <f ca="1">IFERROR(__xludf.DUMMYFUNCTION("IMPORTRANGE(""https://docs.google.com/spreadsheets/d/1YXvxf8Yu6_rV4hTBrwMqAcAnv6DfhUxh5emyM3CJp_w/edit?usp=sharing"",""เพชรบุรี!J349"")"),0)</f>
        <v>0</v>
      </c>
      <c r="AA65" s="177">
        <f ca="1">IFERROR(__xludf.DUMMYFUNCTION("IMPORTRANGE(""https://docs.google.com/spreadsheets/d/1YXvxf8Yu6_rV4hTBrwMqAcAnv6DfhUxh5emyM3CJp_w/edit?usp=sharing"",""เพชรบุรี!J352"")"),2)</f>
        <v>2</v>
      </c>
      <c r="AB65" s="177">
        <f ca="1">IFERROR(__xludf.DUMMYFUNCTION("IMPORTRANGE(""https://docs.google.com/spreadsheets/d/1YXvxf8Yu6_rV4hTBrwMqAcAnv6DfhUxh5emyM3CJp_w/edit?usp=sharing"",""เพชรบุรี!J353"")"),560)</f>
        <v>560</v>
      </c>
    </row>
    <row r="66" spans="1:28" ht="21" customHeight="1" x14ac:dyDescent="0.3">
      <c r="A66" s="84">
        <v>14</v>
      </c>
      <c r="B66" s="85" t="s">
        <v>88</v>
      </c>
      <c r="C66" s="174">
        <f t="shared" ca="1" si="20"/>
        <v>150100</v>
      </c>
      <c r="D66" s="175">
        <f t="shared" ca="1" si="43"/>
        <v>150100</v>
      </c>
      <c r="E66" s="176">
        <f ca="1">IFERROR(__xludf.DUMMYFUNCTION("IMPORTRANGE(""https://docs.google.com/spreadsheets/d/1-uDff_7J0KD5mKrp0Vvzr7lt3OU09vwQwhkpOPPYv2Y/edit?usp=sharing"",""งบพรบ!ET66"")"),51100)</f>
        <v>51100</v>
      </c>
      <c r="F66" s="176">
        <f ca="1">IFERROR(__xludf.DUMMYFUNCTION("IMPORTRANGE(""https://docs.google.com/spreadsheets/d/1-uDff_7J0KD5mKrp0Vvzr7lt3OU09vwQwhkpOPPYv2Y/edit?usp=sharing"",""งบพรบ!EU66"")"),99000)</f>
        <v>99000</v>
      </c>
      <c r="G66" s="176">
        <f ca="1">IFERROR(__xludf.DUMMYFUNCTION("IMPORTRANGE(""https://docs.google.com/spreadsheets/d/1-uDff_7J0KD5mKrp0Vvzr7lt3OU09vwQwhkpOPPYv2Y/edit?usp=sharing"",""งบพรบ!EV66"")"),0)</f>
        <v>0</v>
      </c>
      <c r="H66" s="176">
        <f ca="1">IFERROR(__xludf.DUMMYFUNCTION("IMPORTRANGE(""https://docs.google.com/spreadsheets/d/1-uDff_7J0KD5mKrp0Vvzr7lt3OU09vwQwhkpOPPYv2Y/edit?usp=sharing"",""งบพรบ!EX66"")"),115850)</f>
        <v>115850</v>
      </c>
      <c r="I66" s="176">
        <f ca="1">IFERROR(__xludf.DUMMYFUNCTION("IMPORTRANGE(""https://docs.google.com/spreadsheets/d/1-uDff_7J0KD5mKrp0Vvzr7lt3OU09vwQwhkpOPPYv2Y/edit?usp=sharing"",""งบพรบ!EY66"")"),0)</f>
        <v>0</v>
      </c>
      <c r="J66" s="176">
        <f t="shared" ca="1" si="22"/>
        <v>57798.11</v>
      </c>
      <c r="K66" s="181">
        <f t="shared" ca="1" si="23"/>
        <v>38.506402398401065</v>
      </c>
      <c r="L66" s="176">
        <f ca="1">IFERROR(__xludf.DUMMYFUNCTION("IMPORTRANGE(""https://docs.google.com/spreadsheets/d/1-uDff_7J0KD5mKrp0Vvzr7lt3OU09vwQwhkpOPPYv2Y/edit?usp=sharing"",""งบพรบ!EZ66"")"),57798.11)</f>
        <v>57798.11</v>
      </c>
      <c r="M66" s="179">
        <f t="shared" ca="1" si="24"/>
        <v>38.506402398401065</v>
      </c>
      <c r="N66" s="179">
        <f t="shared" ca="1" si="25"/>
        <v>49.890470435908504</v>
      </c>
      <c r="O66" s="180">
        <f ca="1">IFERROR(__xludf.DUMMYFUNCTION("IMPORTRANGE(""https://docs.google.com/spreadsheets/d/1-uDff_7J0KD5mKrp0Vvzr7lt3OU09vwQwhkpOPPYv2Y/edit?usp=sharing"",""งบพรบ!FA66"")"),0)</f>
        <v>0</v>
      </c>
      <c r="P66" s="180">
        <f t="shared" ca="1" si="26"/>
        <v>0</v>
      </c>
      <c r="Q66" s="179">
        <f t="shared" ca="1" si="27"/>
        <v>0</v>
      </c>
      <c r="R66" s="344">
        <f ca="1">IFERROR(__xludf.DUMMYFUNCTION("IMPORTRANGE(""https://docs.google.com/spreadsheets/d/19KBlQQs7uwvsao6t2n-KvW3Ax8J8uRRfZPq1zPbXgKc/edit?usp=sharing"",""ระยอง!I344"")"),260)</f>
        <v>260</v>
      </c>
      <c r="S66" s="177">
        <f ca="1">IFERROR(__xludf.DUMMYFUNCTION("IMPORTRANGE(""https://docs.google.com/spreadsheets/d/19KBlQQs7uwvsao6t2n-KvW3Ax8J8uRRfZPq1zPbXgKc/edit?usp=sharing"",""ระยอง!J344"")"),71)</f>
        <v>71</v>
      </c>
      <c r="T66" s="345">
        <f t="shared" ca="1" si="29"/>
        <v>27.307692307692307</v>
      </c>
      <c r="U66" s="344">
        <f ca="1">IFERROR(__xludf.DUMMYFUNCTION("IMPORTRANGE(""https://docs.google.com/spreadsheets/d/19KBlQQs7uwvsao6t2n-KvW3Ax8J8uRRfZPq1zPbXgKc/edit?usp=sharing"",""ระยอง!I346"")"),1)</f>
        <v>1</v>
      </c>
      <c r="V66" s="177">
        <f ca="1">IFERROR(__xludf.DUMMYFUNCTION("IMPORTRANGE(""https://docs.google.com/spreadsheets/d/19KBlQQs7uwvsao6t2n-KvW3Ax8J8uRRfZPq1zPbXgKc/edit?usp=sharing"",""ระยอง!J346"")"),0)</f>
        <v>0</v>
      </c>
      <c r="W66" s="345">
        <f t="shared" ca="1" si="31"/>
        <v>0</v>
      </c>
      <c r="X66" s="177">
        <f ca="1">IFERROR(__xludf.DUMMYFUNCTION("IMPORTRANGE(""https://docs.google.com/spreadsheets/d/19KBlQQs7uwvsao6t2n-KvW3Ax8J8uRRfZPq1zPbXgKc/edit?usp=sharing"",""ระยอง!J347"")"),0)</f>
        <v>0</v>
      </c>
      <c r="Y66" s="177">
        <f ca="1">IFERROR(__xludf.DUMMYFUNCTION("IMPORTRANGE(""https://docs.google.com/spreadsheets/d/19KBlQQs7uwvsao6t2n-KvW3Ax8J8uRRfZPq1zPbXgKc/edit?usp=sharing"",""ระยอง!J348"")"),4)</f>
        <v>4</v>
      </c>
      <c r="Z66" s="177">
        <f ca="1">IFERROR(__xludf.DUMMYFUNCTION("IMPORTRANGE(""https://docs.google.com/spreadsheets/d/19KBlQQs7uwvsao6t2n-KvW3Ax8J8uRRfZPq1zPbXgKc/edit?usp=sharing"",""ระยอง!J349"")"),0)</f>
        <v>0</v>
      </c>
      <c r="AA66" s="177">
        <f ca="1">IFERROR(__xludf.DUMMYFUNCTION("IMPORTRANGE(""https://docs.google.com/spreadsheets/d/19KBlQQs7uwvsao6t2n-KvW3Ax8J8uRRfZPq1zPbXgKc/edit?usp=sharing"",""ระยอง!J352"")"),16)</f>
        <v>16</v>
      </c>
      <c r="AB66" s="177">
        <f ca="1">IFERROR(__xludf.DUMMYFUNCTION("IMPORTRANGE(""https://docs.google.com/spreadsheets/d/19KBlQQs7uwvsao6t2n-KvW3Ax8J8uRRfZPq1zPbXgKc/edit?usp=sharing"",""ระยอง!J353"")"),808)</f>
        <v>808</v>
      </c>
    </row>
    <row r="67" spans="1:28" ht="21" customHeight="1" x14ac:dyDescent="0.3">
      <c r="A67" s="84">
        <v>15</v>
      </c>
      <c r="B67" s="85" t="s">
        <v>89</v>
      </c>
      <c r="C67" s="174">
        <f t="shared" ca="1" si="20"/>
        <v>108000</v>
      </c>
      <c r="D67" s="175">
        <f t="shared" ca="1" si="43"/>
        <v>108000</v>
      </c>
      <c r="E67" s="176">
        <f ca="1">IFERROR(__xludf.DUMMYFUNCTION("IMPORTRANGE(""https://docs.google.com/spreadsheets/d/1-uDff_7J0KD5mKrp0Vvzr7lt3OU09vwQwhkpOPPYv2Y/edit?usp=sharing"",""งบพรบ!ET67"")"),0)</f>
        <v>0</v>
      </c>
      <c r="F67" s="176">
        <f ca="1">IFERROR(__xludf.DUMMYFUNCTION("IMPORTRANGE(""https://docs.google.com/spreadsheets/d/1-uDff_7J0KD5mKrp0Vvzr7lt3OU09vwQwhkpOPPYv2Y/edit?usp=sharing"",""งบพรบ!EU67"")"),108000)</f>
        <v>108000</v>
      </c>
      <c r="G67" s="176">
        <f ca="1">IFERROR(__xludf.DUMMYFUNCTION("IMPORTRANGE(""https://docs.google.com/spreadsheets/d/1-uDff_7J0KD5mKrp0Vvzr7lt3OU09vwQwhkpOPPYv2Y/edit?usp=sharing"",""งบพรบ!EV67"")"),0)</f>
        <v>0</v>
      </c>
      <c r="H67" s="176">
        <f ca="1">IFERROR(__xludf.DUMMYFUNCTION("IMPORTRANGE(""https://docs.google.com/spreadsheets/d/1-uDff_7J0KD5mKrp0Vvzr7lt3OU09vwQwhkpOPPYv2Y/edit?usp=sharing"",""งบพรบ!EX67"")"),85750)</f>
        <v>85750</v>
      </c>
      <c r="I67" s="176">
        <f ca="1">IFERROR(__xludf.DUMMYFUNCTION("IMPORTRANGE(""https://docs.google.com/spreadsheets/d/1-uDff_7J0KD5mKrp0Vvzr7lt3OU09vwQwhkpOPPYv2Y/edit?usp=sharing"",""งบพรบ!EY67"")"),0)</f>
        <v>0</v>
      </c>
      <c r="J67" s="176">
        <f t="shared" ca="1" si="22"/>
        <v>37240</v>
      </c>
      <c r="K67" s="181">
        <f t="shared" ca="1" si="23"/>
        <v>34.481481481481481</v>
      </c>
      <c r="L67" s="176">
        <f ca="1">IFERROR(__xludf.DUMMYFUNCTION("IMPORTRANGE(""https://docs.google.com/spreadsheets/d/1-uDff_7J0KD5mKrp0Vvzr7lt3OU09vwQwhkpOPPYv2Y/edit?usp=sharing"",""งบพรบ!EZ67"")"),37240)</f>
        <v>37240</v>
      </c>
      <c r="M67" s="179">
        <f t="shared" ca="1" si="24"/>
        <v>34.481481481481481</v>
      </c>
      <c r="N67" s="179">
        <f t="shared" ca="1" si="25"/>
        <v>43.428571428571431</v>
      </c>
      <c r="O67" s="180">
        <f ca="1">IFERROR(__xludf.DUMMYFUNCTION("IMPORTRANGE(""https://docs.google.com/spreadsheets/d/1-uDff_7J0KD5mKrp0Vvzr7lt3OU09vwQwhkpOPPYv2Y/edit?usp=sharing"",""งบพรบ!FA67"")"),0)</f>
        <v>0</v>
      </c>
      <c r="P67" s="180">
        <f t="shared" ca="1" si="26"/>
        <v>0</v>
      </c>
      <c r="Q67" s="179">
        <f t="shared" ca="1" si="27"/>
        <v>0</v>
      </c>
      <c r="R67" s="346">
        <f ca="1">IFERROR(__xludf.DUMMYFUNCTION("IMPORTRANGE(""https://docs.google.com/spreadsheets/d/1jQ6P4QcrGM89YfqcC_PxOHGCMq5ezhucwJd8ci-NHng/edit?usp=sharing"",""ราชบุรี!I344"")"),1060)</f>
        <v>1060</v>
      </c>
      <c r="S67" s="177">
        <f ca="1">IFERROR(__xludf.DUMMYFUNCTION("IMPORTRANGE(""https://docs.google.com/spreadsheets/d/1jQ6P4QcrGM89YfqcC_PxOHGCMq5ezhucwJd8ci-NHng/edit?usp=sharing"",""ราชบุรี!J344"")"),1039)</f>
        <v>1039</v>
      </c>
      <c r="T67" s="345">
        <f t="shared" ca="1" si="29"/>
        <v>98.018867924528308</v>
      </c>
      <c r="U67" s="346">
        <f ca="1">IFERROR(__xludf.DUMMYFUNCTION("IMPORTRANGE(""https://docs.google.com/spreadsheets/d/1jQ6P4QcrGM89YfqcC_PxOHGCMq5ezhucwJd8ci-NHng/edit?usp=sharing"",""ราชบุรี!I346"")"),4)</f>
        <v>4</v>
      </c>
      <c r="V67" s="177">
        <f ca="1">IFERROR(__xludf.DUMMYFUNCTION("IMPORTRANGE(""https://docs.google.com/spreadsheets/d/1jQ6P4QcrGM89YfqcC_PxOHGCMq5ezhucwJd8ci-NHng/edit?usp=sharing"",""ราชบุรี!J346"")"),3)</f>
        <v>3</v>
      </c>
      <c r="W67" s="345">
        <f t="shared" ca="1" si="31"/>
        <v>75</v>
      </c>
      <c r="X67" s="177">
        <f ca="1">IFERROR(__xludf.DUMMYFUNCTION("IMPORTRANGE(""https://docs.google.com/spreadsheets/d/1jQ6P4QcrGM89YfqcC_PxOHGCMq5ezhucwJd8ci-NHng/edit?usp=sharing"",""ราชบุรี!J347"")"),0)</f>
        <v>0</v>
      </c>
      <c r="Y67" s="177">
        <f ca="1">IFERROR(__xludf.DUMMYFUNCTION("IMPORTRANGE(""https://docs.google.com/spreadsheets/d/1jQ6P4QcrGM89YfqcC_PxOHGCMq5ezhucwJd8ci-NHng/edit?usp=sharing"",""ราชบุรี!J348"")"),1)</f>
        <v>1</v>
      </c>
      <c r="Z67" s="177">
        <f ca="1">IFERROR(__xludf.DUMMYFUNCTION("IMPORTRANGE(""https://docs.google.com/spreadsheets/d/1jQ6P4QcrGM89YfqcC_PxOHGCMq5ezhucwJd8ci-NHng/edit?usp=sharing"",""ราชบุรี!J349"")"),0)</f>
        <v>0</v>
      </c>
      <c r="AA67" s="177">
        <f ca="1">IFERROR(__xludf.DUMMYFUNCTION("IMPORTRANGE(""https://docs.google.com/spreadsheets/d/1jQ6P4QcrGM89YfqcC_PxOHGCMq5ezhucwJd8ci-NHng/edit?usp=sharing"",""ราชบุรี!J352"")"),171)</f>
        <v>171</v>
      </c>
      <c r="AB67" s="177">
        <f ca="1">IFERROR(__xludf.DUMMYFUNCTION("IMPORTRANGE(""https://docs.google.com/spreadsheets/d/1jQ6P4QcrGM89YfqcC_PxOHGCMq5ezhucwJd8ci-NHng/edit?usp=sharing"",""ราชบุรี!J353"")"),1736)</f>
        <v>1736</v>
      </c>
    </row>
    <row r="68" spans="1:28" ht="24" customHeight="1" x14ac:dyDescent="0.3">
      <c r="A68" s="84">
        <v>16</v>
      </c>
      <c r="B68" s="85" t="s">
        <v>90</v>
      </c>
      <c r="C68" s="174">
        <f t="shared" ca="1" si="20"/>
        <v>108000</v>
      </c>
      <c r="D68" s="175">
        <f t="shared" ca="1" si="43"/>
        <v>108000</v>
      </c>
      <c r="E68" s="176">
        <f ca="1">IFERROR(__xludf.DUMMYFUNCTION("IMPORTRANGE(""https://docs.google.com/spreadsheets/d/1-uDff_7J0KD5mKrp0Vvzr7lt3OU09vwQwhkpOPPYv2Y/edit?usp=sharing"",""งบพรบ!ET68"")"),0)</f>
        <v>0</v>
      </c>
      <c r="F68" s="176">
        <f ca="1">IFERROR(__xludf.DUMMYFUNCTION("IMPORTRANGE(""https://docs.google.com/spreadsheets/d/1-uDff_7J0KD5mKrp0Vvzr7lt3OU09vwQwhkpOPPYv2Y/edit?usp=sharing"",""งบพรบ!EU68"")"),108000)</f>
        <v>108000</v>
      </c>
      <c r="G68" s="176">
        <f ca="1">IFERROR(__xludf.DUMMYFUNCTION("IMPORTRANGE(""https://docs.google.com/spreadsheets/d/1-uDff_7J0KD5mKrp0Vvzr7lt3OU09vwQwhkpOPPYv2Y/edit?usp=sharing"",""งบพรบ!EV68"")"),0)</f>
        <v>0</v>
      </c>
      <c r="H68" s="176">
        <f ca="1">IFERROR(__xludf.DUMMYFUNCTION("IMPORTRANGE(""https://docs.google.com/spreadsheets/d/1-uDff_7J0KD5mKrp0Vvzr7lt3OU09vwQwhkpOPPYv2Y/edit?usp=sharing"",""งบพรบ!EX68"")"),85750)</f>
        <v>85750</v>
      </c>
      <c r="I68" s="176">
        <f ca="1">IFERROR(__xludf.DUMMYFUNCTION("IMPORTRANGE(""https://docs.google.com/spreadsheets/d/1-uDff_7J0KD5mKrp0Vvzr7lt3OU09vwQwhkpOPPYv2Y/edit?usp=sharing"",""งบพรบ!EY68"")"),0)</f>
        <v>0</v>
      </c>
      <c r="J68" s="176">
        <f t="shared" ca="1" si="22"/>
        <v>35740</v>
      </c>
      <c r="K68" s="181">
        <f t="shared" ca="1" si="23"/>
        <v>33.092592592592595</v>
      </c>
      <c r="L68" s="176">
        <f ca="1">IFERROR(__xludf.DUMMYFUNCTION("IMPORTRANGE(""https://docs.google.com/spreadsheets/d/1-uDff_7J0KD5mKrp0Vvzr7lt3OU09vwQwhkpOPPYv2Y/edit?usp=sharing"",""งบพรบ!EZ68"")"),35740)</f>
        <v>35740</v>
      </c>
      <c r="M68" s="179">
        <f t="shared" ca="1" si="24"/>
        <v>33.092592592592595</v>
      </c>
      <c r="N68" s="179">
        <f t="shared" ca="1" si="25"/>
        <v>41.679300291545189</v>
      </c>
      <c r="O68" s="180">
        <f ca="1">IFERROR(__xludf.DUMMYFUNCTION("IMPORTRANGE(""https://docs.google.com/spreadsheets/d/1-uDff_7J0KD5mKrp0Vvzr7lt3OU09vwQwhkpOPPYv2Y/edit?usp=sharing"",""งบพรบ!FA68"")"),0)</f>
        <v>0</v>
      </c>
      <c r="P68" s="180">
        <f t="shared" ca="1" si="26"/>
        <v>0</v>
      </c>
      <c r="Q68" s="179">
        <f t="shared" ca="1" si="27"/>
        <v>0</v>
      </c>
      <c r="R68" s="344">
        <f ca="1">IFERROR(__xludf.DUMMYFUNCTION("IMPORTRANGE(""https://docs.google.com/spreadsheets/d/1lufeA2cfFqM-elVq2hznhDzC6Pr7wkJ9ZG_sYNGCMCU/edit?usp=sharing"",""ลพบุรี!I344"")"),1400)</f>
        <v>1400</v>
      </c>
      <c r="S68" s="177">
        <f ca="1">IFERROR(__xludf.DUMMYFUNCTION("IMPORTRANGE(""https://docs.google.com/spreadsheets/d/1lufeA2cfFqM-elVq2hznhDzC6Pr7wkJ9ZG_sYNGCMCU/edit?usp=sharing"",""ลพบุรี!J344"")"),711)</f>
        <v>711</v>
      </c>
      <c r="T68" s="345">
        <f t="shared" ca="1" si="29"/>
        <v>50.785714285714285</v>
      </c>
      <c r="U68" s="344">
        <f ca="1">IFERROR(__xludf.DUMMYFUNCTION("IMPORTRANGE(""https://docs.google.com/spreadsheets/d/1lufeA2cfFqM-elVq2hznhDzC6Pr7wkJ9ZG_sYNGCMCU/edit?usp=sharing"",""ลพบุรี!I346"")"),4)</f>
        <v>4</v>
      </c>
      <c r="V68" s="177">
        <f ca="1">IFERROR(__xludf.DUMMYFUNCTION("IMPORTRANGE(""https://docs.google.com/spreadsheets/d/1lufeA2cfFqM-elVq2hznhDzC6Pr7wkJ9ZG_sYNGCMCU/edit?usp=sharing"",""ลพบุรี!J346"")"),5)</f>
        <v>5</v>
      </c>
      <c r="W68" s="345">
        <f t="shared" ca="1" si="31"/>
        <v>125</v>
      </c>
      <c r="X68" s="177">
        <f ca="1">IFERROR(__xludf.DUMMYFUNCTION("IMPORTRANGE(""https://docs.google.com/spreadsheets/d/1lufeA2cfFqM-elVq2hznhDzC6Pr7wkJ9ZG_sYNGCMCU/edit?usp=sharing"",""ลพบุรี!J347"")"),3)</f>
        <v>3</v>
      </c>
      <c r="Y68" s="177">
        <f ca="1">IFERROR(__xludf.DUMMYFUNCTION("IMPORTRANGE(""https://docs.google.com/spreadsheets/d/1lufeA2cfFqM-elVq2hznhDzC6Pr7wkJ9ZG_sYNGCMCU/edit?usp=sharing"",""ลพบุรี!J348"")"),0)</f>
        <v>0</v>
      </c>
      <c r="Z68" s="177">
        <f ca="1">IFERROR(__xludf.DUMMYFUNCTION("IMPORTRANGE(""https://docs.google.com/spreadsheets/d/1lufeA2cfFqM-elVq2hznhDzC6Pr7wkJ9ZG_sYNGCMCU/edit?usp=sharing"",""ลพบุรี!J349"")"),0)</f>
        <v>0</v>
      </c>
      <c r="AA68" s="177">
        <f ca="1">IFERROR(__xludf.DUMMYFUNCTION("IMPORTRANGE(""https://docs.google.com/spreadsheets/d/1lufeA2cfFqM-elVq2hznhDzC6Pr7wkJ9ZG_sYNGCMCU/edit?usp=sharing"",""ลพบุรี!J352"")"),890)</f>
        <v>890</v>
      </c>
      <c r="AB68" s="177">
        <f ca="1">IFERROR(__xludf.DUMMYFUNCTION("IMPORTRANGE(""https://docs.google.com/spreadsheets/d/1lufeA2cfFqM-elVq2hznhDzC6Pr7wkJ9ZG_sYNGCMCU/edit?usp=sharing"",""ลพบุรี!J353"")"),2510)</f>
        <v>2510</v>
      </c>
    </row>
    <row r="69" spans="1:28" ht="21" customHeight="1" x14ac:dyDescent="0.3">
      <c r="A69" s="84">
        <v>17</v>
      </c>
      <c r="B69" s="85" t="s">
        <v>91</v>
      </c>
      <c r="C69" s="174">
        <f t="shared" ca="1" si="20"/>
        <v>116000</v>
      </c>
      <c r="D69" s="175">
        <f t="shared" ca="1" si="43"/>
        <v>116000</v>
      </c>
      <c r="E69" s="176">
        <f ca="1">IFERROR(__xludf.DUMMYFUNCTION("IMPORTRANGE(""https://docs.google.com/spreadsheets/d/1-uDff_7J0KD5mKrp0Vvzr7lt3OU09vwQwhkpOPPYv2Y/edit?usp=sharing"",""งบพรบ!ET69"")"),0)</f>
        <v>0</v>
      </c>
      <c r="F69" s="176">
        <f ca="1">IFERROR(__xludf.DUMMYFUNCTION("IMPORTRANGE(""https://docs.google.com/spreadsheets/d/1-uDff_7J0KD5mKrp0Vvzr7lt3OU09vwQwhkpOPPYv2Y/edit?usp=sharing"",""งบพรบ!EU69"")"),116000)</f>
        <v>116000</v>
      </c>
      <c r="G69" s="176">
        <f ca="1">IFERROR(__xludf.DUMMYFUNCTION("IMPORTRANGE(""https://docs.google.com/spreadsheets/d/1-uDff_7J0KD5mKrp0Vvzr7lt3OU09vwQwhkpOPPYv2Y/edit?usp=sharing"",""งบพรบ!EV69"")"),0)</f>
        <v>0</v>
      </c>
      <c r="H69" s="176">
        <f ca="1">IFERROR(__xludf.DUMMYFUNCTION("IMPORTRANGE(""https://docs.google.com/spreadsheets/d/1-uDff_7J0KD5mKrp0Vvzr7lt3OU09vwQwhkpOPPYv2Y/edit?usp=sharing"",""งบพรบ!EX69"")"),90550)</f>
        <v>90550</v>
      </c>
      <c r="I69" s="176">
        <f ca="1">IFERROR(__xludf.DUMMYFUNCTION("IMPORTRANGE(""https://docs.google.com/spreadsheets/d/1-uDff_7J0KD5mKrp0Vvzr7lt3OU09vwQwhkpOPPYv2Y/edit?usp=sharing"",""งบพรบ!EY69"")"),0)</f>
        <v>0</v>
      </c>
      <c r="J69" s="176">
        <f t="shared" ca="1" si="22"/>
        <v>36580</v>
      </c>
      <c r="K69" s="181">
        <f t="shared" ca="1" si="23"/>
        <v>31.53448275862069</v>
      </c>
      <c r="L69" s="176">
        <f ca="1">IFERROR(__xludf.DUMMYFUNCTION("IMPORTRANGE(""https://docs.google.com/spreadsheets/d/1-uDff_7J0KD5mKrp0Vvzr7lt3OU09vwQwhkpOPPYv2Y/edit?usp=sharing"",""งบพรบ!EZ69"")"),36580)</f>
        <v>36580</v>
      </c>
      <c r="M69" s="179">
        <f t="shared" ca="1" si="24"/>
        <v>31.53448275862069</v>
      </c>
      <c r="N69" s="179">
        <f t="shared" ca="1" si="25"/>
        <v>40.397570403092217</v>
      </c>
      <c r="O69" s="180">
        <f ca="1">IFERROR(__xludf.DUMMYFUNCTION("IMPORTRANGE(""https://docs.google.com/spreadsheets/d/1-uDff_7J0KD5mKrp0Vvzr7lt3OU09vwQwhkpOPPYv2Y/edit?usp=sharing"",""งบพรบ!FA69"")"),0)</f>
        <v>0</v>
      </c>
      <c r="P69" s="180">
        <f t="shared" ca="1" si="26"/>
        <v>0</v>
      </c>
      <c r="Q69" s="179">
        <f t="shared" ca="1" si="27"/>
        <v>0</v>
      </c>
      <c r="R69" s="344">
        <f ca="1">IFERROR(__xludf.DUMMYFUNCTION("IMPORTRANGE(""https://docs.google.com/spreadsheets/d/10oOiF7loTyfsTkbd4MpaIm0HQ9SwB7IYHdIUvt-U1Uc/edit?usp=sharing"",""สระแก้ว!I344"")"),3540)</f>
        <v>3540</v>
      </c>
      <c r="S69" s="177">
        <f ca="1">IFERROR(__xludf.DUMMYFUNCTION("IMPORTRANGE(""https://docs.google.com/spreadsheets/d/10oOiF7loTyfsTkbd4MpaIm0HQ9SwB7IYHdIUvt-U1Uc/edit?usp=sharing"",""สระแก้ว!J344"")"),2695)</f>
        <v>2695</v>
      </c>
      <c r="T69" s="345">
        <f t="shared" ca="1" si="29"/>
        <v>76.129943502824858</v>
      </c>
      <c r="U69" s="344">
        <f ca="1">IFERROR(__xludf.DUMMYFUNCTION("IMPORTRANGE(""https://docs.google.com/spreadsheets/d/10oOiF7loTyfsTkbd4MpaIm0HQ9SwB7IYHdIUvt-U1Uc/edit?usp=sharing"",""สระแก้ว!I346"")"),5)</f>
        <v>5</v>
      </c>
      <c r="V69" s="177">
        <f ca="1">IFERROR(__xludf.DUMMYFUNCTION("IMPORTRANGE(""https://docs.google.com/spreadsheets/d/10oOiF7loTyfsTkbd4MpaIm0HQ9SwB7IYHdIUvt-U1Uc/edit?usp=sharing"",""สระแก้ว!J346"")"),4)</f>
        <v>4</v>
      </c>
      <c r="W69" s="345">
        <f t="shared" ca="1" si="31"/>
        <v>80</v>
      </c>
      <c r="X69" s="177">
        <f ca="1">IFERROR(__xludf.DUMMYFUNCTION("IMPORTRANGE(""https://docs.google.com/spreadsheets/d/10oOiF7loTyfsTkbd4MpaIm0HQ9SwB7IYHdIUvt-U1Uc/edit?usp=sharing"",""สระแก้ว!J347"")"),133)</f>
        <v>133</v>
      </c>
      <c r="Y69" s="177">
        <f ca="1">IFERROR(__xludf.DUMMYFUNCTION("IMPORTRANGE(""https://docs.google.com/spreadsheets/d/10oOiF7loTyfsTkbd4MpaIm0HQ9SwB7IYHdIUvt-U1Uc/edit?usp=sharing"",""สระแก้ว!J348"")"),191)</f>
        <v>191</v>
      </c>
      <c r="Z69" s="177">
        <f ca="1">IFERROR(__xludf.DUMMYFUNCTION("IMPORTRANGE(""https://docs.google.com/spreadsheets/d/10oOiF7loTyfsTkbd4MpaIm0HQ9SwB7IYHdIUvt-U1Uc/edit?usp=sharing"",""สระแก้ว!J349"")"),0)</f>
        <v>0</v>
      </c>
      <c r="AA69" s="177">
        <f ca="1">IFERROR(__xludf.DUMMYFUNCTION("IMPORTRANGE(""https://docs.google.com/spreadsheets/d/10oOiF7loTyfsTkbd4MpaIm0HQ9SwB7IYHdIUvt-U1Uc/edit?usp=sharing"",""สระแก้ว!J352"")"),694)</f>
        <v>694</v>
      </c>
      <c r="AB69" s="177">
        <f ca="1">IFERROR(__xludf.DUMMYFUNCTION("IMPORTRANGE(""https://docs.google.com/spreadsheets/d/10oOiF7loTyfsTkbd4MpaIm0HQ9SwB7IYHdIUvt-U1Uc/edit?usp=sharing"",""สระแก้ว!J353"")"),2566)</f>
        <v>2566</v>
      </c>
    </row>
    <row r="70" spans="1:28" ht="21" customHeight="1" x14ac:dyDescent="0.3">
      <c r="A70" s="84">
        <v>18</v>
      </c>
      <c r="B70" s="85" t="s">
        <v>92</v>
      </c>
      <c r="C70" s="174">
        <f t="shared" ca="1" si="20"/>
        <v>104000</v>
      </c>
      <c r="D70" s="175">
        <f t="shared" ca="1" si="43"/>
        <v>104000</v>
      </c>
      <c r="E70" s="176">
        <f ca="1">IFERROR(__xludf.DUMMYFUNCTION("IMPORTRANGE(""https://docs.google.com/spreadsheets/d/1-uDff_7J0KD5mKrp0Vvzr7lt3OU09vwQwhkpOPPYv2Y/edit?usp=sharing"",""งบพรบ!ET70"")"),0)</f>
        <v>0</v>
      </c>
      <c r="F70" s="176">
        <f ca="1">IFERROR(__xludf.DUMMYFUNCTION("IMPORTRANGE(""https://docs.google.com/spreadsheets/d/1-uDff_7J0KD5mKrp0Vvzr7lt3OU09vwQwhkpOPPYv2Y/edit?usp=sharing"",""งบพรบ!EU70"")"),104000)</f>
        <v>104000</v>
      </c>
      <c r="G70" s="176">
        <f ca="1">IFERROR(__xludf.DUMMYFUNCTION("IMPORTRANGE(""https://docs.google.com/spreadsheets/d/1-uDff_7J0KD5mKrp0Vvzr7lt3OU09vwQwhkpOPPYv2Y/edit?usp=sharing"",""งบพรบ!EV70"")"),0)</f>
        <v>0</v>
      </c>
      <c r="H70" s="176">
        <f ca="1">IFERROR(__xludf.DUMMYFUNCTION("IMPORTRANGE(""https://docs.google.com/spreadsheets/d/1-uDff_7J0KD5mKrp0Vvzr7lt3OU09vwQwhkpOPPYv2Y/edit?usp=sharing"",""งบพรบ!EX70"")"),83750)</f>
        <v>83750</v>
      </c>
      <c r="I70" s="176">
        <f ca="1">IFERROR(__xludf.DUMMYFUNCTION("IMPORTRANGE(""https://docs.google.com/spreadsheets/d/1-uDff_7J0KD5mKrp0Vvzr7lt3OU09vwQwhkpOPPYv2Y/edit?usp=sharing"",""งบพรบ!EY70"")"),0)</f>
        <v>0</v>
      </c>
      <c r="J70" s="176">
        <f t="shared" ca="1" si="22"/>
        <v>25161</v>
      </c>
      <c r="K70" s="181">
        <f t="shared" ca="1" si="23"/>
        <v>24.193269230769232</v>
      </c>
      <c r="L70" s="176">
        <f ca="1">IFERROR(__xludf.DUMMYFUNCTION("IMPORTRANGE(""https://docs.google.com/spreadsheets/d/1-uDff_7J0KD5mKrp0Vvzr7lt3OU09vwQwhkpOPPYv2Y/edit?usp=sharing"",""งบพรบ!EZ70"")"),25161)</f>
        <v>25161</v>
      </c>
      <c r="M70" s="179">
        <f t="shared" ca="1" si="24"/>
        <v>24.193269230769232</v>
      </c>
      <c r="N70" s="179">
        <f t="shared" ca="1" si="25"/>
        <v>30.042985074626866</v>
      </c>
      <c r="O70" s="180">
        <f ca="1">IFERROR(__xludf.DUMMYFUNCTION("IMPORTRANGE(""https://docs.google.com/spreadsheets/d/1-uDff_7J0KD5mKrp0Vvzr7lt3OU09vwQwhkpOPPYv2Y/edit?usp=sharing"",""งบพรบ!FA70"")"),0)</f>
        <v>0</v>
      </c>
      <c r="P70" s="180">
        <f t="shared" ca="1" si="26"/>
        <v>0</v>
      </c>
      <c r="Q70" s="179">
        <f t="shared" ca="1" si="27"/>
        <v>0</v>
      </c>
      <c r="R70" s="344">
        <f ca="1">IFERROR(__xludf.DUMMYFUNCTION("IMPORTRANGE(""https://docs.google.com/spreadsheets/d/1xmPlrr1QbdSIKvl1dWUl9K4PjAfSL9oeMr_37QVzcxc/edit?usp=sharing"",""สระบุรี!I344"")"),1000)</f>
        <v>1000</v>
      </c>
      <c r="S70" s="177">
        <f ca="1">IFERROR(__xludf.DUMMYFUNCTION("IMPORTRANGE(""https://docs.google.com/spreadsheets/d/1xmPlrr1QbdSIKvl1dWUl9K4PjAfSL9oeMr_37QVzcxc/edit?usp=sharing"",""สระบุรี!J344"")"),324)</f>
        <v>324</v>
      </c>
      <c r="T70" s="345">
        <f t="shared" ca="1" si="29"/>
        <v>32.4</v>
      </c>
      <c r="U70" s="344">
        <f ca="1">IFERROR(__xludf.DUMMYFUNCTION("IMPORTRANGE(""https://docs.google.com/spreadsheets/d/1xmPlrr1QbdSIKvl1dWUl9K4PjAfSL9oeMr_37QVzcxc/edit?usp=sharing"",""สระบุรี!I346"")"),2)</f>
        <v>2</v>
      </c>
      <c r="V70" s="177">
        <f ca="1">IFERROR(__xludf.DUMMYFUNCTION("IMPORTRANGE(""https://docs.google.com/spreadsheets/d/1xmPlrr1QbdSIKvl1dWUl9K4PjAfSL9oeMr_37QVzcxc/edit?usp=sharing"",""สระบุรี!J346"")"),4)</f>
        <v>4</v>
      </c>
      <c r="W70" s="345">
        <f t="shared" ca="1" si="31"/>
        <v>200</v>
      </c>
      <c r="X70" s="177">
        <f ca="1">IFERROR(__xludf.DUMMYFUNCTION("IMPORTRANGE(""https://docs.google.com/spreadsheets/d/1xmPlrr1QbdSIKvl1dWUl9K4PjAfSL9oeMr_37QVzcxc/edit?usp=sharing"",""สระบุรี!J347"")"),0)</f>
        <v>0</v>
      </c>
      <c r="Y70" s="177">
        <f ca="1">IFERROR(__xludf.DUMMYFUNCTION("IMPORTRANGE(""https://docs.google.com/spreadsheets/d/1xmPlrr1QbdSIKvl1dWUl9K4PjAfSL9oeMr_37QVzcxc/edit?usp=sharing"",""สระบุรี!J348"")"),2)</f>
        <v>2</v>
      </c>
      <c r="Z70" s="177">
        <f ca="1">IFERROR(__xludf.DUMMYFUNCTION("IMPORTRANGE(""https://docs.google.com/spreadsheets/d/1xmPlrr1QbdSIKvl1dWUl9K4PjAfSL9oeMr_37QVzcxc/edit?usp=sharing"",""สระบุรี!J349"")"),0)</f>
        <v>0</v>
      </c>
      <c r="AA70" s="177">
        <f ca="1">IFERROR(__xludf.DUMMYFUNCTION("IMPORTRANGE(""https://docs.google.com/spreadsheets/d/1xmPlrr1QbdSIKvl1dWUl9K4PjAfSL9oeMr_37QVzcxc/edit?usp=sharing"",""สระบุรี!J352"")"),450)</f>
        <v>450</v>
      </c>
      <c r="AB70" s="177">
        <f ca="1">IFERROR(__xludf.DUMMYFUNCTION("IMPORTRANGE(""https://docs.google.com/spreadsheets/d/1xmPlrr1QbdSIKvl1dWUl9K4PjAfSL9oeMr_37QVzcxc/edit?usp=sharing"",""สระบุรี!J353"")"),1252)</f>
        <v>1252</v>
      </c>
    </row>
    <row r="71" spans="1:28" ht="21" customHeight="1" x14ac:dyDescent="0.3">
      <c r="A71" s="84">
        <v>19</v>
      </c>
      <c r="B71" s="85" t="s">
        <v>93</v>
      </c>
      <c r="C71" s="174">
        <f t="shared" ca="1" si="20"/>
        <v>213600</v>
      </c>
      <c r="D71" s="175">
        <f t="shared" ca="1" si="43"/>
        <v>213600</v>
      </c>
      <c r="E71" s="176">
        <f ca="1">IFERROR(__xludf.DUMMYFUNCTION("IMPORTRANGE(""https://docs.google.com/spreadsheets/d/1-uDff_7J0KD5mKrp0Vvzr7lt3OU09vwQwhkpOPPYv2Y/edit?usp=sharing"",""งบพรบ!ET71"")"),117600)</f>
        <v>117600</v>
      </c>
      <c r="F71" s="176">
        <f ca="1">IFERROR(__xludf.DUMMYFUNCTION("IMPORTRANGE(""https://docs.google.com/spreadsheets/d/1-uDff_7J0KD5mKrp0Vvzr7lt3OU09vwQwhkpOPPYv2Y/edit?usp=sharing"",""งบพรบ!EU71"")"),96000)</f>
        <v>96000</v>
      </c>
      <c r="G71" s="176">
        <f ca="1">IFERROR(__xludf.DUMMYFUNCTION("IMPORTRANGE(""https://docs.google.com/spreadsheets/d/1-uDff_7J0KD5mKrp0Vvzr7lt3OU09vwQwhkpOPPYv2Y/edit?usp=sharing"",""งบพรบ!EV71"")"),0)</f>
        <v>0</v>
      </c>
      <c r="H71" s="176">
        <f ca="1">IFERROR(__xludf.DUMMYFUNCTION("IMPORTRANGE(""https://docs.google.com/spreadsheets/d/1-uDff_7J0KD5mKrp0Vvzr7lt3OU09vwQwhkpOPPYv2Y/edit?usp=sharing"",""งบพรบ!EX71"")"),155950)</f>
        <v>155950</v>
      </c>
      <c r="I71" s="176">
        <f ca="1">IFERROR(__xludf.DUMMYFUNCTION("IMPORTRANGE(""https://docs.google.com/spreadsheets/d/1-uDff_7J0KD5mKrp0Vvzr7lt3OU09vwQwhkpOPPYv2Y/edit?usp=sharing"",""งบพรบ!EY71"")"),0)</f>
        <v>0</v>
      </c>
      <c r="J71" s="176">
        <f t="shared" ca="1" si="22"/>
        <v>44300</v>
      </c>
      <c r="K71" s="181">
        <f t="shared" ca="1" si="23"/>
        <v>20.739700374531836</v>
      </c>
      <c r="L71" s="176">
        <f ca="1">IFERROR(__xludf.DUMMYFUNCTION("IMPORTRANGE(""https://docs.google.com/spreadsheets/d/1-uDff_7J0KD5mKrp0Vvzr7lt3OU09vwQwhkpOPPYv2Y/edit?usp=sharing"",""งบพรบ!EZ71"")"),44300)</f>
        <v>44300</v>
      </c>
      <c r="M71" s="179">
        <f t="shared" ca="1" si="24"/>
        <v>20.739700374531836</v>
      </c>
      <c r="N71" s="179">
        <f t="shared" ca="1" si="25"/>
        <v>28.406540557871111</v>
      </c>
      <c r="O71" s="180">
        <f ca="1">IFERROR(__xludf.DUMMYFUNCTION("IMPORTRANGE(""https://docs.google.com/spreadsheets/d/1-uDff_7J0KD5mKrp0Vvzr7lt3OU09vwQwhkpOPPYv2Y/edit?usp=sharing"",""งบพรบ!FA71"")"),0)</f>
        <v>0</v>
      </c>
      <c r="P71" s="180">
        <f t="shared" ca="1" si="26"/>
        <v>0</v>
      </c>
      <c r="Q71" s="179">
        <f t="shared" ca="1" si="27"/>
        <v>0</v>
      </c>
      <c r="R71" s="344">
        <f ca="1">IFERROR(__xludf.DUMMYFUNCTION("IMPORTRANGE(""https://docs.google.com/spreadsheets/d/1j51vR6CYVGhABJpv6tkstgok82RLpXieLzW1yOY5rHw/edit?usp=sharing"",""สิงห์บุรี!I344"")"),40)</f>
        <v>40</v>
      </c>
      <c r="S71" s="177">
        <f ca="1">IFERROR(__xludf.DUMMYFUNCTION("IMPORTRANGE(""https://docs.google.com/spreadsheets/d/1j51vR6CYVGhABJpv6tkstgok82RLpXieLzW1yOY5rHw/edit?usp=sharing"",""สิงห์บุรี!J344"")"),3)</f>
        <v>3</v>
      </c>
      <c r="T71" s="345">
        <f t="shared" ca="1" si="29"/>
        <v>7.5</v>
      </c>
      <c r="U71" s="344">
        <f ca="1">IFERROR(__xludf.DUMMYFUNCTION("IMPORTRANGE(""https://docs.google.com/spreadsheets/d/1j51vR6CYVGhABJpv6tkstgok82RLpXieLzW1yOY5rHw/edit?usp=sharing"",""สิงห์บุรี!I346"")"),1)</f>
        <v>1</v>
      </c>
      <c r="V71" s="177">
        <f ca="1">IFERROR(__xludf.DUMMYFUNCTION("IMPORTRANGE(""https://docs.google.com/spreadsheets/d/1j51vR6CYVGhABJpv6tkstgok82RLpXieLzW1yOY5rHw/edit?usp=sharing"",""สิงห์บุรี!J346"")"),1)</f>
        <v>1</v>
      </c>
      <c r="W71" s="345">
        <f t="shared" ca="1" si="31"/>
        <v>100</v>
      </c>
      <c r="X71" s="177">
        <f ca="1">IFERROR(__xludf.DUMMYFUNCTION("IMPORTRANGE(""https://docs.google.com/spreadsheets/d/1j51vR6CYVGhABJpv6tkstgok82RLpXieLzW1yOY5rHw/edit?usp=sharing"",""สิงห์บุรี!J347"")"),14)</f>
        <v>14</v>
      </c>
      <c r="Y71" s="177">
        <f ca="1">IFERROR(__xludf.DUMMYFUNCTION("IMPORTRANGE(""https://docs.google.com/spreadsheets/d/1j51vR6CYVGhABJpv6tkstgok82RLpXieLzW1yOY5rHw/edit?usp=sharing"",""สิงห์บุรี!J348"")"),2)</f>
        <v>2</v>
      </c>
      <c r="Z71" s="177">
        <f ca="1">IFERROR(__xludf.DUMMYFUNCTION("IMPORTRANGE(""https://docs.google.com/spreadsheets/d/1j51vR6CYVGhABJpv6tkstgok82RLpXieLzW1yOY5rHw/edit?usp=sharing"",""สิงห์บุรี!J349"")"),0)</f>
        <v>0</v>
      </c>
      <c r="AA71" s="177">
        <f ca="1">IFERROR(__xludf.DUMMYFUNCTION("IMPORTRANGE(""https://docs.google.com/spreadsheets/d/1j51vR6CYVGhABJpv6tkstgok82RLpXieLzW1yOY5rHw/edit?usp=sharing"",""สิงห์บุรี!J352"")"),0)</f>
        <v>0</v>
      </c>
      <c r="AB71" s="177">
        <f ca="1">IFERROR(__xludf.DUMMYFUNCTION("IMPORTRANGE(""https://docs.google.com/spreadsheets/d/1j51vR6CYVGhABJpv6tkstgok82RLpXieLzW1yOY5rHw/edit?usp=sharing"",""สิงห์บุรี!J353"")"),0)</f>
        <v>0</v>
      </c>
    </row>
    <row r="72" spans="1:28" ht="21" customHeight="1" x14ac:dyDescent="0.3">
      <c r="A72" s="84">
        <v>20</v>
      </c>
      <c r="B72" s="85" t="s">
        <v>94</v>
      </c>
      <c r="C72" s="174">
        <f t="shared" ca="1" si="20"/>
        <v>106000</v>
      </c>
      <c r="D72" s="175">
        <f t="shared" ca="1" si="43"/>
        <v>106000</v>
      </c>
      <c r="E72" s="176">
        <f ca="1">IFERROR(__xludf.DUMMYFUNCTION("IMPORTRANGE(""https://docs.google.com/spreadsheets/d/1-uDff_7J0KD5mKrp0Vvzr7lt3OU09vwQwhkpOPPYv2Y/edit?usp=sharing"",""งบพรบ!ET72"")"),0)</f>
        <v>0</v>
      </c>
      <c r="F72" s="176">
        <f ca="1">IFERROR(__xludf.DUMMYFUNCTION("IMPORTRANGE(""https://docs.google.com/spreadsheets/d/1-uDff_7J0KD5mKrp0Vvzr7lt3OU09vwQwhkpOPPYv2Y/edit?usp=sharing"",""งบพรบ!EU72"")"),106000)</f>
        <v>106000</v>
      </c>
      <c r="G72" s="176">
        <f ca="1">IFERROR(__xludf.DUMMYFUNCTION("IMPORTRANGE(""https://docs.google.com/spreadsheets/d/1-uDff_7J0KD5mKrp0Vvzr7lt3OU09vwQwhkpOPPYv2Y/edit?usp=sharing"",""งบพรบ!EV72"")"),0)</f>
        <v>0</v>
      </c>
      <c r="H72" s="176">
        <f ca="1">IFERROR(__xludf.DUMMYFUNCTION("IMPORTRANGE(""https://docs.google.com/spreadsheets/d/1-uDff_7J0KD5mKrp0Vvzr7lt3OU09vwQwhkpOPPYv2Y/edit?usp=sharing"",""งบพรบ!EX72"")"),85750)</f>
        <v>85750</v>
      </c>
      <c r="I72" s="176">
        <f ca="1">IFERROR(__xludf.DUMMYFUNCTION("IMPORTRANGE(""https://docs.google.com/spreadsheets/d/1-uDff_7J0KD5mKrp0Vvzr7lt3OU09vwQwhkpOPPYv2Y/edit?usp=sharing"",""งบพรบ!EY72"")"),0)</f>
        <v>0</v>
      </c>
      <c r="J72" s="176">
        <f t="shared" ca="1" si="22"/>
        <v>23560</v>
      </c>
      <c r="K72" s="181">
        <f t="shared" ca="1" si="23"/>
        <v>22.226415094339622</v>
      </c>
      <c r="L72" s="176">
        <f ca="1">IFERROR(__xludf.DUMMYFUNCTION("IMPORTRANGE(""https://docs.google.com/spreadsheets/d/1-uDff_7J0KD5mKrp0Vvzr7lt3OU09vwQwhkpOPPYv2Y/edit?usp=sharing"",""งบพรบ!EZ72"")"),23560)</f>
        <v>23560</v>
      </c>
      <c r="M72" s="179">
        <f t="shared" ca="1" si="24"/>
        <v>22.226415094339622</v>
      </c>
      <c r="N72" s="179">
        <f t="shared" ca="1" si="25"/>
        <v>27.475218658892128</v>
      </c>
      <c r="O72" s="180">
        <f ca="1">IFERROR(__xludf.DUMMYFUNCTION("IMPORTRANGE(""https://docs.google.com/spreadsheets/d/1-uDff_7J0KD5mKrp0Vvzr7lt3OU09vwQwhkpOPPYv2Y/edit?usp=sharing"",""งบพรบ!FA72"")"),0)</f>
        <v>0</v>
      </c>
      <c r="P72" s="180">
        <f t="shared" ca="1" si="26"/>
        <v>0</v>
      </c>
      <c r="Q72" s="179">
        <f t="shared" ca="1" si="27"/>
        <v>0</v>
      </c>
      <c r="R72" s="344">
        <f ca="1">IFERROR(__xludf.DUMMYFUNCTION("IMPORTRANGE(""https://docs.google.com/spreadsheets/d/1H1EalTWKUSzO4Z1-1CwzoDUaVffgrThEBe2sl74kKG0/edit?usp=sharing"",""สุพรรณบุรี!I344"")"),1540)</f>
        <v>1540</v>
      </c>
      <c r="S72" s="177">
        <f ca="1">IFERROR(__xludf.DUMMYFUNCTION("IMPORTRANGE(""https://docs.google.com/spreadsheets/d/1H1EalTWKUSzO4Z1-1CwzoDUaVffgrThEBe2sl74kKG0/edit?usp=sharing"",""สุพรรณบุรี!J344"")"),656)</f>
        <v>656</v>
      </c>
      <c r="T72" s="345">
        <f t="shared" ca="1" si="29"/>
        <v>42.597402597402599</v>
      </c>
      <c r="U72" s="344">
        <f ca="1">IFERROR(__xludf.DUMMYFUNCTION("IMPORTRANGE(""https://docs.google.com/spreadsheets/d/1H1EalTWKUSzO4Z1-1CwzoDUaVffgrThEBe2sl74kKG0/edit?usp=sharing"",""สุพรรณบุรี!I346"")"),3)</f>
        <v>3</v>
      </c>
      <c r="V72" s="177">
        <f ca="1">IFERROR(__xludf.DUMMYFUNCTION("IMPORTRANGE(""https://docs.google.com/spreadsheets/d/1H1EalTWKUSzO4Z1-1CwzoDUaVffgrThEBe2sl74kKG0/edit?usp=sharing"",""สุพรรณบุรี!J346"")"),6)</f>
        <v>6</v>
      </c>
      <c r="W72" s="345">
        <f t="shared" ca="1" si="31"/>
        <v>200</v>
      </c>
      <c r="X72" s="177">
        <f ca="1">IFERROR(__xludf.DUMMYFUNCTION("IMPORTRANGE(""https://docs.google.com/spreadsheets/d/1H1EalTWKUSzO4Z1-1CwzoDUaVffgrThEBe2sl74kKG0/edit?usp=sharing"",""สุพรรณบุรี!J347"")"),4)</f>
        <v>4</v>
      </c>
      <c r="Y72" s="177">
        <f ca="1">IFERROR(__xludf.DUMMYFUNCTION("IMPORTRANGE(""https://docs.google.com/spreadsheets/d/1H1EalTWKUSzO4Z1-1CwzoDUaVffgrThEBe2sl74kKG0/edit?usp=sharing"",""สุพรรณบุรี!J348"")"),21)</f>
        <v>21</v>
      </c>
      <c r="Z72" s="177">
        <f ca="1">IFERROR(__xludf.DUMMYFUNCTION("IMPORTRANGE(""https://docs.google.com/spreadsheets/d/1H1EalTWKUSzO4Z1-1CwzoDUaVffgrThEBe2sl74kKG0/edit?usp=sharing"",""สุพรรณบุรี!J349"")"),0)</f>
        <v>0</v>
      </c>
      <c r="AA72" s="177">
        <f ca="1">IFERROR(__xludf.DUMMYFUNCTION("IMPORTRANGE(""https://docs.google.com/spreadsheets/d/1H1EalTWKUSzO4Z1-1CwzoDUaVffgrThEBe2sl74kKG0/edit?usp=sharing"",""สุพรรณบุรี!J352"")"),16)</f>
        <v>16</v>
      </c>
      <c r="AB72" s="177">
        <f ca="1">IFERROR(__xludf.DUMMYFUNCTION("IMPORTRANGE(""https://docs.google.com/spreadsheets/d/1H1EalTWKUSzO4Z1-1CwzoDUaVffgrThEBe2sl74kKG0/edit?usp=sharing"",""สุพรรณบุรี!J353"")"),818)</f>
        <v>818</v>
      </c>
    </row>
    <row r="73" spans="1:28" ht="21" customHeight="1" x14ac:dyDescent="0.3">
      <c r="A73" s="95">
        <v>21</v>
      </c>
      <c r="B73" s="96" t="s">
        <v>95</v>
      </c>
      <c r="C73" s="184">
        <f t="shared" ca="1" si="20"/>
        <v>213600</v>
      </c>
      <c r="D73" s="185">
        <f t="shared" ca="1" si="43"/>
        <v>213600</v>
      </c>
      <c r="E73" s="186">
        <f ca="1">IFERROR(__xludf.DUMMYFUNCTION("IMPORTRANGE(""https://docs.google.com/spreadsheets/d/1-uDff_7J0KD5mKrp0Vvzr7lt3OU09vwQwhkpOPPYv2Y/edit?usp=sharing"",""งบพรบ!ET73"")"),117600)</f>
        <v>117600</v>
      </c>
      <c r="F73" s="186">
        <f ca="1">IFERROR(__xludf.DUMMYFUNCTION("IMPORTRANGE(""https://docs.google.com/spreadsheets/d/1-uDff_7J0KD5mKrp0Vvzr7lt3OU09vwQwhkpOPPYv2Y/edit?usp=sharing"",""งบพรบ!EU73"")"),96000)</f>
        <v>96000</v>
      </c>
      <c r="G73" s="186">
        <f ca="1">IFERROR(__xludf.DUMMYFUNCTION("IMPORTRANGE(""https://docs.google.com/spreadsheets/d/1-uDff_7J0KD5mKrp0Vvzr7lt3OU09vwQwhkpOPPYv2Y/edit?usp=sharing"",""งบพรบ!EV73"")"),0)</f>
        <v>0</v>
      </c>
      <c r="H73" s="186">
        <f ca="1">IFERROR(__xludf.DUMMYFUNCTION("IMPORTRANGE(""https://docs.google.com/spreadsheets/d/1-uDff_7J0KD5mKrp0Vvzr7lt3OU09vwQwhkpOPPYv2Y/edit?usp=sharing"",""งบพรบ!EX73"")"),155950)</f>
        <v>155950</v>
      </c>
      <c r="I73" s="186">
        <f ca="1">IFERROR(__xludf.DUMMYFUNCTION("IMPORTRANGE(""https://docs.google.com/spreadsheets/d/1-uDff_7J0KD5mKrp0Vvzr7lt3OU09vwQwhkpOPPYv2Y/edit?usp=sharing"",""งบพรบ!EY73"")"),0)</f>
        <v>0</v>
      </c>
      <c r="J73" s="186">
        <f t="shared" ca="1" si="22"/>
        <v>52366</v>
      </c>
      <c r="K73" s="187">
        <f t="shared" ca="1" si="23"/>
        <v>24.515917602996254</v>
      </c>
      <c r="L73" s="186">
        <f ca="1">IFERROR(__xludf.DUMMYFUNCTION("IMPORTRANGE(""https://docs.google.com/spreadsheets/d/1-uDff_7J0KD5mKrp0Vvzr7lt3OU09vwQwhkpOPPYv2Y/edit?usp=sharing"",""งบพรบ!EZ73"")"),52366)</f>
        <v>52366</v>
      </c>
      <c r="M73" s="188">
        <f t="shared" ca="1" si="24"/>
        <v>24.515917602996254</v>
      </c>
      <c r="N73" s="188">
        <f t="shared" ca="1" si="25"/>
        <v>33.578711125360691</v>
      </c>
      <c r="O73" s="189">
        <f ca="1">IFERROR(__xludf.DUMMYFUNCTION("IMPORTRANGE(""https://docs.google.com/spreadsheets/d/1-uDff_7J0KD5mKrp0Vvzr7lt3OU09vwQwhkpOPPYv2Y/edit?usp=sharing"",""งบพรบ!FA73"")"),0)</f>
        <v>0</v>
      </c>
      <c r="P73" s="189">
        <f t="shared" ca="1" si="26"/>
        <v>0</v>
      </c>
      <c r="Q73" s="188">
        <f t="shared" ca="1" si="27"/>
        <v>0</v>
      </c>
      <c r="R73" s="347">
        <f ca="1">IFERROR(__xludf.DUMMYFUNCTION("IMPORTRANGE(""https://docs.google.com/spreadsheets/d/1BmIruG_sIrJLYao_Pdr7zVArWsfoBt2692TMi6x_854/edit?usp=sharing"",""อ่างทอง!I344"")"),40)</f>
        <v>40</v>
      </c>
      <c r="S73" s="190">
        <f ca="1">IFERROR(__xludf.DUMMYFUNCTION("IMPORTRANGE(""https://docs.google.com/spreadsheets/d/1BmIruG_sIrJLYao_Pdr7zVArWsfoBt2692TMi6x_854/edit?usp=sharing"",""อ่างทอง!J344"")"),19)</f>
        <v>19</v>
      </c>
      <c r="T73" s="348">
        <f t="shared" ca="1" si="29"/>
        <v>47.5</v>
      </c>
      <c r="U73" s="347">
        <f ca="1">IFERROR(__xludf.DUMMYFUNCTION("IMPORTRANGE(""https://docs.google.com/spreadsheets/d/1BmIruG_sIrJLYao_Pdr7zVArWsfoBt2692TMi6x_854/edit?usp=sharing"",""อ่างทอง!I346"")"),1)</f>
        <v>1</v>
      </c>
      <c r="V73" s="190">
        <f ca="1">IFERROR(__xludf.DUMMYFUNCTION("IMPORTRANGE(""https://docs.google.com/spreadsheets/d/1BmIruG_sIrJLYao_Pdr7zVArWsfoBt2692TMi6x_854/edit?usp=sharing"",""อ่างทอง!J346"")"),1)</f>
        <v>1</v>
      </c>
      <c r="W73" s="348">
        <f t="shared" ca="1" si="31"/>
        <v>100</v>
      </c>
      <c r="X73" s="190">
        <f ca="1">IFERROR(__xludf.DUMMYFUNCTION("IMPORTRANGE(""https://docs.google.com/spreadsheets/d/1BmIruG_sIrJLYao_Pdr7zVArWsfoBt2692TMi6x_854/edit?usp=sharing"",""อ่างทอง!J347"")"),15)</f>
        <v>15</v>
      </c>
      <c r="Y73" s="190">
        <f ca="1">IFERROR(__xludf.DUMMYFUNCTION("IMPORTRANGE(""https://docs.google.com/spreadsheets/d/1BmIruG_sIrJLYao_Pdr7zVArWsfoBt2692TMi6x_854/edit?usp=sharing"",""อ่างทอง!J348"")"),3)</f>
        <v>3</v>
      </c>
      <c r="Z73" s="190">
        <f ca="1">IFERROR(__xludf.DUMMYFUNCTION("IMPORTRANGE(""https://docs.google.com/spreadsheets/d/1BmIruG_sIrJLYao_Pdr7zVArWsfoBt2692TMi6x_854/edit?usp=sharing"",""อ่างทอง!J349"")"),6)</f>
        <v>6</v>
      </c>
      <c r="AA73" s="190">
        <f ca="1">IFERROR(__xludf.DUMMYFUNCTION("IMPORTRANGE(""https://docs.google.com/spreadsheets/d/1BmIruG_sIrJLYao_Pdr7zVArWsfoBt2692TMi6x_854/edit?usp=sharing"",""อ่างทอง!J352"")"),0)</f>
        <v>0</v>
      </c>
      <c r="AB73" s="190">
        <f ca="1">IFERROR(__xludf.DUMMYFUNCTION("IMPORTRANGE(""https://docs.google.com/spreadsheets/d/1BmIruG_sIrJLYao_Pdr7zVArWsfoBt2692TMi6x_854/edit?usp=sharing"",""อ่างทอง!J353"")"),0)</f>
        <v>0</v>
      </c>
    </row>
    <row r="74" spans="1:28" ht="21" customHeight="1" x14ac:dyDescent="0.3">
      <c r="A74" s="394" t="s">
        <v>96</v>
      </c>
      <c r="B74" s="374"/>
      <c r="C74" s="154">
        <f t="shared" ca="1" si="20"/>
        <v>1752700</v>
      </c>
      <c r="D74" s="154">
        <f t="shared" ref="D74:I74" ca="1" si="44">SUM(D75:D88)</f>
        <v>1752700</v>
      </c>
      <c r="E74" s="154">
        <f t="shared" ca="1" si="44"/>
        <v>301700</v>
      </c>
      <c r="F74" s="154">
        <f t="shared" ca="1" si="44"/>
        <v>1451000</v>
      </c>
      <c r="G74" s="154">
        <f t="shared" ca="1" si="44"/>
        <v>0</v>
      </c>
      <c r="H74" s="154">
        <f t="shared" ca="1" si="44"/>
        <v>1378000</v>
      </c>
      <c r="I74" s="154">
        <f t="shared" ca="1" si="44"/>
        <v>0</v>
      </c>
      <c r="J74" s="154">
        <f t="shared" ca="1" si="22"/>
        <v>409965.6</v>
      </c>
      <c r="K74" s="155">
        <f t="shared" ca="1" si="23"/>
        <v>23.390517487305299</v>
      </c>
      <c r="L74" s="154">
        <f ca="1">SUM(L75:L88)</f>
        <v>409965.6</v>
      </c>
      <c r="M74" s="156">
        <f t="shared" ca="1" si="24"/>
        <v>23.390517487305299</v>
      </c>
      <c r="N74" s="156">
        <f t="shared" ca="1" si="25"/>
        <v>29.75076923076923</v>
      </c>
      <c r="O74" s="157">
        <f ca="1">SUM(O75:O88)</f>
        <v>0</v>
      </c>
      <c r="P74" s="157">
        <f t="shared" ca="1" si="26"/>
        <v>0</v>
      </c>
      <c r="Q74" s="156">
        <f t="shared" ca="1" si="27"/>
        <v>0</v>
      </c>
      <c r="R74" s="339">
        <f t="shared" ref="R74:S74" ca="1" si="45">SUM(R75:R88)</f>
        <v>12140</v>
      </c>
      <c r="S74" s="154">
        <f t="shared" ca="1" si="45"/>
        <v>10515</v>
      </c>
      <c r="T74" s="156">
        <f t="shared" ca="1" si="29"/>
        <v>86.614497528830313</v>
      </c>
      <c r="U74" s="339">
        <f t="shared" ref="U74:V74" ca="1" si="46">SUM(U75:U88)</f>
        <v>33</v>
      </c>
      <c r="V74" s="154">
        <f t="shared" ca="1" si="46"/>
        <v>24</v>
      </c>
      <c r="W74" s="156">
        <f t="shared" ca="1" si="31"/>
        <v>72.727272727272734</v>
      </c>
      <c r="X74" s="154">
        <f t="shared" ref="X74:AB74" ca="1" si="47">SUM(X75:X88)</f>
        <v>221</v>
      </c>
      <c r="Y74" s="154">
        <f t="shared" ca="1" si="47"/>
        <v>15</v>
      </c>
      <c r="Z74" s="154">
        <f t="shared" ca="1" si="47"/>
        <v>2</v>
      </c>
      <c r="AA74" s="154">
        <f t="shared" ca="1" si="47"/>
        <v>8201</v>
      </c>
      <c r="AB74" s="154">
        <f t="shared" ca="1" si="47"/>
        <v>9035</v>
      </c>
    </row>
    <row r="75" spans="1:28" ht="21" customHeight="1" x14ac:dyDescent="0.3">
      <c r="A75" s="74">
        <v>1</v>
      </c>
      <c r="B75" s="75" t="s">
        <v>97</v>
      </c>
      <c r="C75" s="174">
        <f t="shared" ca="1" si="20"/>
        <v>106000</v>
      </c>
      <c r="D75" s="175">
        <f t="shared" ref="D75:D88" ca="1" si="48">+E75+F75</f>
        <v>106000</v>
      </c>
      <c r="E75" s="176">
        <f ca="1">IFERROR(__xludf.DUMMYFUNCTION("IMPORTRANGE(""https://docs.google.com/spreadsheets/d/1-uDff_7J0KD5mKrp0Vvzr7lt3OU09vwQwhkpOPPYv2Y/edit?usp=sharing"",""งบพรบ!ET75"")"),0)</f>
        <v>0</v>
      </c>
      <c r="F75" s="176">
        <f ca="1">IFERROR(__xludf.DUMMYFUNCTION("IMPORTRANGE(""https://docs.google.com/spreadsheets/d/1-uDff_7J0KD5mKrp0Vvzr7lt3OU09vwQwhkpOPPYv2Y/edit?usp=sharing"",""งบพรบ!EU75"")"),106000)</f>
        <v>106000</v>
      </c>
      <c r="G75" s="176">
        <f ca="1">IFERROR(__xludf.DUMMYFUNCTION("IMPORTRANGE(""https://docs.google.com/spreadsheets/d/1-uDff_7J0KD5mKrp0Vvzr7lt3OU09vwQwhkpOPPYv2Y/edit?usp=sharing"",""งบพรบ!EV75"")"),0)</f>
        <v>0</v>
      </c>
      <c r="H75" s="176">
        <f ca="1">IFERROR(__xludf.DUMMYFUNCTION("IMPORTRANGE(""https://docs.google.com/spreadsheets/d/1-uDff_7J0KD5mKrp0Vvzr7lt3OU09vwQwhkpOPPYv2Y/edit?usp=sharing"",""งบพรบ!EX75"")"),85750)</f>
        <v>85750</v>
      </c>
      <c r="I75" s="176">
        <f ca="1">IFERROR(__xludf.DUMMYFUNCTION("IMPORTRANGE(""https://docs.google.com/spreadsheets/d/1-uDff_7J0KD5mKrp0Vvzr7lt3OU09vwQwhkpOPPYv2Y/edit?usp=sharing"",""งบพรบ!EY75"")"),0)</f>
        <v>0</v>
      </c>
      <c r="J75" s="176">
        <f t="shared" ca="1" si="22"/>
        <v>16166.67</v>
      </c>
      <c r="K75" s="181">
        <f t="shared" ca="1" si="23"/>
        <v>15.251575471698112</v>
      </c>
      <c r="L75" s="176">
        <f ca="1">IFERROR(__xludf.DUMMYFUNCTION("IMPORTRANGE(""https://docs.google.com/spreadsheets/d/1-uDff_7J0KD5mKrp0Vvzr7lt3OU09vwQwhkpOPPYv2Y/edit?usp=sharing"",""งบพรบ!EZ75"")"),16166.67)</f>
        <v>16166.67</v>
      </c>
      <c r="M75" s="179">
        <f t="shared" ca="1" si="24"/>
        <v>15.251575471698112</v>
      </c>
      <c r="N75" s="179">
        <f t="shared" ca="1" si="25"/>
        <v>18.85325947521866</v>
      </c>
      <c r="O75" s="180">
        <f ca="1">IFERROR(__xludf.DUMMYFUNCTION("IMPORTRANGE(""https://docs.google.com/spreadsheets/d/1-uDff_7J0KD5mKrp0Vvzr7lt3OU09vwQwhkpOPPYv2Y/edit?usp=sharing"",""งบพรบ!FA75"")"),0)</f>
        <v>0</v>
      </c>
      <c r="P75" s="180">
        <f t="shared" ca="1" si="26"/>
        <v>0</v>
      </c>
      <c r="Q75" s="179">
        <f t="shared" ca="1" si="27"/>
        <v>0</v>
      </c>
      <c r="R75" s="344">
        <f ca="1">IFERROR(__xludf.DUMMYFUNCTION("IMPORTRANGE(""https://docs.google.com/spreadsheets/d/1kKUcYdkIfrgTSj8iHHHB2MD2FAtwyyocFgqGQn6ADyI/edit?usp=sharing"",""กระบี่!I344"")"),1340)</f>
        <v>1340</v>
      </c>
      <c r="S75" s="177">
        <f ca="1">IFERROR(__xludf.DUMMYFUNCTION("IMPORTRANGE(""https://docs.google.com/spreadsheets/d/1kKUcYdkIfrgTSj8iHHHB2MD2FAtwyyocFgqGQn6ADyI/edit?usp=sharing"",""กระบี่!J344"")"),745)</f>
        <v>745</v>
      </c>
      <c r="T75" s="345">
        <f t="shared" ca="1" si="29"/>
        <v>55.597014925373138</v>
      </c>
      <c r="U75" s="344">
        <f ca="1">IFERROR(__xludf.DUMMYFUNCTION("IMPORTRANGE(""https://docs.google.com/spreadsheets/d/1kKUcYdkIfrgTSj8iHHHB2MD2FAtwyyocFgqGQn6ADyI/edit?usp=sharing"",""กระบี่!I346"")"),3)</f>
        <v>3</v>
      </c>
      <c r="V75" s="177">
        <f ca="1">IFERROR(__xludf.DUMMYFUNCTION("IMPORTRANGE(""https://docs.google.com/spreadsheets/d/1kKUcYdkIfrgTSj8iHHHB2MD2FAtwyyocFgqGQn6ADyI/edit?usp=sharing"",""กระบี่!J346"")"),4)</f>
        <v>4</v>
      </c>
      <c r="W75" s="345">
        <f t="shared" ca="1" si="31"/>
        <v>133.33333333333334</v>
      </c>
      <c r="X75" s="177">
        <f ca="1">IFERROR(__xludf.DUMMYFUNCTION("IMPORTRANGE(""https://docs.google.com/spreadsheets/d/1kKUcYdkIfrgTSj8iHHHB2MD2FAtwyyocFgqGQn6ADyI/edit?usp=sharing"",""กระบี่!J347"")"),27)</f>
        <v>27</v>
      </c>
      <c r="Y75" s="177">
        <f ca="1">IFERROR(__xludf.DUMMYFUNCTION("IMPORTRANGE(""https://docs.google.com/spreadsheets/d/1kKUcYdkIfrgTSj8iHHHB2MD2FAtwyyocFgqGQn6ADyI/edit?usp=sharing"",""กระบี่!J348"")"),6)</f>
        <v>6</v>
      </c>
      <c r="Z75" s="177">
        <f ca="1">IFERROR(__xludf.DUMMYFUNCTION("IMPORTRANGE(""https://docs.google.com/spreadsheets/d/1kKUcYdkIfrgTSj8iHHHB2MD2FAtwyyocFgqGQn6ADyI/edit?usp=sharing"",""กระบี่!J349"")"),0)</f>
        <v>0</v>
      </c>
      <c r="AA75" s="177">
        <f ca="1">IFERROR(__xludf.DUMMYFUNCTION("IMPORTRANGE(""https://docs.google.com/spreadsheets/d/1kKUcYdkIfrgTSj8iHHHB2MD2FAtwyyocFgqGQn6ADyI/edit?usp=sharing"",""กระบี่!J352"")"),244)</f>
        <v>244</v>
      </c>
      <c r="AB75" s="177">
        <f ca="1">IFERROR(__xludf.DUMMYFUNCTION("IMPORTRANGE(""https://docs.google.com/spreadsheets/d/1kKUcYdkIfrgTSj8iHHHB2MD2FAtwyyocFgqGQn6ADyI/edit?usp=sharing"",""กระบี่!J353"")"),1820)</f>
        <v>1820</v>
      </c>
    </row>
    <row r="76" spans="1:28" ht="21" customHeight="1" x14ac:dyDescent="0.3">
      <c r="A76" s="84">
        <v>2</v>
      </c>
      <c r="B76" s="85" t="s">
        <v>98</v>
      </c>
      <c r="C76" s="174">
        <f t="shared" ca="1" si="20"/>
        <v>109000</v>
      </c>
      <c r="D76" s="175">
        <f t="shared" ca="1" si="48"/>
        <v>109000</v>
      </c>
      <c r="E76" s="176">
        <f ca="1">IFERROR(__xludf.DUMMYFUNCTION("IMPORTRANGE(""https://docs.google.com/spreadsheets/d/1-uDff_7J0KD5mKrp0Vvzr7lt3OU09vwQwhkpOPPYv2Y/edit?usp=sharing"",""งบพรบ!ET76"")"),0)</f>
        <v>0</v>
      </c>
      <c r="F76" s="176">
        <f ca="1">IFERROR(__xludf.DUMMYFUNCTION("IMPORTRANGE(""https://docs.google.com/spreadsheets/d/1-uDff_7J0KD5mKrp0Vvzr7lt3OU09vwQwhkpOPPYv2Y/edit?usp=sharing"",""งบพรบ!EU76"")"),109000)</f>
        <v>109000</v>
      </c>
      <c r="G76" s="176">
        <f ca="1">IFERROR(__xludf.DUMMYFUNCTION("IMPORTRANGE(""https://docs.google.com/spreadsheets/d/1-uDff_7J0KD5mKrp0Vvzr7lt3OU09vwQwhkpOPPYv2Y/edit?usp=sharing"",""งบพรบ!EV76"")"),0)</f>
        <v>0</v>
      </c>
      <c r="H76" s="176">
        <f ca="1">IFERROR(__xludf.DUMMYFUNCTION("IMPORTRANGE(""https://docs.google.com/spreadsheets/d/1-uDff_7J0KD5mKrp0Vvzr7lt3OU09vwQwhkpOPPYv2Y/edit?usp=sharing"",""งบพรบ!EX76"")"),88150)</f>
        <v>88150</v>
      </c>
      <c r="I76" s="176">
        <f ca="1">IFERROR(__xludf.DUMMYFUNCTION("IMPORTRANGE(""https://docs.google.com/spreadsheets/d/1-uDff_7J0KD5mKrp0Vvzr7lt3OU09vwQwhkpOPPYv2Y/edit?usp=sharing"",""งบพรบ!EY76"")"),0)</f>
        <v>0</v>
      </c>
      <c r="J76" s="176">
        <f t="shared" ca="1" si="22"/>
        <v>28700</v>
      </c>
      <c r="K76" s="181">
        <f t="shared" ca="1" si="23"/>
        <v>26.330275229357799</v>
      </c>
      <c r="L76" s="176">
        <f ca="1">IFERROR(__xludf.DUMMYFUNCTION("IMPORTRANGE(""https://docs.google.com/spreadsheets/d/1-uDff_7J0KD5mKrp0Vvzr7lt3OU09vwQwhkpOPPYv2Y/edit?usp=sharing"",""งบพรบ!EZ76"")"),28700)</f>
        <v>28700</v>
      </c>
      <c r="M76" s="179">
        <f t="shared" ca="1" si="24"/>
        <v>26.330275229357799</v>
      </c>
      <c r="N76" s="179">
        <f t="shared" ca="1" si="25"/>
        <v>32.558139534883722</v>
      </c>
      <c r="O76" s="180">
        <f ca="1">IFERROR(__xludf.DUMMYFUNCTION("IMPORTRANGE(""https://docs.google.com/spreadsheets/d/1-uDff_7J0KD5mKrp0Vvzr7lt3OU09vwQwhkpOPPYv2Y/edit?usp=sharing"",""งบพรบ!FA76"")"),0)</f>
        <v>0</v>
      </c>
      <c r="P76" s="180">
        <f t="shared" ca="1" si="26"/>
        <v>0</v>
      </c>
      <c r="Q76" s="179">
        <f t="shared" ca="1" si="27"/>
        <v>0</v>
      </c>
      <c r="R76" s="344">
        <f ca="1">IFERROR(__xludf.DUMMYFUNCTION("IMPORTRANGE(""https://docs.google.com/spreadsheets/d/1GwtLaSlNZkLk7iDqcyZz22giiy40b_usZZBXYciEN1U/edit?usp=sharing"",""ชุมพร!I344"")"),2060)</f>
        <v>2060</v>
      </c>
      <c r="S76" s="177">
        <f ca="1">IFERROR(__xludf.DUMMYFUNCTION("IMPORTRANGE(""https://docs.google.com/spreadsheets/d/1GwtLaSlNZkLk7iDqcyZz22giiy40b_usZZBXYciEN1U/edit?usp=sharing"",""ชุมพร!J344"")"),1996)</f>
        <v>1996</v>
      </c>
      <c r="T76" s="345">
        <f t="shared" ca="1" si="29"/>
        <v>96.893203883495147</v>
      </c>
      <c r="U76" s="344">
        <f ca="1">IFERROR(__xludf.DUMMYFUNCTION("IMPORTRANGE(""https://docs.google.com/spreadsheets/d/1GwtLaSlNZkLk7iDqcyZz22giiy40b_usZZBXYciEN1U/edit?usp=sharing"",""ชุมพร!I346"")"),3)</f>
        <v>3</v>
      </c>
      <c r="V76" s="177">
        <f ca="1">IFERROR(__xludf.DUMMYFUNCTION("IMPORTRANGE(""https://docs.google.com/spreadsheets/d/1GwtLaSlNZkLk7iDqcyZz22giiy40b_usZZBXYciEN1U/edit?usp=sharing"",""ชุมพร!J346"")"),0)</f>
        <v>0</v>
      </c>
      <c r="W76" s="345">
        <f t="shared" ca="1" si="31"/>
        <v>0</v>
      </c>
      <c r="X76" s="177">
        <f ca="1">IFERROR(__xludf.DUMMYFUNCTION("IMPORTRANGE(""https://docs.google.com/spreadsheets/d/1GwtLaSlNZkLk7iDqcyZz22giiy40b_usZZBXYciEN1U/edit?usp=sharing"",""ชุมพร!J347"")"),0)</f>
        <v>0</v>
      </c>
      <c r="Y76" s="177">
        <f ca="1">IFERROR(__xludf.DUMMYFUNCTION("IMPORTRANGE(""https://docs.google.com/spreadsheets/d/1GwtLaSlNZkLk7iDqcyZz22giiy40b_usZZBXYciEN1U/edit?usp=sharing"",""ชุมพร!J348"")"),2)</f>
        <v>2</v>
      </c>
      <c r="Z76" s="177">
        <f ca="1">IFERROR(__xludf.DUMMYFUNCTION("IMPORTRANGE(""https://docs.google.com/spreadsheets/d/1GwtLaSlNZkLk7iDqcyZz22giiy40b_usZZBXYciEN1U/edit?usp=sharing"",""ชุมพร!J349"")"),0)</f>
        <v>0</v>
      </c>
      <c r="AA76" s="177">
        <f ca="1">IFERROR(__xludf.DUMMYFUNCTION("IMPORTRANGE(""https://docs.google.com/spreadsheets/d/1GwtLaSlNZkLk7iDqcyZz22giiy40b_usZZBXYciEN1U/edit?usp=sharing"",""ชุมพร!J352"")"),237)</f>
        <v>237</v>
      </c>
      <c r="AB76" s="177">
        <f ca="1">IFERROR(__xludf.DUMMYFUNCTION("IMPORTRANGE(""https://docs.google.com/spreadsheets/d/1GwtLaSlNZkLk7iDqcyZz22giiy40b_usZZBXYciEN1U/edit?usp=sharing"",""ชุมพร!J353"")"),1558)</f>
        <v>1558</v>
      </c>
    </row>
    <row r="77" spans="1:28" ht="21" customHeight="1" x14ac:dyDescent="0.3">
      <c r="A77" s="84">
        <v>3</v>
      </c>
      <c r="B77" s="85" t="s">
        <v>99</v>
      </c>
      <c r="C77" s="174">
        <f t="shared" ca="1" si="20"/>
        <v>106000</v>
      </c>
      <c r="D77" s="175">
        <f t="shared" ca="1" si="48"/>
        <v>106000</v>
      </c>
      <c r="E77" s="176">
        <f ca="1">IFERROR(__xludf.DUMMYFUNCTION("IMPORTRANGE(""https://docs.google.com/spreadsheets/d/1-uDff_7J0KD5mKrp0Vvzr7lt3OU09vwQwhkpOPPYv2Y/edit?usp=sharing"",""งบพรบ!ET77"")"),0)</f>
        <v>0</v>
      </c>
      <c r="F77" s="176">
        <f ca="1">IFERROR(__xludf.DUMMYFUNCTION("IMPORTRANGE(""https://docs.google.com/spreadsheets/d/1-uDff_7J0KD5mKrp0Vvzr7lt3OU09vwQwhkpOPPYv2Y/edit?usp=sharing"",""งบพรบ!EU77"")"),106000)</f>
        <v>106000</v>
      </c>
      <c r="G77" s="176">
        <f ca="1">IFERROR(__xludf.DUMMYFUNCTION("IMPORTRANGE(""https://docs.google.com/spreadsheets/d/1-uDff_7J0KD5mKrp0Vvzr7lt3OU09vwQwhkpOPPYv2Y/edit?usp=sharing"",""งบพรบ!EV77"")"),0)</f>
        <v>0</v>
      </c>
      <c r="H77" s="176">
        <f ca="1">IFERROR(__xludf.DUMMYFUNCTION("IMPORTRANGE(""https://docs.google.com/spreadsheets/d/1-uDff_7J0KD5mKrp0Vvzr7lt3OU09vwQwhkpOPPYv2Y/edit?usp=sharing"",""งบพรบ!EX77"")"),85750)</f>
        <v>85750</v>
      </c>
      <c r="I77" s="176">
        <f ca="1">IFERROR(__xludf.DUMMYFUNCTION("IMPORTRANGE(""https://docs.google.com/spreadsheets/d/1-uDff_7J0KD5mKrp0Vvzr7lt3OU09vwQwhkpOPPYv2Y/edit?usp=sharing"",""งบพรบ!EY77"")"),0)</f>
        <v>0</v>
      </c>
      <c r="J77" s="176">
        <f t="shared" ca="1" si="22"/>
        <v>32928.33</v>
      </c>
      <c r="K77" s="181">
        <f t="shared" ca="1" si="23"/>
        <v>31.064462264150944</v>
      </c>
      <c r="L77" s="176">
        <f ca="1">IFERROR(__xludf.DUMMYFUNCTION("IMPORTRANGE(""https://docs.google.com/spreadsheets/d/1-uDff_7J0KD5mKrp0Vvzr7lt3OU09vwQwhkpOPPYv2Y/edit?usp=sharing"",""งบพรบ!EZ77"")"),32928.33)</f>
        <v>32928.33</v>
      </c>
      <c r="M77" s="179">
        <f t="shared" ca="1" si="24"/>
        <v>31.064462264150944</v>
      </c>
      <c r="N77" s="179">
        <f t="shared" ca="1" si="25"/>
        <v>38.400384839650144</v>
      </c>
      <c r="O77" s="180">
        <f ca="1">IFERROR(__xludf.DUMMYFUNCTION("IMPORTRANGE(""https://docs.google.com/spreadsheets/d/1-uDff_7J0KD5mKrp0Vvzr7lt3OU09vwQwhkpOPPYv2Y/edit?usp=sharing"",""งบพรบ!FA77"")"),0)</f>
        <v>0</v>
      </c>
      <c r="P77" s="180">
        <f t="shared" ca="1" si="26"/>
        <v>0</v>
      </c>
      <c r="Q77" s="179">
        <f t="shared" ca="1" si="27"/>
        <v>0</v>
      </c>
      <c r="R77" s="344">
        <f ca="1">IFERROR(__xludf.DUMMYFUNCTION("IMPORTRANGE(""https://docs.google.com/spreadsheets/d/16pAz3pOhQEZBhvFNMa5KGgZS6iKWpsKX0pg6tQmwFpo/edit?usp=sharing"",""ตรัง!I344"")"),1140)</f>
        <v>1140</v>
      </c>
      <c r="S77" s="177">
        <f ca="1">IFERROR(__xludf.DUMMYFUNCTION("IMPORTRANGE(""https://docs.google.com/spreadsheets/d/16pAz3pOhQEZBhvFNMa5KGgZS6iKWpsKX0pg6tQmwFpo/edit?usp=sharing"",""ตรัง!J344"")"),1444)</f>
        <v>1444</v>
      </c>
      <c r="T77" s="345">
        <f t="shared" ca="1" si="29"/>
        <v>126.66666666666667</v>
      </c>
      <c r="U77" s="344">
        <f ca="1">IFERROR(__xludf.DUMMYFUNCTION("IMPORTRANGE(""https://docs.google.com/spreadsheets/d/16pAz3pOhQEZBhvFNMa5KGgZS6iKWpsKX0pg6tQmwFpo/edit?usp=sharing"",""ตรัง!I346"")"),3)</f>
        <v>3</v>
      </c>
      <c r="V77" s="177">
        <f ca="1">IFERROR(__xludf.DUMMYFUNCTION("IMPORTRANGE(""https://docs.google.com/spreadsheets/d/16pAz3pOhQEZBhvFNMa5KGgZS6iKWpsKX0pg6tQmwFpo/edit?usp=sharing"",""ตรัง!J346"")"),6)</f>
        <v>6</v>
      </c>
      <c r="W77" s="345">
        <f t="shared" ca="1" si="31"/>
        <v>200</v>
      </c>
      <c r="X77" s="177">
        <f ca="1">IFERROR(__xludf.DUMMYFUNCTION("IMPORTRANGE(""https://docs.google.com/spreadsheets/d/16pAz3pOhQEZBhvFNMa5KGgZS6iKWpsKX0pg6tQmwFpo/edit?usp=sharing"",""ตรัง!J347"")"),0)</f>
        <v>0</v>
      </c>
      <c r="Y77" s="177">
        <f ca="1">IFERROR(__xludf.DUMMYFUNCTION("IMPORTRANGE(""https://docs.google.com/spreadsheets/d/16pAz3pOhQEZBhvFNMa5KGgZS6iKWpsKX0pg6tQmwFpo/edit?usp=sharing"",""ตรัง!J348"")"),0)</f>
        <v>0</v>
      </c>
      <c r="Z77" s="177">
        <f ca="1">IFERROR(__xludf.DUMMYFUNCTION("IMPORTRANGE(""https://docs.google.com/spreadsheets/d/16pAz3pOhQEZBhvFNMa5KGgZS6iKWpsKX0pg6tQmwFpo/edit?usp=sharing"",""ตรัง!J349"")"),0)</f>
        <v>0</v>
      </c>
      <c r="AA77" s="177">
        <f ca="1">IFERROR(__xludf.DUMMYFUNCTION("IMPORTRANGE(""https://docs.google.com/spreadsheets/d/16pAz3pOhQEZBhvFNMa5KGgZS6iKWpsKX0pg6tQmwFpo/edit?usp=sharing"",""ตรัง!J352"")"),3205)</f>
        <v>3205</v>
      </c>
      <c r="AB77" s="177">
        <f ca="1">IFERROR(__xludf.DUMMYFUNCTION("IMPORTRANGE(""https://docs.google.com/spreadsheets/d/16pAz3pOhQEZBhvFNMa5KGgZS6iKWpsKX0pg6tQmwFpo/edit?usp=sharing"",""ตรัง!J353"")"),999)</f>
        <v>999</v>
      </c>
    </row>
    <row r="78" spans="1:28" ht="21" customHeight="1" x14ac:dyDescent="0.3">
      <c r="A78" s="84">
        <v>4</v>
      </c>
      <c r="B78" s="85" t="s">
        <v>100</v>
      </c>
      <c r="C78" s="174">
        <f t="shared" ca="1" si="20"/>
        <v>110000</v>
      </c>
      <c r="D78" s="175">
        <f t="shared" ca="1" si="48"/>
        <v>110000</v>
      </c>
      <c r="E78" s="176">
        <f ca="1">IFERROR(__xludf.DUMMYFUNCTION("IMPORTRANGE(""https://docs.google.com/spreadsheets/d/1-uDff_7J0KD5mKrp0Vvzr7lt3OU09vwQwhkpOPPYv2Y/edit?usp=sharing"",""งบพรบ!ET78"")"),0)</f>
        <v>0</v>
      </c>
      <c r="F78" s="176">
        <f ca="1">IFERROR(__xludf.DUMMYFUNCTION("IMPORTRANGE(""https://docs.google.com/spreadsheets/d/1-uDff_7J0KD5mKrp0Vvzr7lt3OU09vwQwhkpOPPYv2Y/edit?usp=sharing"",""งบพรบ!EU78"")"),110000)</f>
        <v>110000</v>
      </c>
      <c r="G78" s="176">
        <f ca="1">IFERROR(__xludf.DUMMYFUNCTION("IMPORTRANGE(""https://docs.google.com/spreadsheets/d/1-uDff_7J0KD5mKrp0Vvzr7lt3OU09vwQwhkpOPPYv2Y/edit?usp=sharing"",""งบพรบ!EV78"")"),0)</f>
        <v>0</v>
      </c>
      <c r="H78" s="176">
        <f ca="1">IFERROR(__xludf.DUMMYFUNCTION("IMPORTRANGE(""https://docs.google.com/spreadsheets/d/1-uDff_7J0KD5mKrp0Vvzr7lt3OU09vwQwhkpOPPYv2Y/edit?usp=sharing"",""งบพรบ!EX78"")"),85750)</f>
        <v>85750</v>
      </c>
      <c r="I78" s="176">
        <f ca="1">IFERROR(__xludf.DUMMYFUNCTION("IMPORTRANGE(""https://docs.google.com/spreadsheets/d/1-uDff_7J0KD5mKrp0Vvzr7lt3OU09vwQwhkpOPPYv2Y/edit?usp=sharing"",""งบพรบ!EY78"")"),0)</f>
        <v>0</v>
      </c>
      <c r="J78" s="176">
        <f t="shared" ca="1" si="22"/>
        <v>29576.6</v>
      </c>
      <c r="K78" s="181">
        <f t="shared" ca="1" si="23"/>
        <v>26.887818181818183</v>
      </c>
      <c r="L78" s="176">
        <f ca="1">IFERROR(__xludf.DUMMYFUNCTION("IMPORTRANGE(""https://docs.google.com/spreadsheets/d/1-uDff_7J0KD5mKrp0Vvzr7lt3OU09vwQwhkpOPPYv2Y/edit?usp=sharing"",""งบพรบ!EZ78"")"),29576.6)</f>
        <v>29576.6</v>
      </c>
      <c r="M78" s="179">
        <f t="shared" ca="1" si="24"/>
        <v>26.887818181818183</v>
      </c>
      <c r="N78" s="179">
        <f t="shared" ca="1" si="25"/>
        <v>34.491661807580172</v>
      </c>
      <c r="O78" s="180">
        <f ca="1">IFERROR(__xludf.DUMMYFUNCTION("IMPORTRANGE(""https://docs.google.com/spreadsheets/d/1-uDff_7J0KD5mKrp0Vvzr7lt3OU09vwQwhkpOPPYv2Y/edit?usp=sharing"",""งบพรบ!FA78"")"),0)</f>
        <v>0</v>
      </c>
      <c r="P78" s="180">
        <f t="shared" ca="1" si="26"/>
        <v>0</v>
      </c>
      <c r="Q78" s="179">
        <f t="shared" ca="1" si="27"/>
        <v>0</v>
      </c>
      <c r="R78" s="344">
        <f ca="1">IFERROR(__xludf.DUMMYFUNCTION("IMPORTRANGE(""https://docs.google.com/spreadsheets/d/1Dj4jcHCTV9JXKCaMoheSXS52JE63kDKyG7bPXnFogHk/edit?usp=sharing"",""นครศรีธรรมราช!I344"")"),1060)</f>
        <v>1060</v>
      </c>
      <c r="S78" s="177">
        <f ca="1">IFERROR(__xludf.DUMMYFUNCTION("IMPORTRANGE(""https://docs.google.com/spreadsheets/d/1Dj4jcHCTV9JXKCaMoheSXS52JE63kDKyG7bPXnFogHk/edit?usp=sharing"",""นครศรีธรรมราช!J344"")"),1178)</f>
        <v>1178</v>
      </c>
      <c r="T78" s="345">
        <f t="shared" ca="1" si="29"/>
        <v>111.13207547169812</v>
      </c>
      <c r="U78" s="344">
        <f ca="1">IFERROR(__xludf.DUMMYFUNCTION("IMPORTRANGE(""https://docs.google.com/spreadsheets/d/1Dj4jcHCTV9JXKCaMoheSXS52JE63kDKyG7bPXnFogHk/edit?usp=sharing"",""นครศรีธรรมราช!I346"")"),5)</f>
        <v>5</v>
      </c>
      <c r="V78" s="177">
        <f ca="1">IFERROR(__xludf.DUMMYFUNCTION("IMPORTRANGE(""https://docs.google.com/spreadsheets/d/1Dj4jcHCTV9JXKCaMoheSXS52JE63kDKyG7bPXnFogHk/edit?usp=sharing"",""นครศรีธรรมราช!J346"")"),1)</f>
        <v>1</v>
      </c>
      <c r="W78" s="345">
        <f t="shared" ca="1" si="31"/>
        <v>20</v>
      </c>
      <c r="X78" s="177">
        <f ca="1">IFERROR(__xludf.DUMMYFUNCTION("IMPORTRANGE(""https://docs.google.com/spreadsheets/d/1Dj4jcHCTV9JXKCaMoheSXS52JE63kDKyG7bPXnFogHk/edit?usp=sharing"",""นครศรีธรรมราช!J347"")"),1)</f>
        <v>1</v>
      </c>
      <c r="Y78" s="177">
        <f ca="1">IFERROR(__xludf.DUMMYFUNCTION("IMPORTRANGE(""https://docs.google.com/spreadsheets/d/1Dj4jcHCTV9JXKCaMoheSXS52JE63kDKyG7bPXnFogHk/edit?usp=sharing"",""นครศรีธรรมราช!J348"")"),0)</f>
        <v>0</v>
      </c>
      <c r="Z78" s="177">
        <f ca="1">IFERROR(__xludf.DUMMYFUNCTION("IMPORTRANGE(""https://docs.google.com/spreadsheets/d/1Dj4jcHCTV9JXKCaMoheSXS52JE63kDKyG7bPXnFogHk/edit?usp=sharing"",""นครศรีธรรมราช!J349"")"),0)</f>
        <v>0</v>
      </c>
      <c r="AA78" s="177">
        <f ca="1">IFERROR(__xludf.DUMMYFUNCTION("IMPORTRANGE(""https://docs.google.com/spreadsheets/d/1Dj4jcHCTV9JXKCaMoheSXS52JE63kDKyG7bPXnFogHk/edit?usp=sharing"",""นครศรีธรรมราช!J352"")"),1327)</f>
        <v>1327</v>
      </c>
      <c r="AB78" s="177">
        <f ca="1">IFERROR(__xludf.DUMMYFUNCTION("IMPORTRANGE(""https://docs.google.com/spreadsheets/d/1Dj4jcHCTV9JXKCaMoheSXS52JE63kDKyG7bPXnFogHk/edit?usp=sharing"",""นครศรีธรรมราช!J353"")"),1013)</f>
        <v>1013</v>
      </c>
    </row>
    <row r="79" spans="1:28" ht="21" customHeight="1" x14ac:dyDescent="0.3">
      <c r="A79" s="84">
        <v>5</v>
      </c>
      <c r="B79" s="85" t="s">
        <v>101</v>
      </c>
      <c r="C79" s="174">
        <f t="shared" ca="1" si="20"/>
        <v>165500</v>
      </c>
      <c r="D79" s="175">
        <f t="shared" ca="1" si="48"/>
        <v>165500</v>
      </c>
      <c r="E79" s="176">
        <f ca="1">IFERROR(__xludf.DUMMYFUNCTION("IMPORTRANGE(""https://docs.google.com/spreadsheets/d/1-uDff_7J0KD5mKrp0Vvzr7lt3OU09vwQwhkpOPPYv2Y/edit?usp=sharing"",""งบพรบ!ET79"")"),66500)</f>
        <v>66500</v>
      </c>
      <c r="F79" s="176">
        <f ca="1">IFERROR(__xludf.DUMMYFUNCTION("IMPORTRANGE(""https://docs.google.com/spreadsheets/d/1-uDff_7J0KD5mKrp0Vvzr7lt3OU09vwQwhkpOPPYv2Y/edit?usp=sharing"",""งบพรบ!EU79"")"),99000)</f>
        <v>99000</v>
      </c>
      <c r="G79" s="176">
        <f ca="1">IFERROR(__xludf.DUMMYFUNCTION("IMPORTRANGE(""https://docs.google.com/spreadsheets/d/1-uDff_7J0KD5mKrp0Vvzr7lt3OU09vwQwhkpOPPYv2Y/edit?usp=sharing"",""งบพรบ!EV79"")"),0)</f>
        <v>0</v>
      </c>
      <c r="H79" s="176">
        <f ca="1">IFERROR(__xludf.DUMMYFUNCTION("IMPORTRANGE(""https://docs.google.com/spreadsheets/d/1-uDff_7J0KD5mKrp0Vvzr7lt3OU09vwQwhkpOPPYv2Y/edit?usp=sharing"",""งบพรบ!EX79"")"),126850)</f>
        <v>126850</v>
      </c>
      <c r="I79" s="176">
        <f ca="1">IFERROR(__xludf.DUMMYFUNCTION("IMPORTRANGE(""https://docs.google.com/spreadsheets/d/1-uDff_7J0KD5mKrp0Vvzr7lt3OU09vwQwhkpOPPYv2Y/edit?usp=sharing"",""งบพรบ!EY79"")"),0)</f>
        <v>0</v>
      </c>
      <c r="J79" s="176">
        <f t="shared" ca="1" si="22"/>
        <v>39278</v>
      </c>
      <c r="K79" s="181">
        <f t="shared" ca="1" si="23"/>
        <v>23.732930513595168</v>
      </c>
      <c r="L79" s="176">
        <f ca="1">IFERROR(__xludf.DUMMYFUNCTION("IMPORTRANGE(""https://docs.google.com/spreadsheets/d/1-uDff_7J0KD5mKrp0Vvzr7lt3OU09vwQwhkpOPPYv2Y/edit?usp=sharing"",""งบพรบ!EZ79"")"),39278)</f>
        <v>39278</v>
      </c>
      <c r="M79" s="179">
        <f t="shared" ca="1" si="24"/>
        <v>23.732930513595168</v>
      </c>
      <c r="N79" s="179">
        <f t="shared" ca="1" si="25"/>
        <v>30.96413086322428</v>
      </c>
      <c r="O79" s="180">
        <f ca="1">IFERROR(__xludf.DUMMYFUNCTION("IMPORTRANGE(""https://docs.google.com/spreadsheets/d/1-uDff_7J0KD5mKrp0Vvzr7lt3OU09vwQwhkpOPPYv2Y/edit?usp=sharing"",""งบพรบ!FA79"")"),0)</f>
        <v>0</v>
      </c>
      <c r="P79" s="180">
        <f t="shared" ca="1" si="26"/>
        <v>0</v>
      </c>
      <c r="Q79" s="179">
        <f t="shared" ca="1" si="27"/>
        <v>0</v>
      </c>
      <c r="R79" s="344">
        <f ca="1">IFERROR(__xludf.DUMMYFUNCTION("IMPORTRANGE(""https://docs.google.com/spreadsheets/d/1iodCdmuK2GR3jzUwk8tpccY2JHQQA-87DLOtJP-ooyU/edit?usp=sharing"",""นราธิวาส!I344"")"),200)</f>
        <v>200</v>
      </c>
      <c r="S79" s="177">
        <f ca="1">IFERROR(__xludf.DUMMYFUNCTION("IMPORTRANGE(""https://docs.google.com/spreadsheets/d/1iodCdmuK2GR3jzUwk8tpccY2JHQQA-87DLOtJP-ooyU/edit?usp=sharing"",""นราธิวาส!J344"")"),95)</f>
        <v>95</v>
      </c>
      <c r="T79" s="345">
        <f t="shared" ca="1" si="29"/>
        <v>47.5</v>
      </c>
      <c r="U79" s="344">
        <f ca="1">IFERROR(__xludf.DUMMYFUNCTION("IMPORTRANGE(""https://docs.google.com/spreadsheets/d/1iodCdmuK2GR3jzUwk8tpccY2JHQQA-87DLOtJP-ooyU/edit?usp=sharing"",""นราธิวาส!I346"")"),1)</f>
        <v>1</v>
      </c>
      <c r="V79" s="177">
        <f ca="1">IFERROR(__xludf.DUMMYFUNCTION("IMPORTRANGE(""https://docs.google.com/spreadsheets/d/1iodCdmuK2GR3jzUwk8tpccY2JHQQA-87DLOtJP-ooyU/edit?usp=sharing"",""นราธิวาส!J346"")"),0)</f>
        <v>0</v>
      </c>
      <c r="W79" s="345">
        <f t="shared" ca="1" si="31"/>
        <v>0</v>
      </c>
      <c r="X79" s="177">
        <f ca="1">IFERROR(__xludf.DUMMYFUNCTION("IMPORTRANGE(""https://docs.google.com/spreadsheets/d/1iodCdmuK2GR3jzUwk8tpccY2JHQQA-87DLOtJP-ooyU/edit?usp=sharing"",""นราธิวาส!J347"")"),73)</f>
        <v>73</v>
      </c>
      <c r="Y79" s="177">
        <f ca="1">IFERROR(__xludf.DUMMYFUNCTION("IMPORTRANGE(""https://docs.google.com/spreadsheets/d/1iodCdmuK2GR3jzUwk8tpccY2JHQQA-87DLOtJP-ooyU/edit?usp=sharing"",""นราธิวาส!J348"")"),4)</f>
        <v>4</v>
      </c>
      <c r="Z79" s="177">
        <f ca="1">IFERROR(__xludf.DUMMYFUNCTION("IMPORTRANGE(""https://docs.google.com/spreadsheets/d/1iodCdmuK2GR3jzUwk8tpccY2JHQQA-87DLOtJP-ooyU/edit?usp=sharing"",""นราธิวาส!J349"")"),0)</f>
        <v>0</v>
      </c>
      <c r="AA79" s="177">
        <f ca="1">IFERROR(__xludf.DUMMYFUNCTION("IMPORTRANGE(""https://docs.google.com/spreadsheets/d/1iodCdmuK2GR3jzUwk8tpccY2JHQQA-87DLOtJP-ooyU/edit?usp=sharing"",""นราธิวาส!J352"")"),0)</f>
        <v>0</v>
      </c>
      <c r="AB79" s="177">
        <f ca="1">IFERROR(__xludf.DUMMYFUNCTION("IMPORTRANGE(""https://docs.google.com/spreadsheets/d/1iodCdmuK2GR3jzUwk8tpccY2JHQQA-87DLOtJP-ooyU/edit?usp=sharing"",""นราธิวาส!J353"")"),108)</f>
        <v>108</v>
      </c>
    </row>
    <row r="80" spans="1:28" ht="21" customHeight="1" x14ac:dyDescent="0.3">
      <c r="A80" s="84">
        <v>6</v>
      </c>
      <c r="B80" s="85" t="s">
        <v>102</v>
      </c>
      <c r="C80" s="174">
        <f t="shared" ca="1" si="20"/>
        <v>99000</v>
      </c>
      <c r="D80" s="175">
        <f t="shared" ca="1" si="48"/>
        <v>99000</v>
      </c>
      <c r="E80" s="176">
        <f ca="1">IFERROR(__xludf.DUMMYFUNCTION("IMPORTRANGE(""https://docs.google.com/spreadsheets/d/1-uDff_7J0KD5mKrp0Vvzr7lt3OU09vwQwhkpOPPYv2Y/edit?usp=sharing"",""งบพรบ!ET80"")"),0)</f>
        <v>0</v>
      </c>
      <c r="F80" s="176">
        <f ca="1">IFERROR(__xludf.DUMMYFUNCTION("IMPORTRANGE(""https://docs.google.com/spreadsheets/d/1-uDff_7J0KD5mKrp0Vvzr7lt3OU09vwQwhkpOPPYv2Y/edit?usp=sharing"",""งบพรบ!EU80"")"),99000)</f>
        <v>99000</v>
      </c>
      <c r="G80" s="176">
        <f ca="1">IFERROR(__xludf.DUMMYFUNCTION("IMPORTRANGE(""https://docs.google.com/spreadsheets/d/1-uDff_7J0KD5mKrp0Vvzr7lt3OU09vwQwhkpOPPYv2Y/edit?usp=sharing"",""งบพรบ!EV80"")"),0)</f>
        <v>0</v>
      </c>
      <c r="H80" s="176">
        <f ca="1">IFERROR(__xludf.DUMMYFUNCTION("IMPORTRANGE(""https://docs.google.com/spreadsheets/d/1-uDff_7J0KD5mKrp0Vvzr7lt3OU09vwQwhkpOPPYv2Y/edit?usp=sharing"",""งบพรบ!EX80"")"),79350)</f>
        <v>79350</v>
      </c>
      <c r="I80" s="176">
        <f ca="1">IFERROR(__xludf.DUMMYFUNCTION("IMPORTRANGE(""https://docs.google.com/spreadsheets/d/1-uDff_7J0KD5mKrp0Vvzr7lt3OU09vwQwhkpOPPYv2Y/edit?usp=sharing"",""งบพรบ!EY80"")"),0)</f>
        <v>0</v>
      </c>
      <c r="J80" s="176">
        <f t="shared" ca="1" si="22"/>
        <v>24055</v>
      </c>
      <c r="K80" s="181">
        <f t="shared" ca="1" si="23"/>
        <v>24.297979797979799</v>
      </c>
      <c r="L80" s="176">
        <f ca="1">IFERROR(__xludf.DUMMYFUNCTION("IMPORTRANGE(""https://docs.google.com/spreadsheets/d/1-uDff_7J0KD5mKrp0Vvzr7lt3OU09vwQwhkpOPPYv2Y/edit?usp=sharing"",""งบพรบ!EZ80"")"),24055)</f>
        <v>24055</v>
      </c>
      <c r="M80" s="179">
        <f t="shared" ca="1" si="24"/>
        <v>24.297979797979799</v>
      </c>
      <c r="N80" s="179">
        <f t="shared" ca="1" si="25"/>
        <v>30.315059861373662</v>
      </c>
      <c r="O80" s="180">
        <f ca="1">IFERROR(__xludf.DUMMYFUNCTION("IMPORTRANGE(""https://docs.google.com/spreadsheets/d/1-uDff_7J0KD5mKrp0Vvzr7lt3OU09vwQwhkpOPPYv2Y/edit?usp=sharing"",""งบพรบ!FA80"")"),0)</f>
        <v>0</v>
      </c>
      <c r="P80" s="180">
        <f t="shared" ca="1" si="26"/>
        <v>0</v>
      </c>
      <c r="Q80" s="179">
        <f t="shared" ca="1" si="27"/>
        <v>0</v>
      </c>
      <c r="R80" s="346">
        <f ca="1">IFERROR(__xludf.DUMMYFUNCTION("IMPORTRANGE(""https://docs.google.com/spreadsheets/d/1SDNX3JhDdYRuIOsj0Wh2M-Qa_eaXl0NbWmhAOTbfQAs/edit?usp=sharing"",""ปัตตานี!I344"")"),200)</f>
        <v>200</v>
      </c>
      <c r="S80" s="177">
        <f ca="1">IFERROR(__xludf.DUMMYFUNCTION("IMPORTRANGE(""https://docs.google.com/spreadsheets/d/1SDNX3JhDdYRuIOsj0Wh2M-Qa_eaXl0NbWmhAOTbfQAs/edit?usp=sharing"",""ปัตตานี!J344"")"),5)</f>
        <v>5</v>
      </c>
      <c r="T80" s="345">
        <f t="shared" ca="1" si="29"/>
        <v>2.5</v>
      </c>
      <c r="U80" s="346">
        <f ca="1">IFERROR(__xludf.DUMMYFUNCTION("IMPORTRANGE(""https://docs.google.com/spreadsheets/d/1SDNX3JhDdYRuIOsj0Wh2M-Qa_eaXl0NbWmhAOTbfQAs/edit?usp=sharing"",""ปัตตานี!I346"")"),1)</f>
        <v>1</v>
      </c>
      <c r="V80" s="177">
        <f ca="1">IFERROR(__xludf.DUMMYFUNCTION("IMPORTRANGE(""https://docs.google.com/spreadsheets/d/1SDNX3JhDdYRuIOsj0Wh2M-Qa_eaXl0NbWmhAOTbfQAs/edit?usp=sharing"",""ปัตตานี!J346"")"),3)</f>
        <v>3</v>
      </c>
      <c r="W80" s="345">
        <f t="shared" ca="1" si="31"/>
        <v>300</v>
      </c>
      <c r="X80" s="177">
        <f ca="1">IFERROR(__xludf.DUMMYFUNCTION("IMPORTRANGE(""https://docs.google.com/spreadsheets/d/1SDNX3JhDdYRuIOsj0Wh2M-Qa_eaXl0NbWmhAOTbfQAs/edit?usp=sharing"",""ปัตตานี!J347"")"),0)</f>
        <v>0</v>
      </c>
      <c r="Y80" s="177">
        <f ca="1">IFERROR(__xludf.DUMMYFUNCTION("IMPORTRANGE(""https://docs.google.com/spreadsheets/d/1SDNX3JhDdYRuIOsj0Wh2M-Qa_eaXl0NbWmhAOTbfQAs/edit?usp=sharing"",""ปัตตานี!J348"")"),0)</f>
        <v>0</v>
      </c>
      <c r="Z80" s="177">
        <f ca="1">IFERROR(__xludf.DUMMYFUNCTION("IMPORTRANGE(""https://docs.google.com/spreadsheets/d/1SDNX3JhDdYRuIOsj0Wh2M-Qa_eaXl0NbWmhAOTbfQAs/edit?usp=sharing"",""ปัตตานี!J349"")"),0)</f>
        <v>0</v>
      </c>
      <c r="AA80" s="177">
        <f ca="1">IFERROR(__xludf.DUMMYFUNCTION("IMPORTRANGE(""https://docs.google.com/spreadsheets/d/1SDNX3JhDdYRuIOsj0Wh2M-Qa_eaXl0NbWmhAOTbfQAs/edit?usp=sharing"",""ปัตตานี!J352"")"),33)</f>
        <v>33</v>
      </c>
      <c r="AB80" s="177">
        <f ca="1">IFERROR(__xludf.DUMMYFUNCTION("IMPORTRANGE(""https://docs.google.com/spreadsheets/d/1SDNX3JhDdYRuIOsj0Wh2M-Qa_eaXl0NbWmhAOTbfQAs/edit?usp=sharing"",""ปัตตานี!J353"")"),111)</f>
        <v>111</v>
      </c>
    </row>
    <row r="81" spans="1:28" ht="21" customHeight="1" x14ac:dyDescent="0.3">
      <c r="A81" s="84">
        <v>7</v>
      </c>
      <c r="B81" s="85" t="s">
        <v>103</v>
      </c>
      <c r="C81" s="174">
        <f t="shared" ca="1" si="20"/>
        <v>103000</v>
      </c>
      <c r="D81" s="175">
        <f t="shared" ca="1" si="48"/>
        <v>103000</v>
      </c>
      <c r="E81" s="176">
        <f ca="1">IFERROR(__xludf.DUMMYFUNCTION("IMPORTRANGE(""https://docs.google.com/spreadsheets/d/1-uDff_7J0KD5mKrp0Vvzr7lt3OU09vwQwhkpOPPYv2Y/edit?usp=sharing"",""งบพรบ!ET81"")"),0)</f>
        <v>0</v>
      </c>
      <c r="F81" s="176">
        <f ca="1">IFERROR(__xludf.DUMMYFUNCTION("IMPORTRANGE(""https://docs.google.com/spreadsheets/d/1-uDff_7J0KD5mKrp0Vvzr7lt3OU09vwQwhkpOPPYv2Y/edit?usp=sharing"",""งบพรบ!EU81"")"),103000)</f>
        <v>103000</v>
      </c>
      <c r="G81" s="176">
        <f ca="1">IFERROR(__xludf.DUMMYFUNCTION("IMPORTRANGE(""https://docs.google.com/spreadsheets/d/1-uDff_7J0KD5mKrp0Vvzr7lt3OU09vwQwhkpOPPYv2Y/edit?usp=sharing"",""งบพรบ!EV81"")"),0)</f>
        <v>0</v>
      </c>
      <c r="H81" s="176">
        <f ca="1">IFERROR(__xludf.DUMMYFUNCTION("IMPORTRANGE(""https://docs.google.com/spreadsheets/d/1-uDff_7J0KD5mKrp0Vvzr7lt3OU09vwQwhkpOPPYv2Y/edit?usp=sharing"",""งบพรบ!EX81"")"),83350)</f>
        <v>83350</v>
      </c>
      <c r="I81" s="176">
        <f ca="1">IFERROR(__xludf.DUMMYFUNCTION("IMPORTRANGE(""https://docs.google.com/spreadsheets/d/1-uDff_7J0KD5mKrp0Vvzr7lt3OU09vwQwhkpOPPYv2Y/edit?usp=sharing"",""งบพรบ!EY81"")"),0)</f>
        <v>0</v>
      </c>
      <c r="J81" s="176">
        <f t="shared" ca="1" si="22"/>
        <v>6140</v>
      </c>
      <c r="K81" s="181">
        <f t="shared" ca="1" si="23"/>
        <v>5.9611650485436893</v>
      </c>
      <c r="L81" s="176">
        <f ca="1">IFERROR(__xludf.DUMMYFUNCTION("IMPORTRANGE(""https://docs.google.com/spreadsheets/d/1-uDff_7J0KD5mKrp0Vvzr7lt3OU09vwQwhkpOPPYv2Y/edit?usp=sharing"",""งบพรบ!EZ81"")"),6140)</f>
        <v>6140</v>
      </c>
      <c r="M81" s="179">
        <f t="shared" ca="1" si="24"/>
        <v>5.9611650485436893</v>
      </c>
      <c r="N81" s="179">
        <f t="shared" ca="1" si="25"/>
        <v>7.3665266946610677</v>
      </c>
      <c r="O81" s="180">
        <f ca="1">IFERROR(__xludf.DUMMYFUNCTION("IMPORTRANGE(""https://docs.google.com/spreadsheets/d/1-uDff_7J0KD5mKrp0Vvzr7lt3OU09vwQwhkpOPPYv2Y/edit?usp=sharing"",""งบพรบ!FA81"")"),0)</f>
        <v>0</v>
      </c>
      <c r="P81" s="180">
        <f t="shared" ca="1" si="26"/>
        <v>0</v>
      </c>
      <c r="Q81" s="179">
        <f t="shared" ca="1" si="27"/>
        <v>0</v>
      </c>
      <c r="R81" s="344">
        <f ca="1">IFERROR(__xludf.DUMMYFUNCTION("IMPORTRANGE(""https://docs.google.com/spreadsheets/d/16JDLGguT8s5DsGCND1KcwHP_AWR_zDMTqLHPLJUKhaU/edit?usp=sharing"",""พังงา!I344"")"),540)</f>
        <v>540</v>
      </c>
      <c r="S81" s="177">
        <f ca="1">IFERROR(__xludf.DUMMYFUNCTION("IMPORTRANGE(""https://docs.google.com/spreadsheets/d/16JDLGguT8s5DsGCND1KcwHP_AWR_zDMTqLHPLJUKhaU/edit?usp=sharing"",""พังงา!J344"")"),416)</f>
        <v>416</v>
      </c>
      <c r="T81" s="345">
        <f t="shared" ca="1" si="29"/>
        <v>77.037037037037038</v>
      </c>
      <c r="U81" s="344">
        <f ca="1">IFERROR(__xludf.DUMMYFUNCTION("IMPORTRANGE(""https://docs.google.com/spreadsheets/d/16JDLGguT8s5DsGCND1KcwHP_AWR_zDMTqLHPLJUKhaU/edit?usp=sharing"",""พังงา!I346"")"),3)</f>
        <v>3</v>
      </c>
      <c r="V81" s="177">
        <f ca="1">IFERROR(__xludf.DUMMYFUNCTION("IMPORTRANGE(""https://docs.google.com/spreadsheets/d/16JDLGguT8s5DsGCND1KcwHP_AWR_zDMTqLHPLJUKhaU/edit?usp=sharing"",""พังงา!J346"")"),2)</f>
        <v>2</v>
      </c>
      <c r="W81" s="345">
        <f t="shared" ca="1" si="31"/>
        <v>66.666666666666671</v>
      </c>
      <c r="X81" s="177">
        <f ca="1">IFERROR(__xludf.DUMMYFUNCTION("IMPORTRANGE(""https://docs.google.com/spreadsheets/d/16JDLGguT8s5DsGCND1KcwHP_AWR_zDMTqLHPLJUKhaU/edit?usp=sharing"",""พังงา!J347"")"),8)</f>
        <v>8</v>
      </c>
      <c r="Y81" s="177">
        <f ca="1">IFERROR(__xludf.DUMMYFUNCTION("IMPORTRANGE(""https://docs.google.com/spreadsheets/d/16JDLGguT8s5DsGCND1KcwHP_AWR_zDMTqLHPLJUKhaU/edit?usp=sharing"",""พังงา!J348"")"),0)</f>
        <v>0</v>
      </c>
      <c r="Z81" s="177">
        <f ca="1">IFERROR(__xludf.DUMMYFUNCTION("IMPORTRANGE(""https://docs.google.com/spreadsheets/d/16JDLGguT8s5DsGCND1KcwHP_AWR_zDMTqLHPLJUKhaU/edit?usp=sharing"",""พังงา!J349"")"),0)</f>
        <v>0</v>
      </c>
      <c r="AA81" s="177">
        <f ca="1">IFERROR(__xludf.DUMMYFUNCTION("IMPORTRANGE(""https://docs.google.com/spreadsheets/d/16JDLGguT8s5DsGCND1KcwHP_AWR_zDMTqLHPLJUKhaU/edit?usp=sharing"",""พังงา!J352"")"),284)</f>
        <v>284</v>
      </c>
      <c r="AB81" s="177">
        <f ca="1">IFERROR(__xludf.DUMMYFUNCTION("IMPORTRANGE(""https://docs.google.com/spreadsheets/d/16JDLGguT8s5DsGCND1KcwHP_AWR_zDMTqLHPLJUKhaU/edit?usp=sharing"",""พังงา!J353"")"),132)</f>
        <v>132</v>
      </c>
    </row>
    <row r="82" spans="1:28" ht="21" customHeight="1" x14ac:dyDescent="0.3">
      <c r="A82" s="84">
        <v>8</v>
      </c>
      <c r="B82" s="85" t="s">
        <v>104</v>
      </c>
      <c r="C82" s="174">
        <f t="shared" ca="1" si="20"/>
        <v>102000</v>
      </c>
      <c r="D82" s="175">
        <f t="shared" ca="1" si="48"/>
        <v>102000</v>
      </c>
      <c r="E82" s="176">
        <f ca="1">IFERROR(__xludf.DUMMYFUNCTION("IMPORTRANGE(""https://docs.google.com/spreadsheets/d/1-uDff_7J0KD5mKrp0Vvzr7lt3OU09vwQwhkpOPPYv2Y/edit?usp=sharing"",""งบพรบ!ET82"")"),0)</f>
        <v>0</v>
      </c>
      <c r="F82" s="176">
        <f ca="1">IFERROR(__xludf.DUMMYFUNCTION("IMPORTRANGE(""https://docs.google.com/spreadsheets/d/1-uDff_7J0KD5mKrp0Vvzr7lt3OU09vwQwhkpOPPYv2Y/edit?usp=sharing"",""งบพรบ!EU82"")"),102000)</f>
        <v>102000</v>
      </c>
      <c r="G82" s="176">
        <f ca="1">IFERROR(__xludf.DUMMYFUNCTION("IMPORTRANGE(""https://docs.google.com/spreadsheets/d/1-uDff_7J0KD5mKrp0Vvzr7lt3OU09vwQwhkpOPPYv2Y/edit?usp=sharing"",""งบพรบ!EV82"")"),0)</f>
        <v>0</v>
      </c>
      <c r="H82" s="176">
        <f ca="1">IFERROR(__xludf.DUMMYFUNCTION("IMPORTRANGE(""https://docs.google.com/spreadsheets/d/1-uDff_7J0KD5mKrp0Vvzr7lt3OU09vwQwhkpOPPYv2Y/edit?usp=sharing"",""งบพรบ!EX82"")"),81750)</f>
        <v>81750</v>
      </c>
      <c r="I82" s="176">
        <f ca="1">IFERROR(__xludf.DUMMYFUNCTION("IMPORTRANGE(""https://docs.google.com/spreadsheets/d/1-uDff_7J0KD5mKrp0Vvzr7lt3OU09vwQwhkpOPPYv2Y/edit?usp=sharing"",""งบพรบ!EY82"")"),0)</f>
        <v>0</v>
      </c>
      <c r="J82" s="176">
        <f t="shared" ca="1" si="22"/>
        <v>27200</v>
      </c>
      <c r="K82" s="181">
        <f t="shared" ca="1" si="23"/>
        <v>26.666666666666668</v>
      </c>
      <c r="L82" s="176">
        <f ca="1">IFERROR(__xludf.DUMMYFUNCTION("IMPORTRANGE(""https://docs.google.com/spreadsheets/d/1-uDff_7J0KD5mKrp0Vvzr7lt3OU09vwQwhkpOPPYv2Y/edit?usp=sharing"",""งบพรบ!EZ82"")"),27200)</f>
        <v>27200</v>
      </c>
      <c r="M82" s="179">
        <f t="shared" ca="1" si="24"/>
        <v>26.666666666666668</v>
      </c>
      <c r="N82" s="179">
        <f t="shared" ca="1" si="25"/>
        <v>33.272171253822627</v>
      </c>
      <c r="O82" s="180">
        <f ca="1">IFERROR(__xludf.DUMMYFUNCTION("IMPORTRANGE(""https://docs.google.com/spreadsheets/d/1-uDff_7J0KD5mKrp0Vvzr7lt3OU09vwQwhkpOPPYv2Y/edit?usp=sharing"",""งบพรบ!FA82"")"),0)</f>
        <v>0</v>
      </c>
      <c r="P82" s="180">
        <f t="shared" ca="1" si="26"/>
        <v>0</v>
      </c>
      <c r="Q82" s="179">
        <f t="shared" ca="1" si="27"/>
        <v>0</v>
      </c>
      <c r="R82" s="344">
        <f ca="1">IFERROR(__xludf.DUMMYFUNCTION("IMPORTRANGE(""https://docs.google.com/spreadsheets/d/17ht0gPKzzT3PObBL1XJkeRmntBXI7wGjpLV7QorqlTk/edit?usp=sharing"",""พัทลุง!I344"")"),800)</f>
        <v>800</v>
      </c>
      <c r="S82" s="177">
        <f ca="1">IFERROR(__xludf.DUMMYFUNCTION("IMPORTRANGE(""https://docs.google.com/spreadsheets/d/17ht0gPKzzT3PObBL1XJkeRmntBXI7wGjpLV7QorqlTk/edit?usp=sharing"",""พัทลุง!J344"")"),510)</f>
        <v>510</v>
      </c>
      <c r="T82" s="345">
        <f t="shared" ca="1" si="29"/>
        <v>63.75</v>
      </c>
      <c r="U82" s="344">
        <f ca="1">IFERROR(__xludf.DUMMYFUNCTION("IMPORTRANGE(""https://docs.google.com/spreadsheets/d/17ht0gPKzzT3PObBL1XJkeRmntBXI7wGjpLV7QorqlTk/edit?usp=sharing"",""พัทลุง!I346"")"),1)</f>
        <v>1</v>
      </c>
      <c r="V82" s="177">
        <f ca="1">IFERROR(__xludf.DUMMYFUNCTION("IMPORTRANGE(""https://docs.google.com/spreadsheets/d/17ht0gPKzzT3PObBL1XJkeRmntBXI7wGjpLV7QorqlTk/edit?usp=sharing"",""พัทลุง!J346"")"),2)</f>
        <v>2</v>
      </c>
      <c r="W82" s="345">
        <f t="shared" ca="1" si="31"/>
        <v>200</v>
      </c>
      <c r="X82" s="177">
        <f ca="1">IFERROR(__xludf.DUMMYFUNCTION("IMPORTRANGE(""https://docs.google.com/spreadsheets/d/17ht0gPKzzT3PObBL1XJkeRmntBXI7wGjpLV7QorqlTk/edit?usp=sharing"",""พัทลุง!J347"")"),0)</f>
        <v>0</v>
      </c>
      <c r="Y82" s="177">
        <f ca="1">IFERROR(__xludf.DUMMYFUNCTION("IMPORTRANGE(""https://docs.google.com/spreadsheets/d/17ht0gPKzzT3PObBL1XJkeRmntBXI7wGjpLV7QorqlTk/edit?usp=sharing"",""พัทลุง!J348"")"),0)</f>
        <v>0</v>
      </c>
      <c r="Z82" s="177">
        <f ca="1">IFERROR(__xludf.DUMMYFUNCTION("IMPORTRANGE(""https://docs.google.com/spreadsheets/d/17ht0gPKzzT3PObBL1XJkeRmntBXI7wGjpLV7QorqlTk/edit?usp=sharing"",""พัทลุง!J349"")"),0)</f>
        <v>0</v>
      </c>
      <c r="AA82" s="177">
        <f ca="1">IFERROR(__xludf.DUMMYFUNCTION("IMPORTRANGE(""https://docs.google.com/spreadsheets/d/17ht0gPKzzT3PObBL1XJkeRmntBXI7wGjpLV7QorqlTk/edit?usp=sharing"",""พัทลุง!J352"")"),600)</f>
        <v>600</v>
      </c>
      <c r="AB82" s="177">
        <f ca="1">IFERROR(__xludf.DUMMYFUNCTION("IMPORTRANGE(""https://docs.google.com/spreadsheets/d/17ht0gPKzzT3PObBL1XJkeRmntBXI7wGjpLV7QorqlTk/edit?usp=sharing"",""พัทลุง!J353"")"),210)</f>
        <v>210</v>
      </c>
    </row>
    <row r="83" spans="1:28" ht="21" customHeight="1" x14ac:dyDescent="0.3">
      <c r="A83" s="84">
        <v>9</v>
      </c>
      <c r="B83" s="85" t="s">
        <v>105</v>
      </c>
      <c r="C83" s="174">
        <f t="shared" ca="1" si="20"/>
        <v>216600</v>
      </c>
      <c r="D83" s="175">
        <f t="shared" ca="1" si="48"/>
        <v>216600</v>
      </c>
      <c r="E83" s="176">
        <f ca="1">IFERROR(__xludf.DUMMYFUNCTION("IMPORTRANGE(""https://docs.google.com/spreadsheets/d/1-uDff_7J0KD5mKrp0Vvzr7lt3OU09vwQwhkpOPPYv2Y/edit?usp=sharing"",""งบพรบ!ET83"")"),117600)</f>
        <v>117600</v>
      </c>
      <c r="F83" s="176">
        <f ca="1">IFERROR(__xludf.DUMMYFUNCTION("IMPORTRANGE(""https://docs.google.com/spreadsheets/d/1-uDff_7J0KD5mKrp0Vvzr7lt3OU09vwQwhkpOPPYv2Y/edit?usp=sharing"",""งบพรบ!EU83"")"),99000)</f>
        <v>99000</v>
      </c>
      <c r="G83" s="176">
        <f ca="1">IFERROR(__xludf.DUMMYFUNCTION("IMPORTRANGE(""https://docs.google.com/spreadsheets/d/1-uDff_7J0KD5mKrp0Vvzr7lt3OU09vwQwhkpOPPYv2Y/edit?usp=sharing"",""งบพรบ!EV83"")"),0)</f>
        <v>0</v>
      </c>
      <c r="H83" s="176">
        <f ca="1">IFERROR(__xludf.DUMMYFUNCTION("IMPORTRANGE(""https://docs.google.com/spreadsheets/d/1-uDff_7J0KD5mKrp0Vvzr7lt3OU09vwQwhkpOPPYv2Y/edit?usp=sharing"",""งบพรบ!EX83"")"),163350)</f>
        <v>163350</v>
      </c>
      <c r="I83" s="176">
        <f ca="1">IFERROR(__xludf.DUMMYFUNCTION("IMPORTRANGE(""https://docs.google.com/spreadsheets/d/1-uDff_7J0KD5mKrp0Vvzr7lt3OU09vwQwhkpOPPYv2Y/edit?usp=sharing"",""งบพรบ!EY83"")"),0)</f>
        <v>0</v>
      </c>
      <c r="J83" s="176">
        <f t="shared" ca="1" si="22"/>
        <v>63480</v>
      </c>
      <c r="K83" s="181">
        <f t="shared" ca="1" si="23"/>
        <v>29.307479224376731</v>
      </c>
      <c r="L83" s="176">
        <f ca="1">IFERROR(__xludf.DUMMYFUNCTION("IMPORTRANGE(""https://docs.google.com/spreadsheets/d/1-uDff_7J0KD5mKrp0Vvzr7lt3OU09vwQwhkpOPPYv2Y/edit?usp=sharing"",""งบพรบ!EZ83"")"),63480)</f>
        <v>63480</v>
      </c>
      <c r="M83" s="179">
        <f t="shared" ca="1" si="24"/>
        <v>29.307479224376731</v>
      </c>
      <c r="N83" s="179">
        <f t="shared" ca="1" si="25"/>
        <v>38.861340679522499</v>
      </c>
      <c r="O83" s="180">
        <f ca="1">IFERROR(__xludf.DUMMYFUNCTION("IMPORTRANGE(""https://docs.google.com/spreadsheets/d/1-uDff_7J0KD5mKrp0Vvzr7lt3OU09vwQwhkpOPPYv2Y/edit?usp=sharing"",""งบพรบ!FA83"")"),0)</f>
        <v>0</v>
      </c>
      <c r="P83" s="180">
        <f t="shared" ca="1" si="26"/>
        <v>0</v>
      </c>
      <c r="Q83" s="179">
        <f t="shared" ca="1" si="27"/>
        <v>0</v>
      </c>
      <c r="R83" s="344">
        <f ca="1">IFERROR(__xludf.DUMMYFUNCTION("IMPORTRANGE(""https://docs.google.com/spreadsheets/d/1rd4qoM1q_hsgaolqNGfrim9gbsoLxQsda4-vOz5x_BM/edit?usp=sharing"",""ภูเก็ต!I344"")"),120)</f>
        <v>120</v>
      </c>
      <c r="S83" s="177">
        <f ca="1">IFERROR(__xludf.DUMMYFUNCTION("IMPORTRANGE(""https://docs.google.com/spreadsheets/d/1rd4qoM1q_hsgaolqNGfrim9gbsoLxQsda4-vOz5x_BM/edit?usp=sharing"",""ภูเก็ต!J344"")"),26)</f>
        <v>26</v>
      </c>
      <c r="T83" s="345">
        <f t="shared" ca="1" si="29"/>
        <v>21.666666666666668</v>
      </c>
      <c r="U83" s="344">
        <f ca="1">IFERROR(__xludf.DUMMYFUNCTION("IMPORTRANGE(""https://docs.google.com/spreadsheets/d/1rd4qoM1q_hsgaolqNGfrim9gbsoLxQsda4-vOz5x_BM/edit?usp=sharing"",""ภูเก็ต!I346"")"),1)</f>
        <v>1</v>
      </c>
      <c r="V83" s="177">
        <f ca="1">IFERROR(__xludf.DUMMYFUNCTION("IMPORTRANGE(""https://docs.google.com/spreadsheets/d/1rd4qoM1q_hsgaolqNGfrim9gbsoLxQsda4-vOz5x_BM/edit?usp=sharing"",""ภูเก็ต!J346"")"),0)</f>
        <v>0</v>
      </c>
      <c r="W83" s="345">
        <f t="shared" ca="1" si="31"/>
        <v>0</v>
      </c>
      <c r="X83" s="177">
        <f ca="1">IFERROR(__xludf.DUMMYFUNCTION("IMPORTRANGE(""https://docs.google.com/spreadsheets/d/1rd4qoM1q_hsgaolqNGfrim9gbsoLxQsda4-vOz5x_BM/edit?usp=sharing"",""ภูเก็ต!J347"")"),0)</f>
        <v>0</v>
      </c>
      <c r="Y83" s="177">
        <f ca="1">IFERROR(__xludf.DUMMYFUNCTION("IMPORTRANGE(""https://docs.google.com/spreadsheets/d/1rd4qoM1q_hsgaolqNGfrim9gbsoLxQsda4-vOz5x_BM/edit?usp=sharing"",""ภูเก็ต!J348"")"),0)</f>
        <v>0</v>
      </c>
      <c r="Z83" s="177">
        <f ca="1">IFERROR(__xludf.DUMMYFUNCTION("IMPORTRANGE(""https://docs.google.com/spreadsheets/d/1rd4qoM1q_hsgaolqNGfrim9gbsoLxQsda4-vOz5x_BM/edit?usp=sharing"",""ภูเก็ต!J349"")"),0)</f>
        <v>0</v>
      </c>
      <c r="AA83" s="177">
        <f ca="1">IFERROR(__xludf.DUMMYFUNCTION("IMPORTRANGE(""https://docs.google.com/spreadsheets/d/1rd4qoM1q_hsgaolqNGfrim9gbsoLxQsda4-vOz5x_BM/edit?usp=sharing"",""ภูเก็ต!J352"")"),8)</f>
        <v>8</v>
      </c>
      <c r="AB83" s="177">
        <f ca="1">IFERROR(__xludf.DUMMYFUNCTION("IMPORTRANGE(""https://docs.google.com/spreadsheets/d/1rd4qoM1q_hsgaolqNGfrim9gbsoLxQsda4-vOz5x_BM/edit?usp=sharing"",""ภูเก็ต!J353"")"),150)</f>
        <v>150</v>
      </c>
    </row>
    <row r="84" spans="1:28" ht="21" customHeight="1" x14ac:dyDescent="0.3">
      <c r="A84" s="84">
        <v>10</v>
      </c>
      <c r="B84" s="85" t="s">
        <v>106</v>
      </c>
      <c r="C84" s="174">
        <f t="shared" ca="1" si="20"/>
        <v>99000</v>
      </c>
      <c r="D84" s="175">
        <f t="shared" ca="1" si="48"/>
        <v>99000</v>
      </c>
      <c r="E84" s="176">
        <f ca="1">IFERROR(__xludf.DUMMYFUNCTION("IMPORTRANGE(""https://docs.google.com/spreadsheets/d/1-uDff_7J0KD5mKrp0Vvzr7lt3OU09vwQwhkpOPPYv2Y/edit?usp=sharing"",""งบพรบ!ET84"")"),0)</f>
        <v>0</v>
      </c>
      <c r="F84" s="176">
        <f ca="1">IFERROR(__xludf.DUMMYFUNCTION("IMPORTRANGE(""https://docs.google.com/spreadsheets/d/1-uDff_7J0KD5mKrp0Vvzr7lt3OU09vwQwhkpOPPYv2Y/edit?usp=sharing"",""งบพรบ!EU84"")"),99000)</f>
        <v>99000</v>
      </c>
      <c r="G84" s="176">
        <f ca="1">IFERROR(__xludf.DUMMYFUNCTION("IMPORTRANGE(""https://docs.google.com/spreadsheets/d/1-uDff_7J0KD5mKrp0Vvzr7lt3OU09vwQwhkpOPPYv2Y/edit?usp=sharing"",""งบพรบ!EV84"")"),0)</f>
        <v>0</v>
      </c>
      <c r="H84" s="176">
        <f ca="1">IFERROR(__xludf.DUMMYFUNCTION("IMPORTRANGE(""https://docs.google.com/spreadsheets/d/1-uDff_7J0KD5mKrp0Vvzr7lt3OU09vwQwhkpOPPYv2Y/edit?usp=sharing"",""งบพรบ!EX84"")"),79350)</f>
        <v>79350</v>
      </c>
      <c r="I84" s="176">
        <f ca="1">IFERROR(__xludf.DUMMYFUNCTION("IMPORTRANGE(""https://docs.google.com/spreadsheets/d/1-uDff_7J0KD5mKrp0Vvzr7lt3OU09vwQwhkpOPPYv2Y/edit?usp=sharing"",""งบพรบ!EY84"")"),0)</f>
        <v>0</v>
      </c>
      <c r="J84" s="176">
        <f t="shared" ca="1" si="22"/>
        <v>17155</v>
      </c>
      <c r="K84" s="181">
        <f t="shared" ca="1" si="23"/>
        <v>17.328282828282827</v>
      </c>
      <c r="L84" s="176">
        <f ca="1">IFERROR(__xludf.DUMMYFUNCTION("IMPORTRANGE(""https://docs.google.com/spreadsheets/d/1-uDff_7J0KD5mKrp0Vvzr7lt3OU09vwQwhkpOPPYv2Y/edit?usp=sharing"",""งบพรบ!EZ84"")"),17155)</f>
        <v>17155</v>
      </c>
      <c r="M84" s="179">
        <f t="shared" ca="1" si="24"/>
        <v>17.328282828282827</v>
      </c>
      <c r="N84" s="179">
        <f t="shared" ca="1" si="25"/>
        <v>21.619407687460619</v>
      </c>
      <c r="O84" s="180">
        <f ca="1">IFERROR(__xludf.DUMMYFUNCTION("IMPORTRANGE(""https://docs.google.com/spreadsheets/d/1-uDff_7J0KD5mKrp0Vvzr7lt3OU09vwQwhkpOPPYv2Y/edit?usp=sharing"",""งบพรบ!FA84"")"),0)</f>
        <v>0</v>
      </c>
      <c r="P84" s="180">
        <f t="shared" ca="1" si="26"/>
        <v>0</v>
      </c>
      <c r="Q84" s="179">
        <f t="shared" ca="1" si="27"/>
        <v>0</v>
      </c>
      <c r="R84" s="344">
        <f ca="1">IFERROR(__xludf.DUMMYFUNCTION("IMPORTRANGE(""https://docs.google.com/spreadsheets/d/1woKwKjgoLssDvPcPeVyezB5izizAn4X1JDrys69n6xI/edit?usp=sharing"",""ยะลา!I344"")"),140)</f>
        <v>140</v>
      </c>
      <c r="S84" s="177">
        <f ca="1">IFERROR(__xludf.DUMMYFUNCTION("IMPORTRANGE(""https://docs.google.com/spreadsheets/d/1woKwKjgoLssDvPcPeVyezB5izizAn4X1JDrys69n6xI/edit?usp=sharing"",""ยะลา!J344"")"),163)</f>
        <v>163</v>
      </c>
      <c r="T84" s="345">
        <f t="shared" ca="1" si="29"/>
        <v>116.42857142857143</v>
      </c>
      <c r="U84" s="344">
        <f ca="1">IFERROR(__xludf.DUMMYFUNCTION("IMPORTRANGE(""https://docs.google.com/spreadsheets/d/1woKwKjgoLssDvPcPeVyezB5izizAn4X1JDrys69n6xI/edit?usp=sharing"",""ยะลา!I346"")"),1)</f>
        <v>1</v>
      </c>
      <c r="V84" s="177">
        <f ca="1">IFERROR(__xludf.DUMMYFUNCTION("IMPORTRANGE(""https://docs.google.com/spreadsheets/d/1woKwKjgoLssDvPcPeVyezB5izizAn4X1JDrys69n6xI/edit?usp=sharing"",""ยะลา!J346"")"),0)</f>
        <v>0</v>
      </c>
      <c r="W84" s="345">
        <f t="shared" ca="1" si="31"/>
        <v>0</v>
      </c>
      <c r="X84" s="177">
        <f ca="1">IFERROR(__xludf.DUMMYFUNCTION("IMPORTRANGE(""https://docs.google.com/spreadsheets/d/1woKwKjgoLssDvPcPeVyezB5izizAn4X1JDrys69n6xI/edit?usp=sharing"",""ยะลา!J347"")"),0)</f>
        <v>0</v>
      </c>
      <c r="Y84" s="177">
        <f ca="1">IFERROR(__xludf.DUMMYFUNCTION("IMPORTRANGE(""https://docs.google.com/spreadsheets/d/1woKwKjgoLssDvPcPeVyezB5izizAn4X1JDrys69n6xI/edit?usp=sharing"",""ยะลา!J348"")"),0)</f>
        <v>0</v>
      </c>
      <c r="Z84" s="177">
        <f ca="1">IFERROR(__xludf.DUMMYFUNCTION("IMPORTRANGE(""https://docs.google.com/spreadsheets/d/1woKwKjgoLssDvPcPeVyezB5izizAn4X1JDrys69n6xI/edit?usp=sharing"",""ยะลา!J349"")"),0)</f>
        <v>0</v>
      </c>
      <c r="AA84" s="177">
        <f ca="1">IFERROR(__xludf.DUMMYFUNCTION("IMPORTRANGE(""https://docs.google.com/spreadsheets/d/1woKwKjgoLssDvPcPeVyezB5izizAn4X1JDrys69n6xI/edit?usp=sharing"",""ยะลา!J352"")"),13)</f>
        <v>13</v>
      </c>
      <c r="AB84" s="177">
        <f ca="1">IFERROR(__xludf.DUMMYFUNCTION("IMPORTRANGE(""https://docs.google.com/spreadsheets/d/1woKwKjgoLssDvPcPeVyezB5izizAn4X1JDrys69n6xI/edit?usp=sharing"",""ยะลา!J353"")"),174)</f>
        <v>174</v>
      </c>
    </row>
    <row r="85" spans="1:28" ht="21" customHeight="1" x14ac:dyDescent="0.3">
      <c r="A85" s="84">
        <v>11</v>
      </c>
      <c r="B85" s="85" t="s">
        <v>107</v>
      </c>
      <c r="C85" s="174">
        <f t="shared" ca="1" si="20"/>
        <v>101000</v>
      </c>
      <c r="D85" s="175">
        <f t="shared" ca="1" si="48"/>
        <v>101000</v>
      </c>
      <c r="E85" s="176">
        <f ca="1">IFERROR(__xludf.DUMMYFUNCTION("IMPORTRANGE(""https://docs.google.com/spreadsheets/d/1-uDff_7J0KD5mKrp0Vvzr7lt3OU09vwQwhkpOPPYv2Y/edit?usp=sharing"",""งบพรบ!ET85"")"),0)</f>
        <v>0</v>
      </c>
      <c r="F85" s="176">
        <f ca="1">IFERROR(__xludf.DUMMYFUNCTION("IMPORTRANGE(""https://docs.google.com/spreadsheets/d/1-uDff_7J0KD5mKrp0Vvzr7lt3OU09vwQwhkpOPPYv2Y/edit?usp=sharing"",""งบพรบ!EU85"")"),101000)</f>
        <v>101000</v>
      </c>
      <c r="G85" s="176">
        <f ca="1">IFERROR(__xludf.DUMMYFUNCTION("IMPORTRANGE(""https://docs.google.com/spreadsheets/d/1-uDff_7J0KD5mKrp0Vvzr7lt3OU09vwQwhkpOPPYv2Y/edit?usp=sharing"",""งบพรบ!EV85"")"),0)</f>
        <v>0</v>
      </c>
      <c r="H85" s="176">
        <f ca="1">IFERROR(__xludf.DUMMYFUNCTION("IMPORTRANGE(""https://docs.google.com/spreadsheets/d/1-uDff_7J0KD5mKrp0Vvzr7lt3OU09vwQwhkpOPPYv2Y/edit?usp=sharing"",""งบพรบ!EX85"")"),81350)</f>
        <v>81350</v>
      </c>
      <c r="I85" s="176">
        <f ca="1">IFERROR(__xludf.DUMMYFUNCTION("IMPORTRANGE(""https://docs.google.com/spreadsheets/d/1-uDff_7J0KD5mKrp0Vvzr7lt3OU09vwQwhkpOPPYv2Y/edit?usp=sharing"",""งบพรบ!EY85"")"),0)</f>
        <v>0</v>
      </c>
      <c r="J85" s="176">
        <f t="shared" ca="1" si="22"/>
        <v>34780</v>
      </c>
      <c r="K85" s="181">
        <f t="shared" ca="1" si="23"/>
        <v>34.435643564356432</v>
      </c>
      <c r="L85" s="176">
        <f ca="1">IFERROR(__xludf.DUMMYFUNCTION("IMPORTRANGE(""https://docs.google.com/spreadsheets/d/1-uDff_7J0KD5mKrp0Vvzr7lt3OU09vwQwhkpOPPYv2Y/edit?usp=sharing"",""งบพรบ!EZ85"")"),34780)</f>
        <v>34780</v>
      </c>
      <c r="M85" s="179">
        <f t="shared" ca="1" si="24"/>
        <v>34.435643564356432</v>
      </c>
      <c r="N85" s="179">
        <f t="shared" ca="1" si="25"/>
        <v>42.753534111862322</v>
      </c>
      <c r="O85" s="180">
        <f ca="1">IFERROR(__xludf.DUMMYFUNCTION("IMPORTRANGE(""https://docs.google.com/spreadsheets/d/1-uDff_7J0KD5mKrp0Vvzr7lt3OU09vwQwhkpOPPYv2Y/edit?usp=sharing"",""งบพรบ!FA85"")"),0)</f>
        <v>0</v>
      </c>
      <c r="P85" s="180">
        <f t="shared" ca="1" si="26"/>
        <v>0</v>
      </c>
      <c r="Q85" s="179">
        <f t="shared" ca="1" si="27"/>
        <v>0</v>
      </c>
      <c r="R85" s="344">
        <f ca="1">IFERROR(__xludf.DUMMYFUNCTION("IMPORTRANGE(""https://docs.google.com/spreadsheets/d/1qfrKjzMhm2HJfxQ-qVlJlJQ25Hne1d0khsySbZyGtPA/edit?usp=sharing"",""ระนอง!I344"")"),340)</f>
        <v>340</v>
      </c>
      <c r="S85" s="177">
        <f ca="1">IFERROR(__xludf.DUMMYFUNCTION("IMPORTRANGE(""https://docs.google.com/spreadsheets/d/1qfrKjzMhm2HJfxQ-qVlJlJQ25Hne1d0khsySbZyGtPA/edit?usp=sharing"",""ระนอง!J344"")"),36)</f>
        <v>36</v>
      </c>
      <c r="T85" s="345">
        <f t="shared" ca="1" si="29"/>
        <v>10.588235294117647</v>
      </c>
      <c r="U85" s="344">
        <f ca="1">IFERROR(__xludf.DUMMYFUNCTION("IMPORTRANGE(""https://docs.google.com/spreadsheets/d/1qfrKjzMhm2HJfxQ-qVlJlJQ25Hne1d0khsySbZyGtPA/edit?usp=sharing"",""ระนอง!I346"")"),2)</f>
        <v>2</v>
      </c>
      <c r="V85" s="177">
        <f ca="1">IFERROR(__xludf.DUMMYFUNCTION("IMPORTRANGE(""https://docs.google.com/spreadsheets/d/1qfrKjzMhm2HJfxQ-qVlJlJQ25Hne1d0khsySbZyGtPA/edit?usp=sharing"",""ระนอง!J346"")"),1)</f>
        <v>1</v>
      </c>
      <c r="W85" s="345">
        <f t="shared" ca="1" si="31"/>
        <v>50</v>
      </c>
      <c r="X85" s="177">
        <f ca="1">IFERROR(__xludf.DUMMYFUNCTION("IMPORTRANGE(""https://docs.google.com/spreadsheets/d/1qfrKjzMhm2HJfxQ-qVlJlJQ25Hne1d0khsySbZyGtPA/edit?usp=sharing"",""ระนอง!J347"")"),0)</f>
        <v>0</v>
      </c>
      <c r="Y85" s="177">
        <f ca="1">IFERROR(__xludf.DUMMYFUNCTION("IMPORTRANGE(""https://docs.google.com/spreadsheets/d/1qfrKjzMhm2HJfxQ-qVlJlJQ25Hne1d0khsySbZyGtPA/edit?usp=sharing"",""ระนอง!J348"")"),0)</f>
        <v>0</v>
      </c>
      <c r="Z85" s="177">
        <f ca="1">IFERROR(__xludf.DUMMYFUNCTION("IMPORTRANGE(""https://docs.google.com/spreadsheets/d/1qfrKjzMhm2HJfxQ-qVlJlJQ25Hne1d0khsySbZyGtPA/edit?usp=sharing"",""ระนอง!J349"")"),0)</f>
        <v>0</v>
      </c>
      <c r="AA85" s="177">
        <f ca="1">IFERROR(__xludf.DUMMYFUNCTION("IMPORTRANGE(""https://docs.google.com/spreadsheets/d/1qfrKjzMhm2HJfxQ-qVlJlJQ25Hne1d0khsySbZyGtPA/edit?usp=sharing"",""ระนอง!J352"")"),183)</f>
        <v>183</v>
      </c>
      <c r="AB85" s="177">
        <f ca="1">IFERROR(__xludf.DUMMYFUNCTION("IMPORTRANGE(""https://docs.google.com/spreadsheets/d/1qfrKjzMhm2HJfxQ-qVlJlJQ25Hne1d0khsySbZyGtPA/edit?usp=sharing"",""ระนอง!J353"")"),981)</f>
        <v>981</v>
      </c>
    </row>
    <row r="86" spans="1:28" ht="24" customHeight="1" x14ac:dyDescent="0.3">
      <c r="A86" s="84">
        <v>12</v>
      </c>
      <c r="B86" s="85" t="s">
        <v>108</v>
      </c>
      <c r="C86" s="174">
        <f t="shared" ca="1" si="20"/>
        <v>106000</v>
      </c>
      <c r="D86" s="175">
        <f t="shared" ca="1" si="48"/>
        <v>106000</v>
      </c>
      <c r="E86" s="176">
        <f ca="1">IFERROR(__xludf.DUMMYFUNCTION("IMPORTRANGE(""https://docs.google.com/spreadsheets/d/1-uDff_7J0KD5mKrp0Vvzr7lt3OU09vwQwhkpOPPYv2Y/edit?usp=sharing"",""งบพรบ!ET86"")"),0)</f>
        <v>0</v>
      </c>
      <c r="F86" s="176">
        <f ca="1">IFERROR(__xludf.DUMMYFUNCTION("IMPORTRANGE(""https://docs.google.com/spreadsheets/d/1-uDff_7J0KD5mKrp0Vvzr7lt3OU09vwQwhkpOPPYv2Y/edit?usp=sharing"",""งบพรบ!EU86"")"),106000)</f>
        <v>106000</v>
      </c>
      <c r="G86" s="176">
        <f ca="1">IFERROR(__xludf.DUMMYFUNCTION("IMPORTRANGE(""https://docs.google.com/spreadsheets/d/1-uDff_7J0KD5mKrp0Vvzr7lt3OU09vwQwhkpOPPYv2Y/edit?usp=sharing"",""งบพรบ!EV86"")"),0)</f>
        <v>0</v>
      </c>
      <c r="H86" s="176">
        <f ca="1">IFERROR(__xludf.DUMMYFUNCTION("IMPORTRANGE(""https://docs.google.com/spreadsheets/d/1-uDff_7J0KD5mKrp0Vvzr7lt3OU09vwQwhkpOPPYv2Y/edit?usp=sharing"",""งบพรบ!EX86"")"),85750)</f>
        <v>85750</v>
      </c>
      <c r="I86" s="176">
        <f ca="1">IFERROR(__xludf.DUMMYFUNCTION("IMPORTRANGE(""https://docs.google.com/spreadsheets/d/1-uDff_7J0KD5mKrp0Vvzr7lt3OU09vwQwhkpOPPYv2Y/edit?usp=sharing"",""งบพรบ!EY86"")"),0)</f>
        <v>0</v>
      </c>
      <c r="J86" s="176">
        <f t="shared" ca="1" si="22"/>
        <v>35804</v>
      </c>
      <c r="K86" s="181">
        <f t="shared" ca="1" si="23"/>
        <v>33.777358490566037</v>
      </c>
      <c r="L86" s="176">
        <f ca="1">IFERROR(__xludf.DUMMYFUNCTION("IMPORTRANGE(""https://docs.google.com/spreadsheets/d/1-uDff_7J0KD5mKrp0Vvzr7lt3OU09vwQwhkpOPPYv2Y/edit?usp=sharing"",""งบพรบ!EZ86"")"),35804)</f>
        <v>35804</v>
      </c>
      <c r="M86" s="179">
        <f t="shared" ca="1" si="24"/>
        <v>33.777358490566037</v>
      </c>
      <c r="N86" s="179">
        <f t="shared" ca="1" si="25"/>
        <v>41.753935860058306</v>
      </c>
      <c r="O86" s="180">
        <f ca="1">IFERROR(__xludf.DUMMYFUNCTION("IMPORTRANGE(""https://docs.google.com/spreadsheets/d/1-uDff_7J0KD5mKrp0Vvzr7lt3OU09vwQwhkpOPPYv2Y/edit?usp=sharing"",""งบพรบ!FA86"")"),0)</f>
        <v>0</v>
      </c>
      <c r="P86" s="180">
        <f t="shared" ca="1" si="26"/>
        <v>0</v>
      </c>
      <c r="Q86" s="179">
        <f t="shared" ca="1" si="27"/>
        <v>0</v>
      </c>
      <c r="R86" s="344">
        <f ca="1">IFERROR(__xludf.DUMMYFUNCTION("IMPORTRANGE(""https://docs.google.com/spreadsheets/d/1IbSCnFOKpZsnFogBHJnL_isstZVaOMnFiIN0fGTPZZw/edit?usp=sharing"",""สงขลา!I344"")"),860)</f>
        <v>860</v>
      </c>
      <c r="S86" s="177">
        <f ca="1">IFERROR(__xludf.DUMMYFUNCTION("IMPORTRANGE(""https://docs.google.com/spreadsheets/d/1IbSCnFOKpZsnFogBHJnL_isstZVaOMnFiIN0fGTPZZw/edit?usp=sharing"",""สงขลา!J344"")"),379)</f>
        <v>379</v>
      </c>
      <c r="T86" s="345">
        <f t="shared" ca="1" si="29"/>
        <v>44.069767441860463</v>
      </c>
      <c r="U86" s="344">
        <f ca="1">IFERROR(__xludf.DUMMYFUNCTION("IMPORTRANGE(""https://docs.google.com/spreadsheets/d/1IbSCnFOKpZsnFogBHJnL_isstZVaOMnFiIN0fGTPZZw/edit?usp=sharing"",""สงขลา!I346"")"),3)</f>
        <v>3</v>
      </c>
      <c r="V86" s="177">
        <f ca="1">IFERROR(__xludf.DUMMYFUNCTION("IMPORTRANGE(""https://docs.google.com/spreadsheets/d/1IbSCnFOKpZsnFogBHJnL_isstZVaOMnFiIN0fGTPZZw/edit?usp=sharing"",""สงขลา!J346"")"),3)</f>
        <v>3</v>
      </c>
      <c r="W86" s="345">
        <f t="shared" ca="1" si="31"/>
        <v>100</v>
      </c>
      <c r="X86" s="177">
        <f ca="1">IFERROR(__xludf.DUMMYFUNCTION("IMPORTRANGE(""https://docs.google.com/spreadsheets/d/1IbSCnFOKpZsnFogBHJnL_isstZVaOMnFiIN0fGTPZZw/edit?usp=sharing"",""สงขลา!J347"")"),5)</f>
        <v>5</v>
      </c>
      <c r="Y86" s="177">
        <f ca="1">IFERROR(__xludf.DUMMYFUNCTION("IMPORTRANGE(""https://docs.google.com/spreadsheets/d/1IbSCnFOKpZsnFogBHJnL_isstZVaOMnFiIN0fGTPZZw/edit?usp=sharing"",""สงขลา!J348"")"),1)</f>
        <v>1</v>
      </c>
      <c r="Z86" s="177">
        <f ca="1">IFERROR(__xludf.DUMMYFUNCTION("IMPORTRANGE(""https://docs.google.com/spreadsheets/d/1IbSCnFOKpZsnFogBHJnL_isstZVaOMnFiIN0fGTPZZw/edit?usp=sharing"",""สงขลา!J349"")"),0)</f>
        <v>0</v>
      </c>
      <c r="AA86" s="177">
        <f ca="1">IFERROR(__xludf.DUMMYFUNCTION("IMPORTRANGE(""https://docs.google.com/spreadsheets/d/1IbSCnFOKpZsnFogBHJnL_isstZVaOMnFiIN0fGTPZZw/edit?usp=sharing"",""สงขลา!J352"")"),543)</f>
        <v>543</v>
      </c>
      <c r="AB86" s="177">
        <f ca="1">IFERROR(__xludf.DUMMYFUNCTION("IMPORTRANGE(""https://docs.google.com/spreadsheets/d/1IbSCnFOKpZsnFogBHJnL_isstZVaOMnFiIN0fGTPZZw/edit?usp=sharing"",""สงขลา!J353"")"),369)</f>
        <v>369</v>
      </c>
    </row>
    <row r="87" spans="1:28" ht="24" customHeight="1" x14ac:dyDescent="0.3">
      <c r="A87" s="84">
        <v>13</v>
      </c>
      <c r="B87" s="85" t="s">
        <v>109</v>
      </c>
      <c r="C87" s="174">
        <f t="shared" ca="1" si="20"/>
        <v>216600</v>
      </c>
      <c r="D87" s="175">
        <f t="shared" ca="1" si="48"/>
        <v>216600</v>
      </c>
      <c r="E87" s="176">
        <f ca="1">IFERROR(__xludf.DUMMYFUNCTION("IMPORTRANGE(""https://docs.google.com/spreadsheets/d/1-uDff_7J0KD5mKrp0Vvzr7lt3OU09vwQwhkpOPPYv2Y/edit?usp=sharing"",""งบพรบ!ET87"")"),117600)</f>
        <v>117600</v>
      </c>
      <c r="F87" s="176">
        <f ca="1">IFERROR(__xludf.DUMMYFUNCTION("IMPORTRANGE(""https://docs.google.com/spreadsheets/d/1-uDff_7J0KD5mKrp0Vvzr7lt3OU09vwQwhkpOPPYv2Y/edit?usp=sharing"",""งบพรบ!EU87"")"),99000)</f>
        <v>99000</v>
      </c>
      <c r="G87" s="176">
        <f ca="1">IFERROR(__xludf.DUMMYFUNCTION("IMPORTRANGE(""https://docs.google.com/spreadsheets/d/1-uDff_7J0KD5mKrp0Vvzr7lt3OU09vwQwhkpOPPYv2Y/edit?usp=sharing"",""งบพรบ!EV87"")"),0)</f>
        <v>0</v>
      </c>
      <c r="H87" s="176">
        <f ca="1">IFERROR(__xludf.DUMMYFUNCTION("IMPORTRANGE(""https://docs.google.com/spreadsheets/d/1-uDff_7J0KD5mKrp0Vvzr7lt3OU09vwQwhkpOPPYv2Y/edit?usp=sharing"",""งบพรบ!EX87"")"),163350)</f>
        <v>163350</v>
      </c>
      <c r="I87" s="176">
        <f ca="1">IFERROR(__xludf.DUMMYFUNCTION("IMPORTRANGE(""https://docs.google.com/spreadsheets/d/1-uDff_7J0KD5mKrp0Vvzr7lt3OU09vwQwhkpOPPYv2Y/edit?usp=sharing"",""งบพรบ!EY87"")"),0)</f>
        <v>0</v>
      </c>
      <c r="J87" s="176">
        <f t="shared" ca="1" si="22"/>
        <v>23112</v>
      </c>
      <c r="K87" s="181">
        <f t="shared" ca="1" si="23"/>
        <v>10.670360110803324</v>
      </c>
      <c r="L87" s="176">
        <f ca="1">IFERROR(__xludf.DUMMYFUNCTION("IMPORTRANGE(""https://docs.google.com/spreadsheets/d/1-uDff_7J0KD5mKrp0Vvzr7lt3OU09vwQwhkpOPPYv2Y/edit?usp=sharing"",""งบพรบ!EZ87"")"),23112)</f>
        <v>23112</v>
      </c>
      <c r="M87" s="179">
        <f t="shared" ca="1" si="24"/>
        <v>10.670360110803324</v>
      </c>
      <c r="N87" s="179">
        <f t="shared" ca="1" si="25"/>
        <v>14.148760330578513</v>
      </c>
      <c r="O87" s="180">
        <f ca="1">IFERROR(__xludf.DUMMYFUNCTION("IMPORTRANGE(""https://docs.google.com/spreadsheets/d/1-uDff_7J0KD5mKrp0Vvzr7lt3OU09vwQwhkpOPPYv2Y/edit?usp=sharing"",""งบพรบ!FA87"")"),0)</f>
        <v>0</v>
      </c>
      <c r="P87" s="180">
        <f t="shared" ca="1" si="26"/>
        <v>0</v>
      </c>
      <c r="Q87" s="179">
        <f t="shared" ca="1" si="27"/>
        <v>0</v>
      </c>
      <c r="R87" s="344">
        <f ca="1">IFERROR(__xludf.DUMMYFUNCTION("IMPORTRANGE(""https://docs.google.com/spreadsheets/d/1q9nWasZJ-K8bFGvbE9n0qSRuKGA4Toe3Y89cKCiVtCU/edit?usp=sharing"",""สตูล!I344"")"),140)</f>
        <v>140</v>
      </c>
      <c r="S87" s="177">
        <f ca="1">IFERROR(__xludf.DUMMYFUNCTION("IMPORTRANGE(""https://docs.google.com/spreadsheets/d/1q9nWasZJ-K8bFGvbE9n0qSRuKGA4Toe3Y89cKCiVtCU/edit?usp=sharing"",""สตูล!J344"")"),73)</f>
        <v>73</v>
      </c>
      <c r="T87" s="345">
        <f t="shared" ca="1" si="29"/>
        <v>52.142857142857146</v>
      </c>
      <c r="U87" s="344">
        <f ca="1">IFERROR(__xludf.DUMMYFUNCTION("IMPORTRANGE(""https://docs.google.com/spreadsheets/d/1q9nWasZJ-K8bFGvbE9n0qSRuKGA4Toe3Y89cKCiVtCU/edit?usp=sharing"",""สตูล!I346"")"),1)</f>
        <v>1</v>
      </c>
      <c r="V87" s="177">
        <f ca="1">IFERROR(__xludf.DUMMYFUNCTION("IMPORTRANGE(""https://docs.google.com/spreadsheets/d/1q9nWasZJ-K8bFGvbE9n0qSRuKGA4Toe3Y89cKCiVtCU/edit?usp=sharing"",""สตูล!J346"")"),2)</f>
        <v>2</v>
      </c>
      <c r="W87" s="345">
        <f t="shared" ca="1" si="31"/>
        <v>200</v>
      </c>
      <c r="X87" s="177">
        <f ca="1">IFERROR(__xludf.DUMMYFUNCTION("IMPORTRANGE(""https://docs.google.com/spreadsheets/d/1q9nWasZJ-K8bFGvbE9n0qSRuKGA4Toe3Y89cKCiVtCU/edit?usp=sharing"",""สตูล!J347"")"),107)</f>
        <v>107</v>
      </c>
      <c r="Y87" s="177">
        <f ca="1">IFERROR(__xludf.DUMMYFUNCTION("IMPORTRANGE(""https://docs.google.com/spreadsheets/d/1q9nWasZJ-K8bFGvbE9n0qSRuKGA4Toe3Y89cKCiVtCU/edit?usp=sharing"",""สตูล!J348"")"),0)</f>
        <v>0</v>
      </c>
      <c r="Z87" s="177">
        <f ca="1">IFERROR(__xludf.DUMMYFUNCTION("IMPORTRANGE(""https://docs.google.com/spreadsheets/d/1q9nWasZJ-K8bFGvbE9n0qSRuKGA4Toe3Y89cKCiVtCU/edit?usp=sharing"",""สตูล!J349"")"),0)</f>
        <v>0</v>
      </c>
      <c r="AA87" s="177">
        <f ca="1">IFERROR(__xludf.DUMMYFUNCTION("IMPORTRANGE(""https://docs.google.com/spreadsheets/d/1q9nWasZJ-K8bFGvbE9n0qSRuKGA4Toe3Y89cKCiVtCU/edit?usp=sharing"",""สตูล!J352"")"),34)</f>
        <v>34</v>
      </c>
      <c r="AB87" s="177">
        <f ca="1">IFERROR(__xludf.DUMMYFUNCTION("IMPORTRANGE(""https://docs.google.com/spreadsheets/d/1q9nWasZJ-K8bFGvbE9n0qSRuKGA4Toe3Y89cKCiVtCU/edit?usp=sharing"",""สตูล!J353"")"),165)</f>
        <v>165</v>
      </c>
    </row>
    <row r="88" spans="1:28" ht="24" customHeight="1" x14ac:dyDescent="0.3">
      <c r="A88" s="95">
        <v>14</v>
      </c>
      <c r="B88" s="96" t="s">
        <v>110</v>
      </c>
      <c r="C88" s="184">
        <f t="shared" ca="1" si="20"/>
        <v>113000</v>
      </c>
      <c r="D88" s="185">
        <f t="shared" ca="1" si="48"/>
        <v>113000</v>
      </c>
      <c r="E88" s="186">
        <f ca="1">IFERROR(__xludf.DUMMYFUNCTION("IMPORTRANGE(""https://docs.google.com/spreadsheets/d/1-uDff_7J0KD5mKrp0Vvzr7lt3OU09vwQwhkpOPPYv2Y/edit?usp=sharing"",""งบพรบ!ET88"")"),0)</f>
        <v>0</v>
      </c>
      <c r="F88" s="186">
        <f ca="1">IFERROR(__xludf.DUMMYFUNCTION("IMPORTRANGE(""https://docs.google.com/spreadsheets/d/1-uDff_7J0KD5mKrp0Vvzr7lt3OU09vwQwhkpOPPYv2Y/edit?usp=sharing"",""งบพรบ!EU88"")"),113000)</f>
        <v>113000</v>
      </c>
      <c r="G88" s="186">
        <f ca="1">IFERROR(__xludf.DUMMYFUNCTION("IMPORTRANGE(""https://docs.google.com/spreadsheets/d/1-uDff_7J0KD5mKrp0Vvzr7lt3OU09vwQwhkpOPPYv2Y/edit?usp=sharing"",""งบพรบ!EV88"")"),0)</f>
        <v>0</v>
      </c>
      <c r="H88" s="186">
        <f ca="1">IFERROR(__xludf.DUMMYFUNCTION("IMPORTRANGE(""https://docs.google.com/spreadsheets/d/1-uDff_7J0KD5mKrp0Vvzr7lt3OU09vwQwhkpOPPYv2Y/edit?usp=sharing"",""งบพรบ!EX88"")"),88150)</f>
        <v>88150</v>
      </c>
      <c r="I88" s="186">
        <f ca="1">IFERROR(__xludf.DUMMYFUNCTION("IMPORTRANGE(""https://docs.google.com/spreadsheets/d/1-uDff_7J0KD5mKrp0Vvzr7lt3OU09vwQwhkpOPPYv2Y/edit?usp=sharing"",""งบพรบ!EY88"")"),0)</f>
        <v>0</v>
      </c>
      <c r="J88" s="186">
        <f t="shared" ca="1" si="22"/>
        <v>31590</v>
      </c>
      <c r="K88" s="187">
        <f t="shared" ca="1" si="23"/>
        <v>27.955752212389381</v>
      </c>
      <c r="L88" s="186">
        <f ca="1">IFERROR(__xludf.DUMMYFUNCTION("IMPORTRANGE(""https://docs.google.com/spreadsheets/d/1-uDff_7J0KD5mKrp0Vvzr7lt3OU09vwQwhkpOPPYv2Y/edit?usp=sharing"",""งบพรบ!EZ88"")"),31590)</f>
        <v>31590</v>
      </c>
      <c r="M88" s="188">
        <f t="shared" ca="1" si="24"/>
        <v>27.955752212389381</v>
      </c>
      <c r="N88" s="188">
        <f t="shared" ca="1" si="25"/>
        <v>35.836642087351109</v>
      </c>
      <c r="O88" s="189">
        <f ca="1">IFERROR(__xludf.DUMMYFUNCTION("IMPORTRANGE(""https://docs.google.com/spreadsheets/d/1-uDff_7J0KD5mKrp0Vvzr7lt3OU09vwQwhkpOPPYv2Y/edit?usp=sharing"",""งบพรบ!FA88"")"),0)</f>
        <v>0</v>
      </c>
      <c r="P88" s="189">
        <f t="shared" ca="1" si="26"/>
        <v>0</v>
      </c>
      <c r="Q88" s="188">
        <f t="shared" ca="1" si="27"/>
        <v>0</v>
      </c>
      <c r="R88" s="347">
        <f ca="1">IFERROR(__xludf.DUMMYFUNCTION("IMPORTRANGE(""https://docs.google.com/spreadsheets/d/18T20gbkS_WBjdscyTOV05cvq_JqvqQ17C81mpxf7Ncs/edit?usp=sharing"",""สุราษฎร์ธานี!I344"")"),3200)</f>
        <v>3200</v>
      </c>
      <c r="S88" s="190">
        <f ca="1">IFERROR(__xludf.DUMMYFUNCTION("IMPORTRANGE(""https://docs.google.com/spreadsheets/d/18T20gbkS_WBjdscyTOV05cvq_JqvqQ17C81mpxf7Ncs/edit?usp=sharing"",""สุราษฎร์ธานี!J344"")"),3449)</f>
        <v>3449</v>
      </c>
      <c r="T88" s="348">
        <f t="shared" ca="1" si="29"/>
        <v>107.78125</v>
      </c>
      <c r="U88" s="347">
        <f ca="1">IFERROR(__xludf.DUMMYFUNCTION("IMPORTRANGE(""https://docs.google.com/spreadsheets/d/18T20gbkS_WBjdscyTOV05cvq_JqvqQ17C81mpxf7Ncs/edit?usp=sharing"",""สุราษฎร์ธานี!I346"")"),5)</f>
        <v>5</v>
      </c>
      <c r="V88" s="190">
        <f ca="1">IFERROR(__xludf.DUMMYFUNCTION("IMPORTRANGE(""https://docs.google.com/spreadsheets/d/18T20gbkS_WBjdscyTOV05cvq_JqvqQ17C81mpxf7Ncs/edit?usp=sharing"",""สุราษฎร์ธานี!J346"")"),0)</f>
        <v>0</v>
      </c>
      <c r="W88" s="348">
        <f t="shared" ca="1" si="31"/>
        <v>0</v>
      </c>
      <c r="X88" s="190">
        <f ca="1">IFERROR(__xludf.DUMMYFUNCTION("IMPORTRANGE(""https://docs.google.com/spreadsheets/d/18T20gbkS_WBjdscyTOV05cvq_JqvqQ17C81mpxf7Ncs/edit?usp=sharing"",""สุราษฎร์ธานี!J347"")"),0)</f>
        <v>0</v>
      </c>
      <c r="Y88" s="190">
        <f ca="1">IFERROR(__xludf.DUMMYFUNCTION("IMPORTRANGE(""https://docs.google.com/spreadsheets/d/18T20gbkS_WBjdscyTOV05cvq_JqvqQ17C81mpxf7Ncs/edit?usp=sharing"",""สุราษฎร์ธานี!J348"")"),2)</f>
        <v>2</v>
      </c>
      <c r="Z88" s="190">
        <f ca="1">IFERROR(__xludf.DUMMYFUNCTION("IMPORTRANGE(""https://docs.google.com/spreadsheets/d/18T20gbkS_WBjdscyTOV05cvq_JqvqQ17C81mpxf7Ncs/edit?usp=sharing"",""สุราษฎร์ธานี!J349"")"),2)</f>
        <v>2</v>
      </c>
      <c r="AA88" s="190">
        <f ca="1">IFERROR(__xludf.DUMMYFUNCTION("IMPORTRANGE(""https://docs.google.com/spreadsheets/d/18T20gbkS_WBjdscyTOV05cvq_JqvqQ17C81mpxf7Ncs/edit?usp=sharing"",""สุราษฎร์ธานี!J352"")"),1490)</f>
        <v>1490</v>
      </c>
      <c r="AB88" s="190">
        <f ca="1">IFERROR(__xludf.DUMMYFUNCTION("IMPORTRANGE(""https://docs.google.com/spreadsheets/d/18T20gbkS_WBjdscyTOV05cvq_JqvqQ17C81mpxf7Ncs/edit?usp=sharing"",""สุราษฎร์ธานี!J353"")"),1245)</f>
        <v>1245</v>
      </c>
    </row>
    <row r="89" spans="1:28" ht="21" customHeight="1" x14ac:dyDescent="0.3">
      <c r="A89" s="424" t="s">
        <v>111</v>
      </c>
      <c r="B89" s="422"/>
      <c r="C89" s="47">
        <f t="shared" ref="C89:Q89" ca="1" si="49">SUM(C90:C106)</f>
        <v>937400</v>
      </c>
      <c r="D89" s="46">
        <f t="shared" ca="1" si="49"/>
        <v>937400</v>
      </c>
      <c r="E89" s="46">
        <f t="shared" ca="1" si="49"/>
        <v>427400</v>
      </c>
      <c r="F89" s="46">
        <f t="shared" ca="1" si="49"/>
        <v>510000</v>
      </c>
      <c r="G89" s="46">
        <f t="shared" ca="1" si="49"/>
        <v>0</v>
      </c>
      <c r="H89" s="46">
        <f t="shared" ca="1" si="49"/>
        <v>1272900</v>
      </c>
      <c r="I89" s="46">
        <f t="shared" ca="1" si="49"/>
        <v>0</v>
      </c>
      <c r="J89" s="46">
        <f t="shared" ca="1" si="49"/>
        <v>44273.13</v>
      </c>
      <c r="K89" s="48">
        <f t="shared" ca="1" si="49"/>
        <v>3.8870495049504949</v>
      </c>
      <c r="L89" s="46">
        <f t="shared" ca="1" si="49"/>
        <v>44273.13</v>
      </c>
      <c r="M89" s="48">
        <f t="shared" ca="1" si="49"/>
        <v>3.8870495049504949</v>
      </c>
      <c r="N89" s="48">
        <f t="shared" ca="1" si="49"/>
        <v>10.256394775036284</v>
      </c>
      <c r="O89" s="46">
        <f t="shared" ca="1" si="49"/>
        <v>0</v>
      </c>
      <c r="P89" s="46">
        <f t="shared" ca="1" si="49"/>
        <v>0</v>
      </c>
      <c r="Q89" s="46">
        <f t="shared" ca="1" si="49"/>
        <v>0</v>
      </c>
      <c r="R89" s="46"/>
      <c r="S89" s="46"/>
      <c r="T89" s="49"/>
      <c r="U89" s="46"/>
      <c r="V89" s="46"/>
      <c r="W89" s="49"/>
      <c r="X89" s="46"/>
      <c r="Y89" s="46"/>
      <c r="Z89" s="46"/>
      <c r="AA89" s="46"/>
      <c r="AB89" s="46"/>
    </row>
    <row r="90" spans="1:28" ht="24" customHeight="1" x14ac:dyDescent="0.3">
      <c r="A90" s="192"/>
      <c r="B90" s="114" t="s">
        <v>112</v>
      </c>
      <c r="C90" s="193">
        <f t="shared" ref="C90:C106" ca="1" si="50">D90+G90</f>
        <v>0</v>
      </c>
      <c r="D90" s="194">
        <f t="shared" ref="D90:D106" ca="1" si="51">+E90+F90</f>
        <v>0</v>
      </c>
      <c r="E90" s="78">
        <f ca="1">IFERROR(__xludf.DUMMYFUNCTION("IMPORTRANGE(""https://docs.google.com/spreadsheets/d/1-uDff_7J0KD5mKrp0Vvzr7lt3OU09vwQwhkpOPPYv2Y/edit?usp=sharing"",""งบพรบ!ET90"")"),0)</f>
        <v>0</v>
      </c>
      <c r="F90" s="78">
        <f ca="1">IFERROR(__xludf.DUMMYFUNCTION("IMPORTRANGE(""https://docs.google.com/spreadsheets/d/1-uDff_7J0KD5mKrp0Vvzr7lt3OU09vwQwhkpOPPYv2Y/edit?usp=sharing"",""งบพรบ!EU90"")"),0)</f>
        <v>0</v>
      </c>
      <c r="G90" s="78">
        <f ca="1">IFERROR(__xludf.DUMMYFUNCTION("IMPORTRANGE(""https://docs.google.com/spreadsheets/d/1-uDff_7J0KD5mKrp0Vvzr7lt3OU09vwQwhkpOPPYv2Y/edit?usp=sharing"",""งบพรบ!EV90"")"),0)</f>
        <v>0</v>
      </c>
      <c r="H90" s="78">
        <f ca="1">IFERROR(__xludf.DUMMYFUNCTION("IMPORTRANGE(""https://docs.google.com/spreadsheets/d/1-uDff_7J0KD5mKrp0Vvzr7lt3OU09vwQwhkpOPPYv2Y/edit?usp=sharing"",""งบพรบ!EX90"")"),0)</f>
        <v>0</v>
      </c>
      <c r="I90" s="78">
        <f ca="1">IFERROR(__xludf.DUMMYFUNCTION("IMPORTRANGE(""https://docs.google.com/spreadsheets/d/1-uDff_7J0KD5mKrp0Vvzr7lt3OU09vwQwhkpOPPYv2Y/edit?usp=sharing"",""งบพรบ!EY90"")"),0)</f>
        <v>0</v>
      </c>
      <c r="J90" s="78">
        <f t="shared" ref="J90:J106" ca="1" si="52">L90+O90</f>
        <v>0</v>
      </c>
      <c r="K90" s="115">
        <f t="shared" ref="K90:K106" ca="1" si="53">IF(C90&gt;0,J90*100/C90,0)</f>
        <v>0</v>
      </c>
      <c r="L90" s="78">
        <f ca="1">IFERROR(__xludf.DUMMYFUNCTION("IMPORTRANGE(""https://docs.google.com/spreadsheets/d/1-uDff_7J0KD5mKrp0Vvzr7lt3OU09vwQwhkpOPPYv2Y/edit?usp=sharing"",""งบพรบ!EZ90"")"),0)</f>
        <v>0</v>
      </c>
      <c r="M90" s="81">
        <f t="shared" ref="M90:M106" ca="1" si="54">IF(D90&gt;0,L90*100/D90,0)</f>
        <v>0</v>
      </c>
      <c r="N90" s="81">
        <f t="shared" ref="N90:N106" ca="1" si="55">IF(H90&gt;0,L90*100/H90,0)</f>
        <v>0</v>
      </c>
      <c r="O90" s="82">
        <f ca="1">IFERROR(__xludf.DUMMYFUNCTION("IMPORTRANGE(""https://docs.google.com/spreadsheets/d/1-uDff_7J0KD5mKrp0Vvzr7lt3OU09vwQwhkpOPPYv2Y/edit?usp=sharing"",""งบพรบ!FA90"")"),0)</f>
        <v>0</v>
      </c>
      <c r="P90" s="82">
        <f t="shared" ref="P90:P106" ca="1" si="56">IF(G90&gt;0,O90*100/G90,0)</f>
        <v>0</v>
      </c>
      <c r="Q90" s="81">
        <f t="shared" ref="Q90:Q106" ca="1" si="57">IF(I90&gt;0,O90*100/I90,0)</f>
        <v>0</v>
      </c>
      <c r="R90" s="78"/>
      <c r="S90" s="78"/>
      <c r="T90" s="81"/>
      <c r="U90" s="78"/>
      <c r="V90" s="78"/>
      <c r="W90" s="81"/>
      <c r="X90" s="78"/>
      <c r="Y90" s="78"/>
      <c r="Z90" s="78"/>
      <c r="AA90" s="78"/>
      <c r="AB90" s="78"/>
    </row>
    <row r="91" spans="1:28" ht="24" customHeight="1" x14ac:dyDescent="0.3">
      <c r="A91" s="196"/>
      <c r="B91" s="117" t="s">
        <v>113</v>
      </c>
      <c r="C91" s="197">
        <f t="shared" ca="1" si="50"/>
        <v>0</v>
      </c>
      <c r="D91" s="198">
        <f t="shared" ca="1" si="51"/>
        <v>0</v>
      </c>
      <c r="E91" s="88">
        <f ca="1">IFERROR(__xludf.DUMMYFUNCTION("IMPORTRANGE(""https://docs.google.com/spreadsheets/d/1-uDff_7J0KD5mKrp0Vvzr7lt3OU09vwQwhkpOPPYv2Y/edit?usp=sharing"",""งบพรบ!ET91"")"),0)</f>
        <v>0</v>
      </c>
      <c r="F91" s="88">
        <f ca="1">IFERROR(__xludf.DUMMYFUNCTION("IMPORTRANGE(""https://docs.google.com/spreadsheets/d/1-uDff_7J0KD5mKrp0Vvzr7lt3OU09vwQwhkpOPPYv2Y/edit?usp=sharing"",""งบพรบ!EU91"")"),0)</f>
        <v>0</v>
      </c>
      <c r="G91" s="88">
        <f ca="1">IFERROR(__xludf.DUMMYFUNCTION("IMPORTRANGE(""https://docs.google.com/spreadsheets/d/1-uDff_7J0KD5mKrp0Vvzr7lt3OU09vwQwhkpOPPYv2Y/edit?usp=sharing"",""งบพรบ!EV91"")"),0)</f>
        <v>0</v>
      </c>
      <c r="H91" s="88">
        <f ca="1">IFERROR(__xludf.DUMMYFUNCTION("IMPORTRANGE(""https://docs.google.com/spreadsheets/d/1-uDff_7J0KD5mKrp0Vvzr7lt3OU09vwQwhkpOPPYv2Y/edit?usp=sharing"",""งบพรบ!EX91"")"),0)</f>
        <v>0</v>
      </c>
      <c r="I91" s="88">
        <f ca="1">IFERROR(__xludf.DUMMYFUNCTION("IMPORTRANGE(""https://docs.google.com/spreadsheets/d/1-uDff_7J0KD5mKrp0Vvzr7lt3OU09vwQwhkpOPPYv2Y/edit?usp=sharing"",""งบพรบ!EY91"")"),0)</f>
        <v>0</v>
      </c>
      <c r="J91" s="88">
        <f t="shared" ca="1" si="52"/>
        <v>0</v>
      </c>
      <c r="K91" s="89">
        <f t="shared" ca="1" si="53"/>
        <v>0</v>
      </c>
      <c r="L91" s="88">
        <f ca="1">IFERROR(__xludf.DUMMYFUNCTION("IMPORTRANGE(""https://docs.google.com/spreadsheets/d/1-uDff_7J0KD5mKrp0Vvzr7lt3OU09vwQwhkpOPPYv2Y/edit?usp=sharing"",""งบพรบ!EZ91"")"),0)</f>
        <v>0</v>
      </c>
      <c r="M91" s="90">
        <f t="shared" ca="1" si="54"/>
        <v>0</v>
      </c>
      <c r="N91" s="90">
        <f t="shared" ca="1" si="55"/>
        <v>0</v>
      </c>
      <c r="O91" s="91">
        <f ca="1">IFERROR(__xludf.DUMMYFUNCTION("IMPORTRANGE(""https://docs.google.com/spreadsheets/d/1-uDff_7J0KD5mKrp0Vvzr7lt3OU09vwQwhkpOPPYv2Y/edit?usp=sharing"",""งบพรบ!FA91"")"),0)</f>
        <v>0</v>
      </c>
      <c r="P91" s="91">
        <f t="shared" ca="1" si="56"/>
        <v>0</v>
      </c>
      <c r="Q91" s="90">
        <f t="shared" ca="1" si="57"/>
        <v>0</v>
      </c>
      <c r="R91" s="88"/>
      <c r="S91" s="88"/>
      <c r="T91" s="90"/>
      <c r="U91" s="88"/>
      <c r="V91" s="88"/>
      <c r="W91" s="90"/>
      <c r="X91" s="88"/>
      <c r="Y91" s="88"/>
      <c r="Z91" s="88"/>
      <c r="AA91" s="88"/>
      <c r="AB91" s="88"/>
    </row>
    <row r="92" spans="1:28" ht="24" customHeight="1" x14ac:dyDescent="0.3">
      <c r="A92" s="196"/>
      <c r="B92" s="117" t="s">
        <v>114</v>
      </c>
      <c r="C92" s="197">
        <f t="shared" ca="1" si="50"/>
        <v>0</v>
      </c>
      <c r="D92" s="198">
        <f t="shared" ca="1" si="51"/>
        <v>0</v>
      </c>
      <c r="E92" s="88">
        <f ca="1">IFERROR(__xludf.DUMMYFUNCTION("IMPORTRANGE(""https://docs.google.com/spreadsheets/d/1-uDff_7J0KD5mKrp0Vvzr7lt3OU09vwQwhkpOPPYv2Y/edit?usp=sharing"",""งบพรบ!ET92"")"),0)</f>
        <v>0</v>
      </c>
      <c r="F92" s="88">
        <f ca="1">IFERROR(__xludf.DUMMYFUNCTION("IMPORTRANGE(""https://docs.google.com/spreadsheets/d/1-uDff_7J0KD5mKrp0Vvzr7lt3OU09vwQwhkpOPPYv2Y/edit?usp=sharing"",""งบพรบ!EU92"")"),0)</f>
        <v>0</v>
      </c>
      <c r="G92" s="88">
        <f ca="1">IFERROR(__xludf.DUMMYFUNCTION("IMPORTRANGE(""https://docs.google.com/spreadsheets/d/1-uDff_7J0KD5mKrp0Vvzr7lt3OU09vwQwhkpOPPYv2Y/edit?usp=sharing"",""งบพรบ!EV92"")"),0)</f>
        <v>0</v>
      </c>
      <c r="H92" s="88">
        <f ca="1">IFERROR(__xludf.DUMMYFUNCTION("IMPORTRANGE(""https://docs.google.com/spreadsheets/d/1-uDff_7J0KD5mKrp0Vvzr7lt3OU09vwQwhkpOPPYv2Y/edit?usp=sharing"",""งบพรบ!EX92"")"),0)</f>
        <v>0</v>
      </c>
      <c r="I92" s="88">
        <f ca="1">IFERROR(__xludf.DUMMYFUNCTION("IMPORTRANGE(""https://docs.google.com/spreadsheets/d/1-uDff_7J0KD5mKrp0Vvzr7lt3OU09vwQwhkpOPPYv2Y/edit?usp=sharing"",""งบพรบ!EY92"")"),0)</f>
        <v>0</v>
      </c>
      <c r="J92" s="88">
        <f t="shared" ca="1" si="52"/>
        <v>0</v>
      </c>
      <c r="K92" s="89">
        <f t="shared" ca="1" si="53"/>
        <v>0</v>
      </c>
      <c r="L92" s="88">
        <f ca="1">IFERROR(__xludf.DUMMYFUNCTION("IMPORTRANGE(""https://docs.google.com/spreadsheets/d/1-uDff_7J0KD5mKrp0Vvzr7lt3OU09vwQwhkpOPPYv2Y/edit?usp=sharing"",""งบพรบ!EZ92"")"),0)</f>
        <v>0</v>
      </c>
      <c r="M92" s="90">
        <f t="shared" ca="1" si="54"/>
        <v>0</v>
      </c>
      <c r="N92" s="90">
        <f t="shared" ca="1" si="55"/>
        <v>0</v>
      </c>
      <c r="O92" s="91">
        <f ca="1">IFERROR(__xludf.DUMMYFUNCTION("IMPORTRANGE(""https://docs.google.com/spreadsheets/d/1-uDff_7J0KD5mKrp0Vvzr7lt3OU09vwQwhkpOPPYv2Y/edit?usp=sharing"",""งบพรบ!FA92"")"),0)</f>
        <v>0</v>
      </c>
      <c r="P92" s="91">
        <f t="shared" ca="1" si="56"/>
        <v>0</v>
      </c>
      <c r="Q92" s="90">
        <f t="shared" ca="1" si="57"/>
        <v>0</v>
      </c>
      <c r="R92" s="88"/>
      <c r="S92" s="88"/>
      <c r="T92" s="90"/>
      <c r="U92" s="88"/>
      <c r="V92" s="88"/>
      <c r="W92" s="90"/>
      <c r="X92" s="88"/>
      <c r="Y92" s="88"/>
      <c r="Z92" s="88"/>
      <c r="AA92" s="88"/>
      <c r="AB92" s="88"/>
    </row>
    <row r="93" spans="1:28" ht="24" customHeight="1" x14ac:dyDescent="0.3">
      <c r="A93" s="196"/>
      <c r="B93" s="117" t="s">
        <v>115</v>
      </c>
      <c r="C93" s="197">
        <f t="shared" ca="1" si="50"/>
        <v>0</v>
      </c>
      <c r="D93" s="198">
        <f t="shared" ca="1" si="51"/>
        <v>0</v>
      </c>
      <c r="E93" s="88">
        <f ca="1">IFERROR(__xludf.DUMMYFUNCTION("IMPORTRANGE(""https://docs.google.com/spreadsheets/d/1-uDff_7J0KD5mKrp0Vvzr7lt3OU09vwQwhkpOPPYv2Y/edit?usp=sharing"",""งบพรบ!ET93"")"),0)</f>
        <v>0</v>
      </c>
      <c r="F93" s="88">
        <f ca="1">IFERROR(__xludf.DUMMYFUNCTION("IMPORTRANGE(""https://docs.google.com/spreadsheets/d/1-uDff_7J0KD5mKrp0Vvzr7lt3OU09vwQwhkpOPPYv2Y/edit?usp=sharing"",""งบพรบ!EU93"")"),0)</f>
        <v>0</v>
      </c>
      <c r="G93" s="88">
        <f ca="1">IFERROR(__xludf.DUMMYFUNCTION("IMPORTRANGE(""https://docs.google.com/spreadsheets/d/1-uDff_7J0KD5mKrp0Vvzr7lt3OU09vwQwhkpOPPYv2Y/edit?usp=sharing"",""งบพรบ!EV93"")"),0)</f>
        <v>0</v>
      </c>
      <c r="H93" s="88">
        <f ca="1">IFERROR(__xludf.DUMMYFUNCTION("IMPORTRANGE(""https://docs.google.com/spreadsheets/d/1-uDff_7J0KD5mKrp0Vvzr7lt3OU09vwQwhkpOPPYv2Y/edit?usp=sharing"",""งบพรบ!EX93"")"),0)</f>
        <v>0</v>
      </c>
      <c r="I93" s="88">
        <f ca="1">IFERROR(__xludf.DUMMYFUNCTION("IMPORTRANGE(""https://docs.google.com/spreadsheets/d/1-uDff_7J0KD5mKrp0Vvzr7lt3OU09vwQwhkpOPPYv2Y/edit?usp=sharing"",""งบพรบ!EY93"")"),0)</f>
        <v>0</v>
      </c>
      <c r="J93" s="88">
        <f t="shared" ca="1" si="52"/>
        <v>8939.85</v>
      </c>
      <c r="K93" s="89">
        <f t="shared" ca="1" si="53"/>
        <v>0</v>
      </c>
      <c r="L93" s="88">
        <f ca="1">IFERROR(__xludf.DUMMYFUNCTION("IMPORTRANGE(""https://docs.google.com/spreadsheets/d/1-uDff_7J0KD5mKrp0Vvzr7lt3OU09vwQwhkpOPPYv2Y/edit?usp=sharing"",""งบพรบ!EZ93"")"),8939.85)</f>
        <v>8939.85</v>
      </c>
      <c r="M93" s="90">
        <f t="shared" ca="1" si="54"/>
        <v>0</v>
      </c>
      <c r="N93" s="90">
        <f t="shared" ca="1" si="55"/>
        <v>0</v>
      </c>
      <c r="O93" s="91">
        <f ca="1">IFERROR(__xludf.DUMMYFUNCTION("IMPORTRANGE(""https://docs.google.com/spreadsheets/d/1-uDff_7J0KD5mKrp0Vvzr7lt3OU09vwQwhkpOPPYv2Y/edit?usp=sharing"",""งบพรบ!FA93"")"),0)</f>
        <v>0</v>
      </c>
      <c r="P93" s="91">
        <f t="shared" ca="1" si="56"/>
        <v>0</v>
      </c>
      <c r="Q93" s="90">
        <f t="shared" ca="1" si="57"/>
        <v>0</v>
      </c>
      <c r="R93" s="88"/>
      <c r="S93" s="88"/>
      <c r="T93" s="90"/>
      <c r="U93" s="88"/>
      <c r="V93" s="88"/>
      <c r="W93" s="90"/>
      <c r="X93" s="88"/>
      <c r="Y93" s="88"/>
      <c r="Z93" s="88"/>
      <c r="AA93" s="88"/>
      <c r="AB93" s="88"/>
    </row>
    <row r="94" spans="1:28" ht="24" customHeight="1" x14ac:dyDescent="0.3">
      <c r="A94" s="196"/>
      <c r="B94" s="117" t="s">
        <v>116</v>
      </c>
      <c r="C94" s="197">
        <f t="shared" ca="1" si="50"/>
        <v>0</v>
      </c>
      <c r="D94" s="198">
        <f t="shared" ca="1" si="51"/>
        <v>0</v>
      </c>
      <c r="E94" s="88">
        <f ca="1">IFERROR(__xludf.DUMMYFUNCTION("IMPORTRANGE(""https://docs.google.com/spreadsheets/d/1-uDff_7J0KD5mKrp0Vvzr7lt3OU09vwQwhkpOPPYv2Y/edit?usp=sharing"",""งบพรบ!ET94"")"),0)</f>
        <v>0</v>
      </c>
      <c r="F94" s="88">
        <f ca="1">IFERROR(__xludf.DUMMYFUNCTION("IMPORTRANGE(""https://docs.google.com/spreadsheets/d/1-uDff_7J0KD5mKrp0Vvzr7lt3OU09vwQwhkpOPPYv2Y/edit?usp=sharing"",""งบพรบ!EU94"")"),0)</f>
        <v>0</v>
      </c>
      <c r="G94" s="88">
        <f ca="1">IFERROR(__xludf.DUMMYFUNCTION("IMPORTRANGE(""https://docs.google.com/spreadsheets/d/1-uDff_7J0KD5mKrp0Vvzr7lt3OU09vwQwhkpOPPYv2Y/edit?usp=sharing"",""งบพรบ!EV94"")"),0)</f>
        <v>0</v>
      </c>
      <c r="H94" s="88">
        <f ca="1">IFERROR(__xludf.DUMMYFUNCTION("IMPORTRANGE(""https://docs.google.com/spreadsheets/d/1-uDff_7J0KD5mKrp0Vvzr7lt3OU09vwQwhkpOPPYv2Y/edit?usp=sharing"",""งบพรบ!EX94"")"),0)</f>
        <v>0</v>
      </c>
      <c r="I94" s="88">
        <f ca="1">IFERROR(__xludf.DUMMYFUNCTION("IMPORTRANGE(""https://docs.google.com/spreadsheets/d/1-uDff_7J0KD5mKrp0Vvzr7lt3OU09vwQwhkpOPPYv2Y/edit?usp=sharing"",""งบพรบ!EY94"")"),0)</f>
        <v>0</v>
      </c>
      <c r="J94" s="88">
        <f t="shared" ca="1" si="52"/>
        <v>0</v>
      </c>
      <c r="K94" s="89">
        <f t="shared" ca="1" si="53"/>
        <v>0</v>
      </c>
      <c r="L94" s="88">
        <f ca="1">IFERROR(__xludf.DUMMYFUNCTION("IMPORTRANGE(""https://docs.google.com/spreadsheets/d/1-uDff_7J0KD5mKrp0Vvzr7lt3OU09vwQwhkpOPPYv2Y/edit?usp=sharing"",""งบพรบ!EZ94"")"),0)</f>
        <v>0</v>
      </c>
      <c r="M94" s="90">
        <f t="shared" ca="1" si="54"/>
        <v>0</v>
      </c>
      <c r="N94" s="90">
        <f t="shared" ca="1" si="55"/>
        <v>0</v>
      </c>
      <c r="O94" s="91">
        <f ca="1">IFERROR(__xludf.DUMMYFUNCTION("IMPORTRANGE(""https://docs.google.com/spreadsheets/d/1-uDff_7J0KD5mKrp0Vvzr7lt3OU09vwQwhkpOPPYv2Y/edit?usp=sharing"",""งบพรบ!FA94"")"),0)</f>
        <v>0</v>
      </c>
      <c r="P94" s="91">
        <f t="shared" ca="1" si="56"/>
        <v>0</v>
      </c>
      <c r="Q94" s="90">
        <f t="shared" ca="1" si="57"/>
        <v>0</v>
      </c>
      <c r="R94" s="88"/>
      <c r="S94" s="88"/>
      <c r="T94" s="90"/>
      <c r="U94" s="88"/>
      <c r="V94" s="88"/>
      <c r="W94" s="90"/>
      <c r="X94" s="88"/>
      <c r="Y94" s="88"/>
      <c r="Z94" s="88"/>
      <c r="AA94" s="88"/>
      <c r="AB94" s="88"/>
    </row>
    <row r="95" spans="1:28" ht="24" customHeight="1" x14ac:dyDescent="0.3">
      <c r="A95" s="196"/>
      <c r="B95" s="117" t="s">
        <v>117</v>
      </c>
      <c r="C95" s="197">
        <f t="shared" ca="1" si="50"/>
        <v>0</v>
      </c>
      <c r="D95" s="198">
        <f t="shared" ca="1" si="51"/>
        <v>0</v>
      </c>
      <c r="E95" s="88">
        <f ca="1">IFERROR(__xludf.DUMMYFUNCTION("IMPORTRANGE(""https://docs.google.com/spreadsheets/d/1-uDff_7J0KD5mKrp0Vvzr7lt3OU09vwQwhkpOPPYv2Y/edit?usp=sharing"",""งบพรบ!ET95"")"),0)</f>
        <v>0</v>
      </c>
      <c r="F95" s="88">
        <f ca="1">IFERROR(__xludf.DUMMYFUNCTION("IMPORTRANGE(""https://docs.google.com/spreadsheets/d/1-uDff_7J0KD5mKrp0Vvzr7lt3OU09vwQwhkpOPPYv2Y/edit?usp=sharing"",""งบพรบ!EU95"")"),0)</f>
        <v>0</v>
      </c>
      <c r="G95" s="88">
        <f ca="1">IFERROR(__xludf.DUMMYFUNCTION("IMPORTRANGE(""https://docs.google.com/spreadsheets/d/1-uDff_7J0KD5mKrp0Vvzr7lt3OU09vwQwhkpOPPYv2Y/edit?usp=sharing"",""งบพรบ!EV95"")"),0)</f>
        <v>0</v>
      </c>
      <c r="H95" s="88">
        <f ca="1">IFERROR(__xludf.DUMMYFUNCTION("IMPORTRANGE(""https://docs.google.com/spreadsheets/d/1-uDff_7J0KD5mKrp0Vvzr7lt3OU09vwQwhkpOPPYv2Y/edit?usp=sharing"",""งบพรบ!EX95"")"),0)</f>
        <v>0</v>
      </c>
      <c r="I95" s="88">
        <f ca="1">IFERROR(__xludf.DUMMYFUNCTION("IMPORTRANGE(""https://docs.google.com/spreadsheets/d/1-uDff_7J0KD5mKrp0Vvzr7lt3OU09vwQwhkpOPPYv2Y/edit?usp=sharing"",""งบพรบ!EY95"")"),0)</f>
        <v>0</v>
      </c>
      <c r="J95" s="88">
        <f t="shared" ca="1" si="52"/>
        <v>0</v>
      </c>
      <c r="K95" s="89">
        <f t="shared" ca="1" si="53"/>
        <v>0</v>
      </c>
      <c r="L95" s="88">
        <f ca="1">IFERROR(__xludf.DUMMYFUNCTION("IMPORTRANGE(""https://docs.google.com/spreadsheets/d/1-uDff_7J0KD5mKrp0Vvzr7lt3OU09vwQwhkpOPPYv2Y/edit?usp=sharing"",""งบพรบ!EZ95"")"),0)</f>
        <v>0</v>
      </c>
      <c r="M95" s="90">
        <f t="shared" ca="1" si="54"/>
        <v>0</v>
      </c>
      <c r="N95" s="90">
        <f t="shared" ca="1" si="55"/>
        <v>0</v>
      </c>
      <c r="O95" s="91">
        <f ca="1">IFERROR(__xludf.DUMMYFUNCTION("IMPORTRANGE(""https://docs.google.com/spreadsheets/d/1-uDff_7J0KD5mKrp0Vvzr7lt3OU09vwQwhkpOPPYv2Y/edit?usp=sharing"",""งบพรบ!FA95"")"),0)</f>
        <v>0</v>
      </c>
      <c r="P95" s="91">
        <f t="shared" ca="1" si="56"/>
        <v>0</v>
      </c>
      <c r="Q95" s="90">
        <f t="shared" ca="1" si="57"/>
        <v>0</v>
      </c>
      <c r="R95" s="88"/>
      <c r="S95" s="88"/>
      <c r="T95" s="90"/>
      <c r="U95" s="88"/>
      <c r="V95" s="88"/>
      <c r="W95" s="90"/>
      <c r="X95" s="88"/>
      <c r="Y95" s="88"/>
      <c r="Z95" s="88"/>
      <c r="AA95" s="88"/>
      <c r="AB95" s="88"/>
    </row>
    <row r="96" spans="1:28" ht="24" customHeight="1" x14ac:dyDescent="0.3">
      <c r="A96" s="196"/>
      <c r="B96" s="117" t="s">
        <v>118</v>
      </c>
      <c r="C96" s="197">
        <f t="shared" ca="1" si="50"/>
        <v>909000</v>
      </c>
      <c r="D96" s="198">
        <f t="shared" ca="1" si="51"/>
        <v>909000</v>
      </c>
      <c r="E96" s="88">
        <f ca="1">IFERROR(__xludf.DUMMYFUNCTION("IMPORTRANGE(""https://docs.google.com/spreadsheets/d/1-uDff_7J0KD5mKrp0Vvzr7lt3OU09vwQwhkpOPPYv2Y/edit?usp=sharing"",""งบพรบ!ET96"")"),399000)</f>
        <v>399000</v>
      </c>
      <c r="F96" s="88">
        <f ca="1">IFERROR(__xludf.DUMMYFUNCTION("IMPORTRANGE(""https://docs.google.com/spreadsheets/d/1-uDff_7J0KD5mKrp0Vvzr7lt3OU09vwQwhkpOPPYv2Y/edit?usp=sharing"",""งบพรบ!EU96"")"),510000)</f>
        <v>510000</v>
      </c>
      <c r="G96" s="88">
        <f ca="1">IFERROR(__xludf.DUMMYFUNCTION("IMPORTRANGE(""https://docs.google.com/spreadsheets/d/1-uDff_7J0KD5mKrp0Vvzr7lt3OU09vwQwhkpOPPYv2Y/edit?usp=sharing"",""งบพรบ!EV96"")"),0)</f>
        <v>0</v>
      </c>
      <c r="H96" s="88">
        <f ca="1">IFERROR(__xludf.DUMMYFUNCTION("IMPORTRANGE(""https://docs.google.com/spreadsheets/d/1-uDff_7J0KD5mKrp0Vvzr7lt3OU09vwQwhkpOPPYv2Y/edit?usp=sharing"",""งบพรบ!EX96"")"),344500)</f>
        <v>344500</v>
      </c>
      <c r="I96" s="88">
        <f ca="1">IFERROR(__xludf.DUMMYFUNCTION("IMPORTRANGE(""https://docs.google.com/spreadsheets/d/1-uDff_7J0KD5mKrp0Vvzr7lt3OU09vwQwhkpOPPYv2Y/edit?usp=sharing"",""งบพรบ!EY96"")"),0)</f>
        <v>0</v>
      </c>
      <c r="J96" s="88">
        <f t="shared" ca="1" si="52"/>
        <v>35333.279999999999</v>
      </c>
      <c r="K96" s="89">
        <f t="shared" ca="1" si="53"/>
        <v>3.8870495049504949</v>
      </c>
      <c r="L96" s="88">
        <f ca="1">IFERROR(__xludf.DUMMYFUNCTION("IMPORTRANGE(""https://docs.google.com/spreadsheets/d/1-uDff_7J0KD5mKrp0Vvzr7lt3OU09vwQwhkpOPPYv2Y/edit?usp=sharing"",""งบพรบ!EZ96"")"),35333.28)</f>
        <v>35333.279999999999</v>
      </c>
      <c r="M96" s="90">
        <f t="shared" ca="1" si="54"/>
        <v>3.8870495049504949</v>
      </c>
      <c r="N96" s="90">
        <f t="shared" ca="1" si="55"/>
        <v>10.256394775036284</v>
      </c>
      <c r="O96" s="91">
        <f ca="1">IFERROR(__xludf.DUMMYFUNCTION("IMPORTRANGE(""https://docs.google.com/spreadsheets/d/1-uDff_7J0KD5mKrp0Vvzr7lt3OU09vwQwhkpOPPYv2Y/edit?usp=sharing"",""งบพรบ!FA96"")"),0)</f>
        <v>0</v>
      </c>
      <c r="P96" s="91">
        <f t="shared" ca="1" si="56"/>
        <v>0</v>
      </c>
      <c r="Q96" s="90">
        <f t="shared" ca="1" si="57"/>
        <v>0</v>
      </c>
      <c r="R96" s="88"/>
      <c r="S96" s="88"/>
      <c r="T96" s="90"/>
      <c r="U96" s="88"/>
      <c r="V96" s="88"/>
      <c r="W96" s="90"/>
      <c r="X96" s="88"/>
      <c r="Y96" s="88"/>
      <c r="Z96" s="88"/>
      <c r="AA96" s="88"/>
      <c r="AB96" s="88"/>
    </row>
    <row r="97" spans="1:28" ht="24" customHeight="1" x14ac:dyDescent="0.3">
      <c r="A97" s="196"/>
      <c r="B97" s="117" t="s">
        <v>119</v>
      </c>
      <c r="C97" s="197">
        <f t="shared" ca="1" si="50"/>
        <v>0</v>
      </c>
      <c r="D97" s="198">
        <f t="shared" ca="1" si="51"/>
        <v>0</v>
      </c>
      <c r="E97" s="88">
        <f ca="1">IFERROR(__xludf.DUMMYFUNCTION("IMPORTRANGE(""https://docs.google.com/spreadsheets/d/1-uDff_7J0KD5mKrp0Vvzr7lt3OU09vwQwhkpOPPYv2Y/edit?usp=sharing"",""งบพรบ!ET97"")"),0)</f>
        <v>0</v>
      </c>
      <c r="F97" s="88">
        <f ca="1">IFERROR(__xludf.DUMMYFUNCTION("IMPORTRANGE(""https://docs.google.com/spreadsheets/d/1-uDff_7J0KD5mKrp0Vvzr7lt3OU09vwQwhkpOPPYv2Y/edit?usp=sharing"",""งบพรบ!EU97"")"),0)</f>
        <v>0</v>
      </c>
      <c r="G97" s="88">
        <f ca="1">IFERROR(__xludf.DUMMYFUNCTION("IMPORTRANGE(""https://docs.google.com/spreadsheets/d/1-uDff_7J0KD5mKrp0Vvzr7lt3OU09vwQwhkpOPPYv2Y/edit?usp=sharing"",""งบพรบ!EV97"")"),0)</f>
        <v>0</v>
      </c>
      <c r="H97" s="88">
        <f ca="1">IFERROR(__xludf.DUMMYFUNCTION("IMPORTRANGE(""https://docs.google.com/spreadsheets/d/1-uDff_7J0KD5mKrp0Vvzr7lt3OU09vwQwhkpOPPYv2Y/edit?usp=sharing"",""งบพรบ!EX97"")"),0)</f>
        <v>0</v>
      </c>
      <c r="I97" s="88">
        <f ca="1">IFERROR(__xludf.DUMMYFUNCTION("IMPORTRANGE(""https://docs.google.com/spreadsheets/d/1-uDff_7J0KD5mKrp0Vvzr7lt3OU09vwQwhkpOPPYv2Y/edit?usp=sharing"",""งบพรบ!EY97"")"),0)</f>
        <v>0</v>
      </c>
      <c r="J97" s="88">
        <f t="shared" ca="1" si="52"/>
        <v>0</v>
      </c>
      <c r="K97" s="89">
        <f t="shared" ca="1" si="53"/>
        <v>0</v>
      </c>
      <c r="L97" s="88">
        <f ca="1">IFERROR(__xludf.DUMMYFUNCTION("IMPORTRANGE(""https://docs.google.com/spreadsheets/d/1-uDff_7J0KD5mKrp0Vvzr7lt3OU09vwQwhkpOPPYv2Y/edit?usp=sharing"",""งบพรบ!EZ97"")"),0)</f>
        <v>0</v>
      </c>
      <c r="M97" s="90">
        <f t="shared" ca="1" si="54"/>
        <v>0</v>
      </c>
      <c r="N97" s="90">
        <f t="shared" ca="1" si="55"/>
        <v>0</v>
      </c>
      <c r="O97" s="91">
        <f ca="1">IFERROR(__xludf.DUMMYFUNCTION("IMPORTRANGE(""https://docs.google.com/spreadsheets/d/1-uDff_7J0KD5mKrp0Vvzr7lt3OU09vwQwhkpOPPYv2Y/edit?usp=sharing"",""งบพรบ!FA97"")"),0)</f>
        <v>0</v>
      </c>
      <c r="P97" s="91">
        <f t="shared" ca="1" si="56"/>
        <v>0</v>
      </c>
      <c r="Q97" s="90">
        <f t="shared" ca="1" si="57"/>
        <v>0</v>
      </c>
      <c r="R97" s="88"/>
      <c r="S97" s="88"/>
      <c r="T97" s="90"/>
      <c r="U97" s="88"/>
      <c r="V97" s="88"/>
      <c r="W97" s="90"/>
      <c r="X97" s="88"/>
      <c r="Y97" s="88"/>
      <c r="Z97" s="88"/>
      <c r="AA97" s="88"/>
      <c r="AB97" s="88"/>
    </row>
    <row r="98" spans="1:28" ht="24" customHeight="1" x14ac:dyDescent="0.3">
      <c r="A98" s="196"/>
      <c r="B98" s="117" t="s">
        <v>120</v>
      </c>
      <c r="C98" s="197">
        <f t="shared" ca="1" si="50"/>
        <v>0</v>
      </c>
      <c r="D98" s="198">
        <f t="shared" ca="1" si="51"/>
        <v>0</v>
      </c>
      <c r="E98" s="88">
        <f ca="1">IFERROR(__xludf.DUMMYFUNCTION("IMPORTRANGE(""https://docs.google.com/spreadsheets/d/1-uDff_7J0KD5mKrp0Vvzr7lt3OU09vwQwhkpOPPYv2Y/edit?usp=sharing"",""งบพรบ!ET98"")"),0)</f>
        <v>0</v>
      </c>
      <c r="F98" s="88">
        <f ca="1">IFERROR(__xludf.DUMMYFUNCTION("IMPORTRANGE(""https://docs.google.com/spreadsheets/d/1-uDff_7J0KD5mKrp0Vvzr7lt3OU09vwQwhkpOPPYv2Y/edit?usp=sharing"",""งบพรบ!EU98"")"),0)</f>
        <v>0</v>
      </c>
      <c r="G98" s="88">
        <f ca="1">IFERROR(__xludf.DUMMYFUNCTION("IMPORTRANGE(""https://docs.google.com/spreadsheets/d/1-uDff_7J0KD5mKrp0Vvzr7lt3OU09vwQwhkpOPPYv2Y/edit?usp=sharing"",""งบพรบ!EV98"")"),0)</f>
        <v>0</v>
      </c>
      <c r="H98" s="88">
        <f ca="1">IFERROR(__xludf.DUMMYFUNCTION("IMPORTRANGE(""https://docs.google.com/spreadsheets/d/1-uDff_7J0KD5mKrp0Vvzr7lt3OU09vwQwhkpOPPYv2Y/edit?usp=sharing"",""งบพรบ!EX98"")"),0)</f>
        <v>0</v>
      </c>
      <c r="I98" s="88">
        <f ca="1">IFERROR(__xludf.DUMMYFUNCTION("IMPORTRANGE(""https://docs.google.com/spreadsheets/d/1-uDff_7J0KD5mKrp0Vvzr7lt3OU09vwQwhkpOPPYv2Y/edit?usp=sharing"",""งบพรบ!EY98"")"),0)</f>
        <v>0</v>
      </c>
      <c r="J98" s="88">
        <f t="shared" ca="1" si="52"/>
        <v>0</v>
      </c>
      <c r="K98" s="89">
        <f t="shared" ca="1" si="53"/>
        <v>0</v>
      </c>
      <c r="L98" s="88">
        <f ca="1">IFERROR(__xludf.DUMMYFUNCTION("IMPORTRANGE(""https://docs.google.com/spreadsheets/d/1-uDff_7J0KD5mKrp0Vvzr7lt3OU09vwQwhkpOPPYv2Y/edit?usp=sharing"",""งบพรบ!EZ98"")"),0)</f>
        <v>0</v>
      </c>
      <c r="M98" s="90">
        <f t="shared" ca="1" si="54"/>
        <v>0</v>
      </c>
      <c r="N98" s="90">
        <f t="shared" ca="1" si="55"/>
        <v>0</v>
      </c>
      <c r="O98" s="91">
        <f ca="1">IFERROR(__xludf.DUMMYFUNCTION("IMPORTRANGE(""https://docs.google.com/spreadsheets/d/1-uDff_7J0KD5mKrp0Vvzr7lt3OU09vwQwhkpOPPYv2Y/edit?usp=sharing"",""งบพรบ!FA98"")"),0)</f>
        <v>0</v>
      </c>
      <c r="P98" s="91">
        <f t="shared" ca="1" si="56"/>
        <v>0</v>
      </c>
      <c r="Q98" s="90">
        <f t="shared" ca="1" si="57"/>
        <v>0</v>
      </c>
      <c r="R98" s="88"/>
      <c r="S98" s="88"/>
      <c r="T98" s="90"/>
      <c r="U98" s="88"/>
      <c r="V98" s="88"/>
      <c r="W98" s="90"/>
      <c r="X98" s="88"/>
      <c r="Y98" s="88"/>
      <c r="Z98" s="88"/>
      <c r="AA98" s="88"/>
      <c r="AB98" s="88"/>
    </row>
    <row r="99" spans="1:28" ht="24" customHeight="1" x14ac:dyDescent="0.3">
      <c r="A99" s="196"/>
      <c r="B99" s="117" t="s">
        <v>121</v>
      </c>
      <c r="C99" s="197">
        <f t="shared" ca="1" si="50"/>
        <v>0</v>
      </c>
      <c r="D99" s="198">
        <f t="shared" ca="1" si="51"/>
        <v>0</v>
      </c>
      <c r="E99" s="88">
        <f ca="1">IFERROR(__xludf.DUMMYFUNCTION("IMPORTRANGE(""https://docs.google.com/spreadsheets/d/1-uDff_7J0KD5mKrp0Vvzr7lt3OU09vwQwhkpOPPYv2Y/edit?usp=sharing"",""งบพรบ!ET99"")"),0)</f>
        <v>0</v>
      </c>
      <c r="F99" s="88">
        <f ca="1">IFERROR(__xludf.DUMMYFUNCTION("IMPORTRANGE(""https://docs.google.com/spreadsheets/d/1-uDff_7J0KD5mKrp0Vvzr7lt3OU09vwQwhkpOPPYv2Y/edit?usp=sharing"",""งบพรบ!EU99"")"),0)</f>
        <v>0</v>
      </c>
      <c r="G99" s="88">
        <f ca="1">IFERROR(__xludf.DUMMYFUNCTION("IMPORTRANGE(""https://docs.google.com/spreadsheets/d/1-uDff_7J0KD5mKrp0Vvzr7lt3OU09vwQwhkpOPPYv2Y/edit?usp=sharing"",""งบพรบ!EV99"")"),0)</f>
        <v>0</v>
      </c>
      <c r="H99" s="88">
        <f ca="1">IFERROR(__xludf.DUMMYFUNCTION("IMPORTRANGE(""https://docs.google.com/spreadsheets/d/1-uDff_7J0KD5mKrp0Vvzr7lt3OU09vwQwhkpOPPYv2Y/edit?usp=sharing"",""งบพรบ!EX99"")"),0)</f>
        <v>0</v>
      </c>
      <c r="I99" s="88">
        <f ca="1">IFERROR(__xludf.DUMMYFUNCTION("IMPORTRANGE(""https://docs.google.com/spreadsheets/d/1-uDff_7J0KD5mKrp0Vvzr7lt3OU09vwQwhkpOPPYv2Y/edit?usp=sharing"",""งบพรบ!EY99"")"),0)</f>
        <v>0</v>
      </c>
      <c r="J99" s="88">
        <f t="shared" ca="1" si="52"/>
        <v>0</v>
      </c>
      <c r="K99" s="89">
        <f t="shared" ca="1" si="53"/>
        <v>0</v>
      </c>
      <c r="L99" s="88">
        <f ca="1">IFERROR(__xludf.DUMMYFUNCTION("IMPORTRANGE(""https://docs.google.com/spreadsheets/d/1-uDff_7J0KD5mKrp0Vvzr7lt3OU09vwQwhkpOPPYv2Y/edit?usp=sharing"",""งบพรบ!EZ99"")"),0)</f>
        <v>0</v>
      </c>
      <c r="M99" s="90">
        <f t="shared" ca="1" si="54"/>
        <v>0</v>
      </c>
      <c r="N99" s="90">
        <f t="shared" ca="1" si="55"/>
        <v>0</v>
      </c>
      <c r="O99" s="91">
        <f ca="1">IFERROR(__xludf.DUMMYFUNCTION("IMPORTRANGE(""https://docs.google.com/spreadsheets/d/1-uDff_7J0KD5mKrp0Vvzr7lt3OU09vwQwhkpOPPYv2Y/edit?usp=sharing"",""งบพรบ!FA99"")"),0)</f>
        <v>0</v>
      </c>
      <c r="P99" s="91">
        <f t="shared" ca="1" si="56"/>
        <v>0</v>
      </c>
      <c r="Q99" s="90">
        <f t="shared" ca="1" si="57"/>
        <v>0</v>
      </c>
      <c r="R99" s="88"/>
      <c r="S99" s="88"/>
      <c r="T99" s="90"/>
      <c r="U99" s="88"/>
      <c r="V99" s="88"/>
      <c r="W99" s="90"/>
      <c r="X99" s="88"/>
      <c r="Y99" s="88"/>
      <c r="Z99" s="88"/>
      <c r="AA99" s="88"/>
      <c r="AB99" s="88"/>
    </row>
    <row r="100" spans="1:28" ht="24" customHeight="1" x14ac:dyDescent="0.3">
      <c r="A100" s="196"/>
      <c r="B100" s="117" t="s">
        <v>122</v>
      </c>
      <c r="C100" s="197">
        <f t="shared" ca="1" si="50"/>
        <v>0</v>
      </c>
      <c r="D100" s="198">
        <f t="shared" ca="1" si="51"/>
        <v>0</v>
      </c>
      <c r="E100" s="88">
        <f ca="1">IFERROR(__xludf.DUMMYFUNCTION("IMPORTRANGE(""https://docs.google.com/spreadsheets/d/1-uDff_7J0KD5mKrp0Vvzr7lt3OU09vwQwhkpOPPYv2Y/edit?usp=sharing"",""งบพรบ!ET100"")"),0)</f>
        <v>0</v>
      </c>
      <c r="F100" s="88">
        <f ca="1">IFERROR(__xludf.DUMMYFUNCTION("IMPORTRANGE(""https://docs.google.com/spreadsheets/d/1-uDff_7J0KD5mKrp0Vvzr7lt3OU09vwQwhkpOPPYv2Y/edit?usp=sharing"",""งบพรบ!EU100"")"),0)</f>
        <v>0</v>
      </c>
      <c r="G100" s="88">
        <f ca="1">IFERROR(__xludf.DUMMYFUNCTION("IMPORTRANGE(""https://docs.google.com/spreadsheets/d/1-uDff_7J0KD5mKrp0Vvzr7lt3OU09vwQwhkpOPPYv2Y/edit?usp=sharing"",""งบพรบ!EV100"")"),0)</f>
        <v>0</v>
      </c>
      <c r="H100" s="88">
        <f ca="1">IFERROR(__xludf.DUMMYFUNCTION("IMPORTRANGE(""https://docs.google.com/spreadsheets/d/1-uDff_7J0KD5mKrp0Vvzr7lt3OU09vwQwhkpOPPYv2Y/edit?usp=sharing"",""งบพรบ!EX100"")"),0)</f>
        <v>0</v>
      </c>
      <c r="I100" s="88">
        <f ca="1">IFERROR(__xludf.DUMMYFUNCTION("IMPORTRANGE(""https://docs.google.com/spreadsheets/d/1-uDff_7J0KD5mKrp0Vvzr7lt3OU09vwQwhkpOPPYv2Y/edit?usp=sharing"",""งบพรบ!EY100"")"),0)</f>
        <v>0</v>
      </c>
      <c r="J100" s="88">
        <f t="shared" ca="1" si="52"/>
        <v>0</v>
      </c>
      <c r="K100" s="89">
        <f t="shared" ca="1" si="53"/>
        <v>0</v>
      </c>
      <c r="L100" s="88">
        <f ca="1">IFERROR(__xludf.DUMMYFUNCTION("IMPORTRANGE(""https://docs.google.com/spreadsheets/d/1-uDff_7J0KD5mKrp0Vvzr7lt3OU09vwQwhkpOPPYv2Y/edit?usp=sharing"",""งบพรบ!EZ100"")"),0)</f>
        <v>0</v>
      </c>
      <c r="M100" s="90">
        <f t="shared" ca="1" si="54"/>
        <v>0</v>
      </c>
      <c r="N100" s="90">
        <f t="shared" ca="1" si="55"/>
        <v>0</v>
      </c>
      <c r="O100" s="91">
        <f ca="1">IFERROR(__xludf.DUMMYFUNCTION("IMPORTRANGE(""https://docs.google.com/spreadsheets/d/1-uDff_7J0KD5mKrp0Vvzr7lt3OU09vwQwhkpOPPYv2Y/edit?usp=sharing"",""งบพรบ!FA100"")"),0)</f>
        <v>0</v>
      </c>
      <c r="P100" s="91">
        <f t="shared" ca="1" si="56"/>
        <v>0</v>
      </c>
      <c r="Q100" s="90">
        <f t="shared" ca="1" si="57"/>
        <v>0</v>
      </c>
      <c r="R100" s="88"/>
      <c r="S100" s="88"/>
      <c r="T100" s="90"/>
      <c r="U100" s="88"/>
      <c r="V100" s="88"/>
      <c r="W100" s="90"/>
      <c r="X100" s="88"/>
      <c r="Y100" s="88"/>
      <c r="Z100" s="88"/>
      <c r="AA100" s="88"/>
      <c r="AB100" s="88"/>
    </row>
    <row r="101" spans="1:28" ht="24" customHeight="1" x14ac:dyDescent="0.3">
      <c r="A101" s="196"/>
      <c r="B101" s="117" t="s">
        <v>123</v>
      </c>
      <c r="C101" s="197">
        <f t="shared" ca="1" si="50"/>
        <v>0</v>
      </c>
      <c r="D101" s="198">
        <f t="shared" ca="1" si="51"/>
        <v>0</v>
      </c>
      <c r="E101" s="88">
        <f ca="1">IFERROR(__xludf.DUMMYFUNCTION("IMPORTRANGE(""https://docs.google.com/spreadsheets/d/1-uDff_7J0KD5mKrp0Vvzr7lt3OU09vwQwhkpOPPYv2Y/edit?usp=sharing"",""งบพรบ!ET101"")"),0)</f>
        <v>0</v>
      </c>
      <c r="F101" s="88">
        <f ca="1">IFERROR(__xludf.DUMMYFUNCTION("IMPORTRANGE(""https://docs.google.com/spreadsheets/d/1-uDff_7J0KD5mKrp0Vvzr7lt3OU09vwQwhkpOPPYv2Y/edit?usp=sharing"",""งบพรบ!EU101"")"),0)</f>
        <v>0</v>
      </c>
      <c r="G101" s="88">
        <f ca="1">IFERROR(__xludf.DUMMYFUNCTION("IMPORTRANGE(""https://docs.google.com/spreadsheets/d/1-uDff_7J0KD5mKrp0Vvzr7lt3OU09vwQwhkpOPPYv2Y/edit?usp=sharing"",""งบพรบ!EV101"")"),0)</f>
        <v>0</v>
      </c>
      <c r="H101" s="88">
        <f ca="1">IFERROR(__xludf.DUMMYFUNCTION("IMPORTRANGE(""https://docs.google.com/spreadsheets/d/1-uDff_7J0KD5mKrp0Vvzr7lt3OU09vwQwhkpOPPYv2Y/edit?usp=sharing"",""งบพรบ!EX101"")"),0)</f>
        <v>0</v>
      </c>
      <c r="I101" s="88">
        <f ca="1">IFERROR(__xludf.DUMMYFUNCTION("IMPORTRANGE(""https://docs.google.com/spreadsheets/d/1-uDff_7J0KD5mKrp0Vvzr7lt3OU09vwQwhkpOPPYv2Y/edit?usp=sharing"",""งบพรบ!EY101"")"),0)</f>
        <v>0</v>
      </c>
      <c r="J101" s="88">
        <f t="shared" ca="1" si="52"/>
        <v>0</v>
      </c>
      <c r="K101" s="89">
        <f t="shared" ca="1" si="53"/>
        <v>0</v>
      </c>
      <c r="L101" s="88">
        <f ca="1">IFERROR(__xludf.DUMMYFUNCTION("IMPORTRANGE(""https://docs.google.com/spreadsheets/d/1-uDff_7J0KD5mKrp0Vvzr7lt3OU09vwQwhkpOPPYv2Y/edit?usp=sharing"",""งบพรบ!EZ101"")"),0)</f>
        <v>0</v>
      </c>
      <c r="M101" s="90">
        <f t="shared" ca="1" si="54"/>
        <v>0</v>
      </c>
      <c r="N101" s="90">
        <f t="shared" ca="1" si="55"/>
        <v>0</v>
      </c>
      <c r="O101" s="91">
        <f ca="1">IFERROR(__xludf.DUMMYFUNCTION("IMPORTRANGE(""https://docs.google.com/spreadsheets/d/1-uDff_7J0KD5mKrp0Vvzr7lt3OU09vwQwhkpOPPYv2Y/edit?usp=sharing"",""งบพรบ!FA101"")"),0)</f>
        <v>0</v>
      </c>
      <c r="P101" s="91">
        <f t="shared" ca="1" si="56"/>
        <v>0</v>
      </c>
      <c r="Q101" s="90">
        <f t="shared" ca="1" si="57"/>
        <v>0</v>
      </c>
      <c r="R101" s="88"/>
      <c r="S101" s="88"/>
      <c r="T101" s="90"/>
      <c r="U101" s="88"/>
      <c r="V101" s="88"/>
      <c r="W101" s="90"/>
      <c r="X101" s="88"/>
      <c r="Y101" s="88"/>
      <c r="Z101" s="88"/>
      <c r="AA101" s="88"/>
      <c r="AB101" s="88"/>
    </row>
    <row r="102" spans="1:28" ht="24" customHeight="1" x14ac:dyDescent="0.3">
      <c r="A102" s="196"/>
      <c r="B102" s="117" t="s">
        <v>124</v>
      </c>
      <c r="C102" s="197">
        <f t="shared" ca="1" si="50"/>
        <v>0</v>
      </c>
      <c r="D102" s="198">
        <f t="shared" ca="1" si="51"/>
        <v>0</v>
      </c>
      <c r="E102" s="88">
        <f ca="1">IFERROR(__xludf.DUMMYFUNCTION("IMPORTRANGE(""https://docs.google.com/spreadsheets/d/1-uDff_7J0KD5mKrp0Vvzr7lt3OU09vwQwhkpOPPYv2Y/edit?usp=sharing"",""งบพรบ!ET102"")"),0)</f>
        <v>0</v>
      </c>
      <c r="F102" s="88">
        <f ca="1">IFERROR(__xludf.DUMMYFUNCTION("IMPORTRANGE(""https://docs.google.com/spreadsheets/d/1-uDff_7J0KD5mKrp0Vvzr7lt3OU09vwQwhkpOPPYv2Y/edit?usp=sharing"",""งบพรบ!EU102"")"),0)</f>
        <v>0</v>
      </c>
      <c r="G102" s="88">
        <f ca="1">IFERROR(__xludf.DUMMYFUNCTION("IMPORTRANGE(""https://docs.google.com/spreadsheets/d/1-uDff_7J0KD5mKrp0Vvzr7lt3OU09vwQwhkpOPPYv2Y/edit?usp=sharing"",""งบพรบ!EV102"")"),0)</f>
        <v>0</v>
      </c>
      <c r="H102" s="88">
        <f ca="1">IFERROR(__xludf.DUMMYFUNCTION("IMPORTRANGE(""https://docs.google.com/spreadsheets/d/1-uDff_7J0KD5mKrp0Vvzr7lt3OU09vwQwhkpOPPYv2Y/edit?usp=sharing"",""งบพรบ!EX102"")"),0)</f>
        <v>0</v>
      </c>
      <c r="I102" s="88">
        <f ca="1">IFERROR(__xludf.DUMMYFUNCTION("IMPORTRANGE(""https://docs.google.com/spreadsheets/d/1-uDff_7J0KD5mKrp0Vvzr7lt3OU09vwQwhkpOPPYv2Y/edit?usp=sharing"",""งบพรบ!EY102"")"),0)</f>
        <v>0</v>
      </c>
      <c r="J102" s="88">
        <f t="shared" ca="1" si="52"/>
        <v>0</v>
      </c>
      <c r="K102" s="89">
        <f t="shared" ca="1" si="53"/>
        <v>0</v>
      </c>
      <c r="L102" s="88">
        <f ca="1">IFERROR(__xludf.DUMMYFUNCTION("IMPORTRANGE(""https://docs.google.com/spreadsheets/d/1-uDff_7J0KD5mKrp0Vvzr7lt3OU09vwQwhkpOPPYv2Y/edit?usp=sharing"",""งบพรบ!EZ102"")"),0)</f>
        <v>0</v>
      </c>
      <c r="M102" s="90">
        <f t="shared" ca="1" si="54"/>
        <v>0</v>
      </c>
      <c r="N102" s="90">
        <f t="shared" ca="1" si="55"/>
        <v>0</v>
      </c>
      <c r="O102" s="91">
        <f ca="1">IFERROR(__xludf.DUMMYFUNCTION("IMPORTRANGE(""https://docs.google.com/spreadsheets/d/1-uDff_7J0KD5mKrp0Vvzr7lt3OU09vwQwhkpOPPYv2Y/edit?usp=sharing"",""งบพรบ!FA102"")"),0)</f>
        <v>0</v>
      </c>
      <c r="P102" s="91">
        <f t="shared" ca="1" si="56"/>
        <v>0</v>
      </c>
      <c r="Q102" s="90">
        <f t="shared" ca="1" si="57"/>
        <v>0</v>
      </c>
      <c r="R102" s="88"/>
      <c r="S102" s="88"/>
      <c r="T102" s="90"/>
      <c r="U102" s="88"/>
      <c r="V102" s="88"/>
      <c r="W102" s="90"/>
      <c r="X102" s="88"/>
      <c r="Y102" s="88"/>
      <c r="Z102" s="88"/>
      <c r="AA102" s="88"/>
      <c r="AB102" s="88"/>
    </row>
    <row r="103" spans="1:28" ht="24" customHeight="1" x14ac:dyDescent="0.3">
      <c r="A103" s="196"/>
      <c r="B103" s="117" t="s">
        <v>125</v>
      </c>
      <c r="C103" s="197">
        <f t="shared" ca="1" si="50"/>
        <v>0</v>
      </c>
      <c r="D103" s="198">
        <f t="shared" ca="1" si="51"/>
        <v>0</v>
      </c>
      <c r="E103" s="88">
        <f ca="1">IFERROR(__xludf.DUMMYFUNCTION("IMPORTRANGE(""https://docs.google.com/spreadsheets/d/1-uDff_7J0KD5mKrp0Vvzr7lt3OU09vwQwhkpOPPYv2Y/edit?usp=sharing"",""งบพรบ!ET103"")"),0)</f>
        <v>0</v>
      </c>
      <c r="F103" s="88">
        <f ca="1">IFERROR(__xludf.DUMMYFUNCTION("IMPORTRANGE(""https://docs.google.com/spreadsheets/d/1-uDff_7J0KD5mKrp0Vvzr7lt3OU09vwQwhkpOPPYv2Y/edit?usp=sharing"",""งบพรบ!EU103"")"),0)</f>
        <v>0</v>
      </c>
      <c r="G103" s="88">
        <f ca="1">IFERROR(__xludf.DUMMYFUNCTION("IMPORTRANGE(""https://docs.google.com/spreadsheets/d/1-uDff_7J0KD5mKrp0Vvzr7lt3OU09vwQwhkpOPPYv2Y/edit?usp=sharing"",""งบพรบ!EV103"")"),0)</f>
        <v>0</v>
      </c>
      <c r="H103" s="88">
        <f ca="1">IFERROR(__xludf.DUMMYFUNCTION("IMPORTRANGE(""https://docs.google.com/spreadsheets/d/1-uDff_7J0KD5mKrp0Vvzr7lt3OU09vwQwhkpOPPYv2Y/edit?usp=sharing"",""งบพรบ!EX103"")"),0)</f>
        <v>0</v>
      </c>
      <c r="I103" s="88">
        <f ca="1">IFERROR(__xludf.DUMMYFUNCTION("IMPORTRANGE(""https://docs.google.com/spreadsheets/d/1-uDff_7J0KD5mKrp0Vvzr7lt3OU09vwQwhkpOPPYv2Y/edit?usp=sharing"",""งบพรบ!EY103"")"),0)</f>
        <v>0</v>
      </c>
      <c r="J103" s="88">
        <f t="shared" ca="1" si="52"/>
        <v>0</v>
      </c>
      <c r="K103" s="89">
        <f t="shared" ca="1" si="53"/>
        <v>0</v>
      </c>
      <c r="L103" s="88">
        <f ca="1">IFERROR(__xludf.DUMMYFUNCTION("IMPORTRANGE(""https://docs.google.com/spreadsheets/d/1-uDff_7J0KD5mKrp0Vvzr7lt3OU09vwQwhkpOPPYv2Y/edit?usp=sharing"",""งบพรบ!EZ103"")"),0)</f>
        <v>0</v>
      </c>
      <c r="M103" s="90">
        <f t="shared" ca="1" si="54"/>
        <v>0</v>
      </c>
      <c r="N103" s="90">
        <f t="shared" ca="1" si="55"/>
        <v>0</v>
      </c>
      <c r="O103" s="91">
        <f ca="1">IFERROR(__xludf.DUMMYFUNCTION("IMPORTRANGE(""https://docs.google.com/spreadsheets/d/1-uDff_7J0KD5mKrp0Vvzr7lt3OU09vwQwhkpOPPYv2Y/edit?usp=sharing"",""งบพรบ!FA103"")"),0)</f>
        <v>0</v>
      </c>
      <c r="P103" s="91">
        <f t="shared" ca="1" si="56"/>
        <v>0</v>
      </c>
      <c r="Q103" s="90">
        <f t="shared" ca="1" si="57"/>
        <v>0</v>
      </c>
      <c r="R103" s="233"/>
      <c r="S103" s="233"/>
      <c r="T103" s="234"/>
      <c r="U103" s="233"/>
      <c r="V103" s="233"/>
      <c r="W103" s="234"/>
      <c r="X103" s="233"/>
      <c r="Y103" s="233"/>
      <c r="Z103" s="233"/>
      <c r="AA103" s="233"/>
      <c r="AB103" s="233"/>
    </row>
    <row r="104" spans="1:28" ht="21" customHeight="1" x14ac:dyDescent="0.3">
      <c r="A104" s="358"/>
      <c r="B104" s="359" t="s">
        <v>126</v>
      </c>
      <c r="C104" s="197">
        <f t="shared" ca="1" si="50"/>
        <v>28400</v>
      </c>
      <c r="D104" s="198">
        <f t="shared" ca="1" si="51"/>
        <v>28400</v>
      </c>
      <c r="E104" s="353">
        <f ca="1">IFERROR(__xludf.DUMMYFUNCTION("IMPORTRANGE(""https://docs.google.com/spreadsheets/d/1-uDff_7J0KD5mKrp0Vvzr7lt3OU09vwQwhkpOPPYv2Y/edit?usp=sharing"",""งบพรบ!ET104"")"),28400)</f>
        <v>28400</v>
      </c>
      <c r="F104" s="353">
        <f ca="1">IFERROR(__xludf.DUMMYFUNCTION("IMPORTRANGE(""https://docs.google.com/spreadsheets/d/1-uDff_7J0KD5mKrp0Vvzr7lt3OU09vwQwhkpOPPYv2Y/edit?usp=sharing"",""งบพรบ!EU104"")"),0)</f>
        <v>0</v>
      </c>
      <c r="G104" s="353">
        <f ca="1">IFERROR(__xludf.DUMMYFUNCTION("IMPORTRANGE(""https://docs.google.com/spreadsheets/d/1-uDff_7J0KD5mKrp0Vvzr7lt3OU09vwQwhkpOPPYv2Y/edit?usp=sharing"",""งบพรบ!EV104"")"),0)</f>
        <v>0</v>
      </c>
      <c r="H104" s="353">
        <f ca="1">IFERROR(__xludf.DUMMYFUNCTION("IMPORTRANGE(""https://docs.google.com/spreadsheets/d/1-uDff_7J0KD5mKrp0Vvzr7lt3OU09vwQwhkpOPPYv2Y/edit?usp=sharing"",""งบพรบ!EX104"")"),928400)</f>
        <v>928400</v>
      </c>
      <c r="I104" s="353">
        <f ca="1">IFERROR(__xludf.DUMMYFUNCTION("IMPORTRANGE(""https://docs.google.com/spreadsheets/d/1-uDff_7J0KD5mKrp0Vvzr7lt3OU09vwQwhkpOPPYv2Y/edit?usp=sharing"",""งบพรบ!EY104"")"),0)</f>
        <v>0</v>
      </c>
      <c r="J104" s="353">
        <f t="shared" ca="1" si="52"/>
        <v>0</v>
      </c>
      <c r="K104" s="360">
        <f t="shared" ca="1" si="53"/>
        <v>0</v>
      </c>
      <c r="L104" s="353">
        <f ca="1">IFERROR(__xludf.DUMMYFUNCTION("IMPORTRANGE(""https://docs.google.com/spreadsheets/d/1-uDff_7J0KD5mKrp0Vvzr7lt3OU09vwQwhkpOPPYv2Y/edit?usp=sharing"",""งบพรบ!EZ104"")"),0)</f>
        <v>0</v>
      </c>
      <c r="M104" s="361">
        <f t="shared" ca="1" si="54"/>
        <v>0</v>
      </c>
      <c r="N104" s="361">
        <f t="shared" ca="1" si="55"/>
        <v>0</v>
      </c>
      <c r="O104" s="362">
        <f ca="1">IFERROR(__xludf.DUMMYFUNCTION("IMPORTRANGE(""https://docs.google.com/spreadsheets/d/1-uDff_7J0KD5mKrp0Vvzr7lt3OU09vwQwhkpOPPYv2Y/edit?usp=sharing"",""งบพรบ!FA104"")"),0)</f>
        <v>0</v>
      </c>
      <c r="P104" s="362">
        <f t="shared" ca="1" si="56"/>
        <v>0</v>
      </c>
      <c r="Q104" s="361">
        <f t="shared" ca="1" si="57"/>
        <v>0</v>
      </c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</row>
    <row r="105" spans="1:28" ht="24" customHeight="1" x14ac:dyDescent="0.3">
      <c r="A105" s="196"/>
      <c r="B105" s="118" t="s">
        <v>127</v>
      </c>
      <c r="C105" s="197">
        <f t="shared" ca="1" si="50"/>
        <v>0</v>
      </c>
      <c r="D105" s="198">
        <f t="shared" ca="1" si="51"/>
        <v>0</v>
      </c>
      <c r="E105" s="88">
        <f ca="1">IFERROR(__xludf.DUMMYFUNCTION("IMPORTRANGE(""https://docs.google.com/spreadsheets/d/1-uDff_7J0KD5mKrp0Vvzr7lt3OU09vwQwhkpOPPYv2Y/edit?usp=sharing"",""งบพรบ!ET105"")"),0)</f>
        <v>0</v>
      </c>
      <c r="F105" s="88">
        <f ca="1">IFERROR(__xludf.DUMMYFUNCTION("IMPORTRANGE(""https://docs.google.com/spreadsheets/d/1-uDff_7J0KD5mKrp0Vvzr7lt3OU09vwQwhkpOPPYv2Y/edit?usp=sharing"",""งบพรบ!EU105"")"),0)</f>
        <v>0</v>
      </c>
      <c r="G105" s="88">
        <f ca="1">IFERROR(__xludf.DUMMYFUNCTION("IMPORTRANGE(""https://docs.google.com/spreadsheets/d/1-uDff_7J0KD5mKrp0Vvzr7lt3OU09vwQwhkpOPPYv2Y/edit?usp=sharing"",""งบพรบ!EV105"")"),0)</f>
        <v>0</v>
      </c>
      <c r="H105" s="88">
        <f ca="1">IFERROR(__xludf.DUMMYFUNCTION("IMPORTRANGE(""https://docs.google.com/spreadsheets/d/1-uDff_7J0KD5mKrp0Vvzr7lt3OU09vwQwhkpOPPYv2Y/edit?usp=sharing"",""งบพรบ!EX105"")"),0)</f>
        <v>0</v>
      </c>
      <c r="I105" s="88">
        <f ca="1">IFERROR(__xludf.DUMMYFUNCTION("IMPORTRANGE(""https://docs.google.com/spreadsheets/d/1-uDff_7J0KD5mKrp0Vvzr7lt3OU09vwQwhkpOPPYv2Y/edit?usp=sharing"",""งบพรบ!EY105"")"),0)</f>
        <v>0</v>
      </c>
      <c r="J105" s="88">
        <f t="shared" ca="1" si="52"/>
        <v>0</v>
      </c>
      <c r="K105" s="89">
        <f t="shared" ca="1" si="53"/>
        <v>0</v>
      </c>
      <c r="L105" s="88">
        <f ca="1">IFERROR(__xludf.DUMMYFUNCTION("IMPORTRANGE(""https://docs.google.com/spreadsheets/d/1-uDff_7J0KD5mKrp0Vvzr7lt3OU09vwQwhkpOPPYv2Y/edit?usp=sharing"",""งบพรบ!EZ105"")"),0)</f>
        <v>0</v>
      </c>
      <c r="M105" s="90">
        <f t="shared" ca="1" si="54"/>
        <v>0</v>
      </c>
      <c r="N105" s="90">
        <f t="shared" ca="1" si="55"/>
        <v>0</v>
      </c>
      <c r="O105" s="91">
        <f ca="1">IFERROR(__xludf.DUMMYFUNCTION("IMPORTRANGE(""https://docs.google.com/spreadsheets/d/1-uDff_7J0KD5mKrp0Vvzr7lt3OU09vwQwhkpOPPYv2Y/edit?usp=sharing"",""งบพรบ!FA105"")"),0)</f>
        <v>0</v>
      </c>
      <c r="P105" s="91">
        <f t="shared" ca="1" si="56"/>
        <v>0</v>
      </c>
      <c r="Q105" s="90">
        <f t="shared" ca="1" si="57"/>
        <v>0</v>
      </c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ht="24" customHeight="1" x14ac:dyDescent="0.3">
      <c r="A106" s="200"/>
      <c r="B106" s="120" t="s">
        <v>128</v>
      </c>
      <c r="C106" s="201">
        <f t="shared" ca="1" si="50"/>
        <v>0</v>
      </c>
      <c r="D106" s="202">
        <f t="shared" ca="1" si="51"/>
        <v>0</v>
      </c>
      <c r="E106" s="99">
        <f ca="1">IFERROR(__xludf.DUMMYFUNCTION("IMPORTRANGE(""https://docs.google.com/spreadsheets/d/1-uDff_7J0KD5mKrp0Vvzr7lt3OU09vwQwhkpOPPYv2Y/edit?usp=sharing"",""งบพรบ!ET106"")"),0)</f>
        <v>0</v>
      </c>
      <c r="F106" s="99">
        <f ca="1">IFERROR(__xludf.DUMMYFUNCTION("IMPORTRANGE(""https://docs.google.com/spreadsheets/d/1-uDff_7J0KD5mKrp0Vvzr7lt3OU09vwQwhkpOPPYv2Y/edit?usp=sharing"",""งบพรบ!EU106"")"),0)</f>
        <v>0</v>
      </c>
      <c r="G106" s="99">
        <f ca="1">IFERROR(__xludf.DUMMYFUNCTION("IMPORTRANGE(""https://docs.google.com/spreadsheets/d/1-uDff_7J0KD5mKrp0Vvzr7lt3OU09vwQwhkpOPPYv2Y/edit?usp=sharing"",""งบพรบ!EV106"")"),0)</f>
        <v>0</v>
      </c>
      <c r="H106" s="99">
        <f ca="1">IFERROR(__xludf.DUMMYFUNCTION("IMPORTRANGE(""https://docs.google.com/spreadsheets/d/1-uDff_7J0KD5mKrp0Vvzr7lt3OU09vwQwhkpOPPYv2Y/edit?usp=sharing"",""งบพรบ!EX106"")"),0)</f>
        <v>0</v>
      </c>
      <c r="I106" s="99">
        <f ca="1">IFERROR(__xludf.DUMMYFUNCTION("IMPORTRANGE(""https://docs.google.com/spreadsheets/d/1-uDff_7J0KD5mKrp0Vvzr7lt3OU09vwQwhkpOPPYv2Y/edit?usp=sharing"",""งบพรบ!EY106"")"),0)</f>
        <v>0</v>
      </c>
      <c r="J106" s="99">
        <f t="shared" ca="1" si="52"/>
        <v>0</v>
      </c>
      <c r="K106" s="100">
        <f t="shared" ca="1" si="53"/>
        <v>0</v>
      </c>
      <c r="L106" s="99">
        <f ca="1">IFERROR(__xludf.DUMMYFUNCTION("IMPORTRANGE(""https://docs.google.com/spreadsheets/d/1-uDff_7J0KD5mKrp0Vvzr7lt3OU09vwQwhkpOPPYv2Y/edit?usp=sharing"",""งบพรบ!EZ106"")"),0)</f>
        <v>0</v>
      </c>
      <c r="M106" s="101">
        <f t="shared" ca="1" si="54"/>
        <v>0</v>
      </c>
      <c r="N106" s="101">
        <f t="shared" ca="1" si="55"/>
        <v>0</v>
      </c>
      <c r="O106" s="102">
        <f ca="1">IFERROR(__xludf.DUMMYFUNCTION("IMPORTRANGE(""https://docs.google.com/spreadsheets/d/1-uDff_7J0KD5mKrp0Vvzr7lt3OU09vwQwhkpOPPYv2Y/edit?usp=sharing"",""งบพรบ!FA106"")"),0)</f>
        <v>0</v>
      </c>
      <c r="P106" s="102">
        <f t="shared" ca="1" si="56"/>
        <v>0</v>
      </c>
      <c r="Q106" s="101">
        <f t="shared" ca="1" si="57"/>
        <v>0</v>
      </c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ht="24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2"/>
      <c r="S107" s="2"/>
      <c r="T107" s="4"/>
    </row>
    <row r="108" spans="1:28" ht="24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5"/>
      <c r="P108" s="5"/>
      <c r="Q108" s="5"/>
      <c r="R108" s="2"/>
      <c r="S108" s="2"/>
      <c r="T108" s="4"/>
    </row>
    <row r="109" spans="1:28" ht="24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5"/>
      <c r="P109" s="5"/>
      <c r="Q109" s="5"/>
      <c r="R109" s="2"/>
      <c r="S109" s="2"/>
      <c r="T109" s="4"/>
    </row>
    <row r="110" spans="1:28" ht="24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5"/>
      <c r="P110" s="5"/>
      <c r="Q110" s="5"/>
      <c r="R110" s="2"/>
      <c r="S110" s="2"/>
      <c r="T110" s="4"/>
    </row>
    <row r="111" spans="1:28" ht="24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5"/>
      <c r="P111" s="5"/>
      <c r="Q111" s="5"/>
      <c r="R111" s="2"/>
      <c r="S111" s="2"/>
      <c r="T111" s="4"/>
    </row>
    <row r="112" spans="1:28" ht="24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4"/>
      <c r="O112" s="5"/>
      <c r="P112" s="5"/>
      <c r="Q112" s="5"/>
      <c r="R112" s="2"/>
      <c r="S112" s="2"/>
      <c r="T112" s="4"/>
    </row>
    <row r="113" spans="1:20" ht="24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4"/>
      <c r="O113" s="5"/>
      <c r="P113" s="5"/>
      <c r="Q113" s="5"/>
      <c r="R113" s="2"/>
      <c r="S113" s="2"/>
      <c r="T113" s="4"/>
    </row>
    <row r="114" spans="1:20" ht="24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4"/>
      <c r="O114" s="5"/>
      <c r="P114" s="5"/>
      <c r="Q114" s="5"/>
      <c r="R114" s="2"/>
      <c r="S114" s="2"/>
      <c r="T114" s="4"/>
    </row>
    <row r="115" spans="1:20" ht="24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4"/>
      <c r="O115" s="5"/>
      <c r="P115" s="5"/>
      <c r="Q115" s="5"/>
      <c r="R115" s="2"/>
      <c r="S115" s="2"/>
      <c r="T115" s="4"/>
    </row>
    <row r="116" spans="1:20" ht="24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4"/>
      <c r="O116" s="5"/>
      <c r="P116" s="5"/>
      <c r="Q116" s="5"/>
      <c r="R116" s="2"/>
      <c r="S116" s="2"/>
      <c r="T116" s="4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18.75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4"/>
      <c r="N304" s="124"/>
      <c r="O304" s="125"/>
      <c r="P304" s="125"/>
      <c r="Q304" s="125"/>
      <c r="R304" s="123"/>
      <c r="S304" s="123"/>
      <c r="T304" s="124"/>
    </row>
    <row r="305" spans="1:20" ht="18.75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4"/>
      <c r="N305" s="124"/>
      <c r="O305" s="125"/>
      <c r="P305" s="125"/>
      <c r="Q305" s="125"/>
      <c r="R305" s="123"/>
      <c r="S305" s="123"/>
      <c r="T305" s="124"/>
    </row>
    <row r="306" spans="1:20" ht="18.75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4"/>
      <c r="N306" s="124"/>
      <c r="O306" s="125"/>
      <c r="P306" s="125"/>
      <c r="Q306" s="125"/>
      <c r="R306" s="123"/>
      <c r="S306" s="123"/>
      <c r="T306" s="124"/>
    </row>
    <row r="307" spans="1:20" ht="18.75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4"/>
      <c r="N307" s="124"/>
      <c r="O307" s="125"/>
      <c r="P307" s="125"/>
      <c r="Q307" s="125"/>
      <c r="R307" s="123"/>
      <c r="S307" s="123"/>
      <c r="T307" s="124"/>
    </row>
    <row r="308" spans="1:20" ht="18.75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4"/>
      <c r="N308" s="124"/>
      <c r="O308" s="125"/>
      <c r="P308" s="125"/>
      <c r="Q308" s="125"/>
      <c r="R308" s="123"/>
      <c r="S308" s="123"/>
      <c r="T308" s="124"/>
    </row>
    <row r="309" spans="1:20" ht="18.75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4"/>
      <c r="N309" s="124"/>
      <c r="O309" s="125"/>
      <c r="P309" s="125"/>
      <c r="Q309" s="125"/>
      <c r="R309" s="123"/>
      <c r="S309" s="123"/>
      <c r="T309" s="124"/>
    </row>
    <row r="310" spans="1:20" ht="18.75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4"/>
      <c r="N310" s="124"/>
      <c r="O310" s="125"/>
      <c r="P310" s="125"/>
      <c r="Q310" s="125"/>
      <c r="R310" s="123"/>
      <c r="S310" s="123"/>
      <c r="T310" s="124"/>
    </row>
    <row r="311" spans="1:20" ht="18.75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4"/>
      <c r="N311" s="124"/>
      <c r="O311" s="125"/>
      <c r="P311" s="125"/>
      <c r="Q311" s="125"/>
      <c r="R311" s="123"/>
      <c r="S311" s="123"/>
      <c r="T311" s="124"/>
    </row>
    <row r="312" spans="1:20" ht="18.75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4"/>
      <c r="N312" s="124"/>
      <c r="O312" s="125"/>
      <c r="P312" s="125"/>
      <c r="Q312" s="125"/>
      <c r="R312" s="123"/>
      <c r="S312" s="123"/>
      <c r="T312" s="124"/>
    </row>
    <row r="313" spans="1:20" ht="18.75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4"/>
      <c r="N313" s="124"/>
      <c r="O313" s="125"/>
      <c r="P313" s="125"/>
      <c r="Q313" s="125"/>
      <c r="R313" s="123"/>
      <c r="S313" s="123"/>
      <c r="T313" s="124"/>
    </row>
    <row r="314" spans="1:20" ht="18.75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4"/>
      <c r="N314" s="124"/>
      <c r="O314" s="125"/>
      <c r="P314" s="125"/>
      <c r="Q314" s="125"/>
      <c r="R314" s="123"/>
      <c r="S314" s="123"/>
      <c r="T314" s="124"/>
    </row>
    <row r="315" spans="1:20" ht="18.75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4"/>
      <c r="N315" s="124"/>
      <c r="O315" s="125"/>
      <c r="P315" s="125"/>
      <c r="Q315" s="125"/>
      <c r="R315" s="123"/>
      <c r="S315" s="123"/>
      <c r="T315" s="124"/>
    </row>
    <row r="316" spans="1:20" ht="18.75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4"/>
      <c r="N316" s="124"/>
      <c r="O316" s="125"/>
      <c r="P316" s="125"/>
      <c r="Q316" s="125"/>
      <c r="R316" s="123"/>
      <c r="S316" s="123"/>
      <c r="T316" s="124"/>
    </row>
    <row r="317" spans="1:20" ht="18.75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4"/>
      <c r="N317" s="124"/>
      <c r="O317" s="125"/>
      <c r="P317" s="125"/>
      <c r="Q317" s="125"/>
      <c r="R317" s="123"/>
      <c r="S317" s="123"/>
      <c r="T317" s="124"/>
    </row>
    <row r="318" spans="1:20" ht="18.75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4"/>
      <c r="N318" s="124"/>
      <c r="O318" s="125"/>
      <c r="P318" s="125"/>
      <c r="Q318" s="125"/>
      <c r="R318" s="123"/>
      <c r="S318" s="123"/>
      <c r="T318" s="124"/>
    </row>
    <row r="319" spans="1:20" ht="18.75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4"/>
      <c r="N319" s="124"/>
      <c r="O319" s="125"/>
      <c r="P319" s="125"/>
      <c r="Q319" s="125"/>
      <c r="R319" s="123"/>
      <c r="S319" s="123"/>
      <c r="T319" s="124"/>
    </row>
    <row r="320" spans="1:20" ht="18.75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4"/>
      <c r="N320" s="124"/>
      <c r="O320" s="125"/>
      <c r="P320" s="125"/>
      <c r="Q320" s="125"/>
      <c r="R320" s="123"/>
      <c r="S320" s="123"/>
      <c r="T320" s="124"/>
    </row>
    <row r="321" spans="1:20" ht="18.75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4"/>
      <c r="N321" s="124"/>
      <c r="O321" s="125"/>
      <c r="P321" s="125"/>
      <c r="Q321" s="125"/>
      <c r="R321" s="123"/>
      <c r="S321" s="123"/>
      <c r="T321" s="124"/>
    </row>
    <row r="322" spans="1:20" ht="18.75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4"/>
      <c r="N322" s="124"/>
      <c r="O322" s="125"/>
      <c r="P322" s="125"/>
      <c r="Q322" s="125"/>
      <c r="R322" s="123"/>
      <c r="S322" s="123"/>
      <c r="T322" s="124"/>
    </row>
    <row r="323" spans="1:20" ht="18.75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4"/>
      <c r="N323" s="124"/>
      <c r="O323" s="125"/>
      <c r="P323" s="125"/>
      <c r="Q323" s="125"/>
      <c r="R323" s="123"/>
      <c r="S323" s="123"/>
      <c r="T323" s="124"/>
    </row>
    <row r="324" spans="1:20" ht="18.75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4"/>
      <c r="N324" s="124"/>
      <c r="O324" s="125"/>
      <c r="P324" s="125"/>
      <c r="Q324" s="125"/>
      <c r="R324" s="123"/>
      <c r="S324" s="123"/>
      <c r="T324" s="124"/>
    </row>
    <row r="325" spans="1:20" ht="18.75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4"/>
      <c r="N325" s="124"/>
      <c r="O325" s="125"/>
      <c r="P325" s="125"/>
      <c r="Q325" s="125"/>
      <c r="R325" s="123"/>
      <c r="S325" s="123"/>
      <c r="T325" s="124"/>
    </row>
    <row r="326" spans="1:20" ht="18.75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4"/>
      <c r="N326" s="124"/>
      <c r="O326" s="125"/>
      <c r="P326" s="125"/>
      <c r="Q326" s="125"/>
      <c r="R326" s="123"/>
      <c r="S326" s="123"/>
      <c r="T326" s="124"/>
    </row>
    <row r="327" spans="1:20" ht="18.75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4"/>
      <c r="N327" s="124"/>
      <c r="O327" s="125"/>
      <c r="P327" s="125"/>
      <c r="Q327" s="125"/>
      <c r="R327" s="123"/>
      <c r="S327" s="123"/>
      <c r="T327" s="124"/>
    </row>
    <row r="328" spans="1:20" ht="18.75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4"/>
      <c r="N328" s="124"/>
      <c r="O328" s="125"/>
      <c r="P328" s="125"/>
      <c r="Q328" s="125"/>
      <c r="R328" s="123"/>
      <c r="S328" s="123"/>
      <c r="T328" s="124"/>
    </row>
    <row r="329" spans="1:20" ht="18.7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4"/>
      <c r="N329" s="124"/>
      <c r="O329" s="125"/>
      <c r="P329" s="125"/>
      <c r="Q329" s="125"/>
      <c r="R329" s="123"/>
      <c r="S329" s="123"/>
      <c r="T329" s="124"/>
    </row>
    <row r="330" spans="1:20" ht="18.7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4"/>
      <c r="N330" s="124"/>
      <c r="O330" s="125"/>
      <c r="P330" s="125"/>
      <c r="Q330" s="125"/>
      <c r="R330" s="123"/>
      <c r="S330" s="123"/>
      <c r="T330" s="124"/>
    </row>
    <row r="331" spans="1:20" ht="18.7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4"/>
      <c r="N331" s="124"/>
      <c r="O331" s="125"/>
      <c r="P331" s="125"/>
      <c r="Q331" s="125"/>
      <c r="R331" s="123"/>
      <c r="S331" s="123"/>
      <c r="T331" s="124"/>
    </row>
    <row r="332" spans="1:20" ht="18.7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4"/>
      <c r="N332" s="124"/>
      <c r="O332" s="125"/>
      <c r="P332" s="125"/>
      <c r="Q332" s="125"/>
      <c r="R332" s="123"/>
      <c r="S332" s="123"/>
      <c r="T332" s="124"/>
    </row>
    <row r="333" spans="1:20" ht="18.7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4"/>
      <c r="N333" s="124"/>
      <c r="O333" s="125"/>
      <c r="P333" s="125"/>
      <c r="Q333" s="125"/>
      <c r="R333" s="123"/>
      <c r="S333" s="123"/>
      <c r="T333" s="124"/>
    </row>
    <row r="334" spans="1:20" ht="18.7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  <c r="N334" s="124"/>
      <c r="O334" s="125"/>
      <c r="P334" s="125"/>
      <c r="Q334" s="125"/>
      <c r="R334" s="123"/>
      <c r="S334" s="123"/>
      <c r="T334" s="124"/>
    </row>
    <row r="335" spans="1:20" ht="18.7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4"/>
      <c r="N335" s="124"/>
      <c r="O335" s="125"/>
      <c r="P335" s="125"/>
      <c r="Q335" s="125"/>
      <c r="R335" s="123"/>
      <c r="S335" s="123"/>
      <c r="T335" s="124"/>
    </row>
    <row r="336" spans="1:20" ht="18.75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4"/>
      <c r="N336" s="124"/>
      <c r="O336" s="125"/>
      <c r="P336" s="125"/>
      <c r="Q336" s="125"/>
      <c r="R336" s="123"/>
      <c r="S336" s="123"/>
      <c r="T336" s="124"/>
    </row>
    <row r="337" spans="1:20" ht="18.75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4"/>
      <c r="N337" s="124"/>
      <c r="O337" s="125"/>
      <c r="P337" s="125"/>
      <c r="Q337" s="125"/>
      <c r="R337" s="123"/>
      <c r="S337" s="123"/>
      <c r="T337" s="124"/>
    </row>
    <row r="338" spans="1:20" ht="18.75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4"/>
      <c r="N338" s="124"/>
      <c r="O338" s="125"/>
      <c r="P338" s="125"/>
      <c r="Q338" s="125"/>
      <c r="R338" s="123"/>
      <c r="S338" s="123"/>
      <c r="T338" s="124"/>
    </row>
    <row r="339" spans="1:20" ht="18.75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4"/>
      <c r="N339" s="124"/>
      <c r="O339" s="125"/>
      <c r="P339" s="125"/>
      <c r="Q339" s="125"/>
      <c r="R339" s="123"/>
      <c r="S339" s="123"/>
      <c r="T339" s="124"/>
    </row>
    <row r="340" spans="1:20" ht="18.75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4"/>
      <c r="N340" s="124"/>
      <c r="O340" s="125"/>
      <c r="P340" s="125"/>
      <c r="Q340" s="125"/>
      <c r="R340" s="123"/>
      <c r="S340" s="123"/>
      <c r="T340" s="124"/>
    </row>
    <row r="341" spans="1:20" ht="18.75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4"/>
      <c r="N341" s="124"/>
      <c r="O341" s="125"/>
      <c r="P341" s="125"/>
      <c r="Q341" s="125"/>
      <c r="R341" s="123"/>
      <c r="S341" s="123"/>
      <c r="T341" s="124"/>
    </row>
    <row r="342" spans="1:20" ht="18.75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4"/>
      <c r="N342" s="124"/>
      <c r="O342" s="125"/>
      <c r="P342" s="125"/>
      <c r="Q342" s="125"/>
      <c r="R342" s="123"/>
      <c r="S342" s="123"/>
      <c r="T342" s="124"/>
    </row>
    <row r="343" spans="1:20" ht="18.75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4"/>
      <c r="N343" s="124"/>
      <c r="O343" s="125"/>
      <c r="P343" s="125"/>
      <c r="Q343" s="125"/>
      <c r="R343" s="123"/>
      <c r="S343" s="123"/>
      <c r="T343" s="124"/>
    </row>
    <row r="344" spans="1:20" ht="18.75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4"/>
      <c r="N344" s="124"/>
      <c r="O344" s="125"/>
      <c r="P344" s="125"/>
      <c r="Q344" s="125"/>
      <c r="R344" s="123"/>
      <c r="S344" s="123"/>
      <c r="T344" s="124"/>
    </row>
    <row r="345" spans="1:20" ht="18.75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4"/>
      <c r="N345" s="124"/>
      <c r="O345" s="125"/>
      <c r="P345" s="125"/>
      <c r="Q345" s="125"/>
      <c r="R345" s="123"/>
      <c r="S345" s="123"/>
      <c r="T345" s="124"/>
    </row>
    <row r="346" spans="1:20" ht="18.75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4"/>
      <c r="N346" s="124"/>
      <c r="O346" s="125"/>
      <c r="P346" s="125"/>
      <c r="Q346" s="125"/>
      <c r="R346" s="123"/>
      <c r="S346" s="123"/>
      <c r="T346" s="124"/>
    </row>
    <row r="347" spans="1:20" ht="18.75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4"/>
      <c r="N347" s="124"/>
      <c r="O347" s="125"/>
      <c r="P347" s="125"/>
      <c r="Q347" s="125"/>
      <c r="R347" s="123"/>
      <c r="S347" s="123"/>
      <c r="T347" s="124"/>
    </row>
    <row r="348" spans="1:20" ht="18.75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4"/>
      <c r="N348" s="124"/>
      <c r="O348" s="125"/>
      <c r="P348" s="125"/>
      <c r="Q348" s="125"/>
      <c r="R348" s="123"/>
      <c r="S348" s="123"/>
      <c r="T348" s="124"/>
    </row>
    <row r="349" spans="1:20" ht="18.75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4"/>
      <c r="N349" s="124"/>
      <c r="O349" s="125"/>
      <c r="P349" s="125"/>
      <c r="Q349" s="125"/>
      <c r="R349" s="123"/>
      <c r="S349" s="123"/>
      <c r="T349" s="124"/>
    </row>
    <row r="350" spans="1:20" ht="18.75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4"/>
      <c r="N350" s="124"/>
      <c r="O350" s="125"/>
      <c r="P350" s="125"/>
      <c r="Q350" s="125"/>
      <c r="R350" s="123"/>
      <c r="S350" s="123"/>
      <c r="T350" s="124"/>
    </row>
    <row r="351" spans="1:20" ht="18.75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4"/>
      <c r="N351" s="124"/>
      <c r="O351" s="125"/>
      <c r="P351" s="125"/>
      <c r="Q351" s="125"/>
      <c r="R351" s="123"/>
      <c r="S351" s="123"/>
      <c r="T351" s="124"/>
    </row>
    <row r="352" spans="1:20" ht="18.75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4"/>
      <c r="N352" s="124"/>
      <c r="O352" s="125"/>
      <c r="P352" s="125"/>
      <c r="Q352" s="125"/>
      <c r="R352" s="123"/>
      <c r="S352" s="123"/>
      <c r="T352" s="124"/>
    </row>
    <row r="353" spans="1:20" ht="18.75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4"/>
      <c r="N353" s="124"/>
      <c r="O353" s="125"/>
      <c r="P353" s="125"/>
      <c r="Q353" s="125"/>
      <c r="R353" s="123"/>
      <c r="S353" s="123"/>
      <c r="T353" s="124"/>
    </row>
    <row r="354" spans="1:20" ht="18.75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4"/>
      <c r="N354" s="124"/>
      <c r="O354" s="125"/>
      <c r="P354" s="125"/>
      <c r="Q354" s="125"/>
      <c r="R354" s="123"/>
      <c r="S354" s="123"/>
      <c r="T354" s="124"/>
    </row>
    <row r="355" spans="1:20" ht="18.75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4"/>
      <c r="N355" s="124"/>
      <c r="O355" s="125"/>
      <c r="P355" s="125"/>
      <c r="Q355" s="125"/>
      <c r="R355" s="123"/>
      <c r="S355" s="123"/>
      <c r="T355" s="124"/>
    </row>
    <row r="356" spans="1:20" ht="18.75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4"/>
      <c r="N356" s="124"/>
      <c r="O356" s="125"/>
      <c r="P356" s="125"/>
      <c r="Q356" s="125"/>
      <c r="R356" s="123"/>
      <c r="S356" s="123"/>
      <c r="T356" s="124"/>
    </row>
    <row r="357" spans="1:20" ht="18.75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4"/>
      <c r="N357" s="124"/>
      <c r="O357" s="125"/>
      <c r="P357" s="125"/>
      <c r="Q357" s="125"/>
      <c r="R357" s="123"/>
      <c r="S357" s="123"/>
      <c r="T357" s="124"/>
    </row>
    <row r="358" spans="1:20" ht="18.75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4"/>
      <c r="N358" s="124"/>
      <c r="O358" s="125"/>
      <c r="P358" s="125"/>
      <c r="Q358" s="125"/>
      <c r="R358" s="123"/>
      <c r="S358" s="123"/>
      <c r="T358" s="124"/>
    </row>
    <row r="359" spans="1:20" ht="18.75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4"/>
      <c r="N359" s="124"/>
      <c r="O359" s="125"/>
      <c r="P359" s="125"/>
      <c r="Q359" s="125"/>
      <c r="R359" s="123"/>
      <c r="S359" s="123"/>
      <c r="T359" s="124"/>
    </row>
    <row r="360" spans="1:20" ht="18.75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4"/>
      <c r="N360" s="124"/>
      <c r="O360" s="125"/>
      <c r="P360" s="125"/>
      <c r="Q360" s="125"/>
      <c r="R360" s="123"/>
      <c r="S360" s="123"/>
      <c r="T360" s="124"/>
    </row>
    <row r="361" spans="1:20" ht="18.75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4"/>
      <c r="N361" s="124"/>
      <c r="O361" s="125"/>
      <c r="P361" s="125"/>
      <c r="Q361" s="125"/>
      <c r="R361" s="123"/>
      <c r="S361" s="123"/>
      <c r="T361" s="124"/>
    </row>
    <row r="362" spans="1:20" ht="18.75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4"/>
      <c r="N362" s="124"/>
      <c r="O362" s="125"/>
      <c r="P362" s="125"/>
      <c r="Q362" s="125"/>
      <c r="R362" s="123"/>
      <c r="S362" s="123"/>
      <c r="T362" s="124"/>
    </row>
    <row r="363" spans="1:20" ht="18.75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4"/>
      <c r="N363" s="124"/>
      <c r="O363" s="125"/>
      <c r="P363" s="125"/>
      <c r="Q363" s="125"/>
      <c r="R363" s="123"/>
      <c r="S363" s="123"/>
      <c r="T363" s="124"/>
    </row>
    <row r="364" spans="1:20" ht="18.75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4"/>
      <c r="N364" s="124"/>
      <c r="O364" s="125"/>
      <c r="P364" s="125"/>
      <c r="Q364" s="125"/>
      <c r="R364" s="123"/>
      <c r="S364" s="123"/>
      <c r="T364" s="124"/>
    </row>
    <row r="365" spans="1:20" ht="18.75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4"/>
      <c r="N365" s="124"/>
      <c r="O365" s="125"/>
      <c r="P365" s="125"/>
      <c r="Q365" s="125"/>
      <c r="R365" s="123"/>
      <c r="S365" s="123"/>
      <c r="T365" s="124"/>
    </row>
    <row r="366" spans="1:20" ht="18.7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N366" s="124"/>
      <c r="O366" s="125"/>
      <c r="P366" s="125"/>
      <c r="Q366" s="125"/>
      <c r="R366" s="123"/>
      <c r="S366" s="123"/>
      <c r="T366" s="124"/>
    </row>
    <row r="367" spans="1:20" ht="18.7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4"/>
      <c r="N367" s="124"/>
      <c r="O367" s="125"/>
      <c r="P367" s="125"/>
      <c r="Q367" s="125"/>
      <c r="R367" s="123"/>
      <c r="S367" s="123"/>
      <c r="T367" s="124"/>
    </row>
    <row r="368" spans="1:20" ht="18.7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4"/>
      <c r="N368" s="124"/>
      <c r="O368" s="125"/>
      <c r="P368" s="125"/>
      <c r="Q368" s="125"/>
      <c r="R368" s="123"/>
      <c r="S368" s="123"/>
      <c r="T368" s="124"/>
    </row>
    <row r="369" spans="1:20" ht="18.7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  <c r="N369" s="124"/>
      <c r="O369" s="125"/>
      <c r="P369" s="125"/>
      <c r="Q369" s="125"/>
      <c r="R369" s="123"/>
      <c r="S369" s="123"/>
      <c r="T369" s="124"/>
    </row>
    <row r="370" spans="1:20" ht="18.7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4"/>
      <c r="N370" s="124"/>
      <c r="O370" s="125"/>
      <c r="P370" s="125"/>
      <c r="Q370" s="125"/>
      <c r="R370" s="123"/>
      <c r="S370" s="123"/>
      <c r="T370" s="124"/>
    </row>
    <row r="371" spans="1:20" ht="18.7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4"/>
      <c r="N371" s="124"/>
      <c r="O371" s="125"/>
      <c r="P371" s="125"/>
      <c r="Q371" s="125"/>
      <c r="R371" s="123"/>
      <c r="S371" s="123"/>
      <c r="T371" s="124"/>
    </row>
    <row r="372" spans="1:20" ht="18.7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4"/>
      <c r="N372" s="124"/>
      <c r="O372" s="125"/>
      <c r="P372" s="125"/>
      <c r="Q372" s="125"/>
      <c r="R372" s="123"/>
      <c r="S372" s="123"/>
      <c r="T372" s="124"/>
    </row>
    <row r="373" spans="1:20" ht="18.7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4"/>
      <c r="N373" s="124"/>
      <c r="O373" s="125"/>
      <c r="P373" s="125"/>
      <c r="Q373" s="125"/>
      <c r="R373" s="123"/>
      <c r="S373" s="123"/>
      <c r="T373" s="124"/>
    </row>
    <row r="374" spans="1:20" ht="18.7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4"/>
      <c r="N374" s="124"/>
      <c r="O374" s="125"/>
      <c r="P374" s="125"/>
      <c r="Q374" s="125"/>
      <c r="R374" s="123"/>
      <c r="S374" s="123"/>
      <c r="T374" s="124"/>
    </row>
    <row r="375" spans="1:20" ht="18.7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4"/>
      <c r="N375" s="124"/>
      <c r="O375" s="125"/>
      <c r="P375" s="125"/>
      <c r="Q375" s="125"/>
      <c r="R375" s="123"/>
      <c r="S375" s="123"/>
      <c r="T375" s="124"/>
    </row>
    <row r="376" spans="1:20" ht="18.75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4"/>
      <c r="N376" s="124"/>
      <c r="O376" s="125"/>
      <c r="P376" s="125"/>
      <c r="Q376" s="125"/>
      <c r="R376" s="123"/>
      <c r="S376" s="123"/>
      <c r="T376" s="124"/>
    </row>
    <row r="377" spans="1:20" ht="18.75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4"/>
      <c r="N377" s="124"/>
      <c r="O377" s="125"/>
      <c r="P377" s="125"/>
      <c r="Q377" s="125"/>
      <c r="R377" s="123"/>
      <c r="S377" s="123"/>
      <c r="T377" s="124"/>
    </row>
    <row r="378" spans="1:20" ht="18.75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4"/>
      <c r="N378" s="124"/>
      <c r="O378" s="125"/>
      <c r="P378" s="125"/>
      <c r="Q378" s="125"/>
      <c r="R378" s="123"/>
      <c r="S378" s="123"/>
      <c r="T378" s="124"/>
    </row>
    <row r="379" spans="1:20" ht="18.75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4"/>
      <c r="N379" s="124"/>
      <c r="O379" s="125"/>
      <c r="P379" s="125"/>
      <c r="Q379" s="125"/>
      <c r="R379" s="123"/>
      <c r="S379" s="123"/>
      <c r="T379" s="124"/>
    </row>
    <row r="380" spans="1:20" ht="18.75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4"/>
      <c r="N380" s="124"/>
      <c r="O380" s="125"/>
      <c r="P380" s="125"/>
      <c r="Q380" s="125"/>
      <c r="R380" s="123"/>
      <c r="S380" s="123"/>
      <c r="T380" s="124"/>
    </row>
    <row r="381" spans="1:20" ht="18.75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4"/>
      <c r="N381" s="124"/>
      <c r="O381" s="125"/>
      <c r="P381" s="125"/>
      <c r="Q381" s="125"/>
      <c r="R381" s="123"/>
      <c r="S381" s="123"/>
      <c r="T381" s="124"/>
    </row>
    <row r="382" spans="1:20" ht="18.75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4"/>
      <c r="N382" s="124"/>
      <c r="O382" s="125"/>
      <c r="P382" s="125"/>
      <c r="Q382" s="125"/>
      <c r="R382" s="123"/>
      <c r="S382" s="123"/>
      <c r="T382" s="124"/>
    </row>
    <row r="383" spans="1:20" ht="18.75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4"/>
      <c r="N383" s="124"/>
      <c r="O383" s="125"/>
      <c r="P383" s="125"/>
      <c r="Q383" s="125"/>
      <c r="R383" s="123"/>
      <c r="S383" s="123"/>
      <c r="T383" s="124"/>
    </row>
    <row r="384" spans="1:20" ht="18.75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4"/>
      <c r="N384" s="124"/>
      <c r="O384" s="125"/>
      <c r="P384" s="125"/>
      <c r="Q384" s="125"/>
      <c r="R384" s="123"/>
      <c r="S384" s="123"/>
      <c r="T384" s="124"/>
    </row>
    <row r="385" spans="1:20" ht="18.75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4"/>
      <c r="N385" s="124"/>
      <c r="O385" s="125"/>
      <c r="P385" s="125"/>
      <c r="Q385" s="125"/>
      <c r="R385" s="123"/>
      <c r="S385" s="123"/>
      <c r="T385" s="124"/>
    </row>
    <row r="386" spans="1:20" ht="18.75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4"/>
      <c r="N386" s="124"/>
      <c r="O386" s="125"/>
      <c r="P386" s="125"/>
      <c r="Q386" s="125"/>
      <c r="R386" s="123"/>
      <c r="S386" s="123"/>
      <c r="T386" s="124"/>
    </row>
    <row r="387" spans="1:20" ht="18.75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4"/>
      <c r="N387" s="124"/>
      <c r="O387" s="125"/>
      <c r="P387" s="125"/>
      <c r="Q387" s="125"/>
      <c r="R387" s="123"/>
      <c r="S387" s="123"/>
      <c r="T387" s="124"/>
    </row>
    <row r="388" spans="1:20" ht="18.75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4"/>
      <c r="N388" s="124"/>
      <c r="O388" s="125"/>
      <c r="P388" s="125"/>
      <c r="Q388" s="125"/>
      <c r="R388" s="123"/>
      <c r="S388" s="123"/>
      <c r="T388" s="124"/>
    </row>
    <row r="389" spans="1:20" ht="18.75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4"/>
      <c r="N389" s="124"/>
      <c r="O389" s="125"/>
      <c r="P389" s="125"/>
      <c r="Q389" s="125"/>
      <c r="R389" s="123"/>
      <c r="S389" s="123"/>
      <c r="T389" s="124"/>
    </row>
    <row r="390" spans="1:20" ht="18.75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4"/>
      <c r="N390" s="124"/>
      <c r="O390" s="125"/>
      <c r="P390" s="125"/>
      <c r="Q390" s="125"/>
      <c r="R390" s="123"/>
      <c r="S390" s="123"/>
      <c r="T390" s="124"/>
    </row>
    <row r="391" spans="1:20" ht="18.75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4"/>
      <c r="N391" s="124"/>
      <c r="O391" s="125"/>
      <c r="P391" s="125"/>
      <c r="Q391" s="125"/>
      <c r="R391" s="123"/>
      <c r="S391" s="123"/>
      <c r="T391" s="124"/>
    </row>
    <row r="392" spans="1:20" ht="18.75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4"/>
      <c r="N392" s="124"/>
      <c r="O392" s="125"/>
      <c r="P392" s="125"/>
      <c r="Q392" s="125"/>
      <c r="R392" s="123"/>
      <c r="S392" s="123"/>
      <c r="T392" s="124"/>
    </row>
    <row r="393" spans="1:20" ht="18.75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4"/>
      <c r="N393" s="124"/>
      <c r="O393" s="125"/>
      <c r="P393" s="125"/>
      <c r="Q393" s="125"/>
      <c r="R393" s="123"/>
      <c r="S393" s="123"/>
      <c r="T393" s="124"/>
    </row>
    <row r="394" spans="1:20" ht="18.75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4"/>
      <c r="N394" s="124"/>
      <c r="O394" s="125"/>
      <c r="P394" s="125"/>
      <c r="Q394" s="125"/>
      <c r="R394" s="123"/>
      <c r="S394" s="123"/>
      <c r="T394" s="124"/>
    </row>
    <row r="395" spans="1:20" ht="18.75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4"/>
      <c r="N395" s="124"/>
      <c r="O395" s="125"/>
      <c r="P395" s="125"/>
      <c r="Q395" s="125"/>
      <c r="R395" s="123"/>
      <c r="S395" s="123"/>
      <c r="T395" s="124"/>
    </row>
    <row r="396" spans="1:20" ht="18.75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4"/>
      <c r="N396" s="124"/>
      <c r="O396" s="125"/>
      <c r="P396" s="125"/>
      <c r="Q396" s="125"/>
      <c r="R396" s="123"/>
      <c r="S396" s="123"/>
      <c r="T396" s="124"/>
    </row>
    <row r="397" spans="1:20" ht="18.75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4"/>
      <c r="N397" s="124"/>
      <c r="O397" s="125"/>
      <c r="P397" s="125"/>
      <c r="Q397" s="125"/>
      <c r="R397" s="123"/>
      <c r="S397" s="123"/>
      <c r="T397" s="124"/>
    </row>
    <row r="398" spans="1:20" ht="18.75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4"/>
      <c r="N398" s="124"/>
      <c r="O398" s="125"/>
      <c r="P398" s="125"/>
      <c r="Q398" s="125"/>
      <c r="R398" s="123"/>
      <c r="S398" s="123"/>
      <c r="T398" s="124"/>
    </row>
    <row r="399" spans="1:20" ht="18.75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4"/>
      <c r="N399" s="124"/>
      <c r="O399" s="125"/>
      <c r="P399" s="125"/>
      <c r="Q399" s="125"/>
      <c r="R399" s="123"/>
      <c r="S399" s="123"/>
      <c r="T399" s="124"/>
    </row>
    <row r="400" spans="1:20" ht="18.75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4"/>
      <c r="N400" s="124"/>
      <c r="O400" s="125"/>
      <c r="P400" s="125"/>
      <c r="Q400" s="125"/>
      <c r="R400" s="123"/>
      <c r="S400" s="123"/>
      <c r="T400" s="124"/>
    </row>
    <row r="401" spans="1:20" ht="18.75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4"/>
      <c r="N401" s="124"/>
      <c r="O401" s="125"/>
      <c r="P401" s="125"/>
      <c r="Q401" s="125"/>
      <c r="R401" s="123"/>
      <c r="S401" s="123"/>
      <c r="T401" s="124"/>
    </row>
    <row r="402" spans="1:20" ht="18.75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  <c r="N402" s="124"/>
      <c r="O402" s="125"/>
      <c r="P402" s="125"/>
      <c r="Q402" s="125"/>
      <c r="R402" s="123"/>
      <c r="S402" s="123"/>
      <c r="T402" s="124"/>
    </row>
    <row r="403" spans="1:20" ht="18.75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4"/>
      <c r="N403" s="124"/>
      <c r="O403" s="125"/>
      <c r="P403" s="125"/>
      <c r="Q403" s="125"/>
      <c r="R403" s="123"/>
      <c r="S403" s="123"/>
      <c r="T403" s="124"/>
    </row>
    <row r="404" spans="1:20" ht="18.75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4"/>
      <c r="N404" s="124"/>
      <c r="O404" s="125"/>
      <c r="P404" s="125"/>
      <c r="Q404" s="125"/>
      <c r="R404" s="123"/>
      <c r="S404" s="123"/>
      <c r="T404" s="124"/>
    </row>
    <row r="405" spans="1:20" ht="18.7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4"/>
      <c r="N405" s="124"/>
      <c r="O405" s="125"/>
      <c r="P405" s="125"/>
      <c r="Q405" s="125"/>
      <c r="R405" s="123"/>
      <c r="S405" s="123"/>
      <c r="T405" s="124"/>
    </row>
    <row r="406" spans="1:20" ht="18.7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4"/>
      <c r="N406" s="124"/>
      <c r="O406" s="125"/>
      <c r="P406" s="125"/>
      <c r="Q406" s="125"/>
      <c r="R406" s="123"/>
      <c r="S406" s="123"/>
      <c r="T406" s="124"/>
    </row>
    <row r="407" spans="1:20" ht="18.7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4"/>
      <c r="N407" s="124"/>
      <c r="O407" s="125"/>
      <c r="P407" s="125"/>
      <c r="Q407" s="125"/>
      <c r="R407" s="123"/>
      <c r="S407" s="123"/>
      <c r="T407" s="124"/>
    </row>
    <row r="408" spans="1:20" ht="18.7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4"/>
      <c r="N408" s="124"/>
      <c r="O408" s="125"/>
      <c r="P408" s="125"/>
      <c r="Q408" s="125"/>
      <c r="R408" s="123"/>
      <c r="S408" s="123"/>
      <c r="T408" s="124"/>
    </row>
    <row r="409" spans="1:20" ht="18.7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4"/>
      <c r="N409" s="124"/>
      <c r="O409" s="125"/>
      <c r="P409" s="125"/>
      <c r="Q409" s="125"/>
      <c r="R409" s="123"/>
      <c r="S409" s="123"/>
      <c r="T409" s="124"/>
    </row>
    <row r="410" spans="1:20" ht="18.7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4"/>
      <c r="N410" s="124"/>
      <c r="O410" s="125"/>
      <c r="P410" s="125"/>
      <c r="Q410" s="125"/>
      <c r="R410" s="123"/>
      <c r="S410" s="123"/>
      <c r="T410" s="124"/>
    </row>
    <row r="411" spans="1:20" ht="18.7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4"/>
      <c r="N411" s="124"/>
      <c r="O411" s="125"/>
      <c r="P411" s="125"/>
      <c r="Q411" s="125"/>
      <c r="R411" s="123"/>
      <c r="S411" s="123"/>
      <c r="T411" s="124"/>
    </row>
    <row r="412" spans="1:20" ht="18.75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4"/>
      <c r="N412" s="124"/>
      <c r="O412" s="125"/>
      <c r="P412" s="125"/>
      <c r="Q412" s="125"/>
      <c r="R412" s="123"/>
      <c r="S412" s="123"/>
      <c r="T412" s="124"/>
    </row>
    <row r="413" spans="1:20" ht="18.75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4"/>
      <c r="N413" s="124"/>
      <c r="O413" s="125"/>
      <c r="P413" s="125"/>
      <c r="Q413" s="125"/>
      <c r="R413" s="123"/>
      <c r="S413" s="123"/>
      <c r="T413" s="124"/>
    </row>
    <row r="414" spans="1:20" ht="18.75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4"/>
      <c r="N414" s="124"/>
      <c r="O414" s="125"/>
      <c r="P414" s="125"/>
      <c r="Q414" s="125"/>
      <c r="R414" s="123"/>
      <c r="S414" s="123"/>
      <c r="T414" s="124"/>
    </row>
    <row r="415" spans="1:20" ht="18.75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4"/>
      <c r="N415" s="124"/>
      <c r="O415" s="125"/>
      <c r="P415" s="125"/>
      <c r="Q415" s="125"/>
      <c r="R415" s="123"/>
      <c r="S415" s="123"/>
      <c r="T415" s="124"/>
    </row>
    <row r="416" spans="1:20" ht="18.75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4"/>
      <c r="N416" s="124"/>
      <c r="O416" s="125"/>
      <c r="P416" s="125"/>
      <c r="Q416" s="125"/>
      <c r="R416" s="123"/>
      <c r="S416" s="123"/>
      <c r="T416" s="124"/>
    </row>
    <row r="417" spans="1:20" ht="18.75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/>
      <c r="N417" s="124"/>
      <c r="O417" s="125"/>
      <c r="P417" s="125"/>
      <c r="Q417" s="125"/>
      <c r="R417" s="123"/>
      <c r="S417" s="123"/>
      <c r="T417" s="124"/>
    </row>
    <row r="418" spans="1:20" ht="18.75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/>
      <c r="N418" s="124"/>
      <c r="O418" s="125"/>
      <c r="P418" s="125"/>
      <c r="Q418" s="125"/>
      <c r="R418" s="123"/>
      <c r="S418" s="123"/>
      <c r="T418" s="124"/>
    </row>
    <row r="419" spans="1:20" ht="18.75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4"/>
      <c r="N419" s="124"/>
      <c r="O419" s="125"/>
      <c r="P419" s="125"/>
      <c r="Q419" s="125"/>
      <c r="R419" s="123"/>
      <c r="S419" s="123"/>
      <c r="T419" s="124"/>
    </row>
    <row r="420" spans="1:20" ht="18.7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4"/>
      <c r="N420" s="124"/>
      <c r="O420" s="125"/>
      <c r="P420" s="125"/>
      <c r="Q420" s="125"/>
      <c r="R420" s="123"/>
      <c r="S420" s="123"/>
      <c r="T420" s="124"/>
    </row>
    <row r="421" spans="1:20" ht="18.75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4"/>
      <c r="N421" s="124"/>
      <c r="O421" s="125"/>
      <c r="P421" s="125"/>
      <c r="Q421" s="125"/>
      <c r="R421" s="123"/>
      <c r="S421" s="123"/>
      <c r="T421" s="124"/>
    </row>
    <row r="422" spans="1:20" ht="18.75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4"/>
      <c r="N422" s="124"/>
      <c r="O422" s="125"/>
      <c r="P422" s="125"/>
      <c r="Q422" s="125"/>
      <c r="R422" s="123"/>
      <c r="S422" s="123"/>
      <c r="T422" s="124"/>
    </row>
    <row r="423" spans="1:20" ht="18.75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4"/>
      <c r="N423" s="124"/>
      <c r="O423" s="125"/>
      <c r="P423" s="125"/>
      <c r="Q423" s="125"/>
      <c r="R423" s="123"/>
      <c r="S423" s="123"/>
      <c r="T423" s="124"/>
    </row>
    <row r="424" spans="1:20" ht="18.75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4"/>
      <c r="N424" s="124"/>
      <c r="O424" s="125"/>
      <c r="P424" s="125"/>
      <c r="Q424" s="125"/>
      <c r="R424" s="123"/>
      <c r="S424" s="123"/>
      <c r="T424" s="124"/>
    </row>
    <row r="425" spans="1:20" ht="18.75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4"/>
      <c r="N425" s="124"/>
      <c r="O425" s="125"/>
      <c r="P425" s="125"/>
      <c r="Q425" s="125"/>
      <c r="R425" s="123"/>
      <c r="S425" s="123"/>
      <c r="T425" s="124"/>
    </row>
    <row r="426" spans="1:20" ht="18.75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4"/>
      <c r="N426" s="124"/>
      <c r="O426" s="125"/>
      <c r="P426" s="125"/>
      <c r="Q426" s="125"/>
      <c r="R426" s="123"/>
      <c r="S426" s="123"/>
      <c r="T426" s="124"/>
    </row>
    <row r="427" spans="1:20" ht="18.7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4"/>
      <c r="N427" s="124"/>
      <c r="O427" s="125"/>
      <c r="P427" s="125"/>
      <c r="Q427" s="125"/>
      <c r="R427" s="123"/>
      <c r="S427" s="123"/>
      <c r="T427" s="124"/>
    </row>
    <row r="428" spans="1:20" ht="18.7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4"/>
      <c r="N428" s="124"/>
      <c r="O428" s="125"/>
      <c r="P428" s="125"/>
      <c r="Q428" s="125"/>
      <c r="R428" s="123"/>
      <c r="S428" s="123"/>
      <c r="T428" s="124"/>
    </row>
    <row r="429" spans="1:20" ht="18.7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4"/>
      <c r="N429" s="124"/>
      <c r="O429" s="125"/>
      <c r="P429" s="125"/>
      <c r="Q429" s="125"/>
      <c r="R429" s="123"/>
      <c r="S429" s="123"/>
      <c r="T429" s="124"/>
    </row>
    <row r="430" spans="1:20" ht="18.7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4"/>
      <c r="N430" s="124"/>
      <c r="O430" s="125"/>
      <c r="P430" s="125"/>
      <c r="Q430" s="125"/>
      <c r="R430" s="123"/>
      <c r="S430" s="123"/>
      <c r="T430" s="124"/>
    </row>
    <row r="431" spans="1:20" ht="18.7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4"/>
      <c r="O431" s="125"/>
      <c r="P431" s="125"/>
      <c r="Q431" s="125"/>
      <c r="R431" s="123"/>
      <c r="S431" s="123"/>
      <c r="T431" s="124"/>
    </row>
    <row r="432" spans="1:20" ht="18.7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4"/>
      <c r="O432" s="125"/>
      <c r="P432" s="125"/>
      <c r="Q432" s="125"/>
      <c r="R432" s="123"/>
      <c r="S432" s="123"/>
      <c r="T432" s="124"/>
    </row>
    <row r="433" spans="1:20" ht="18.7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4"/>
      <c r="O433" s="125"/>
      <c r="P433" s="125"/>
      <c r="Q433" s="125"/>
      <c r="R433" s="123"/>
      <c r="S433" s="123"/>
      <c r="T433" s="124"/>
    </row>
    <row r="434" spans="1:20" ht="18.7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4"/>
      <c r="O434" s="125"/>
      <c r="P434" s="125"/>
      <c r="Q434" s="125"/>
      <c r="R434" s="123"/>
      <c r="S434" s="123"/>
      <c r="T434" s="124"/>
    </row>
    <row r="435" spans="1:20" ht="18.7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4"/>
      <c r="O435" s="125"/>
      <c r="P435" s="125"/>
      <c r="Q435" s="125"/>
      <c r="R435" s="123"/>
      <c r="S435" s="123"/>
      <c r="T435" s="124"/>
    </row>
    <row r="436" spans="1:20" ht="18.7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4"/>
      <c r="O436" s="125"/>
      <c r="P436" s="125"/>
      <c r="Q436" s="125"/>
      <c r="R436" s="123"/>
      <c r="S436" s="123"/>
      <c r="T436" s="124"/>
    </row>
    <row r="437" spans="1:20" ht="18.7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4"/>
      <c r="O437" s="125"/>
      <c r="P437" s="125"/>
      <c r="Q437" s="125"/>
      <c r="R437" s="123"/>
      <c r="S437" s="123"/>
      <c r="T437" s="124"/>
    </row>
    <row r="438" spans="1:20" ht="18.7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4"/>
      <c r="O438" s="125"/>
      <c r="P438" s="125"/>
      <c r="Q438" s="125"/>
      <c r="R438" s="123"/>
      <c r="S438" s="123"/>
      <c r="T438" s="124"/>
    </row>
    <row r="439" spans="1:20" ht="18.7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4"/>
      <c r="O439" s="125"/>
      <c r="P439" s="125"/>
      <c r="Q439" s="125"/>
      <c r="R439" s="123"/>
      <c r="S439" s="123"/>
      <c r="T439" s="124"/>
    </row>
    <row r="440" spans="1:20" ht="18.7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4"/>
      <c r="O440" s="125"/>
      <c r="P440" s="125"/>
      <c r="Q440" s="125"/>
      <c r="R440" s="123"/>
      <c r="S440" s="123"/>
      <c r="T440" s="124"/>
    </row>
    <row r="441" spans="1:20" ht="18.7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4"/>
      <c r="O441" s="125"/>
      <c r="P441" s="125"/>
      <c r="Q441" s="125"/>
      <c r="R441" s="123"/>
      <c r="S441" s="123"/>
      <c r="T441" s="124"/>
    </row>
    <row r="442" spans="1:20" ht="18.7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4"/>
      <c r="O442" s="125"/>
      <c r="P442" s="125"/>
      <c r="Q442" s="125"/>
      <c r="R442" s="123"/>
      <c r="S442" s="123"/>
      <c r="T442" s="124"/>
    </row>
    <row r="443" spans="1:20" ht="18.7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4"/>
      <c r="O443" s="125"/>
      <c r="P443" s="125"/>
      <c r="Q443" s="125"/>
      <c r="R443" s="123"/>
      <c r="S443" s="123"/>
      <c r="T443" s="124"/>
    </row>
    <row r="444" spans="1:20" ht="18.7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4"/>
      <c r="O444" s="125"/>
      <c r="P444" s="125"/>
      <c r="Q444" s="125"/>
      <c r="R444" s="123"/>
      <c r="S444" s="123"/>
      <c r="T444" s="124"/>
    </row>
    <row r="445" spans="1:20" ht="18.7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4"/>
      <c r="O445" s="125"/>
      <c r="P445" s="125"/>
      <c r="Q445" s="125"/>
      <c r="R445" s="123"/>
      <c r="S445" s="123"/>
      <c r="T445" s="124"/>
    </row>
    <row r="446" spans="1:20" ht="18.7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4"/>
      <c r="O446" s="125"/>
      <c r="P446" s="125"/>
      <c r="Q446" s="125"/>
      <c r="R446" s="123"/>
      <c r="S446" s="123"/>
      <c r="T446" s="124"/>
    </row>
    <row r="447" spans="1:20" ht="18.7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4"/>
      <c r="O447" s="125"/>
      <c r="P447" s="125"/>
      <c r="Q447" s="125"/>
      <c r="R447" s="123"/>
      <c r="S447" s="123"/>
      <c r="T447" s="124"/>
    </row>
    <row r="448" spans="1:20" ht="18.7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4"/>
      <c r="O448" s="125"/>
      <c r="P448" s="125"/>
      <c r="Q448" s="125"/>
      <c r="R448" s="123"/>
      <c r="S448" s="123"/>
      <c r="T448" s="124"/>
    </row>
    <row r="449" spans="1:20" ht="18.7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4"/>
      <c r="O449" s="125"/>
      <c r="P449" s="125"/>
      <c r="Q449" s="125"/>
      <c r="R449" s="123"/>
      <c r="S449" s="123"/>
      <c r="T449" s="124"/>
    </row>
    <row r="450" spans="1:20" ht="18.7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4"/>
      <c r="O450" s="125"/>
      <c r="P450" s="125"/>
      <c r="Q450" s="125"/>
      <c r="R450" s="123"/>
      <c r="S450" s="123"/>
      <c r="T450" s="124"/>
    </row>
    <row r="451" spans="1:20" ht="18.75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4"/>
      <c r="O451" s="125"/>
      <c r="P451" s="125"/>
      <c r="Q451" s="125"/>
      <c r="R451" s="123"/>
      <c r="S451" s="123"/>
      <c r="T451" s="124"/>
    </row>
    <row r="452" spans="1:20" ht="18.75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4"/>
      <c r="O452" s="125"/>
      <c r="P452" s="125"/>
      <c r="Q452" s="125"/>
      <c r="R452" s="123"/>
      <c r="S452" s="123"/>
      <c r="T452" s="124"/>
    </row>
    <row r="453" spans="1:20" ht="18.75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4"/>
      <c r="O453" s="125"/>
      <c r="P453" s="125"/>
      <c r="Q453" s="125"/>
      <c r="R453" s="123"/>
      <c r="S453" s="123"/>
      <c r="T453" s="124"/>
    </row>
    <row r="454" spans="1:20" ht="18.75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4"/>
      <c r="O454" s="125"/>
      <c r="P454" s="125"/>
      <c r="Q454" s="125"/>
      <c r="R454" s="123"/>
      <c r="S454" s="123"/>
      <c r="T454" s="124"/>
    </row>
    <row r="455" spans="1:20" ht="18.75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4"/>
      <c r="O455" s="125"/>
      <c r="P455" s="125"/>
      <c r="Q455" s="125"/>
      <c r="R455" s="123"/>
      <c r="S455" s="123"/>
      <c r="T455" s="124"/>
    </row>
    <row r="456" spans="1:20" ht="18.75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4"/>
      <c r="O456" s="125"/>
      <c r="P456" s="125"/>
      <c r="Q456" s="125"/>
      <c r="R456" s="123"/>
      <c r="S456" s="123"/>
      <c r="T456" s="124"/>
    </row>
    <row r="457" spans="1:20" ht="18.75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4"/>
      <c r="O457" s="125"/>
      <c r="P457" s="125"/>
      <c r="Q457" s="125"/>
      <c r="R457" s="123"/>
      <c r="S457" s="123"/>
      <c r="T457" s="124"/>
    </row>
    <row r="458" spans="1:20" ht="18.75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4"/>
      <c r="O458" s="125"/>
      <c r="P458" s="125"/>
      <c r="Q458" s="125"/>
      <c r="R458" s="123"/>
      <c r="S458" s="123"/>
      <c r="T458" s="124"/>
    </row>
    <row r="459" spans="1:20" ht="18.75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4"/>
      <c r="O459" s="125"/>
      <c r="P459" s="125"/>
      <c r="Q459" s="125"/>
      <c r="R459" s="123"/>
      <c r="S459" s="123"/>
      <c r="T459" s="124"/>
    </row>
    <row r="460" spans="1:20" ht="18.75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4"/>
      <c r="O460" s="125"/>
      <c r="P460" s="125"/>
      <c r="Q460" s="125"/>
      <c r="R460" s="123"/>
      <c r="S460" s="123"/>
      <c r="T460" s="124"/>
    </row>
    <row r="461" spans="1:20" ht="18.75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4"/>
      <c r="O461" s="125"/>
      <c r="P461" s="125"/>
      <c r="Q461" s="125"/>
      <c r="R461" s="123"/>
      <c r="S461" s="123"/>
      <c r="T461" s="124"/>
    </row>
    <row r="462" spans="1:20" ht="18.75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4"/>
      <c r="O462" s="125"/>
      <c r="P462" s="125"/>
      <c r="Q462" s="125"/>
      <c r="R462" s="123"/>
      <c r="S462" s="123"/>
      <c r="T462" s="124"/>
    </row>
    <row r="463" spans="1:20" ht="18.75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4"/>
      <c r="O463" s="125"/>
      <c r="P463" s="125"/>
      <c r="Q463" s="125"/>
      <c r="R463" s="123"/>
      <c r="S463" s="123"/>
      <c r="T463" s="124"/>
    </row>
    <row r="464" spans="1:20" ht="18.75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4"/>
      <c r="O464" s="125"/>
      <c r="P464" s="125"/>
      <c r="Q464" s="125"/>
      <c r="R464" s="123"/>
      <c r="S464" s="123"/>
      <c r="T464" s="124"/>
    </row>
    <row r="465" spans="1:20" ht="18.75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4"/>
      <c r="O465" s="125"/>
      <c r="P465" s="125"/>
      <c r="Q465" s="125"/>
      <c r="R465" s="123"/>
      <c r="S465" s="123"/>
      <c r="T465" s="124"/>
    </row>
    <row r="466" spans="1:20" ht="18.75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4"/>
      <c r="O466" s="125"/>
      <c r="P466" s="125"/>
      <c r="Q466" s="125"/>
      <c r="R466" s="123"/>
      <c r="S466" s="123"/>
      <c r="T466" s="124"/>
    </row>
    <row r="467" spans="1:20" ht="18.75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4"/>
      <c r="O467" s="125"/>
      <c r="P467" s="125"/>
      <c r="Q467" s="125"/>
      <c r="R467" s="123"/>
      <c r="S467" s="123"/>
      <c r="T467" s="124"/>
    </row>
    <row r="468" spans="1:20" ht="18.75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4"/>
      <c r="O468" s="125"/>
      <c r="P468" s="125"/>
      <c r="Q468" s="125"/>
      <c r="R468" s="123"/>
      <c r="S468" s="123"/>
      <c r="T468" s="124"/>
    </row>
    <row r="469" spans="1:20" ht="18.75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4"/>
      <c r="O469" s="125"/>
      <c r="P469" s="125"/>
      <c r="Q469" s="125"/>
      <c r="R469" s="123"/>
      <c r="S469" s="123"/>
      <c r="T469" s="124"/>
    </row>
    <row r="470" spans="1:20" ht="18.75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4"/>
      <c r="O470" s="125"/>
      <c r="P470" s="125"/>
      <c r="Q470" s="125"/>
      <c r="R470" s="123"/>
      <c r="S470" s="123"/>
      <c r="T470" s="124"/>
    </row>
    <row r="471" spans="1:20" ht="18.75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4"/>
      <c r="O471" s="125"/>
      <c r="P471" s="125"/>
      <c r="Q471" s="125"/>
      <c r="R471" s="123"/>
      <c r="S471" s="123"/>
      <c r="T471" s="124"/>
    </row>
    <row r="472" spans="1:20" ht="18.75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4"/>
      <c r="O472" s="125"/>
      <c r="P472" s="125"/>
      <c r="Q472" s="125"/>
      <c r="R472" s="123"/>
      <c r="S472" s="123"/>
      <c r="T472" s="124"/>
    </row>
    <row r="473" spans="1:20" ht="18.75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4"/>
      <c r="O473" s="125"/>
      <c r="P473" s="125"/>
      <c r="Q473" s="125"/>
      <c r="R473" s="123"/>
      <c r="S473" s="123"/>
      <c r="T473" s="124"/>
    </row>
    <row r="474" spans="1:20" ht="18.75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4"/>
      <c r="O474" s="125"/>
      <c r="P474" s="125"/>
      <c r="Q474" s="125"/>
      <c r="R474" s="123"/>
      <c r="S474" s="123"/>
      <c r="T474" s="124"/>
    </row>
    <row r="475" spans="1:20" ht="18.75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4"/>
      <c r="O475" s="125"/>
      <c r="P475" s="125"/>
      <c r="Q475" s="125"/>
      <c r="R475" s="123"/>
      <c r="S475" s="123"/>
      <c r="T475" s="124"/>
    </row>
    <row r="476" spans="1:20" ht="18.75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4"/>
      <c r="O476" s="125"/>
      <c r="P476" s="125"/>
      <c r="Q476" s="125"/>
      <c r="R476" s="123"/>
      <c r="S476" s="123"/>
      <c r="T476" s="124"/>
    </row>
    <row r="477" spans="1:20" ht="18.75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4"/>
      <c r="O477" s="125"/>
      <c r="P477" s="125"/>
      <c r="Q477" s="125"/>
      <c r="R477" s="123"/>
      <c r="S477" s="123"/>
      <c r="T477" s="124"/>
    </row>
    <row r="478" spans="1:20" ht="18.75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4"/>
      <c r="O478" s="125"/>
      <c r="P478" s="125"/>
      <c r="Q478" s="125"/>
      <c r="R478" s="123"/>
      <c r="S478" s="123"/>
      <c r="T478" s="124"/>
    </row>
    <row r="479" spans="1:20" ht="18.75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4"/>
      <c r="O479" s="125"/>
      <c r="P479" s="125"/>
      <c r="Q479" s="125"/>
      <c r="R479" s="123"/>
      <c r="S479" s="123"/>
      <c r="T479" s="124"/>
    </row>
    <row r="480" spans="1:20" ht="18.75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4"/>
      <c r="O480" s="125"/>
      <c r="P480" s="125"/>
      <c r="Q480" s="125"/>
      <c r="R480" s="123"/>
      <c r="S480" s="123"/>
      <c r="T480" s="124"/>
    </row>
    <row r="481" spans="1:20" ht="18.75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4"/>
      <c r="O481" s="125"/>
      <c r="P481" s="125"/>
      <c r="Q481" s="125"/>
      <c r="R481" s="123"/>
      <c r="S481" s="123"/>
      <c r="T481" s="124"/>
    </row>
    <row r="482" spans="1:20" ht="18.75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4"/>
      <c r="O482" s="125"/>
      <c r="P482" s="125"/>
      <c r="Q482" s="125"/>
      <c r="R482" s="123"/>
      <c r="S482" s="123"/>
      <c r="T482" s="124"/>
    </row>
    <row r="483" spans="1:20" ht="18.75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4"/>
      <c r="O483" s="125"/>
      <c r="P483" s="125"/>
      <c r="Q483" s="125"/>
      <c r="R483" s="123"/>
      <c r="S483" s="123"/>
      <c r="T483" s="124"/>
    </row>
    <row r="484" spans="1:20" ht="18.75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4"/>
      <c r="O484" s="125"/>
      <c r="P484" s="125"/>
      <c r="Q484" s="125"/>
      <c r="R484" s="123"/>
      <c r="S484" s="123"/>
      <c r="T484" s="124"/>
    </row>
    <row r="485" spans="1:20" ht="18.75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4"/>
      <c r="O485" s="125"/>
      <c r="P485" s="125"/>
      <c r="Q485" s="125"/>
      <c r="R485" s="123"/>
      <c r="S485" s="123"/>
      <c r="T485" s="124"/>
    </row>
    <row r="486" spans="1:20" ht="18.75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4"/>
      <c r="O486" s="125"/>
      <c r="P486" s="125"/>
      <c r="Q486" s="125"/>
      <c r="R486" s="123"/>
      <c r="S486" s="123"/>
      <c r="T486" s="124"/>
    </row>
    <row r="487" spans="1:20" ht="18.75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4"/>
      <c r="O487" s="125"/>
      <c r="P487" s="125"/>
      <c r="Q487" s="125"/>
      <c r="R487" s="123"/>
      <c r="S487" s="123"/>
      <c r="T487" s="124"/>
    </row>
    <row r="488" spans="1:20" ht="18.75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4"/>
      <c r="O488" s="125"/>
      <c r="P488" s="125"/>
      <c r="Q488" s="125"/>
      <c r="R488" s="123"/>
      <c r="S488" s="123"/>
      <c r="T488" s="124"/>
    </row>
    <row r="489" spans="1:20" ht="18.75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4"/>
      <c r="O489" s="125"/>
      <c r="P489" s="125"/>
      <c r="Q489" s="125"/>
      <c r="R489" s="123"/>
      <c r="S489" s="123"/>
      <c r="T489" s="124"/>
    </row>
    <row r="490" spans="1:20" ht="18.75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4"/>
      <c r="O490" s="125"/>
      <c r="P490" s="125"/>
      <c r="Q490" s="125"/>
      <c r="R490" s="123"/>
      <c r="S490" s="123"/>
      <c r="T490" s="124"/>
    </row>
    <row r="491" spans="1:20" ht="18.75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4"/>
      <c r="O491" s="125"/>
      <c r="P491" s="125"/>
      <c r="Q491" s="125"/>
      <c r="R491" s="123"/>
      <c r="S491" s="123"/>
      <c r="T491" s="124"/>
    </row>
    <row r="492" spans="1:20" ht="18.75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4"/>
      <c r="O492" s="125"/>
      <c r="P492" s="125"/>
      <c r="Q492" s="125"/>
      <c r="R492" s="123"/>
      <c r="S492" s="123"/>
      <c r="T492" s="124"/>
    </row>
    <row r="493" spans="1:20" ht="18.75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4"/>
      <c r="O493" s="125"/>
      <c r="P493" s="125"/>
      <c r="Q493" s="125"/>
      <c r="R493" s="123"/>
      <c r="S493" s="123"/>
      <c r="T493" s="124"/>
    </row>
    <row r="494" spans="1:20" ht="18.75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4"/>
      <c r="O494" s="125"/>
      <c r="P494" s="125"/>
      <c r="Q494" s="125"/>
      <c r="R494" s="123"/>
      <c r="S494" s="123"/>
      <c r="T494" s="124"/>
    </row>
    <row r="495" spans="1:20" ht="18.75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4"/>
      <c r="O495" s="125"/>
      <c r="P495" s="125"/>
      <c r="Q495" s="125"/>
      <c r="R495" s="123"/>
      <c r="S495" s="123"/>
      <c r="T495" s="124"/>
    </row>
    <row r="496" spans="1:20" ht="18.75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4"/>
      <c r="O496" s="125"/>
      <c r="P496" s="125"/>
      <c r="Q496" s="125"/>
      <c r="R496" s="123"/>
      <c r="S496" s="123"/>
      <c r="T496" s="124"/>
    </row>
    <row r="497" spans="1:20" ht="18.75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4"/>
      <c r="O497" s="125"/>
      <c r="P497" s="125"/>
      <c r="Q497" s="125"/>
      <c r="R497" s="123"/>
      <c r="S497" s="123"/>
      <c r="T497" s="124"/>
    </row>
    <row r="498" spans="1:20" ht="18.75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4"/>
      <c r="O498" s="125"/>
      <c r="P498" s="125"/>
      <c r="Q498" s="125"/>
      <c r="R498" s="123"/>
      <c r="S498" s="123"/>
      <c r="T498" s="124"/>
    </row>
    <row r="499" spans="1:20" ht="18.75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4"/>
      <c r="O499" s="125"/>
      <c r="P499" s="125"/>
      <c r="Q499" s="125"/>
      <c r="R499" s="123"/>
      <c r="S499" s="123"/>
      <c r="T499" s="124"/>
    </row>
    <row r="500" spans="1:20" ht="18.75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4"/>
      <c r="O500" s="125"/>
      <c r="P500" s="125"/>
      <c r="Q500" s="125"/>
      <c r="R500" s="123"/>
      <c r="S500" s="123"/>
      <c r="T500" s="124"/>
    </row>
    <row r="501" spans="1:20" ht="18.75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4"/>
      <c r="O501" s="125"/>
      <c r="P501" s="125"/>
      <c r="Q501" s="125"/>
      <c r="R501" s="123"/>
      <c r="S501" s="123"/>
      <c r="T501" s="124"/>
    </row>
    <row r="502" spans="1:20" ht="18.75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4"/>
      <c r="O502" s="125"/>
      <c r="P502" s="125"/>
      <c r="Q502" s="125"/>
      <c r="R502" s="123"/>
      <c r="S502" s="123"/>
      <c r="T502" s="124"/>
    </row>
    <row r="503" spans="1:20" ht="18.75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4"/>
      <c r="O503" s="125"/>
      <c r="P503" s="125"/>
      <c r="Q503" s="125"/>
      <c r="R503" s="123"/>
      <c r="S503" s="123"/>
      <c r="T503" s="124"/>
    </row>
    <row r="504" spans="1:20" ht="18.75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4"/>
      <c r="O504" s="125"/>
      <c r="P504" s="125"/>
      <c r="Q504" s="125"/>
      <c r="R504" s="123"/>
      <c r="S504" s="123"/>
      <c r="T504" s="124"/>
    </row>
    <row r="505" spans="1:20" ht="18.75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4"/>
      <c r="O505" s="125"/>
      <c r="P505" s="125"/>
      <c r="Q505" s="125"/>
      <c r="R505" s="123"/>
      <c r="S505" s="123"/>
      <c r="T505" s="124"/>
    </row>
    <row r="506" spans="1:20" ht="18.75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4"/>
      <c r="O506" s="125"/>
      <c r="P506" s="125"/>
      <c r="Q506" s="125"/>
      <c r="R506" s="123"/>
      <c r="S506" s="123"/>
      <c r="T506" s="124"/>
    </row>
    <row r="507" spans="1:20" ht="18.75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4"/>
      <c r="O507" s="125"/>
      <c r="P507" s="125"/>
      <c r="Q507" s="125"/>
      <c r="R507" s="123"/>
      <c r="S507" s="123"/>
      <c r="T507" s="124"/>
    </row>
    <row r="508" spans="1:20" ht="18.75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4"/>
      <c r="O508" s="125"/>
      <c r="P508" s="125"/>
      <c r="Q508" s="125"/>
      <c r="R508" s="123"/>
      <c r="S508" s="123"/>
      <c r="T508" s="124"/>
    </row>
    <row r="509" spans="1:20" ht="18.75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4"/>
      <c r="O509" s="125"/>
      <c r="P509" s="125"/>
      <c r="Q509" s="125"/>
      <c r="R509" s="123"/>
      <c r="S509" s="123"/>
      <c r="T509" s="124"/>
    </row>
    <row r="510" spans="1:20" ht="18.75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4"/>
      <c r="O510" s="125"/>
      <c r="P510" s="125"/>
      <c r="Q510" s="125"/>
      <c r="R510" s="123"/>
      <c r="S510" s="123"/>
      <c r="T510" s="124"/>
    </row>
    <row r="511" spans="1:20" ht="18.75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4"/>
      <c r="O511" s="125"/>
      <c r="P511" s="125"/>
      <c r="Q511" s="125"/>
      <c r="R511" s="123"/>
      <c r="S511" s="123"/>
      <c r="T511" s="124"/>
    </row>
    <row r="512" spans="1:20" ht="18.75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4"/>
      <c r="O512" s="125"/>
      <c r="P512" s="125"/>
      <c r="Q512" s="125"/>
      <c r="R512" s="123"/>
      <c r="S512" s="123"/>
      <c r="T512" s="124"/>
    </row>
    <row r="513" spans="1:20" ht="18.75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4"/>
      <c r="O513" s="125"/>
      <c r="P513" s="125"/>
      <c r="Q513" s="125"/>
      <c r="R513" s="123"/>
      <c r="S513" s="123"/>
      <c r="T513" s="124"/>
    </row>
    <row r="514" spans="1:20" ht="18.75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4"/>
      <c r="O514" s="125"/>
      <c r="P514" s="125"/>
      <c r="Q514" s="125"/>
      <c r="R514" s="123"/>
      <c r="S514" s="123"/>
      <c r="T514" s="124"/>
    </row>
    <row r="515" spans="1:20" ht="18.75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4"/>
      <c r="O515" s="125"/>
      <c r="P515" s="125"/>
      <c r="Q515" s="125"/>
      <c r="R515" s="123"/>
      <c r="S515" s="123"/>
      <c r="T515" s="124"/>
    </row>
    <row r="516" spans="1:20" ht="18.75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4"/>
      <c r="O516" s="125"/>
      <c r="P516" s="125"/>
      <c r="Q516" s="125"/>
      <c r="R516" s="123"/>
      <c r="S516" s="123"/>
      <c r="T516" s="124"/>
    </row>
    <row r="517" spans="1:20" ht="18.75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4"/>
      <c r="O517" s="125"/>
      <c r="P517" s="125"/>
      <c r="Q517" s="125"/>
      <c r="R517" s="123"/>
      <c r="S517" s="123"/>
      <c r="T517" s="124"/>
    </row>
    <row r="518" spans="1:20" ht="18.75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4"/>
      <c r="O518" s="125"/>
      <c r="P518" s="125"/>
      <c r="Q518" s="125"/>
      <c r="R518" s="123"/>
      <c r="S518" s="123"/>
      <c r="T518" s="124"/>
    </row>
    <row r="519" spans="1:20" ht="18.75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4"/>
      <c r="O519" s="125"/>
      <c r="P519" s="125"/>
      <c r="Q519" s="125"/>
      <c r="R519" s="123"/>
      <c r="S519" s="123"/>
      <c r="T519" s="124"/>
    </row>
    <row r="520" spans="1:20" ht="18.75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4"/>
      <c r="O520" s="125"/>
      <c r="P520" s="125"/>
      <c r="Q520" s="125"/>
      <c r="R520" s="123"/>
      <c r="S520" s="123"/>
      <c r="T520" s="124"/>
    </row>
    <row r="521" spans="1:20" ht="18.75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4"/>
      <c r="O521" s="125"/>
      <c r="P521" s="125"/>
      <c r="Q521" s="125"/>
      <c r="R521" s="123"/>
      <c r="S521" s="123"/>
      <c r="T521" s="124"/>
    </row>
    <row r="522" spans="1:20" ht="18.75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4"/>
      <c r="O522" s="125"/>
      <c r="P522" s="125"/>
      <c r="Q522" s="125"/>
      <c r="R522" s="123"/>
      <c r="S522" s="123"/>
      <c r="T522" s="124"/>
    </row>
    <row r="523" spans="1:20" ht="18.75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4"/>
      <c r="O523" s="125"/>
      <c r="P523" s="125"/>
      <c r="Q523" s="125"/>
      <c r="R523" s="123"/>
      <c r="S523" s="123"/>
      <c r="T523" s="124"/>
    </row>
    <row r="524" spans="1:20" ht="18.75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4"/>
      <c r="O524" s="125"/>
      <c r="P524" s="125"/>
      <c r="Q524" s="125"/>
      <c r="R524" s="123"/>
      <c r="S524" s="123"/>
      <c r="T524" s="124"/>
    </row>
    <row r="525" spans="1:20" ht="18.75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4"/>
      <c r="O525" s="125"/>
      <c r="P525" s="125"/>
      <c r="Q525" s="125"/>
      <c r="R525" s="123"/>
      <c r="S525" s="123"/>
      <c r="T525" s="124"/>
    </row>
    <row r="526" spans="1:20" ht="18.75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4"/>
      <c r="O526" s="125"/>
      <c r="P526" s="125"/>
      <c r="Q526" s="125"/>
      <c r="R526" s="123"/>
      <c r="S526" s="123"/>
      <c r="T526" s="124"/>
    </row>
    <row r="527" spans="1:20" ht="18.75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4"/>
      <c r="O527" s="125"/>
      <c r="P527" s="125"/>
      <c r="Q527" s="125"/>
      <c r="R527" s="123"/>
      <c r="S527" s="123"/>
      <c r="T527" s="124"/>
    </row>
    <row r="528" spans="1:20" ht="18.75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4"/>
      <c r="O528" s="125"/>
      <c r="P528" s="125"/>
      <c r="Q528" s="125"/>
      <c r="R528" s="123"/>
      <c r="S528" s="123"/>
      <c r="T528" s="124"/>
    </row>
    <row r="529" spans="1:20" ht="18.75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4"/>
      <c r="O529" s="125"/>
      <c r="P529" s="125"/>
      <c r="Q529" s="125"/>
      <c r="R529" s="123"/>
      <c r="S529" s="123"/>
      <c r="T529" s="124"/>
    </row>
    <row r="530" spans="1:20" ht="18.75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4"/>
      <c r="O530" s="125"/>
      <c r="P530" s="125"/>
      <c r="Q530" s="125"/>
      <c r="R530" s="123"/>
      <c r="S530" s="123"/>
      <c r="T530" s="124"/>
    </row>
    <row r="531" spans="1:20" ht="18.75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4"/>
      <c r="O531" s="125"/>
      <c r="P531" s="125"/>
      <c r="Q531" s="125"/>
      <c r="R531" s="123"/>
      <c r="S531" s="123"/>
      <c r="T531" s="124"/>
    </row>
    <row r="532" spans="1:20" ht="18.75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4"/>
      <c r="O532" s="125"/>
      <c r="P532" s="125"/>
      <c r="Q532" s="125"/>
      <c r="R532" s="123"/>
      <c r="S532" s="123"/>
      <c r="T532" s="124"/>
    </row>
    <row r="533" spans="1:20" ht="18.75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4"/>
      <c r="O533" s="125"/>
      <c r="P533" s="125"/>
      <c r="Q533" s="125"/>
      <c r="R533" s="123"/>
      <c r="S533" s="123"/>
      <c r="T533" s="124"/>
    </row>
    <row r="534" spans="1:20" ht="18.75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4"/>
      <c r="O534" s="125"/>
      <c r="P534" s="125"/>
      <c r="Q534" s="125"/>
      <c r="R534" s="123"/>
      <c r="S534" s="123"/>
      <c r="T534" s="124"/>
    </row>
    <row r="535" spans="1:20" ht="18.75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4"/>
      <c r="O535" s="125"/>
      <c r="P535" s="125"/>
      <c r="Q535" s="125"/>
      <c r="R535" s="123"/>
      <c r="S535" s="123"/>
      <c r="T535" s="124"/>
    </row>
    <row r="536" spans="1:20" ht="18.75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4"/>
      <c r="O536" s="125"/>
      <c r="P536" s="125"/>
      <c r="Q536" s="125"/>
      <c r="R536" s="123"/>
      <c r="S536" s="123"/>
      <c r="T536" s="124"/>
    </row>
    <row r="537" spans="1:20" ht="18.75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4"/>
      <c r="O537" s="125"/>
      <c r="P537" s="125"/>
      <c r="Q537" s="125"/>
      <c r="R537" s="123"/>
      <c r="S537" s="123"/>
      <c r="T537" s="124"/>
    </row>
    <row r="538" spans="1:20" ht="18.75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4"/>
      <c r="O538" s="125"/>
      <c r="P538" s="125"/>
      <c r="Q538" s="125"/>
      <c r="R538" s="123"/>
      <c r="S538" s="123"/>
      <c r="T538" s="124"/>
    </row>
    <row r="539" spans="1:20" ht="18.75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4"/>
      <c r="O539" s="125"/>
      <c r="P539" s="125"/>
      <c r="Q539" s="125"/>
      <c r="R539" s="123"/>
      <c r="S539" s="123"/>
      <c r="T539" s="124"/>
    </row>
    <row r="540" spans="1:20" ht="18.75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4"/>
      <c r="O540" s="125"/>
      <c r="P540" s="125"/>
      <c r="Q540" s="125"/>
      <c r="R540" s="123"/>
      <c r="S540" s="123"/>
      <c r="T540" s="124"/>
    </row>
    <row r="541" spans="1:20" ht="18.75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4"/>
      <c r="O541" s="125"/>
      <c r="P541" s="125"/>
      <c r="Q541" s="125"/>
      <c r="R541" s="123"/>
      <c r="S541" s="123"/>
      <c r="T541" s="124"/>
    </row>
    <row r="542" spans="1:20" ht="18.75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4"/>
      <c r="O542" s="125"/>
      <c r="P542" s="125"/>
      <c r="Q542" s="125"/>
      <c r="R542" s="123"/>
      <c r="S542" s="123"/>
      <c r="T542" s="124"/>
    </row>
    <row r="543" spans="1:20" ht="18.75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4"/>
      <c r="O543" s="125"/>
      <c r="P543" s="125"/>
      <c r="Q543" s="125"/>
      <c r="R543" s="123"/>
      <c r="S543" s="123"/>
      <c r="T543" s="124"/>
    </row>
    <row r="544" spans="1:20" ht="18.75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4"/>
      <c r="O544" s="125"/>
      <c r="P544" s="125"/>
      <c r="Q544" s="125"/>
      <c r="R544" s="123"/>
      <c r="S544" s="123"/>
      <c r="T544" s="124"/>
    </row>
    <row r="545" spans="1:20" ht="18.75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4"/>
      <c r="O545" s="125"/>
      <c r="P545" s="125"/>
      <c r="Q545" s="125"/>
      <c r="R545" s="123"/>
      <c r="S545" s="123"/>
      <c r="T545" s="124"/>
    </row>
    <row r="546" spans="1:20" ht="18.75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4"/>
      <c r="O546" s="125"/>
      <c r="P546" s="125"/>
      <c r="Q546" s="125"/>
      <c r="R546" s="123"/>
      <c r="S546" s="123"/>
      <c r="T546" s="124"/>
    </row>
    <row r="547" spans="1:20" ht="18.75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4"/>
      <c r="O547" s="125"/>
      <c r="P547" s="125"/>
      <c r="Q547" s="125"/>
      <c r="R547" s="123"/>
      <c r="S547" s="123"/>
      <c r="T547" s="124"/>
    </row>
    <row r="548" spans="1:20" ht="18.75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4"/>
      <c r="O548" s="125"/>
      <c r="P548" s="125"/>
      <c r="Q548" s="125"/>
      <c r="R548" s="123"/>
      <c r="S548" s="123"/>
      <c r="T548" s="124"/>
    </row>
    <row r="549" spans="1:20" ht="18.75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4"/>
      <c r="O549" s="125"/>
      <c r="P549" s="125"/>
      <c r="Q549" s="125"/>
      <c r="R549" s="123"/>
      <c r="S549" s="123"/>
      <c r="T549" s="124"/>
    </row>
    <row r="550" spans="1:20" ht="18.75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4"/>
      <c r="O550" s="125"/>
      <c r="P550" s="125"/>
      <c r="Q550" s="125"/>
      <c r="R550" s="123"/>
      <c r="S550" s="123"/>
      <c r="T550" s="124"/>
    </row>
    <row r="551" spans="1:20" ht="18.75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4"/>
      <c r="O551" s="125"/>
      <c r="P551" s="125"/>
      <c r="Q551" s="125"/>
      <c r="R551" s="123"/>
      <c r="S551" s="123"/>
      <c r="T551" s="124"/>
    </row>
    <row r="552" spans="1:20" ht="18.75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4"/>
      <c r="O552" s="125"/>
      <c r="P552" s="125"/>
      <c r="Q552" s="125"/>
      <c r="R552" s="123"/>
      <c r="S552" s="123"/>
      <c r="T552" s="124"/>
    </row>
    <row r="553" spans="1:20" ht="18.75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4"/>
      <c r="O553" s="125"/>
      <c r="P553" s="125"/>
      <c r="Q553" s="125"/>
      <c r="R553" s="123"/>
      <c r="S553" s="123"/>
      <c r="T553" s="124"/>
    </row>
    <row r="554" spans="1:20" ht="18.75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4"/>
      <c r="O554" s="125"/>
      <c r="P554" s="125"/>
      <c r="Q554" s="125"/>
      <c r="R554" s="123"/>
      <c r="S554" s="123"/>
      <c r="T554" s="124"/>
    </row>
    <row r="555" spans="1:20" ht="18.75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4"/>
      <c r="O555" s="125"/>
      <c r="P555" s="125"/>
      <c r="Q555" s="125"/>
      <c r="R555" s="123"/>
      <c r="S555" s="123"/>
      <c r="T555" s="124"/>
    </row>
    <row r="556" spans="1:20" ht="18.75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4"/>
      <c r="O556" s="125"/>
      <c r="P556" s="125"/>
      <c r="Q556" s="125"/>
      <c r="R556" s="123"/>
      <c r="S556" s="123"/>
      <c r="T556" s="124"/>
    </row>
    <row r="557" spans="1:20" ht="18.75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4"/>
      <c r="O557" s="125"/>
      <c r="P557" s="125"/>
      <c r="Q557" s="125"/>
      <c r="R557" s="123"/>
      <c r="S557" s="123"/>
      <c r="T557" s="124"/>
    </row>
    <row r="558" spans="1:20" ht="18.75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4"/>
      <c r="O558" s="125"/>
      <c r="P558" s="125"/>
      <c r="Q558" s="125"/>
      <c r="R558" s="123"/>
      <c r="S558" s="123"/>
      <c r="T558" s="124"/>
    </row>
    <row r="559" spans="1:20" ht="18.75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4"/>
      <c r="O559" s="125"/>
      <c r="P559" s="125"/>
      <c r="Q559" s="125"/>
      <c r="R559" s="123"/>
      <c r="S559" s="123"/>
      <c r="T559" s="124"/>
    </row>
    <row r="560" spans="1:20" ht="18.75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4"/>
      <c r="O560" s="125"/>
      <c r="P560" s="125"/>
      <c r="Q560" s="125"/>
      <c r="R560" s="123"/>
      <c r="S560" s="123"/>
      <c r="T560" s="124"/>
    </row>
    <row r="561" spans="1:20" ht="18.75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4"/>
      <c r="O561" s="125"/>
      <c r="P561" s="125"/>
      <c r="Q561" s="125"/>
      <c r="R561" s="123"/>
      <c r="S561" s="123"/>
      <c r="T561" s="124"/>
    </row>
    <row r="562" spans="1:20" ht="18.75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4"/>
      <c r="O562" s="125"/>
      <c r="P562" s="125"/>
      <c r="Q562" s="125"/>
      <c r="R562" s="123"/>
      <c r="S562" s="123"/>
      <c r="T562" s="124"/>
    </row>
    <row r="563" spans="1:20" ht="18.75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4"/>
      <c r="O563" s="125"/>
      <c r="P563" s="125"/>
      <c r="Q563" s="125"/>
      <c r="R563" s="123"/>
      <c r="S563" s="123"/>
      <c r="T563" s="124"/>
    </row>
    <row r="564" spans="1:20" ht="18.75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4"/>
      <c r="O564" s="125"/>
      <c r="P564" s="125"/>
      <c r="Q564" s="125"/>
      <c r="R564" s="123"/>
      <c r="S564" s="123"/>
      <c r="T564" s="124"/>
    </row>
    <row r="565" spans="1:20" ht="18.75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4"/>
      <c r="O565" s="125"/>
      <c r="P565" s="125"/>
      <c r="Q565" s="125"/>
      <c r="R565" s="123"/>
      <c r="S565" s="123"/>
      <c r="T565" s="124"/>
    </row>
    <row r="566" spans="1:20" ht="18.75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4"/>
      <c r="O566" s="125"/>
      <c r="P566" s="125"/>
      <c r="Q566" s="125"/>
      <c r="R566" s="123"/>
      <c r="S566" s="123"/>
      <c r="T566" s="124"/>
    </row>
    <row r="567" spans="1:20" ht="18.75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4"/>
      <c r="O567" s="125"/>
      <c r="P567" s="125"/>
      <c r="Q567" s="125"/>
      <c r="R567" s="123"/>
      <c r="S567" s="123"/>
      <c r="T567" s="124"/>
    </row>
    <row r="568" spans="1:20" ht="18.75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4"/>
      <c r="O568" s="125"/>
      <c r="P568" s="125"/>
      <c r="Q568" s="125"/>
      <c r="R568" s="123"/>
      <c r="S568" s="123"/>
      <c r="T568" s="124"/>
    </row>
    <row r="569" spans="1:20" ht="18.75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4"/>
      <c r="O569" s="125"/>
      <c r="P569" s="125"/>
      <c r="Q569" s="125"/>
      <c r="R569" s="123"/>
      <c r="S569" s="123"/>
      <c r="T569" s="124"/>
    </row>
    <row r="570" spans="1:20" ht="18.75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4"/>
      <c r="O570" s="125"/>
      <c r="P570" s="125"/>
      <c r="Q570" s="125"/>
      <c r="R570" s="123"/>
      <c r="S570" s="123"/>
      <c r="T570" s="124"/>
    </row>
    <row r="571" spans="1:20" ht="18.75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4"/>
      <c r="O571" s="125"/>
      <c r="P571" s="125"/>
      <c r="Q571" s="125"/>
      <c r="R571" s="123"/>
      <c r="S571" s="123"/>
      <c r="T571" s="124"/>
    </row>
    <row r="572" spans="1:20" ht="18.75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4"/>
      <c r="O572" s="125"/>
      <c r="P572" s="125"/>
      <c r="Q572" s="125"/>
      <c r="R572" s="123"/>
      <c r="S572" s="123"/>
      <c r="T572" s="124"/>
    </row>
    <row r="573" spans="1:20" ht="18.75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4"/>
      <c r="O573" s="125"/>
      <c r="P573" s="125"/>
      <c r="Q573" s="125"/>
      <c r="R573" s="123"/>
      <c r="S573" s="123"/>
      <c r="T573" s="124"/>
    </row>
    <row r="574" spans="1:20" ht="18.75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4"/>
      <c r="O574" s="125"/>
      <c r="P574" s="125"/>
      <c r="Q574" s="125"/>
      <c r="R574" s="123"/>
      <c r="S574" s="123"/>
      <c r="T574" s="124"/>
    </row>
    <row r="575" spans="1:20" ht="18.75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4"/>
      <c r="O575" s="125"/>
      <c r="P575" s="125"/>
      <c r="Q575" s="125"/>
      <c r="R575" s="123"/>
      <c r="S575" s="123"/>
      <c r="T575" s="124"/>
    </row>
    <row r="576" spans="1:20" ht="18.75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4"/>
      <c r="O576" s="125"/>
      <c r="P576" s="125"/>
      <c r="Q576" s="125"/>
      <c r="R576" s="123"/>
      <c r="S576" s="123"/>
      <c r="T576" s="124"/>
    </row>
    <row r="577" spans="1:20" ht="18.75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4"/>
      <c r="O577" s="125"/>
      <c r="P577" s="125"/>
      <c r="Q577" s="125"/>
      <c r="R577" s="123"/>
      <c r="S577" s="123"/>
      <c r="T577" s="124"/>
    </row>
    <row r="578" spans="1:20" ht="18.75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4"/>
      <c r="O578" s="125"/>
      <c r="P578" s="125"/>
      <c r="Q578" s="125"/>
      <c r="R578" s="123"/>
      <c r="S578" s="123"/>
      <c r="T578" s="124"/>
    </row>
    <row r="579" spans="1:20" ht="18.75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4"/>
      <c r="O579" s="125"/>
      <c r="P579" s="125"/>
      <c r="Q579" s="125"/>
      <c r="R579" s="123"/>
      <c r="S579" s="123"/>
      <c r="T579" s="124"/>
    </row>
    <row r="580" spans="1:20" ht="18.75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4"/>
      <c r="O580" s="125"/>
      <c r="P580" s="125"/>
      <c r="Q580" s="125"/>
      <c r="R580" s="123"/>
      <c r="S580" s="123"/>
      <c r="T580" s="124"/>
    </row>
    <row r="581" spans="1:20" ht="18.75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4"/>
      <c r="O581" s="125"/>
      <c r="P581" s="125"/>
      <c r="Q581" s="125"/>
      <c r="R581" s="123"/>
      <c r="S581" s="123"/>
      <c r="T581" s="124"/>
    </row>
    <row r="582" spans="1:20" ht="18.75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4"/>
      <c r="O582" s="125"/>
      <c r="P582" s="125"/>
      <c r="Q582" s="125"/>
      <c r="R582" s="123"/>
      <c r="S582" s="123"/>
      <c r="T582" s="124"/>
    </row>
    <row r="583" spans="1:20" ht="18.75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4"/>
      <c r="O583" s="125"/>
      <c r="P583" s="125"/>
      <c r="Q583" s="125"/>
      <c r="R583" s="123"/>
      <c r="S583" s="123"/>
      <c r="T583" s="124"/>
    </row>
    <row r="584" spans="1:20" ht="18.75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4"/>
      <c r="O584" s="125"/>
      <c r="P584" s="125"/>
      <c r="Q584" s="125"/>
      <c r="R584" s="123"/>
      <c r="S584" s="123"/>
      <c r="T584" s="124"/>
    </row>
    <row r="585" spans="1:20" ht="18.75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4"/>
      <c r="O585" s="125"/>
      <c r="P585" s="125"/>
      <c r="Q585" s="125"/>
      <c r="R585" s="123"/>
      <c r="S585" s="123"/>
      <c r="T585" s="124"/>
    </row>
    <row r="586" spans="1:20" ht="18.75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4"/>
      <c r="O586" s="125"/>
      <c r="P586" s="125"/>
      <c r="Q586" s="125"/>
      <c r="R586" s="123"/>
      <c r="S586" s="123"/>
      <c r="T586" s="124"/>
    </row>
    <row r="587" spans="1:20" ht="18.75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4"/>
      <c r="O587" s="125"/>
      <c r="P587" s="125"/>
      <c r="Q587" s="125"/>
      <c r="R587" s="123"/>
      <c r="S587" s="123"/>
      <c r="T587" s="124"/>
    </row>
    <row r="588" spans="1:20" ht="18.75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4"/>
      <c r="O588" s="125"/>
      <c r="P588" s="125"/>
      <c r="Q588" s="125"/>
      <c r="R588" s="123"/>
      <c r="S588" s="123"/>
      <c r="T588" s="124"/>
    </row>
    <row r="589" spans="1:20" ht="18.75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4"/>
      <c r="O589" s="125"/>
      <c r="P589" s="125"/>
      <c r="Q589" s="125"/>
      <c r="R589" s="123"/>
      <c r="S589" s="123"/>
      <c r="T589" s="124"/>
    </row>
    <row r="590" spans="1:20" ht="18.75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4"/>
      <c r="O590" s="125"/>
      <c r="P590" s="125"/>
      <c r="Q590" s="125"/>
      <c r="R590" s="123"/>
      <c r="S590" s="123"/>
      <c r="T590" s="124"/>
    </row>
    <row r="591" spans="1:20" ht="18.75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4"/>
      <c r="O591" s="125"/>
      <c r="P591" s="125"/>
      <c r="Q591" s="125"/>
      <c r="R591" s="123"/>
      <c r="S591" s="123"/>
      <c r="T591" s="124"/>
    </row>
    <row r="592" spans="1:20" ht="18.75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4"/>
      <c r="O592" s="125"/>
      <c r="P592" s="125"/>
      <c r="Q592" s="125"/>
      <c r="R592" s="123"/>
      <c r="S592" s="123"/>
      <c r="T592" s="124"/>
    </row>
    <row r="593" spans="1:20" ht="18.75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4"/>
      <c r="O593" s="125"/>
      <c r="P593" s="125"/>
      <c r="Q593" s="125"/>
      <c r="R593" s="123"/>
      <c r="S593" s="123"/>
      <c r="T593" s="124"/>
    </row>
    <row r="594" spans="1:20" ht="18.75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4"/>
      <c r="O594" s="125"/>
      <c r="P594" s="125"/>
      <c r="Q594" s="125"/>
      <c r="R594" s="123"/>
      <c r="S594" s="123"/>
      <c r="T594" s="124"/>
    </row>
    <row r="595" spans="1:20" ht="18.75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4"/>
      <c r="O595" s="125"/>
      <c r="P595" s="125"/>
      <c r="Q595" s="125"/>
      <c r="R595" s="123"/>
      <c r="S595" s="123"/>
      <c r="T595" s="124"/>
    </row>
    <row r="596" spans="1:20" ht="18.75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4"/>
      <c r="O596" s="125"/>
      <c r="P596" s="125"/>
      <c r="Q596" s="125"/>
      <c r="R596" s="123"/>
      <c r="S596" s="123"/>
      <c r="T596" s="124"/>
    </row>
    <row r="597" spans="1:20" ht="18.75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4"/>
      <c r="O597" s="125"/>
      <c r="P597" s="125"/>
      <c r="Q597" s="125"/>
      <c r="R597" s="123"/>
      <c r="S597" s="123"/>
      <c r="T597" s="124"/>
    </row>
    <row r="598" spans="1:20" ht="18.75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4"/>
      <c r="O598" s="125"/>
      <c r="P598" s="125"/>
      <c r="Q598" s="125"/>
      <c r="R598" s="123"/>
      <c r="S598" s="123"/>
      <c r="T598" s="124"/>
    </row>
    <row r="599" spans="1:20" ht="18.75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4"/>
      <c r="O599" s="125"/>
      <c r="P599" s="125"/>
      <c r="Q599" s="125"/>
      <c r="R599" s="123"/>
      <c r="S599" s="123"/>
      <c r="T599" s="124"/>
    </row>
    <row r="600" spans="1:20" ht="18.75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4"/>
      <c r="O600" s="125"/>
      <c r="P600" s="125"/>
      <c r="Q600" s="125"/>
      <c r="R600" s="123"/>
      <c r="S600" s="123"/>
      <c r="T600" s="124"/>
    </row>
    <row r="601" spans="1:20" ht="18.75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4"/>
      <c r="O601" s="125"/>
      <c r="P601" s="125"/>
      <c r="Q601" s="125"/>
      <c r="R601" s="123"/>
      <c r="S601" s="123"/>
      <c r="T601" s="124"/>
    </row>
    <row r="602" spans="1:20" ht="18.75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4"/>
      <c r="O602" s="125"/>
      <c r="P602" s="125"/>
      <c r="Q602" s="125"/>
      <c r="R602" s="123"/>
      <c r="S602" s="123"/>
      <c r="T602" s="124"/>
    </row>
    <row r="603" spans="1:20" ht="18.75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4"/>
      <c r="O603" s="125"/>
      <c r="P603" s="125"/>
      <c r="Q603" s="125"/>
      <c r="R603" s="123"/>
      <c r="S603" s="123"/>
      <c r="T603" s="124"/>
    </row>
    <row r="604" spans="1:20" ht="18.75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4"/>
      <c r="O604" s="125"/>
      <c r="P604" s="125"/>
      <c r="Q604" s="125"/>
      <c r="R604" s="123"/>
      <c r="S604" s="123"/>
      <c r="T604" s="124"/>
    </row>
    <row r="605" spans="1:20" ht="18.75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4"/>
      <c r="O605" s="125"/>
      <c r="P605" s="125"/>
      <c r="Q605" s="125"/>
      <c r="R605" s="123"/>
      <c r="S605" s="123"/>
      <c r="T605" s="124"/>
    </row>
    <row r="606" spans="1:20" ht="18.75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4"/>
      <c r="O606" s="125"/>
      <c r="P606" s="125"/>
      <c r="Q606" s="125"/>
      <c r="R606" s="123"/>
      <c r="S606" s="123"/>
      <c r="T606" s="124"/>
    </row>
    <row r="607" spans="1:20" ht="18.75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4"/>
      <c r="O607" s="125"/>
      <c r="P607" s="125"/>
      <c r="Q607" s="125"/>
      <c r="R607" s="123"/>
      <c r="S607" s="123"/>
      <c r="T607" s="124"/>
    </row>
    <row r="608" spans="1:20" ht="18.75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4"/>
      <c r="O608" s="125"/>
      <c r="P608" s="125"/>
      <c r="Q608" s="125"/>
      <c r="R608" s="123"/>
      <c r="S608" s="123"/>
      <c r="T608" s="124"/>
    </row>
    <row r="609" spans="1:20" ht="18.75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4"/>
      <c r="O609" s="125"/>
      <c r="P609" s="125"/>
      <c r="Q609" s="125"/>
      <c r="R609" s="123"/>
      <c r="S609" s="123"/>
      <c r="T609" s="124"/>
    </row>
    <row r="610" spans="1:20" ht="18.75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4"/>
      <c r="O610" s="125"/>
      <c r="P610" s="125"/>
      <c r="Q610" s="125"/>
      <c r="R610" s="123"/>
      <c r="S610" s="123"/>
      <c r="T610" s="124"/>
    </row>
    <row r="611" spans="1:20" ht="18.75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4"/>
      <c r="O611" s="125"/>
      <c r="P611" s="125"/>
      <c r="Q611" s="125"/>
      <c r="R611" s="123"/>
      <c r="S611" s="123"/>
      <c r="T611" s="124"/>
    </row>
    <row r="612" spans="1:20" ht="18.75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4"/>
      <c r="O612" s="125"/>
      <c r="P612" s="125"/>
      <c r="Q612" s="125"/>
      <c r="R612" s="123"/>
      <c r="S612" s="123"/>
      <c r="T612" s="124"/>
    </row>
    <row r="613" spans="1:20" ht="18.75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4"/>
      <c r="O613" s="125"/>
      <c r="P613" s="125"/>
      <c r="Q613" s="125"/>
      <c r="R613" s="123"/>
      <c r="S613" s="123"/>
      <c r="T613" s="124"/>
    </row>
    <row r="614" spans="1:20" ht="18.75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4"/>
      <c r="O614" s="125"/>
      <c r="P614" s="125"/>
      <c r="Q614" s="125"/>
      <c r="R614" s="123"/>
      <c r="S614" s="123"/>
      <c r="T614" s="124"/>
    </row>
    <row r="615" spans="1:20" ht="18.75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4"/>
      <c r="O615" s="125"/>
      <c r="P615" s="125"/>
      <c r="Q615" s="125"/>
      <c r="R615" s="123"/>
      <c r="S615" s="123"/>
      <c r="T615" s="124"/>
    </row>
    <row r="616" spans="1:20" ht="18.75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4"/>
      <c r="O616" s="125"/>
      <c r="P616" s="125"/>
      <c r="Q616" s="125"/>
      <c r="R616" s="123"/>
      <c r="S616" s="123"/>
      <c r="T616" s="124"/>
    </row>
    <row r="617" spans="1:20" ht="18.75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4"/>
      <c r="O617" s="125"/>
      <c r="P617" s="125"/>
      <c r="Q617" s="125"/>
      <c r="R617" s="123"/>
      <c r="S617" s="123"/>
      <c r="T617" s="124"/>
    </row>
    <row r="618" spans="1:20" ht="18.75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4"/>
      <c r="O618" s="125"/>
      <c r="P618" s="125"/>
      <c r="Q618" s="125"/>
      <c r="R618" s="123"/>
      <c r="S618" s="123"/>
      <c r="T618" s="124"/>
    </row>
    <row r="619" spans="1:20" ht="18.75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4"/>
      <c r="O619" s="125"/>
      <c r="P619" s="125"/>
      <c r="Q619" s="125"/>
      <c r="R619" s="123"/>
      <c r="S619" s="123"/>
      <c r="T619" s="124"/>
    </row>
    <row r="620" spans="1:20" ht="18.75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4"/>
      <c r="O620" s="125"/>
      <c r="P620" s="125"/>
      <c r="Q620" s="125"/>
      <c r="R620" s="123"/>
      <c r="S620" s="123"/>
      <c r="T620" s="124"/>
    </row>
    <row r="621" spans="1:20" ht="18.75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4"/>
      <c r="O621" s="125"/>
      <c r="P621" s="125"/>
      <c r="Q621" s="125"/>
      <c r="R621" s="123"/>
      <c r="S621" s="123"/>
      <c r="T621" s="124"/>
    </row>
    <row r="622" spans="1:20" ht="18.75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4"/>
      <c r="O622" s="125"/>
      <c r="P622" s="125"/>
      <c r="Q622" s="125"/>
      <c r="R622" s="123"/>
      <c r="S622" s="123"/>
      <c r="T622" s="124"/>
    </row>
    <row r="623" spans="1:20" ht="18.75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4"/>
      <c r="O623" s="125"/>
      <c r="P623" s="125"/>
      <c r="Q623" s="125"/>
      <c r="R623" s="123"/>
      <c r="S623" s="123"/>
      <c r="T623" s="124"/>
    </row>
    <row r="624" spans="1:20" ht="18.75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4"/>
      <c r="O624" s="125"/>
      <c r="P624" s="125"/>
      <c r="Q624" s="125"/>
      <c r="R624" s="123"/>
      <c r="S624" s="123"/>
      <c r="T624" s="124"/>
    </row>
    <row r="625" spans="1:20" ht="18.75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4"/>
      <c r="O625" s="125"/>
      <c r="P625" s="125"/>
      <c r="Q625" s="125"/>
      <c r="R625" s="123"/>
      <c r="S625" s="123"/>
      <c r="T625" s="124"/>
    </row>
    <row r="626" spans="1:20" ht="18.75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4"/>
      <c r="O626" s="125"/>
      <c r="P626" s="125"/>
      <c r="Q626" s="125"/>
      <c r="R626" s="123"/>
      <c r="S626" s="123"/>
      <c r="T626" s="124"/>
    </row>
    <row r="627" spans="1:20" ht="18.75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4"/>
      <c r="O627" s="125"/>
      <c r="P627" s="125"/>
      <c r="Q627" s="125"/>
      <c r="R627" s="123"/>
      <c r="S627" s="123"/>
      <c r="T627" s="124"/>
    </row>
    <row r="628" spans="1:20" ht="18.75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4"/>
      <c r="O628" s="125"/>
      <c r="P628" s="125"/>
      <c r="Q628" s="125"/>
      <c r="R628" s="123"/>
      <c r="S628" s="123"/>
      <c r="T628" s="124"/>
    </row>
    <row r="629" spans="1:20" ht="18.75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4"/>
      <c r="O629" s="125"/>
      <c r="P629" s="125"/>
      <c r="Q629" s="125"/>
      <c r="R629" s="123"/>
      <c r="S629" s="123"/>
      <c r="T629" s="124"/>
    </row>
    <row r="630" spans="1:20" ht="18.75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4"/>
      <c r="O630" s="125"/>
      <c r="P630" s="125"/>
      <c r="Q630" s="125"/>
      <c r="R630" s="123"/>
      <c r="S630" s="123"/>
      <c r="T630" s="124"/>
    </row>
    <row r="631" spans="1:20" ht="18.75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4"/>
      <c r="O631" s="125"/>
      <c r="P631" s="125"/>
      <c r="Q631" s="125"/>
      <c r="R631" s="123"/>
      <c r="S631" s="123"/>
      <c r="T631" s="124"/>
    </row>
    <row r="632" spans="1:20" ht="18.75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4"/>
      <c r="O632" s="125"/>
      <c r="P632" s="125"/>
      <c r="Q632" s="125"/>
      <c r="R632" s="123"/>
      <c r="S632" s="123"/>
      <c r="T632" s="124"/>
    </row>
    <row r="633" spans="1:20" ht="18.75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4"/>
      <c r="O633" s="125"/>
      <c r="P633" s="125"/>
      <c r="Q633" s="125"/>
      <c r="R633" s="123"/>
      <c r="S633" s="123"/>
      <c r="T633" s="124"/>
    </row>
    <row r="634" spans="1:20" ht="18.75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4"/>
      <c r="O634" s="125"/>
      <c r="P634" s="125"/>
      <c r="Q634" s="125"/>
      <c r="R634" s="123"/>
      <c r="S634" s="123"/>
      <c r="T634" s="124"/>
    </row>
    <row r="635" spans="1:20" ht="18.75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4"/>
      <c r="O635" s="125"/>
      <c r="P635" s="125"/>
      <c r="Q635" s="125"/>
      <c r="R635" s="123"/>
      <c r="S635" s="123"/>
      <c r="T635" s="124"/>
    </row>
    <row r="636" spans="1:20" ht="18.75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4"/>
      <c r="O636" s="125"/>
      <c r="P636" s="125"/>
      <c r="Q636" s="125"/>
      <c r="R636" s="123"/>
      <c r="S636" s="123"/>
      <c r="T636" s="124"/>
    </row>
    <row r="637" spans="1:20" ht="18.75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4"/>
      <c r="O637" s="125"/>
      <c r="P637" s="125"/>
      <c r="Q637" s="125"/>
      <c r="R637" s="123"/>
      <c r="S637" s="123"/>
      <c r="T637" s="124"/>
    </row>
    <row r="638" spans="1:20" ht="18.75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4"/>
      <c r="O638" s="125"/>
      <c r="P638" s="125"/>
      <c r="Q638" s="125"/>
      <c r="R638" s="123"/>
      <c r="S638" s="123"/>
      <c r="T638" s="124"/>
    </row>
    <row r="639" spans="1:20" ht="18.75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4"/>
      <c r="O639" s="125"/>
      <c r="P639" s="125"/>
      <c r="Q639" s="125"/>
      <c r="R639" s="123"/>
      <c r="S639" s="123"/>
      <c r="T639" s="124"/>
    </row>
    <row r="640" spans="1:20" ht="18.75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4"/>
      <c r="O640" s="125"/>
      <c r="P640" s="125"/>
      <c r="Q640" s="125"/>
      <c r="R640" s="123"/>
      <c r="S640" s="123"/>
      <c r="T640" s="124"/>
    </row>
    <row r="641" spans="1:20" ht="18.75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4"/>
      <c r="O641" s="125"/>
      <c r="P641" s="125"/>
      <c r="Q641" s="125"/>
      <c r="R641" s="123"/>
      <c r="S641" s="123"/>
      <c r="T641" s="124"/>
    </row>
    <row r="642" spans="1:20" ht="18.75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4"/>
      <c r="O642" s="125"/>
      <c r="P642" s="125"/>
      <c r="Q642" s="125"/>
      <c r="R642" s="123"/>
      <c r="S642" s="123"/>
      <c r="T642" s="124"/>
    </row>
    <row r="643" spans="1:20" ht="18.75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4"/>
      <c r="O643" s="125"/>
      <c r="P643" s="125"/>
      <c r="Q643" s="125"/>
      <c r="R643" s="123"/>
      <c r="S643" s="123"/>
      <c r="T643" s="124"/>
    </row>
    <row r="644" spans="1:20" ht="18.75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4"/>
      <c r="O644" s="125"/>
      <c r="P644" s="125"/>
      <c r="Q644" s="125"/>
      <c r="R644" s="123"/>
      <c r="S644" s="123"/>
      <c r="T644" s="124"/>
    </row>
    <row r="645" spans="1:20" ht="18.75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4"/>
      <c r="O645" s="125"/>
      <c r="P645" s="125"/>
      <c r="Q645" s="125"/>
      <c r="R645" s="123"/>
      <c r="S645" s="123"/>
      <c r="T645" s="124"/>
    </row>
    <row r="646" spans="1:20" ht="18.75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4"/>
      <c r="O646" s="125"/>
      <c r="P646" s="125"/>
      <c r="Q646" s="125"/>
      <c r="R646" s="123"/>
      <c r="S646" s="123"/>
      <c r="T646" s="124"/>
    </row>
    <row r="647" spans="1:20" ht="18.75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4"/>
      <c r="O647" s="125"/>
      <c r="P647" s="125"/>
      <c r="Q647" s="125"/>
      <c r="R647" s="123"/>
      <c r="S647" s="123"/>
      <c r="T647" s="124"/>
    </row>
    <row r="648" spans="1:20" ht="18.75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4"/>
      <c r="O648" s="125"/>
      <c r="P648" s="125"/>
      <c r="Q648" s="125"/>
      <c r="R648" s="123"/>
      <c r="S648" s="123"/>
      <c r="T648" s="124"/>
    </row>
    <row r="649" spans="1:20" ht="18.75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4"/>
      <c r="O649" s="125"/>
      <c r="P649" s="125"/>
      <c r="Q649" s="125"/>
      <c r="R649" s="123"/>
      <c r="S649" s="123"/>
      <c r="T649" s="124"/>
    </row>
    <row r="650" spans="1:20" ht="18.75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4"/>
      <c r="O650" s="125"/>
      <c r="P650" s="125"/>
      <c r="Q650" s="125"/>
      <c r="R650" s="123"/>
      <c r="S650" s="123"/>
      <c r="T650" s="124"/>
    </row>
    <row r="651" spans="1:20" ht="18.75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4"/>
      <c r="O651" s="125"/>
      <c r="P651" s="125"/>
      <c r="Q651" s="125"/>
      <c r="R651" s="123"/>
      <c r="S651" s="123"/>
      <c r="T651" s="124"/>
    </row>
    <row r="652" spans="1:20" ht="18.75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4"/>
      <c r="O652" s="125"/>
      <c r="P652" s="125"/>
      <c r="Q652" s="125"/>
      <c r="R652" s="123"/>
      <c r="S652" s="123"/>
      <c r="T652" s="124"/>
    </row>
    <row r="653" spans="1:20" ht="18.75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4"/>
      <c r="O653" s="125"/>
      <c r="P653" s="125"/>
      <c r="Q653" s="125"/>
      <c r="R653" s="123"/>
      <c r="S653" s="123"/>
      <c r="T653" s="124"/>
    </row>
    <row r="654" spans="1:20" ht="18.75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4"/>
      <c r="O654" s="125"/>
      <c r="P654" s="125"/>
      <c r="Q654" s="125"/>
      <c r="R654" s="123"/>
      <c r="S654" s="123"/>
      <c r="T654" s="124"/>
    </row>
    <row r="655" spans="1:20" ht="18.75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4"/>
      <c r="O655" s="125"/>
      <c r="P655" s="125"/>
      <c r="Q655" s="125"/>
      <c r="R655" s="123"/>
      <c r="S655" s="123"/>
      <c r="T655" s="124"/>
    </row>
    <row r="656" spans="1:20" ht="18.75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4"/>
      <c r="O656" s="125"/>
      <c r="P656" s="125"/>
      <c r="Q656" s="125"/>
      <c r="R656" s="123"/>
      <c r="S656" s="123"/>
      <c r="T656" s="124"/>
    </row>
    <row r="657" spans="1:20" ht="18.75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4"/>
      <c r="O657" s="125"/>
      <c r="P657" s="125"/>
      <c r="Q657" s="125"/>
      <c r="R657" s="123"/>
      <c r="S657" s="123"/>
      <c r="T657" s="124"/>
    </row>
    <row r="658" spans="1:20" ht="18.75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4"/>
      <c r="O658" s="125"/>
      <c r="P658" s="125"/>
      <c r="Q658" s="125"/>
      <c r="R658" s="123"/>
      <c r="S658" s="123"/>
      <c r="T658" s="124"/>
    </row>
    <row r="659" spans="1:20" ht="18.75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4"/>
      <c r="O659" s="125"/>
      <c r="P659" s="125"/>
      <c r="Q659" s="125"/>
      <c r="R659" s="123"/>
      <c r="S659" s="123"/>
      <c r="T659" s="124"/>
    </row>
    <row r="660" spans="1:20" ht="18.75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4"/>
      <c r="O660" s="125"/>
      <c r="P660" s="125"/>
      <c r="Q660" s="125"/>
      <c r="R660" s="123"/>
      <c r="S660" s="123"/>
      <c r="T660" s="124"/>
    </row>
    <row r="661" spans="1:20" ht="18.75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4"/>
      <c r="O661" s="125"/>
      <c r="P661" s="125"/>
      <c r="Q661" s="125"/>
      <c r="R661" s="123"/>
      <c r="S661" s="123"/>
      <c r="T661" s="124"/>
    </row>
    <row r="662" spans="1:20" ht="18.75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4"/>
      <c r="O662" s="125"/>
      <c r="P662" s="125"/>
      <c r="Q662" s="125"/>
      <c r="R662" s="123"/>
      <c r="S662" s="123"/>
      <c r="T662" s="124"/>
    </row>
    <row r="663" spans="1:20" ht="18.75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4"/>
      <c r="O663" s="125"/>
      <c r="P663" s="125"/>
      <c r="Q663" s="125"/>
      <c r="R663" s="123"/>
      <c r="S663" s="123"/>
      <c r="T663" s="124"/>
    </row>
    <row r="664" spans="1:20" ht="18.75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4"/>
      <c r="O664" s="125"/>
      <c r="P664" s="125"/>
      <c r="Q664" s="125"/>
      <c r="R664" s="123"/>
      <c r="S664" s="123"/>
      <c r="T664" s="124"/>
    </row>
    <row r="665" spans="1:20" ht="18.75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4"/>
      <c r="O665" s="125"/>
      <c r="P665" s="125"/>
      <c r="Q665" s="125"/>
      <c r="R665" s="123"/>
      <c r="S665" s="123"/>
      <c r="T665" s="124"/>
    </row>
    <row r="666" spans="1:20" ht="18.75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4"/>
      <c r="O666" s="125"/>
      <c r="P666" s="125"/>
      <c r="Q666" s="125"/>
      <c r="R666" s="123"/>
      <c r="S666" s="123"/>
      <c r="T666" s="124"/>
    </row>
    <row r="667" spans="1:20" ht="18.75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4"/>
      <c r="O667" s="125"/>
      <c r="P667" s="125"/>
      <c r="Q667" s="125"/>
      <c r="R667" s="123"/>
      <c r="S667" s="123"/>
      <c r="T667" s="124"/>
    </row>
    <row r="668" spans="1:20" ht="18.75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4"/>
      <c r="O668" s="125"/>
      <c r="P668" s="125"/>
      <c r="Q668" s="125"/>
      <c r="R668" s="123"/>
      <c r="S668" s="123"/>
      <c r="T668" s="124"/>
    </row>
    <row r="669" spans="1:20" ht="18.75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4"/>
      <c r="O669" s="125"/>
      <c r="P669" s="125"/>
      <c r="Q669" s="125"/>
      <c r="R669" s="123"/>
      <c r="S669" s="123"/>
      <c r="T669" s="124"/>
    </row>
    <row r="670" spans="1:20" ht="18.75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4"/>
      <c r="O670" s="125"/>
      <c r="P670" s="125"/>
      <c r="Q670" s="125"/>
      <c r="R670" s="123"/>
      <c r="S670" s="123"/>
      <c r="T670" s="124"/>
    </row>
    <row r="671" spans="1:20" ht="18.75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4"/>
      <c r="O671" s="125"/>
      <c r="P671" s="125"/>
      <c r="Q671" s="125"/>
      <c r="R671" s="123"/>
      <c r="S671" s="123"/>
      <c r="T671" s="124"/>
    </row>
    <row r="672" spans="1:20" ht="18.75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4"/>
      <c r="O672" s="125"/>
      <c r="P672" s="125"/>
      <c r="Q672" s="125"/>
      <c r="R672" s="123"/>
      <c r="S672" s="123"/>
      <c r="T672" s="124"/>
    </row>
    <row r="673" spans="1:20" ht="18.75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4"/>
      <c r="O673" s="125"/>
      <c r="P673" s="125"/>
      <c r="Q673" s="125"/>
      <c r="R673" s="123"/>
      <c r="S673" s="123"/>
      <c r="T673" s="124"/>
    </row>
    <row r="674" spans="1:20" ht="18.75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4"/>
      <c r="O674" s="125"/>
      <c r="P674" s="125"/>
      <c r="Q674" s="125"/>
      <c r="R674" s="123"/>
      <c r="S674" s="123"/>
      <c r="T674" s="124"/>
    </row>
    <row r="675" spans="1:20" ht="18.75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4"/>
      <c r="O675" s="125"/>
      <c r="P675" s="125"/>
      <c r="Q675" s="125"/>
      <c r="R675" s="123"/>
      <c r="S675" s="123"/>
      <c r="T675" s="124"/>
    </row>
    <row r="676" spans="1:20" ht="18.75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4"/>
      <c r="O676" s="125"/>
      <c r="P676" s="125"/>
      <c r="Q676" s="125"/>
      <c r="R676" s="123"/>
      <c r="S676" s="123"/>
      <c r="T676" s="124"/>
    </row>
    <row r="677" spans="1:20" ht="18.75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4"/>
      <c r="O677" s="125"/>
      <c r="P677" s="125"/>
      <c r="Q677" s="125"/>
      <c r="R677" s="123"/>
      <c r="S677" s="123"/>
      <c r="T677" s="124"/>
    </row>
    <row r="678" spans="1:20" ht="18.75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4"/>
      <c r="O678" s="125"/>
      <c r="P678" s="125"/>
      <c r="Q678" s="125"/>
      <c r="R678" s="123"/>
      <c r="S678" s="123"/>
      <c r="T678" s="124"/>
    </row>
    <row r="679" spans="1:20" ht="18.75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4"/>
      <c r="O679" s="125"/>
      <c r="P679" s="125"/>
      <c r="Q679" s="125"/>
      <c r="R679" s="123"/>
      <c r="S679" s="123"/>
      <c r="T679" s="124"/>
    </row>
    <row r="680" spans="1:20" ht="18.75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4"/>
      <c r="O680" s="125"/>
      <c r="P680" s="125"/>
      <c r="Q680" s="125"/>
      <c r="R680" s="123"/>
      <c r="S680" s="123"/>
      <c r="T680" s="124"/>
    </row>
    <row r="681" spans="1:20" ht="18.75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4"/>
      <c r="O681" s="125"/>
      <c r="P681" s="125"/>
      <c r="Q681" s="125"/>
      <c r="R681" s="123"/>
      <c r="S681" s="123"/>
      <c r="T681" s="124"/>
    </row>
    <row r="682" spans="1:20" ht="18.75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4"/>
      <c r="O682" s="125"/>
      <c r="P682" s="125"/>
      <c r="Q682" s="125"/>
      <c r="R682" s="123"/>
      <c r="S682" s="123"/>
      <c r="T682" s="124"/>
    </row>
    <row r="683" spans="1:20" ht="18.75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4"/>
      <c r="O683" s="125"/>
      <c r="P683" s="125"/>
      <c r="Q683" s="125"/>
      <c r="R683" s="123"/>
      <c r="S683" s="123"/>
      <c r="T683" s="124"/>
    </row>
    <row r="684" spans="1:20" ht="18.75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4"/>
      <c r="O684" s="125"/>
      <c r="P684" s="125"/>
      <c r="Q684" s="125"/>
      <c r="R684" s="123"/>
      <c r="S684" s="123"/>
      <c r="T684" s="124"/>
    </row>
    <row r="685" spans="1:20" ht="18.75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4"/>
      <c r="O685" s="125"/>
      <c r="P685" s="125"/>
      <c r="Q685" s="125"/>
      <c r="R685" s="123"/>
      <c r="S685" s="123"/>
      <c r="T685" s="124"/>
    </row>
    <row r="686" spans="1:20" ht="18.75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4"/>
      <c r="O686" s="125"/>
      <c r="P686" s="125"/>
      <c r="Q686" s="125"/>
      <c r="R686" s="123"/>
      <c r="S686" s="123"/>
      <c r="T686" s="124"/>
    </row>
    <row r="687" spans="1:20" ht="18.75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4"/>
      <c r="O687" s="125"/>
      <c r="P687" s="125"/>
      <c r="Q687" s="125"/>
      <c r="R687" s="123"/>
      <c r="S687" s="123"/>
      <c r="T687" s="124"/>
    </row>
    <row r="688" spans="1:20" ht="18.75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4"/>
      <c r="O688" s="125"/>
      <c r="P688" s="125"/>
      <c r="Q688" s="125"/>
      <c r="R688" s="123"/>
      <c r="S688" s="123"/>
      <c r="T688" s="124"/>
    </row>
    <row r="689" spans="1:20" ht="18.75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4"/>
      <c r="O689" s="125"/>
      <c r="P689" s="125"/>
      <c r="Q689" s="125"/>
      <c r="R689" s="123"/>
      <c r="S689" s="123"/>
      <c r="T689" s="124"/>
    </row>
    <row r="690" spans="1:20" ht="18.75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4"/>
      <c r="O690" s="125"/>
      <c r="P690" s="125"/>
      <c r="Q690" s="125"/>
      <c r="R690" s="123"/>
      <c r="S690" s="123"/>
      <c r="T690" s="124"/>
    </row>
    <row r="691" spans="1:20" ht="18.75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4"/>
      <c r="O691" s="125"/>
      <c r="P691" s="125"/>
      <c r="Q691" s="125"/>
      <c r="R691" s="123"/>
      <c r="S691" s="123"/>
      <c r="T691" s="124"/>
    </row>
    <row r="692" spans="1:20" ht="18.75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4"/>
      <c r="O692" s="125"/>
      <c r="P692" s="125"/>
      <c r="Q692" s="125"/>
      <c r="R692" s="123"/>
      <c r="S692" s="123"/>
      <c r="T692" s="124"/>
    </row>
    <row r="693" spans="1:20" ht="18.75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4"/>
      <c r="O693" s="125"/>
      <c r="P693" s="125"/>
      <c r="Q693" s="125"/>
      <c r="R693" s="123"/>
      <c r="S693" s="123"/>
      <c r="T693" s="124"/>
    </row>
    <row r="694" spans="1:20" ht="18.75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4"/>
      <c r="O694" s="125"/>
      <c r="P694" s="125"/>
      <c r="Q694" s="125"/>
      <c r="R694" s="123"/>
      <c r="S694" s="123"/>
      <c r="T694" s="124"/>
    </row>
    <row r="695" spans="1:20" ht="18.75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4"/>
      <c r="O695" s="125"/>
      <c r="P695" s="125"/>
      <c r="Q695" s="125"/>
      <c r="R695" s="123"/>
      <c r="S695" s="123"/>
      <c r="T695" s="124"/>
    </row>
    <row r="696" spans="1:20" ht="18.75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4"/>
      <c r="O696" s="125"/>
      <c r="P696" s="125"/>
      <c r="Q696" s="125"/>
      <c r="R696" s="123"/>
      <c r="S696" s="123"/>
      <c r="T696" s="124"/>
    </row>
    <row r="697" spans="1:20" ht="18.75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4"/>
      <c r="O697" s="125"/>
      <c r="P697" s="125"/>
      <c r="Q697" s="125"/>
      <c r="R697" s="123"/>
      <c r="S697" s="123"/>
      <c r="T697" s="124"/>
    </row>
    <row r="698" spans="1:20" ht="18.75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4"/>
      <c r="O698" s="125"/>
      <c r="P698" s="125"/>
      <c r="Q698" s="125"/>
      <c r="R698" s="123"/>
      <c r="S698" s="123"/>
      <c r="T698" s="124"/>
    </row>
    <row r="699" spans="1:20" ht="18.75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4"/>
      <c r="O699" s="125"/>
      <c r="P699" s="125"/>
      <c r="Q699" s="125"/>
      <c r="R699" s="123"/>
      <c r="S699" s="123"/>
      <c r="T699" s="124"/>
    </row>
    <row r="700" spans="1:20" ht="18.75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4"/>
      <c r="O700" s="125"/>
      <c r="P700" s="125"/>
      <c r="Q700" s="125"/>
      <c r="R700" s="123"/>
      <c r="S700" s="123"/>
      <c r="T700" s="124"/>
    </row>
    <row r="701" spans="1:20" ht="18.75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4"/>
      <c r="O701" s="125"/>
      <c r="P701" s="125"/>
      <c r="Q701" s="125"/>
      <c r="R701" s="123"/>
      <c r="S701" s="123"/>
      <c r="T701" s="124"/>
    </row>
    <row r="702" spans="1:20" ht="18.75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4"/>
      <c r="O702" s="125"/>
      <c r="P702" s="125"/>
      <c r="Q702" s="125"/>
      <c r="R702" s="123"/>
      <c r="S702" s="123"/>
      <c r="T702" s="124"/>
    </row>
    <row r="703" spans="1:20" ht="18.75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4"/>
      <c r="O703" s="125"/>
      <c r="P703" s="125"/>
      <c r="Q703" s="125"/>
      <c r="R703" s="123"/>
      <c r="S703" s="123"/>
      <c r="T703" s="124"/>
    </row>
    <row r="704" spans="1:20" ht="18.75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4"/>
      <c r="O704" s="125"/>
      <c r="P704" s="125"/>
      <c r="Q704" s="125"/>
      <c r="R704" s="123"/>
      <c r="S704" s="123"/>
      <c r="T704" s="124"/>
    </row>
    <row r="705" spans="1:20" ht="18.75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4"/>
      <c r="O705" s="125"/>
      <c r="P705" s="125"/>
      <c r="Q705" s="125"/>
      <c r="R705" s="123"/>
      <c r="S705" s="123"/>
      <c r="T705" s="124"/>
    </row>
    <row r="706" spans="1:20" ht="18.75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4"/>
      <c r="O706" s="125"/>
      <c r="P706" s="125"/>
      <c r="Q706" s="125"/>
      <c r="R706" s="123"/>
      <c r="S706" s="123"/>
      <c r="T706" s="124"/>
    </row>
    <row r="707" spans="1:20" ht="18.75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4"/>
      <c r="O707" s="125"/>
      <c r="P707" s="125"/>
      <c r="Q707" s="125"/>
      <c r="R707" s="123"/>
      <c r="S707" s="123"/>
      <c r="T707" s="124"/>
    </row>
    <row r="708" spans="1:20" ht="18.75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4"/>
      <c r="O708" s="125"/>
      <c r="P708" s="125"/>
      <c r="Q708" s="125"/>
      <c r="R708" s="123"/>
      <c r="S708" s="123"/>
      <c r="T708" s="124"/>
    </row>
    <row r="709" spans="1:20" ht="18.75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4"/>
      <c r="O709" s="125"/>
      <c r="P709" s="125"/>
      <c r="Q709" s="125"/>
      <c r="R709" s="123"/>
      <c r="S709" s="123"/>
      <c r="T709" s="124"/>
    </row>
    <row r="710" spans="1:20" ht="18.75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4"/>
      <c r="O710" s="125"/>
      <c r="P710" s="125"/>
      <c r="Q710" s="125"/>
      <c r="R710" s="123"/>
      <c r="S710" s="123"/>
      <c r="T710" s="124"/>
    </row>
    <row r="711" spans="1:20" ht="18.75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4"/>
      <c r="O711" s="125"/>
      <c r="P711" s="125"/>
      <c r="Q711" s="125"/>
      <c r="R711" s="123"/>
      <c r="S711" s="123"/>
      <c r="T711" s="124"/>
    </row>
    <row r="712" spans="1:20" ht="18.75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4"/>
      <c r="O712" s="125"/>
      <c r="P712" s="125"/>
      <c r="Q712" s="125"/>
      <c r="R712" s="123"/>
      <c r="S712" s="123"/>
      <c r="T712" s="124"/>
    </row>
    <row r="713" spans="1:20" ht="18.75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4"/>
      <c r="O713" s="125"/>
      <c r="P713" s="125"/>
      <c r="Q713" s="125"/>
      <c r="R713" s="123"/>
      <c r="S713" s="123"/>
      <c r="T713" s="124"/>
    </row>
    <row r="714" spans="1:20" ht="18.75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4"/>
      <c r="O714" s="125"/>
      <c r="P714" s="125"/>
      <c r="Q714" s="125"/>
      <c r="R714" s="123"/>
      <c r="S714" s="123"/>
      <c r="T714" s="124"/>
    </row>
    <row r="715" spans="1:20" ht="18.75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4"/>
      <c r="O715" s="125"/>
      <c r="P715" s="125"/>
      <c r="Q715" s="125"/>
      <c r="R715" s="123"/>
      <c r="S715" s="123"/>
      <c r="T715" s="124"/>
    </row>
    <row r="716" spans="1:20" ht="18.75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4"/>
      <c r="O716" s="125"/>
      <c r="P716" s="125"/>
      <c r="Q716" s="125"/>
      <c r="R716" s="123"/>
      <c r="S716" s="123"/>
      <c r="T716" s="124"/>
    </row>
    <row r="717" spans="1:20" ht="18.75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4"/>
      <c r="O717" s="125"/>
      <c r="P717" s="125"/>
      <c r="Q717" s="125"/>
      <c r="R717" s="123"/>
      <c r="S717" s="123"/>
      <c r="T717" s="124"/>
    </row>
    <row r="718" spans="1:20" ht="18.75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4"/>
      <c r="O718" s="125"/>
      <c r="P718" s="125"/>
      <c r="Q718" s="125"/>
      <c r="R718" s="123"/>
      <c r="S718" s="123"/>
      <c r="T718" s="124"/>
    </row>
    <row r="719" spans="1:20" ht="18.75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4"/>
      <c r="O719" s="125"/>
      <c r="P719" s="125"/>
      <c r="Q719" s="125"/>
      <c r="R719" s="123"/>
      <c r="S719" s="123"/>
      <c r="T719" s="124"/>
    </row>
    <row r="720" spans="1:20" ht="18.75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4"/>
      <c r="O720" s="125"/>
      <c r="P720" s="125"/>
      <c r="Q720" s="125"/>
      <c r="R720" s="123"/>
      <c r="S720" s="123"/>
      <c r="T720" s="124"/>
    </row>
    <row r="721" spans="1:20" ht="18.75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4"/>
      <c r="O721" s="125"/>
      <c r="P721" s="125"/>
      <c r="Q721" s="125"/>
      <c r="R721" s="123"/>
      <c r="S721" s="123"/>
      <c r="T721" s="124"/>
    </row>
    <row r="722" spans="1:20" ht="18.75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4"/>
      <c r="O722" s="125"/>
      <c r="P722" s="125"/>
      <c r="Q722" s="125"/>
      <c r="R722" s="123"/>
      <c r="S722" s="123"/>
      <c r="T722" s="124"/>
    </row>
    <row r="723" spans="1:20" ht="18.75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4"/>
      <c r="O723" s="125"/>
      <c r="P723" s="125"/>
      <c r="Q723" s="125"/>
      <c r="R723" s="123"/>
      <c r="S723" s="123"/>
      <c r="T723" s="124"/>
    </row>
    <row r="724" spans="1:20" ht="18.75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4"/>
      <c r="O724" s="125"/>
      <c r="P724" s="125"/>
      <c r="Q724" s="125"/>
      <c r="R724" s="123"/>
      <c r="S724" s="123"/>
      <c r="T724" s="124"/>
    </row>
    <row r="725" spans="1:20" ht="18.75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4"/>
      <c r="O725" s="125"/>
      <c r="P725" s="125"/>
      <c r="Q725" s="125"/>
      <c r="R725" s="123"/>
      <c r="S725" s="123"/>
      <c r="T725" s="124"/>
    </row>
    <row r="726" spans="1:20" ht="18.75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4"/>
      <c r="O726" s="125"/>
      <c r="P726" s="125"/>
      <c r="Q726" s="125"/>
      <c r="R726" s="123"/>
      <c r="S726" s="123"/>
      <c r="T726" s="124"/>
    </row>
    <row r="727" spans="1:20" ht="18.75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4"/>
      <c r="O727" s="125"/>
      <c r="P727" s="125"/>
      <c r="Q727" s="125"/>
      <c r="R727" s="123"/>
      <c r="S727" s="123"/>
      <c r="T727" s="124"/>
    </row>
    <row r="728" spans="1:20" ht="18.75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4"/>
      <c r="O728" s="125"/>
      <c r="P728" s="125"/>
      <c r="Q728" s="125"/>
      <c r="R728" s="123"/>
      <c r="S728" s="123"/>
      <c r="T728" s="124"/>
    </row>
    <row r="729" spans="1:20" ht="18.75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4"/>
      <c r="O729" s="125"/>
      <c r="P729" s="125"/>
      <c r="Q729" s="125"/>
      <c r="R729" s="123"/>
      <c r="S729" s="123"/>
      <c r="T729" s="124"/>
    </row>
    <row r="730" spans="1:20" ht="18.75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4"/>
      <c r="O730" s="125"/>
      <c r="P730" s="125"/>
      <c r="Q730" s="125"/>
      <c r="R730" s="123"/>
      <c r="S730" s="123"/>
      <c r="T730" s="124"/>
    </row>
    <row r="731" spans="1:20" ht="18.75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4"/>
      <c r="O731" s="125"/>
      <c r="P731" s="125"/>
      <c r="Q731" s="125"/>
      <c r="R731" s="123"/>
      <c r="S731" s="123"/>
      <c r="T731" s="124"/>
    </row>
    <row r="732" spans="1:20" ht="18.75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4"/>
      <c r="O732" s="125"/>
      <c r="P732" s="125"/>
      <c r="Q732" s="125"/>
      <c r="R732" s="123"/>
      <c r="S732" s="123"/>
      <c r="T732" s="124"/>
    </row>
    <row r="733" spans="1:20" ht="18.75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4"/>
      <c r="O733" s="125"/>
      <c r="P733" s="125"/>
      <c r="Q733" s="125"/>
      <c r="R733" s="123"/>
      <c r="S733" s="123"/>
      <c r="T733" s="124"/>
    </row>
    <row r="734" spans="1:20" ht="18.75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4"/>
      <c r="O734" s="125"/>
      <c r="P734" s="125"/>
      <c r="Q734" s="125"/>
      <c r="R734" s="123"/>
      <c r="S734" s="123"/>
      <c r="T734" s="124"/>
    </row>
    <row r="735" spans="1:20" ht="18.75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4"/>
      <c r="O735" s="125"/>
      <c r="P735" s="125"/>
      <c r="Q735" s="125"/>
      <c r="R735" s="123"/>
      <c r="S735" s="123"/>
      <c r="T735" s="124"/>
    </row>
    <row r="736" spans="1:20" ht="18.75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4"/>
      <c r="O736" s="125"/>
      <c r="P736" s="125"/>
      <c r="Q736" s="125"/>
      <c r="R736" s="123"/>
      <c r="S736" s="123"/>
      <c r="T736" s="124"/>
    </row>
    <row r="737" spans="1:20" ht="18.75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4"/>
      <c r="O737" s="125"/>
      <c r="P737" s="125"/>
      <c r="Q737" s="125"/>
      <c r="R737" s="123"/>
      <c r="S737" s="123"/>
      <c r="T737" s="124"/>
    </row>
    <row r="738" spans="1:20" ht="18.75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4"/>
      <c r="O738" s="125"/>
      <c r="P738" s="125"/>
      <c r="Q738" s="125"/>
      <c r="R738" s="123"/>
      <c r="S738" s="123"/>
      <c r="T738" s="124"/>
    </row>
    <row r="739" spans="1:20" ht="18.75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4"/>
      <c r="O739" s="125"/>
      <c r="P739" s="125"/>
      <c r="Q739" s="125"/>
      <c r="R739" s="123"/>
      <c r="S739" s="123"/>
      <c r="T739" s="124"/>
    </row>
    <row r="740" spans="1:20" ht="18.75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4"/>
      <c r="O740" s="125"/>
      <c r="P740" s="125"/>
      <c r="Q740" s="125"/>
      <c r="R740" s="123"/>
      <c r="S740" s="123"/>
      <c r="T740" s="124"/>
    </row>
    <row r="741" spans="1:20" ht="18.75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4"/>
      <c r="O741" s="125"/>
      <c r="P741" s="125"/>
      <c r="Q741" s="125"/>
      <c r="R741" s="123"/>
      <c r="S741" s="123"/>
      <c r="T741" s="124"/>
    </row>
    <row r="742" spans="1:20" ht="18.75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4"/>
      <c r="O742" s="125"/>
      <c r="P742" s="125"/>
      <c r="Q742" s="125"/>
      <c r="R742" s="123"/>
      <c r="S742" s="123"/>
      <c r="T742" s="124"/>
    </row>
    <row r="743" spans="1:20" ht="18.75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4"/>
      <c r="O743" s="125"/>
      <c r="P743" s="125"/>
      <c r="Q743" s="125"/>
      <c r="R743" s="123"/>
      <c r="S743" s="123"/>
      <c r="T743" s="124"/>
    </row>
    <row r="744" spans="1:20" ht="18.75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4"/>
      <c r="O744" s="125"/>
      <c r="P744" s="125"/>
      <c r="Q744" s="125"/>
      <c r="R744" s="123"/>
      <c r="S744" s="123"/>
      <c r="T744" s="124"/>
    </row>
    <row r="745" spans="1:20" ht="18.75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4"/>
      <c r="O745" s="125"/>
      <c r="P745" s="125"/>
      <c r="Q745" s="125"/>
      <c r="R745" s="123"/>
      <c r="S745" s="123"/>
      <c r="T745" s="124"/>
    </row>
    <row r="746" spans="1:20" ht="18.75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4"/>
      <c r="O746" s="125"/>
      <c r="P746" s="125"/>
      <c r="Q746" s="125"/>
      <c r="R746" s="123"/>
      <c r="S746" s="123"/>
      <c r="T746" s="124"/>
    </row>
    <row r="747" spans="1:20" ht="18.75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4"/>
      <c r="O747" s="125"/>
      <c r="P747" s="125"/>
      <c r="Q747" s="125"/>
      <c r="R747" s="123"/>
      <c r="S747" s="123"/>
      <c r="T747" s="124"/>
    </row>
    <row r="748" spans="1:20" ht="18.75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4"/>
      <c r="O748" s="125"/>
      <c r="P748" s="125"/>
      <c r="Q748" s="125"/>
      <c r="R748" s="123"/>
      <c r="S748" s="123"/>
      <c r="T748" s="124"/>
    </row>
    <row r="749" spans="1:20" ht="18.75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4"/>
      <c r="O749" s="125"/>
      <c r="P749" s="125"/>
      <c r="Q749" s="125"/>
      <c r="R749" s="123"/>
      <c r="S749" s="123"/>
      <c r="T749" s="124"/>
    </row>
    <row r="750" spans="1:20" ht="18.75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4"/>
      <c r="O750" s="125"/>
      <c r="P750" s="125"/>
      <c r="Q750" s="125"/>
      <c r="R750" s="123"/>
      <c r="S750" s="123"/>
      <c r="T750" s="124"/>
    </row>
    <row r="751" spans="1:20" ht="18.75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4"/>
      <c r="O751" s="125"/>
      <c r="P751" s="125"/>
      <c r="Q751" s="125"/>
      <c r="R751" s="123"/>
      <c r="S751" s="123"/>
      <c r="T751" s="124"/>
    </row>
    <row r="752" spans="1:20" ht="18.75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4"/>
      <c r="O752" s="125"/>
      <c r="P752" s="125"/>
      <c r="Q752" s="125"/>
      <c r="R752" s="123"/>
      <c r="S752" s="123"/>
      <c r="T752" s="124"/>
    </row>
    <row r="753" spans="1:20" ht="18.75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4"/>
      <c r="O753" s="125"/>
      <c r="P753" s="125"/>
      <c r="Q753" s="125"/>
      <c r="R753" s="123"/>
      <c r="S753" s="123"/>
      <c r="T753" s="124"/>
    </row>
    <row r="754" spans="1:20" ht="18.75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4"/>
      <c r="O754" s="125"/>
      <c r="P754" s="125"/>
      <c r="Q754" s="125"/>
      <c r="R754" s="123"/>
      <c r="S754" s="123"/>
      <c r="T754" s="124"/>
    </row>
    <row r="755" spans="1:20" ht="18.75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4"/>
      <c r="O755" s="125"/>
      <c r="P755" s="125"/>
      <c r="Q755" s="125"/>
      <c r="R755" s="123"/>
      <c r="S755" s="123"/>
      <c r="T755" s="124"/>
    </row>
    <row r="756" spans="1:20" ht="18.75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4"/>
      <c r="O756" s="125"/>
      <c r="P756" s="125"/>
      <c r="Q756" s="125"/>
      <c r="R756" s="123"/>
      <c r="S756" s="123"/>
      <c r="T756" s="124"/>
    </row>
    <row r="757" spans="1:20" ht="18.75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4"/>
      <c r="O757" s="125"/>
      <c r="P757" s="125"/>
      <c r="Q757" s="125"/>
      <c r="R757" s="123"/>
      <c r="S757" s="123"/>
      <c r="T757" s="124"/>
    </row>
    <row r="758" spans="1:20" ht="18.75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4"/>
      <c r="O758" s="125"/>
      <c r="P758" s="125"/>
      <c r="Q758" s="125"/>
      <c r="R758" s="123"/>
      <c r="S758" s="123"/>
      <c r="T758" s="124"/>
    </row>
    <row r="759" spans="1:20" ht="18.75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4"/>
      <c r="O759" s="125"/>
      <c r="P759" s="125"/>
      <c r="Q759" s="125"/>
      <c r="R759" s="123"/>
      <c r="S759" s="123"/>
      <c r="T759" s="124"/>
    </row>
    <row r="760" spans="1:20" ht="18.75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4"/>
      <c r="O760" s="125"/>
      <c r="P760" s="125"/>
      <c r="Q760" s="125"/>
      <c r="R760" s="123"/>
      <c r="S760" s="123"/>
      <c r="T760" s="124"/>
    </row>
    <row r="761" spans="1:20" ht="18.75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4"/>
      <c r="O761" s="125"/>
      <c r="P761" s="125"/>
      <c r="Q761" s="125"/>
      <c r="R761" s="123"/>
      <c r="S761" s="123"/>
      <c r="T761" s="124"/>
    </row>
    <row r="762" spans="1:20" ht="18.75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4"/>
      <c r="O762" s="125"/>
      <c r="P762" s="125"/>
      <c r="Q762" s="125"/>
      <c r="R762" s="123"/>
      <c r="S762" s="123"/>
      <c r="T762" s="124"/>
    </row>
    <row r="763" spans="1:20" ht="18.75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4"/>
      <c r="O763" s="125"/>
      <c r="P763" s="125"/>
      <c r="Q763" s="125"/>
      <c r="R763" s="123"/>
      <c r="S763" s="123"/>
      <c r="T763" s="124"/>
    </row>
    <row r="764" spans="1:20" ht="18.75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4"/>
      <c r="O764" s="125"/>
      <c r="P764" s="125"/>
      <c r="Q764" s="125"/>
      <c r="R764" s="123"/>
      <c r="S764" s="123"/>
      <c r="T764" s="124"/>
    </row>
    <row r="765" spans="1:20" ht="18.75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4"/>
      <c r="O765" s="125"/>
      <c r="P765" s="125"/>
      <c r="Q765" s="125"/>
      <c r="R765" s="123"/>
      <c r="S765" s="123"/>
      <c r="T765" s="124"/>
    </row>
    <row r="766" spans="1:20" ht="18.75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4"/>
      <c r="O766" s="125"/>
      <c r="P766" s="125"/>
      <c r="Q766" s="125"/>
      <c r="R766" s="123"/>
      <c r="S766" s="123"/>
      <c r="T766" s="124"/>
    </row>
    <row r="767" spans="1:20" ht="18.75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4"/>
      <c r="O767" s="125"/>
      <c r="P767" s="125"/>
      <c r="Q767" s="125"/>
      <c r="R767" s="123"/>
      <c r="S767" s="123"/>
      <c r="T767" s="124"/>
    </row>
    <row r="768" spans="1:20" ht="18.75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4"/>
      <c r="O768" s="125"/>
      <c r="P768" s="125"/>
      <c r="Q768" s="125"/>
      <c r="R768" s="123"/>
      <c r="S768" s="123"/>
      <c r="T768" s="124"/>
    </row>
    <row r="769" spans="1:20" ht="18.75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4"/>
      <c r="O769" s="125"/>
      <c r="P769" s="125"/>
      <c r="Q769" s="125"/>
      <c r="R769" s="123"/>
      <c r="S769" s="123"/>
      <c r="T769" s="124"/>
    </row>
    <row r="770" spans="1:20" ht="18.75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4"/>
      <c r="O770" s="125"/>
      <c r="P770" s="125"/>
      <c r="Q770" s="125"/>
      <c r="R770" s="123"/>
      <c r="S770" s="123"/>
      <c r="T770" s="124"/>
    </row>
    <row r="771" spans="1:20" ht="18.75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4"/>
      <c r="O771" s="125"/>
      <c r="P771" s="125"/>
      <c r="Q771" s="125"/>
      <c r="R771" s="123"/>
      <c r="S771" s="123"/>
      <c r="T771" s="124"/>
    </row>
    <row r="772" spans="1:20" ht="18.75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4"/>
      <c r="O772" s="125"/>
      <c r="P772" s="125"/>
      <c r="Q772" s="125"/>
      <c r="R772" s="123"/>
      <c r="S772" s="123"/>
      <c r="T772" s="124"/>
    </row>
    <row r="773" spans="1:20" ht="18.75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4"/>
      <c r="O773" s="125"/>
      <c r="P773" s="125"/>
      <c r="Q773" s="125"/>
      <c r="R773" s="123"/>
      <c r="S773" s="123"/>
      <c r="T773" s="124"/>
    </row>
    <row r="774" spans="1:20" ht="18.75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4"/>
      <c r="O774" s="125"/>
      <c r="P774" s="125"/>
      <c r="Q774" s="125"/>
      <c r="R774" s="123"/>
      <c r="S774" s="123"/>
      <c r="T774" s="124"/>
    </row>
    <row r="775" spans="1:20" ht="18.75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4"/>
      <c r="O775" s="125"/>
      <c r="P775" s="125"/>
      <c r="Q775" s="125"/>
      <c r="R775" s="123"/>
      <c r="S775" s="123"/>
      <c r="T775" s="124"/>
    </row>
    <row r="776" spans="1:20" ht="18.75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4"/>
      <c r="O776" s="125"/>
      <c r="P776" s="125"/>
      <c r="Q776" s="125"/>
      <c r="R776" s="123"/>
      <c r="S776" s="123"/>
      <c r="T776" s="124"/>
    </row>
    <row r="777" spans="1:20" ht="18.75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4"/>
      <c r="O777" s="125"/>
      <c r="P777" s="125"/>
      <c r="Q777" s="125"/>
      <c r="R777" s="123"/>
      <c r="S777" s="123"/>
      <c r="T777" s="124"/>
    </row>
    <row r="778" spans="1:20" ht="18.75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4"/>
      <c r="O778" s="125"/>
      <c r="P778" s="125"/>
      <c r="Q778" s="125"/>
      <c r="R778" s="123"/>
      <c r="S778" s="123"/>
      <c r="T778" s="124"/>
    </row>
    <row r="779" spans="1:20" ht="18.75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4"/>
      <c r="O779" s="125"/>
      <c r="P779" s="125"/>
      <c r="Q779" s="125"/>
      <c r="R779" s="123"/>
      <c r="S779" s="123"/>
      <c r="T779" s="124"/>
    </row>
    <row r="780" spans="1:20" ht="18.75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4"/>
      <c r="O780" s="125"/>
      <c r="P780" s="125"/>
      <c r="Q780" s="125"/>
      <c r="R780" s="123"/>
      <c r="S780" s="123"/>
      <c r="T780" s="124"/>
    </row>
    <row r="781" spans="1:20" ht="18.75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4"/>
      <c r="O781" s="125"/>
      <c r="P781" s="125"/>
      <c r="Q781" s="125"/>
      <c r="R781" s="123"/>
      <c r="S781" s="123"/>
      <c r="T781" s="124"/>
    </row>
    <row r="782" spans="1:20" ht="18.75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4"/>
      <c r="O782" s="125"/>
      <c r="P782" s="125"/>
      <c r="Q782" s="125"/>
      <c r="R782" s="123"/>
      <c r="S782" s="123"/>
      <c r="T782" s="124"/>
    </row>
    <row r="783" spans="1:20" ht="18.75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4"/>
      <c r="O783" s="125"/>
      <c r="P783" s="125"/>
      <c r="Q783" s="125"/>
      <c r="R783" s="123"/>
      <c r="S783" s="123"/>
      <c r="T783" s="124"/>
    </row>
    <row r="784" spans="1:20" ht="18.75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4"/>
      <c r="O784" s="125"/>
      <c r="P784" s="125"/>
      <c r="Q784" s="125"/>
      <c r="R784" s="123"/>
      <c r="S784" s="123"/>
      <c r="T784" s="124"/>
    </row>
    <row r="785" spans="1:20" ht="18.75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4"/>
      <c r="O785" s="125"/>
      <c r="P785" s="125"/>
      <c r="Q785" s="125"/>
      <c r="R785" s="123"/>
      <c r="S785" s="123"/>
      <c r="T785" s="124"/>
    </row>
    <row r="786" spans="1:20" ht="18.75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4"/>
      <c r="O786" s="125"/>
      <c r="P786" s="125"/>
      <c r="Q786" s="125"/>
      <c r="R786" s="123"/>
      <c r="S786" s="123"/>
      <c r="T786" s="124"/>
    </row>
    <row r="787" spans="1:20" ht="18.75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4"/>
      <c r="O787" s="125"/>
      <c r="P787" s="125"/>
      <c r="Q787" s="125"/>
      <c r="R787" s="123"/>
      <c r="S787" s="123"/>
      <c r="T787" s="124"/>
    </row>
    <row r="788" spans="1:20" ht="18.75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4"/>
      <c r="O788" s="125"/>
      <c r="P788" s="125"/>
      <c r="Q788" s="125"/>
      <c r="R788" s="123"/>
      <c r="S788" s="123"/>
      <c r="T788" s="124"/>
    </row>
    <row r="789" spans="1:20" ht="18.75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4"/>
      <c r="O789" s="125"/>
      <c r="P789" s="125"/>
      <c r="Q789" s="125"/>
      <c r="R789" s="123"/>
      <c r="S789" s="123"/>
      <c r="T789" s="124"/>
    </row>
    <row r="790" spans="1:20" ht="18.75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4"/>
      <c r="O790" s="125"/>
      <c r="P790" s="125"/>
      <c r="Q790" s="125"/>
      <c r="R790" s="123"/>
      <c r="S790" s="123"/>
      <c r="T790" s="124"/>
    </row>
    <row r="791" spans="1:20" ht="18.75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4"/>
      <c r="O791" s="125"/>
      <c r="P791" s="125"/>
      <c r="Q791" s="125"/>
      <c r="R791" s="123"/>
      <c r="S791" s="123"/>
      <c r="T791" s="124"/>
    </row>
    <row r="792" spans="1:20" ht="18.75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4"/>
      <c r="O792" s="125"/>
      <c r="P792" s="125"/>
      <c r="Q792" s="125"/>
      <c r="R792" s="123"/>
      <c r="S792" s="123"/>
      <c r="T792" s="124"/>
    </row>
    <row r="793" spans="1:20" ht="18.75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4"/>
      <c r="O793" s="125"/>
      <c r="P793" s="125"/>
      <c r="Q793" s="125"/>
      <c r="R793" s="123"/>
      <c r="S793" s="123"/>
      <c r="T793" s="124"/>
    </row>
    <row r="794" spans="1:20" ht="18.75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4"/>
      <c r="O794" s="125"/>
      <c r="P794" s="125"/>
      <c r="Q794" s="125"/>
      <c r="R794" s="123"/>
      <c r="S794" s="123"/>
      <c r="T794" s="124"/>
    </row>
    <row r="795" spans="1:20" ht="18.75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4"/>
      <c r="O795" s="125"/>
      <c r="P795" s="125"/>
      <c r="Q795" s="125"/>
      <c r="R795" s="123"/>
      <c r="S795" s="123"/>
      <c r="T795" s="124"/>
    </row>
    <row r="796" spans="1:20" ht="18.75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4"/>
      <c r="O796" s="125"/>
      <c r="P796" s="125"/>
      <c r="Q796" s="125"/>
      <c r="R796" s="123"/>
      <c r="S796" s="123"/>
      <c r="T796" s="124"/>
    </row>
    <row r="797" spans="1:20" ht="18.75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4"/>
      <c r="O797" s="125"/>
      <c r="P797" s="125"/>
      <c r="Q797" s="125"/>
      <c r="R797" s="123"/>
      <c r="S797" s="123"/>
      <c r="T797" s="124"/>
    </row>
    <row r="798" spans="1:20" ht="18.75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4"/>
      <c r="O798" s="125"/>
      <c r="P798" s="125"/>
      <c r="Q798" s="125"/>
      <c r="R798" s="123"/>
      <c r="S798" s="123"/>
      <c r="T798" s="124"/>
    </row>
    <row r="799" spans="1:20" ht="18.75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4"/>
      <c r="O799" s="125"/>
      <c r="P799" s="125"/>
      <c r="Q799" s="125"/>
      <c r="R799" s="123"/>
      <c r="S799" s="123"/>
      <c r="T799" s="124"/>
    </row>
    <row r="800" spans="1:20" ht="18.75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4"/>
      <c r="O800" s="125"/>
      <c r="P800" s="125"/>
      <c r="Q800" s="125"/>
      <c r="R800" s="123"/>
      <c r="S800" s="123"/>
      <c r="T800" s="124"/>
    </row>
    <row r="801" spans="1:20" ht="18.75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4"/>
      <c r="O801" s="125"/>
      <c r="P801" s="125"/>
      <c r="Q801" s="125"/>
      <c r="R801" s="123"/>
      <c r="S801" s="123"/>
      <c r="T801" s="124"/>
    </row>
    <row r="802" spans="1:20" ht="18.75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4"/>
      <c r="O802" s="125"/>
      <c r="P802" s="125"/>
      <c r="Q802" s="125"/>
      <c r="R802" s="123"/>
      <c r="S802" s="123"/>
      <c r="T802" s="124"/>
    </row>
    <row r="803" spans="1:20" ht="18.75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4"/>
      <c r="O803" s="125"/>
      <c r="P803" s="125"/>
      <c r="Q803" s="125"/>
      <c r="R803" s="123"/>
      <c r="S803" s="123"/>
      <c r="T803" s="124"/>
    </row>
    <row r="804" spans="1:20" ht="18.75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4"/>
      <c r="O804" s="125"/>
      <c r="P804" s="125"/>
      <c r="Q804" s="125"/>
      <c r="R804" s="123"/>
      <c r="S804" s="123"/>
      <c r="T804" s="124"/>
    </row>
    <row r="805" spans="1:20" ht="18.75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4"/>
      <c r="O805" s="125"/>
      <c r="P805" s="125"/>
      <c r="Q805" s="125"/>
      <c r="R805" s="123"/>
      <c r="S805" s="123"/>
      <c r="T805" s="124"/>
    </row>
    <row r="806" spans="1:20" ht="18.75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4"/>
      <c r="O806" s="125"/>
      <c r="P806" s="125"/>
      <c r="Q806" s="125"/>
      <c r="R806" s="123"/>
      <c r="S806" s="123"/>
      <c r="T806" s="124"/>
    </row>
    <row r="807" spans="1:20" ht="18.75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4"/>
      <c r="O807" s="125"/>
      <c r="P807" s="125"/>
      <c r="Q807" s="125"/>
      <c r="R807" s="123"/>
      <c r="S807" s="123"/>
      <c r="T807" s="124"/>
    </row>
    <row r="808" spans="1:20" ht="18.75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4"/>
      <c r="O808" s="125"/>
      <c r="P808" s="125"/>
      <c r="Q808" s="125"/>
      <c r="R808" s="123"/>
      <c r="S808" s="123"/>
      <c r="T808" s="124"/>
    </row>
    <row r="809" spans="1:20" ht="18.75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4"/>
      <c r="O809" s="125"/>
      <c r="P809" s="125"/>
      <c r="Q809" s="125"/>
      <c r="R809" s="123"/>
      <c r="S809" s="123"/>
      <c r="T809" s="124"/>
    </row>
    <row r="810" spans="1:20" ht="18.75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4"/>
      <c r="O810" s="125"/>
      <c r="P810" s="125"/>
      <c r="Q810" s="125"/>
      <c r="R810" s="123"/>
      <c r="S810" s="123"/>
      <c r="T810" s="124"/>
    </row>
    <row r="811" spans="1:20" ht="18.75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4"/>
      <c r="O811" s="125"/>
      <c r="P811" s="125"/>
      <c r="Q811" s="125"/>
      <c r="R811" s="123"/>
      <c r="S811" s="123"/>
      <c r="T811" s="124"/>
    </row>
    <row r="812" spans="1:20" ht="18.75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4"/>
      <c r="O812" s="125"/>
      <c r="P812" s="125"/>
      <c r="Q812" s="125"/>
      <c r="R812" s="123"/>
      <c r="S812" s="123"/>
      <c r="T812" s="124"/>
    </row>
    <row r="813" spans="1:20" ht="18.75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4"/>
      <c r="O813" s="125"/>
      <c r="P813" s="125"/>
      <c r="Q813" s="125"/>
      <c r="R813" s="123"/>
      <c r="S813" s="123"/>
      <c r="T813" s="124"/>
    </row>
    <row r="814" spans="1:20" ht="18.75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4"/>
      <c r="O814" s="125"/>
      <c r="P814" s="125"/>
      <c r="Q814" s="125"/>
      <c r="R814" s="123"/>
      <c r="S814" s="123"/>
      <c r="T814" s="124"/>
    </row>
    <row r="815" spans="1:20" ht="18.75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4"/>
      <c r="O815" s="125"/>
      <c r="P815" s="125"/>
      <c r="Q815" s="125"/>
      <c r="R815" s="123"/>
      <c r="S815" s="123"/>
      <c r="T815" s="124"/>
    </row>
    <row r="816" spans="1:20" ht="18.75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4"/>
      <c r="O816" s="125"/>
      <c r="P816" s="125"/>
      <c r="Q816" s="125"/>
      <c r="R816" s="123"/>
      <c r="S816" s="123"/>
      <c r="T816" s="124"/>
    </row>
    <row r="817" spans="1:20" ht="18.75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4"/>
      <c r="O817" s="125"/>
      <c r="P817" s="125"/>
      <c r="Q817" s="125"/>
      <c r="R817" s="123"/>
      <c r="S817" s="123"/>
      <c r="T817" s="124"/>
    </row>
    <row r="818" spans="1:20" ht="18.75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4"/>
      <c r="O818" s="125"/>
      <c r="P818" s="125"/>
      <c r="Q818" s="125"/>
      <c r="R818" s="123"/>
      <c r="S818" s="123"/>
      <c r="T818" s="124"/>
    </row>
    <row r="819" spans="1:20" ht="18.75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4"/>
      <c r="O819" s="125"/>
      <c r="P819" s="125"/>
      <c r="Q819" s="125"/>
      <c r="R819" s="123"/>
      <c r="S819" s="123"/>
      <c r="T819" s="124"/>
    </row>
    <row r="820" spans="1:20" ht="18.75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4"/>
      <c r="O820" s="125"/>
      <c r="P820" s="125"/>
      <c r="Q820" s="125"/>
      <c r="R820" s="123"/>
      <c r="S820" s="123"/>
      <c r="T820" s="124"/>
    </row>
    <row r="821" spans="1:20" ht="18.75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4"/>
      <c r="O821" s="125"/>
      <c r="P821" s="125"/>
      <c r="Q821" s="125"/>
      <c r="R821" s="123"/>
      <c r="S821" s="123"/>
      <c r="T821" s="124"/>
    </row>
    <row r="822" spans="1:20" ht="18.75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4"/>
      <c r="O822" s="125"/>
      <c r="P822" s="125"/>
      <c r="Q822" s="125"/>
      <c r="R822" s="123"/>
      <c r="S822" s="123"/>
      <c r="T822" s="124"/>
    </row>
    <row r="823" spans="1:20" ht="18.75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4"/>
      <c r="O823" s="125"/>
      <c r="P823" s="125"/>
      <c r="Q823" s="125"/>
      <c r="R823" s="123"/>
      <c r="S823" s="123"/>
      <c r="T823" s="124"/>
    </row>
    <row r="824" spans="1:20" ht="18.75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4"/>
      <c r="O824" s="125"/>
      <c r="P824" s="125"/>
      <c r="Q824" s="125"/>
      <c r="R824" s="123"/>
      <c r="S824" s="123"/>
      <c r="T824" s="124"/>
    </row>
    <row r="825" spans="1:20" ht="18.75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4"/>
      <c r="O825" s="125"/>
      <c r="P825" s="125"/>
      <c r="Q825" s="125"/>
      <c r="R825" s="123"/>
      <c r="S825" s="123"/>
      <c r="T825" s="124"/>
    </row>
    <row r="826" spans="1:20" ht="18.75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4"/>
      <c r="O826" s="125"/>
      <c r="P826" s="125"/>
      <c r="Q826" s="125"/>
      <c r="R826" s="123"/>
      <c r="S826" s="123"/>
      <c r="T826" s="124"/>
    </row>
    <row r="827" spans="1:20" ht="18.75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4"/>
      <c r="O827" s="125"/>
      <c r="P827" s="125"/>
      <c r="Q827" s="125"/>
      <c r="R827" s="123"/>
      <c r="S827" s="123"/>
      <c r="T827" s="124"/>
    </row>
    <row r="828" spans="1:20" ht="18.75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4"/>
      <c r="O828" s="125"/>
      <c r="P828" s="125"/>
      <c r="Q828" s="125"/>
      <c r="R828" s="123"/>
      <c r="S828" s="123"/>
      <c r="T828" s="124"/>
    </row>
    <row r="829" spans="1:20" ht="18.75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4"/>
      <c r="O829" s="125"/>
      <c r="P829" s="125"/>
      <c r="Q829" s="125"/>
      <c r="R829" s="123"/>
      <c r="S829" s="123"/>
      <c r="T829" s="124"/>
    </row>
    <row r="830" spans="1:20" ht="18.75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4"/>
      <c r="O830" s="125"/>
      <c r="P830" s="125"/>
      <c r="Q830" s="125"/>
      <c r="R830" s="123"/>
      <c r="S830" s="123"/>
      <c r="T830" s="124"/>
    </row>
    <row r="831" spans="1:20" ht="18.75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4"/>
      <c r="O831" s="125"/>
      <c r="P831" s="125"/>
      <c r="Q831" s="125"/>
      <c r="R831" s="123"/>
      <c r="S831" s="123"/>
      <c r="T831" s="124"/>
    </row>
    <row r="832" spans="1:20" ht="18.75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4"/>
      <c r="O832" s="125"/>
      <c r="P832" s="125"/>
      <c r="Q832" s="125"/>
      <c r="R832" s="123"/>
      <c r="S832" s="123"/>
      <c r="T832" s="124"/>
    </row>
    <row r="833" spans="1:20" ht="18.75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4"/>
      <c r="O833" s="125"/>
      <c r="P833" s="125"/>
      <c r="Q833" s="125"/>
      <c r="R833" s="123"/>
      <c r="S833" s="123"/>
      <c r="T833" s="124"/>
    </row>
    <row r="834" spans="1:20" ht="18.75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4"/>
      <c r="O834" s="125"/>
      <c r="P834" s="125"/>
      <c r="Q834" s="125"/>
      <c r="R834" s="123"/>
      <c r="S834" s="123"/>
      <c r="T834" s="124"/>
    </row>
    <row r="835" spans="1:20" ht="18.75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4"/>
      <c r="O835" s="125"/>
      <c r="P835" s="125"/>
      <c r="Q835" s="125"/>
      <c r="R835" s="123"/>
      <c r="S835" s="123"/>
      <c r="T835" s="124"/>
    </row>
    <row r="836" spans="1:20" ht="18.75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4"/>
      <c r="O836" s="125"/>
      <c r="P836" s="125"/>
      <c r="Q836" s="125"/>
      <c r="R836" s="123"/>
      <c r="S836" s="123"/>
      <c r="T836" s="124"/>
    </row>
    <row r="837" spans="1:20" ht="18.75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4"/>
      <c r="O837" s="125"/>
      <c r="P837" s="125"/>
      <c r="Q837" s="125"/>
      <c r="R837" s="123"/>
      <c r="S837" s="123"/>
      <c r="T837" s="124"/>
    </row>
    <row r="838" spans="1:20" ht="18.75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4"/>
      <c r="O838" s="125"/>
      <c r="P838" s="125"/>
      <c r="Q838" s="125"/>
      <c r="R838" s="123"/>
      <c r="S838" s="123"/>
      <c r="T838" s="124"/>
    </row>
    <row r="839" spans="1:20" ht="18.75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4"/>
      <c r="O839" s="125"/>
      <c r="P839" s="125"/>
      <c r="Q839" s="125"/>
      <c r="R839" s="123"/>
      <c r="S839" s="123"/>
      <c r="T839" s="124"/>
    </row>
    <row r="840" spans="1:20" ht="18.75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4"/>
      <c r="O840" s="125"/>
      <c r="P840" s="125"/>
      <c r="Q840" s="125"/>
      <c r="R840" s="123"/>
      <c r="S840" s="123"/>
      <c r="T840" s="124"/>
    </row>
    <row r="841" spans="1:20" ht="18.75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4"/>
      <c r="O841" s="125"/>
      <c r="P841" s="125"/>
      <c r="Q841" s="125"/>
      <c r="R841" s="123"/>
      <c r="S841" s="123"/>
      <c r="T841" s="124"/>
    </row>
    <row r="842" spans="1:20" ht="18.75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4"/>
      <c r="O842" s="125"/>
      <c r="P842" s="125"/>
      <c r="Q842" s="125"/>
      <c r="R842" s="123"/>
      <c r="S842" s="123"/>
      <c r="T842" s="124"/>
    </row>
    <row r="843" spans="1:20" ht="18.75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4"/>
      <c r="O843" s="125"/>
      <c r="P843" s="125"/>
      <c r="Q843" s="125"/>
      <c r="R843" s="123"/>
      <c r="S843" s="123"/>
      <c r="T843" s="124"/>
    </row>
    <row r="844" spans="1:20" ht="18.75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4"/>
      <c r="O844" s="125"/>
      <c r="P844" s="125"/>
      <c r="Q844" s="125"/>
      <c r="R844" s="123"/>
      <c r="S844" s="123"/>
      <c r="T844" s="124"/>
    </row>
    <row r="845" spans="1:20" ht="18.75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4"/>
      <c r="O845" s="125"/>
      <c r="P845" s="125"/>
      <c r="Q845" s="125"/>
      <c r="R845" s="123"/>
      <c r="S845" s="123"/>
      <c r="T845" s="124"/>
    </row>
    <row r="846" spans="1:20" ht="18.75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4"/>
      <c r="O846" s="125"/>
      <c r="P846" s="125"/>
      <c r="Q846" s="125"/>
      <c r="R846" s="123"/>
      <c r="S846" s="123"/>
      <c r="T846" s="124"/>
    </row>
    <row r="847" spans="1:20" ht="18.75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4"/>
      <c r="O847" s="125"/>
      <c r="P847" s="125"/>
      <c r="Q847" s="125"/>
      <c r="R847" s="123"/>
      <c r="S847" s="123"/>
      <c r="T847" s="124"/>
    </row>
    <row r="848" spans="1:20" ht="18.75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4"/>
      <c r="O848" s="125"/>
      <c r="P848" s="125"/>
      <c r="Q848" s="125"/>
      <c r="R848" s="123"/>
      <c r="S848" s="123"/>
      <c r="T848" s="124"/>
    </row>
    <row r="849" spans="1:20" ht="18.75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4"/>
      <c r="O849" s="125"/>
      <c r="P849" s="125"/>
      <c r="Q849" s="125"/>
      <c r="R849" s="123"/>
      <c r="S849" s="123"/>
      <c r="T849" s="124"/>
    </row>
    <row r="850" spans="1:20" ht="18.75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4"/>
      <c r="O850" s="125"/>
      <c r="P850" s="125"/>
      <c r="Q850" s="125"/>
      <c r="R850" s="123"/>
      <c r="S850" s="123"/>
      <c r="T850" s="124"/>
    </row>
    <row r="851" spans="1:20" ht="18.75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4"/>
      <c r="O851" s="125"/>
      <c r="P851" s="125"/>
      <c r="Q851" s="125"/>
      <c r="R851" s="123"/>
      <c r="S851" s="123"/>
      <c r="T851" s="124"/>
    </row>
    <row r="852" spans="1:20" ht="18.75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4"/>
      <c r="O852" s="125"/>
      <c r="P852" s="125"/>
      <c r="Q852" s="125"/>
      <c r="R852" s="123"/>
      <c r="S852" s="123"/>
      <c r="T852" s="124"/>
    </row>
    <row r="853" spans="1:20" ht="18.75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4"/>
      <c r="O853" s="125"/>
      <c r="P853" s="125"/>
      <c r="Q853" s="125"/>
      <c r="R853" s="123"/>
      <c r="S853" s="123"/>
      <c r="T853" s="124"/>
    </row>
    <row r="854" spans="1:20" ht="18.75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4"/>
      <c r="O854" s="125"/>
      <c r="P854" s="125"/>
      <c r="Q854" s="125"/>
      <c r="R854" s="123"/>
      <c r="S854" s="123"/>
      <c r="T854" s="124"/>
    </row>
    <row r="855" spans="1:20" ht="18.75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4"/>
      <c r="O855" s="125"/>
      <c r="P855" s="125"/>
      <c r="Q855" s="125"/>
      <c r="R855" s="123"/>
      <c r="S855" s="123"/>
      <c r="T855" s="124"/>
    </row>
    <row r="856" spans="1:20" ht="18.75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4"/>
      <c r="O856" s="125"/>
      <c r="P856" s="125"/>
      <c r="Q856" s="125"/>
      <c r="R856" s="123"/>
      <c r="S856" s="123"/>
      <c r="T856" s="124"/>
    </row>
    <row r="857" spans="1:20" ht="18.75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4"/>
      <c r="O857" s="125"/>
      <c r="P857" s="125"/>
      <c r="Q857" s="125"/>
      <c r="R857" s="123"/>
      <c r="S857" s="123"/>
      <c r="T857" s="124"/>
    </row>
    <row r="858" spans="1:20" ht="18.75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4"/>
      <c r="O858" s="125"/>
      <c r="P858" s="125"/>
      <c r="Q858" s="125"/>
      <c r="R858" s="123"/>
      <c r="S858" s="123"/>
      <c r="T858" s="124"/>
    </row>
    <row r="859" spans="1:20" ht="18.75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4"/>
      <c r="O859" s="125"/>
      <c r="P859" s="125"/>
      <c r="Q859" s="125"/>
      <c r="R859" s="123"/>
      <c r="S859" s="123"/>
      <c r="T859" s="124"/>
    </row>
    <row r="860" spans="1:20" ht="18.75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4"/>
      <c r="O860" s="125"/>
      <c r="P860" s="125"/>
      <c r="Q860" s="125"/>
      <c r="R860" s="123"/>
      <c r="S860" s="123"/>
      <c r="T860" s="124"/>
    </row>
    <row r="861" spans="1:20" ht="18.75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4"/>
      <c r="O861" s="125"/>
      <c r="P861" s="125"/>
      <c r="Q861" s="125"/>
      <c r="R861" s="123"/>
      <c r="S861" s="123"/>
      <c r="T861" s="124"/>
    </row>
    <row r="862" spans="1:20" ht="18.75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4"/>
      <c r="O862" s="125"/>
      <c r="P862" s="125"/>
      <c r="Q862" s="125"/>
      <c r="R862" s="123"/>
      <c r="S862" s="123"/>
      <c r="T862" s="124"/>
    </row>
    <row r="863" spans="1:20" ht="18.75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4"/>
      <c r="O863" s="125"/>
      <c r="P863" s="125"/>
      <c r="Q863" s="125"/>
      <c r="R863" s="123"/>
      <c r="S863" s="123"/>
      <c r="T863" s="124"/>
    </row>
    <row r="864" spans="1:20" ht="18.75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4"/>
      <c r="O864" s="125"/>
      <c r="P864" s="125"/>
      <c r="Q864" s="125"/>
      <c r="R864" s="123"/>
      <c r="S864" s="123"/>
      <c r="T864" s="124"/>
    </row>
    <row r="865" spans="1:20" ht="18.75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4"/>
      <c r="O865" s="125"/>
      <c r="P865" s="125"/>
      <c r="Q865" s="125"/>
      <c r="R865" s="123"/>
      <c r="S865" s="123"/>
      <c r="T865" s="124"/>
    </row>
    <row r="866" spans="1:20" ht="18.75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4"/>
      <c r="O866" s="125"/>
      <c r="P866" s="125"/>
      <c r="Q866" s="125"/>
      <c r="R866" s="123"/>
      <c r="S866" s="123"/>
      <c r="T866" s="124"/>
    </row>
    <row r="867" spans="1:20" ht="18.75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4"/>
      <c r="O867" s="125"/>
      <c r="P867" s="125"/>
      <c r="Q867" s="125"/>
      <c r="R867" s="123"/>
      <c r="S867" s="123"/>
      <c r="T867" s="124"/>
    </row>
    <row r="868" spans="1:20" ht="18.75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4"/>
      <c r="O868" s="125"/>
      <c r="P868" s="125"/>
      <c r="Q868" s="125"/>
      <c r="R868" s="123"/>
      <c r="S868" s="123"/>
      <c r="T868" s="124"/>
    </row>
    <row r="869" spans="1:20" ht="18.75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4"/>
      <c r="O869" s="125"/>
      <c r="P869" s="125"/>
      <c r="Q869" s="125"/>
      <c r="R869" s="123"/>
      <c r="S869" s="123"/>
      <c r="T869" s="124"/>
    </row>
    <row r="870" spans="1:20" ht="18.75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4"/>
      <c r="O870" s="125"/>
      <c r="P870" s="125"/>
      <c r="Q870" s="125"/>
      <c r="R870" s="123"/>
      <c r="S870" s="123"/>
      <c r="T870" s="124"/>
    </row>
    <row r="871" spans="1:20" ht="18.75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4"/>
      <c r="O871" s="125"/>
      <c r="P871" s="125"/>
      <c r="Q871" s="125"/>
      <c r="R871" s="123"/>
      <c r="S871" s="123"/>
      <c r="T871" s="124"/>
    </row>
    <row r="872" spans="1:20" ht="18.75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4"/>
      <c r="O872" s="125"/>
      <c r="P872" s="125"/>
      <c r="Q872" s="125"/>
      <c r="R872" s="123"/>
      <c r="S872" s="123"/>
      <c r="T872" s="124"/>
    </row>
    <row r="873" spans="1:20" ht="18.75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4"/>
      <c r="O873" s="125"/>
      <c r="P873" s="125"/>
      <c r="Q873" s="125"/>
      <c r="R873" s="123"/>
      <c r="S873" s="123"/>
      <c r="T873" s="124"/>
    </row>
    <row r="874" spans="1:20" ht="18.75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4"/>
      <c r="O874" s="125"/>
      <c r="P874" s="125"/>
      <c r="Q874" s="125"/>
      <c r="R874" s="123"/>
      <c r="S874" s="123"/>
      <c r="T874" s="124"/>
    </row>
    <row r="875" spans="1:20" ht="18.75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4"/>
      <c r="O875" s="125"/>
      <c r="P875" s="125"/>
      <c r="Q875" s="125"/>
      <c r="R875" s="123"/>
      <c r="S875" s="123"/>
      <c r="T875" s="124"/>
    </row>
    <row r="876" spans="1:20" ht="18.75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4"/>
      <c r="O876" s="125"/>
      <c r="P876" s="125"/>
      <c r="Q876" s="125"/>
      <c r="R876" s="123"/>
      <c r="S876" s="123"/>
      <c r="T876" s="124"/>
    </row>
    <row r="877" spans="1:20" ht="18.75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4"/>
      <c r="O877" s="125"/>
      <c r="P877" s="125"/>
      <c r="Q877" s="125"/>
      <c r="R877" s="123"/>
      <c r="S877" s="123"/>
      <c r="T877" s="124"/>
    </row>
    <row r="878" spans="1:20" ht="18.75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4"/>
      <c r="O878" s="125"/>
      <c r="P878" s="125"/>
      <c r="Q878" s="125"/>
      <c r="R878" s="123"/>
      <c r="S878" s="123"/>
      <c r="T878" s="124"/>
    </row>
    <row r="879" spans="1:20" ht="18.75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4"/>
      <c r="O879" s="125"/>
      <c r="P879" s="125"/>
      <c r="Q879" s="125"/>
      <c r="R879" s="123"/>
      <c r="S879" s="123"/>
      <c r="T879" s="124"/>
    </row>
    <row r="880" spans="1:20" ht="18.75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4"/>
      <c r="O880" s="125"/>
      <c r="P880" s="125"/>
      <c r="Q880" s="125"/>
      <c r="R880" s="123"/>
      <c r="S880" s="123"/>
      <c r="T880" s="124"/>
    </row>
    <row r="881" spans="1:20" ht="18.75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4"/>
      <c r="O881" s="125"/>
      <c r="P881" s="125"/>
      <c r="Q881" s="125"/>
      <c r="R881" s="123"/>
      <c r="S881" s="123"/>
      <c r="T881" s="124"/>
    </row>
    <row r="882" spans="1:20" ht="18.75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4"/>
      <c r="O882" s="125"/>
      <c r="P882" s="125"/>
      <c r="Q882" s="125"/>
      <c r="R882" s="123"/>
      <c r="S882" s="123"/>
      <c r="T882" s="124"/>
    </row>
    <row r="883" spans="1:20" ht="18.75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4"/>
      <c r="O883" s="125"/>
      <c r="P883" s="125"/>
      <c r="Q883" s="125"/>
      <c r="R883" s="123"/>
      <c r="S883" s="123"/>
      <c r="T883" s="124"/>
    </row>
    <row r="884" spans="1:20" ht="18.75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4"/>
      <c r="O884" s="125"/>
      <c r="P884" s="125"/>
      <c r="Q884" s="125"/>
      <c r="R884" s="123"/>
      <c r="S884" s="123"/>
      <c r="T884" s="124"/>
    </row>
    <row r="885" spans="1:20" ht="18.75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4"/>
      <c r="O885" s="125"/>
      <c r="P885" s="125"/>
      <c r="Q885" s="125"/>
      <c r="R885" s="123"/>
      <c r="S885" s="123"/>
      <c r="T885" s="124"/>
    </row>
    <row r="886" spans="1:20" ht="18.75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4"/>
      <c r="O886" s="125"/>
      <c r="P886" s="125"/>
      <c r="Q886" s="125"/>
      <c r="R886" s="123"/>
      <c r="S886" s="123"/>
      <c r="T886" s="124"/>
    </row>
    <row r="887" spans="1:20" ht="18.75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4"/>
      <c r="O887" s="125"/>
      <c r="P887" s="125"/>
      <c r="Q887" s="125"/>
      <c r="R887" s="123"/>
      <c r="S887" s="123"/>
      <c r="T887" s="124"/>
    </row>
    <row r="888" spans="1:20" ht="18.75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4"/>
      <c r="O888" s="125"/>
      <c r="P888" s="125"/>
      <c r="Q888" s="125"/>
      <c r="R888" s="123"/>
      <c r="S888" s="123"/>
      <c r="T888" s="124"/>
    </row>
    <row r="889" spans="1:20" ht="18.75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4"/>
      <c r="O889" s="125"/>
      <c r="P889" s="125"/>
      <c r="Q889" s="125"/>
      <c r="R889" s="123"/>
      <c r="S889" s="123"/>
      <c r="T889" s="124"/>
    </row>
    <row r="890" spans="1:20" ht="18.75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4"/>
      <c r="O890" s="125"/>
      <c r="P890" s="125"/>
      <c r="Q890" s="125"/>
      <c r="R890" s="123"/>
      <c r="S890" s="123"/>
      <c r="T890" s="124"/>
    </row>
    <row r="891" spans="1:20" ht="18.75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4"/>
      <c r="O891" s="125"/>
      <c r="P891" s="125"/>
      <c r="Q891" s="125"/>
      <c r="R891" s="123"/>
      <c r="S891" s="123"/>
      <c r="T891" s="124"/>
    </row>
    <row r="892" spans="1:20" ht="18.75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4"/>
      <c r="O892" s="125"/>
      <c r="P892" s="125"/>
      <c r="Q892" s="125"/>
      <c r="R892" s="123"/>
      <c r="S892" s="123"/>
      <c r="T892" s="124"/>
    </row>
    <row r="893" spans="1:20" ht="18.75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4"/>
      <c r="O893" s="125"/>
      <c r="P893" s="125"/>
      <c r="Q893" s="125"/>
      <c r="R893" s="123"/>
      <c r="S893" s="123"/>
      <c r="T893" s="124"/>
    </row>
    <row r="894" spans="1:20" ht="18.75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4"/>
      <c r="O894" s="125"/>
      <c r="P894" s="125"/>
      <c r="Q894" s="125"/>
      <c r="R894" s="123"/>
      <c r="S894" s="123"/>
      <c r="T894" s="124"/>
    </row>
    <row r="895" spans="1:20" ht="18.75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4"/>
      <c r="O895" s="125"/>
      <c r="P895" s="125"/>
      <c r="Q895" s="125"/>
      <c r="R895" s="123"/>
      <c r="S895" s="123"/>
      <c r="T895" s="124"/>
    </row>
    <row r="896" spans="1:20" ht="18.75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4"/>
      <c r="O896" s="125"/>
      <c r="P896" s="125"/>
      <c r="Q896" s="125"/>
      <c r="R896" s="123"/>
      <c r="S896" s="123"/>
      <c r="T896" s="124"/>
    </row>
    <row r="897" spans="1:20" ht="18.75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4"/>
      <c r="O897" s="125"/>
      <c r="P897" s="125"/>
      <c r="Q897" s="125"/>
      <c r="R897" s="123"/>
      <c r="S897" s="123"/>
      <c r="T897" s="124"/>
    </row>
    <row r="898" spans="1:20" ht="18.75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4"/>
      <c r="O898" s="125"/>
      <c r="P898" s="125"/>
      <c r="Q898" s="125"/>
      <c r="R898" s="123"/>
      <c r="S898" s="123"/>
      <c r="T898" s="124"/>
    </row>
    <row r="899" spans="1:20" ht="18.75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4"/>
      <c r="O899" s="125"/>
      <c r="P899" s="125"/>
      <c r="Q899" s="125"/>
      <c r="R899" s="123"/>
      <c r="S899" s="123"/>
      <c r="T899" s="124"/>
    </row>
    <row r="900" spans="1:20" ht="18.75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4"/>
      <c r="O900" s="125"/>
      <c r="P900" s="125"/>
      <c r="Q900" s="125"/>
      <c r="R900" s="123"/>
      <c r="S900" s="123"/>
      <c r="T900" s="124"/>
    </row>
    <row r="901" spans="1:20" ht="18.75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4"/>
      <c r="O901" s="125"/>
      <c r="P901" s="125"/>
      <c r="Q901" s="125"/>
      <c r="R901" s="123"/>
      <c r="S901" s="123"/>
      <c r="T901" s="124"/>
    </row>
    <row r="902" spans="1:20" ht="18.75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4"/>
      <c r="O902" s="125"/>
      <c r="P902" s="125"/>
      <c r="Q902" s="125"/>
      <c r="R902" s="123"/>
      <c r="S902" s="123"/>
      <c r="T902" s="124"/>
    </row>
    <row r="903" spans="1:20" ht="18.75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4"/>
      <c r="O903" s="125"/>
      <c r="P903" s="125"/>
      <c r="Q903" s="125"/>
      <c r="R903" s="123"/>
      <c r="S903" s="123"/>
      <c r="T903" s="124"/>
    </row>
    <row r="904" spans="1:20" ht="18.75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4"/>
      <c r="O904" s="125"/>
      <c r="P904" s="125"/>
      <c r="Q904" s="125"/>
      <c r="R904" s="123"/>
      <c r="S904" s="123"/>
      <c r="T904" s="124"/>
    </row>
    <row r="905" spans="1:20" ht="18.75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4"/>
      <c r="O905" s="125"/>
      <c r="P905" s="125"/>
      <c r="Q905" s="125"/>
      <c r="R905" s="123"/>
      <c r="S905" s="123"/>
      <c r="T905" s="124"/>
    </row>
    <row r="906" spans="1:20" ht="18.75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4"/>
      <c r="O906" s="125"/>
      <c r="P906" s="125"/>
      <c r="Q906" s="125"/>
      <c r="R906" s="123"/>
      <c r="S906" s="123"/>
      <c r="T906" s="124"/>
    </row>
    <row r="907" spans="1:20" ht="18.75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4"/>
      <c r="O907" s="125"/>
      <c r="P907" s="125"/>
      <c r="Q907" s="125"/>
      <c r="R907" s="123"/>
      <c r="S907" s="123"/>
      <c r="T907" s="124"/>
    </row>
    <row r="908" spans="1:20" ht="18.75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4"/>
      <c r="O908" s="125"/>
      <c r="P908" s="125"/>
      <c r="Q908" s="125"/>
      <c r="R908" s="123"/>
      <c r="S908" s="123"/>
      <c r="T908" s="124"/>
    </row>
    <row r="909" spans="1:20" ht="18.75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4"/>
      <c r="O909" s="125"/>
      <c r="P909" s="125"/>
      <c r="Q909" s="125"/>
      <c r="R909" s="123"/>
      <c r="S909" s="123"/>
      <c r="T909" s="124"/>
    </row>
    <row r="910" spans="1:20" ht="18.75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4"/>
      <c r="O910" s="125"/>
      <c r="P910" s="125"/>
      <c r="Q910" s="125"/>
      <c r="R910" s="123"/>
      <c r="S910" s="123"/>
      <c r="T910" s="124"/>
    </row>
    <row r="911" spans="1:20" ht="18.75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4"/>
      <c r="O911" s="125"/>
      <c r="P911" s="125"/>
      <c r="Q911" s="125"/>
      <c r="R911" s="123"/>
      <c r="S911" s="123"/>
      <c r="T911" s="124"/>
    </row>
    <row r="912" spans="1:20" ht="18.75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4"/>
      <c r="O912" s="125"/>
      <c r="P912" s="125"/>
      <c r="Q912" s="125"/>
      <c r="R912" s="123"/>
      <c r="S912" s="123"/>
      <c r="T912" s="124"/>
    </row>
    <row r="913" spans="1:20" ht="18.75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4"/>
      <c r="O913" s="125"/>
      <c r="P913" s="125"/>
      <c r="Q913" s="125"/>
      <c r="R913" s="123"/>
      <c r="S913" s="123"/>
      <c r="T913" s="124"/>
    </row>
    <row r="914" spans="1:20" ht="18.75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4"/>
      <c r="O914" s="125"/>
      <c r="P914" s="125"/>
      <c r="Q914" s="125"/>
      <c r="R914" s="123"/>
      <c r="S914" s="123"/>
      <c r="T914" s="124"/>
    </row>
    <row r="915" spans="1:20" ht="18.75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4"/>
      <c r="O915" s="125"/>
      <c r="P915" s="125"/>
      <c r="Q915" s="125"/>
      <c r="R915" s="123"/>
      <c r="S915" s="123"/>
      <c r="T915" s="124"/>
    </row>
    <row r="916" spans="1:20" ht="18.75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4"/>
      <c r="O916" s="125"/>
      <c r="P916" s="125"/>
      <c r="Q916" s="125"/>
      <c r="R916" s="123"/>
      <c r="S916" s="123"/>
      <c r="T916" s="124"/>
    </row>
    <row r="917" spans="1:20" ht="18.75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4"/>
      <c r="O917" s="125"/>
      <c r="P917" s="125"/>
      <c r="Q917" s="125"/>
      <c r="R917" s="123"/>
      <c r="S917" s="123"/>
      <c r="T917" s="124"/>
    </row>
    <row r="918" spans="1:20" ht="18.75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4"/>
      <c r="O918" s="125"/>
      <c r="P918" s="125"/>
      <c r="Q918" s="125"/>
      <c r="R918" s="123"/>
      <c r="S918" s="123"/>
      <c r="T918" s="124"/>
    </row>
    <row r="919" spans="1:20" ht="18.75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4"/>
      <c r="O919" s="125"/>
      <c r="P919" s="125"/>
      <c r="Q919" s="125"/>
      <c r="R919" s="123"/>
      <c r="S919" s="123"/>
      <c r="T919" s="124"/>
    </row>
    <row r="920" spans="1:20" ht="18.75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4"/>
      <c r="O920" s="125"/>
      <c r="P920" s="125"/>
      <c r="Q920" s="125"/>
      <c r="R920" s="123"/>
      <c r="S920" s="123"/>
      <c r="T920" s="124"/>
    </row>
    <row r="921" spans="1:20" ht="18.75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4"/>
      <c r="O921" s="125"/>
      <c r="P921" s="125"/>
      <c r="Q921" s="125"/>
      <c r="R921" s="123"/>
      <c r="S921" s="123"/>
      <c r="T921" s="124"/>
    </row>
    <row r="922" spans="1:20" ht="18.75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4"/>
      <c r="O922" s="125"/>
      <c r="P922" s="125"/>
      <c r="Q922" s="125"/>
      <c r="R922" s="123"/>
      <c r="S922" s="123"/>
      <c r="T922" s="124"/>
    </row>
    <row r="923" spans="1:20" ht="18.75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4"/>
      <c r="O923" s="125"/>
      <c r="P923" s="125"/>
      <c r="Q923" s="125"/>
      <c r="R923" s="123"/>
      <c r="S923" s="123"/>
      <c r="T923" s="124"/>
    </row>
    <row r="924" spans="1:20" ht="18.75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4"/>
      <c r="O924" s="125"/>
      <c r="P924" s="125"/>
      <c r="Q924" s="125"/>
      <c r="R924" s="123"/>
      <c r="S924" s="123"/>
      <c r="T924" s="124"/>
    </row>
    <row r="925" spans="1:20" ht="18.75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4"/>
      <c r="O925" s="125"/>
      <c r="P925" s="125"/>
      <c r="Q925" s="125"/>
      <c r="R925" s="123"/>
      <c r="S925" s="123"/>
      <c r="T925" s="124"/>
    </row>
    <row r="926" spans="1:20" ht="18.75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4"/>
      <c r="O926" s="125"/>
      <c r="P926" s="125"/>
      <c r="Q926" s="125"/>
      <c r="R926" s="123"/>
      <c r="S926" s="123"/>
      <c r="T926" s="124"/>
    </row>
    <row r="927" spans="1:20" ht="18.75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4"/>
      <c r="O927" s="125"/>
      <c r="P927" s="125"/>
      <c r="Q927" s="125"/>
      <c r="R927" s="123"/>
      <c r="S927" s="123"/>
      <c r="T927" s="124"/>
    </row>
    <row r="928" spans="1:20" ht="18.75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4"/>
      <c r="O928" s="125"/>
      <c r="P928" s="125"/>
      <c r="Q928" s="125"/>
      <c r="R928" s="123"/>
      <c r="S928" s="123"/>
      <c r="T928" s="124"/>
    </row>
    <row r="929" spans="1:20" ht="18.75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4"/>
      <c r="O929" s="125"/>
      <c r="P929" s="125"/>
      <c r="Q929" s="125"/>
      <c r="R929" s="123"/>
      <c r="S929" s="123"/>
      <c r="T929" s="124"/>
    </row>
    <row r="930" spans="1:20" ht="18.75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4"/>
      <c r="O930" s="125"/>
      <c r="P930" s="125"/>
      <c r="Q930" s="125"/>
      <c r="R930" s="123"/>
      <c r="S930" s="123"/>
      <c r="T930" s="124"/>
    </row>
    <row r="931" spans="1:20" ht="18.75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4"/>
      <c r="O931" s="125"/>
      <c r="P931" s="125"/>
      <c r="Q931" s="125"/>
      <c r="R931" s="123"/>
      <c r="S931" s="123"/>
      <c r="T931" s="124"/>
    </row>
    <row r="932" spans="1:20" ht="18.75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4"/>
      <c r="O932" s="125"/>
      <c r="P932" s="125"/>
      <c r="Q932" s="125"/>
      <c r="R932" s="123"/>
      <c r="S932" s="123"/>
      <c r="T932" s="124"/>
    </row>
    <row r="933" spans="1:20" ht="18.75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4"/>
      <c r="O933" s="125"/>
      <c r="P933" s="125"/>
      <c r="Q933" s="125"/>
      <c r="R933" s="123"/>
      <c r="S933" s="123"/>
      <c r="T933" s="124"/>
    </row>
    <row r="934" spans="1:20" ht="18.75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4"/>
      <c r="O934" s="125"/>
      <c r="P934" s="125"/>
      <c r="Q934" s="125"/>
      <c r="R934" s="123"/>
      <c r="S934" s="123"/>
      <c r="T934" s="124"/>
    </row>
    <row r="935" spans="1:20" ht="18.75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4"/>
      <c r="O935" s="125"/>
      <c r="P935" s="125"/>
      <c r="Q935" s="125"/>
      <c r="R935" s="123"/>
      <c r="S935" s="123"/>
      <c r="T935" s="124"/>
    </row>
    <row r="936" spans="1:20" ht="18.75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4"/>
      <c r="O936" s="125"/>
      <c r="P936" s="125"/>
      <c r="Q936" s="125"/>
      <c r="R936" s="123"/>
      <c r="S936" s="123"/>
      <c r="T936" s="124"/>
    </row>
    <row r="937" spans="1:20" ht="18.75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4"/>
      <c r="O937" s="125"/>
      <c r="P937" s="125"/>
      <c r="Q937" s="125"/>
      <c r="R937" s="123"/>
      <c r="S937" s="123"/>
      <c r="T937" s="124"/>
    </row>
    <row r="938" spans="1:20" ht="18.75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4"/>
      <c r="O938" s="125"/>
      <c r="P938" s="125"/>
      <c r="Q938" s="125"/>
      <c r="R938" s="123"/>
      <c r="S938" s="123"/>
      <c r="T938" s="124"/>
    </row>
    <row r="939" spans="1:20" ht="18.75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4"/>
      <c r="O939" s="125"/>
      <c r="P939" s="125"/>
      <c r="Q939" s="125"/>
      <c r="R939" s="123"/>
      <c r="S939" s="123"/>
      <c r="T939" s="124"/>
    </row>
    <row r="940" spans="1:20" ht="18.75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4"/>
      <c r="O940" s="125"/>
      <c r="P940" s="125"/>
      <c r="Q940" s="125"/>
      <c r="R940" s="123"/>
      <c r="S940" s="123"/>
      <c r="T940" s="124"/>
    </row>
    <row r="941" spans="1:20" ht="18.75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4"/>
      <c r="O941" s="125"/>
      <c r="P941" s="125"/>
      <c r="Q941" s="125"/>
      <c r="R941" s="123"/>
      <c r="S941" s="123"/>
      <c r="T941" s="124"/>
    </row>
    <row r="942" spans="1:20" ht="18.75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4"/>
      <c r="O942" s="125"/>
      <c r="P942" s="125"/>
      <c r="Q942" s="125"/>
      <c r="R942" s="123"/>
      <c r="S942" s="123"/>
      <c r="T942" s="124"/>
    </row>
    <row r="943" spans="1:20" ht="18.75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4"/>
      <c r="O943" s="125"/>
      <c r="P943" s="125"/>
      <c r="Q943" s="125"/>
      <c r="R943" s="123"/>
      <c r="S943" s="123"/>
      <c r="T943" s="124"/>
    </row>
    <row r="944" spans="1:20" ht="18.75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4"/>
      <c r="O944" s="125"/>
      <c r="P944" s="125"/>
      <c r="Q944" s="125"/>
      <c r="R944" s="123"/>
      <c r="S944" s="123"/>
      <c r="T944" s="124"/>
    </row>
    <row r="945" spans="1:20" ht="18.75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4"/>
      <c r="O945" s="125"/>
      <c r="P945" s="125"/>
      <c r="Q945" s="125"/>
      <c r="R945" s="123"/>
      <c r="S945" s="123"/>
      <c r="T945" s="124"/>
    </row>
    <row r="946" spans="1:20" ht="18.75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4"/>
      <c r="O946" s="125"/>
      <c r="P946" s="125"/>
      <c r="Q946" s="125"/>
      <c r="R946" s="123"/>
      <c r="S946" s="123"/>
      <c r="T946" s="124"/>
    </row>
    <row r="947" spans="1:20" ht="18.75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4"/>
      <c r="O947" s="125"/>
      <c r="P947" s="125"/>
      <c r="Q947" s="125"/>
      <c r="R947" s="123"/>
      <c r="S947" s="123"/>
      <c r="T947" s="124"/>
    </row>
    <row r="948" spans="1:20" ht="18.75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4"/>
      <c r="O948" s="125"/>
      <c r="P948" s="125"/>
      <c r="Q948" s="125"/>
      <c r="R948" s="123"/>
      <c r="S948" s="123"/>
      <c r="T948" s="124"/>
    </row>
    <row r="949" spans="1:20" ht="18.75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4"/>
      <c r="O949" s="125"/>
      <c r="P949" s="125"/>
      <c r="Q949" s="125"/>
      <c r="R949" s="123"/>
      <c r="S949" s="123"/>
      <c r="T949" s="124"/>
    </row>
    <row r="950" spans="1:20" ht="18.75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4"/>
      <c r="N950" s="124"/>
      <c r="O950" s="125"/>
      <c r="P950" s="125"/>
      <c r="Q950" s="125"/>
      <c r="R950" s="123"/>
      <c r="S950" s="123"/>
      <c r="T950" s="124"/>
    </row>
    <row r="951" spans="1:20" ht="18.75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4"/>
      <c r="N951" s="124"/>
      <c r="O951" s="125"/>
      <c r="P951" s="125"/>
      <c r="Q951" s="125"/>
      <c r="R951" s="123"/>
      <c r="S951" s="123"/>
      <c r="T951" s="124"/>
    </row>
    <row r="952" spans="1:20" ht="18.75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4"/>
      <c r="N952" s="124"/>
      <c r="O952" s="125"/>
      <c r="P952" s="125"/>
      <c r="Q952" s="125"/>
      <c r="R952" s="123"/>
      <c r="S952" s="123"/>
      <c r="T952" s="124"/>
    </row>
    <row r="953" spans="1:20" ht="18.75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4"/>
      <c r="N953" s="124"/>
      <c r="O953" s="125"/>
      <c r="P953" s="125"/>
      <c r="Q953" s="125"/>
      <c r="R953" s="123"/>
      <c r="S953" s="123"/>
      <c r="T953" s="124"/>
    </row>
    <row r="954" spans="1:20" ht="18.75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4"/>
      <c r="N954" s="124"/>
      <c r="O954" s="125"/>
      <c r="P954" s="125"/>
      <c r="Q954" s="125"/>
      <c r="R954" s="123"/>
      <c r="S954" s="123"/>
      <c r="T954" s="124"/>
    </row>
    <row r="955" spans="1:20" ht="18.75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4"/>
      <c r="N955" s="124"/>
      <c r="O955" s="125"/>
      <c r="P955" s="125"/>
      <c r="Q955" s="125"/>
      <c r="R955" s="123"/>
      <c r="S955" s="123"/>
      <c r="T955" s="124"/>
    </row>
    <row r="956" spans="1:20" ht="18.75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4"/>
      <c r="N956" s="124"/>
      <c r="O956" s="125"/>
      <c r="P956" s="125"/>
      <c r="Q956" s="125"/>
      <c r="R956" s="123"/>
      <c r="S956" s="123"/>
      <c r="T956" s="124"/>
    </row>
    <row r="957" spans="1:20" ht="18.75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4"/>
      <c r="N957" s="124"/>
      <c r="O957" s="125"/>
      <c r="P957" s="125"/>
      <c r="Q957" s="125"/>
      <c r="R957" s="123"/>
      <c r="S957" s="123"/>
      <c r="T957" s="124"/>
    </row>
    <row r="958" spans="1:20" ht="18.75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4"/>
      <c r="N958" s="124"/>
      <c r="O958" s="125"/>
      <c r="P958" s="125"/>
      <c r="Q958" s="125"/>
      <c r="R958" s="123"/>
      <c r="S958" s="123"/>
      <c r="T958" s="124"/>
    </row>
    <row r="959" spans="1:20" ht="18.75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4"/>
      <c r="N959" s="124"/>
      <c r="O959" s="125"/>
      <c r="P959" s="125"/>
      <c r="Q959" s="125"/>
      <c r="R959" s="123"/>
      <c r="S959" s="123"/>
      <c r="T959" s="124"/>
    </row>
    <row r="960" spans="1:20" ht="18.75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124"/>
      <c r="O960" s="125"/>
      <c r="P960" s="125"/>
      <c r="Q960" s="125"/>
      <c r="R960" s="123"/>
      <c r="S960" s="123"/>
      <c r="T960" s="124"/>
    </row>
    <row r="961" spans="1:20" ht="18.75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4"/>
      <c r="N961" s="124"/>
      <c r="O961" s="125"/>
      <c r="P961" s="125"/>
      <c r="Q961" s="125"/>
      <c r="R961" s="123"/>
      <c r="S961" s="123"/>
      <c r="T961" s="124"/>
    </row>
    <row r="962" spans="1:20" ht="18.75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4"/>
      <c r="N962" s="124"/>
      <c r="O962" s="125"/>
      <c r="P962" s="125"/>
      <c r="Q962" s="125"/>
      <c r="R962" s="123"/>
      <c r="S962" s="123"/>
      <c r="T962" s="124"/>
    </row>
    <row r="963" spans="1:20" ht="18.75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4"/>
      <c r="N963" s="124"/>
      <c r="O963" s="125"/>
      <c r="P963" s="125"/>
      <c r="Q963" s="125"/>
      <c r="R963" s="123"/>
      <c r="S963" s="123"/>
      <c r="T963" s="124"/>
    </row>
    <row r="964" spans="1:20" ht="18.75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4"/>
      <c r="N964" s="124"/>
      <c r="O964" s="125"/>
      <c r="P964" s="125"/>
      <c r="Q964" s="125"/>
      <c r="R964" s="123"/>
      <c r="S964" s="123"/>
      <c r="T964" s="124"/>
    </row>
    <row r="965" spans="1:20" ht="18.75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4"/>
      <c r="N965" s="124"/>
      <c r="O965" s="125"/>
      <c r="P965" s="125"/>
      <c r="Q965" s="125"/>
      <c r="R965" s="123"/>
      <c r="S965" s="123"/>
      <c r="T965" s="124"/>
    </row>
    <row r="966" spans="1:20" ht="18.75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4"/>
      <c r="N966" s="124"/>
      <c r="O966" s="125"/>
      <c r="P966" s="125"/>
      <c r="Q966" s="125"/>
      <c r="R966" s="123"/>
      <c r="S966" s="123"/>
      <c r="T966" s="124"/>
    </row>
    <row r="967" spans="1:20" ht="18.75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4"/>
      <c r="N967" s="124"/>
      <c r="O967" s="125"/>
      <c r="P967" s="125"/>
      <c r="Q967" s="125"/>
      <c r="R967" s="123"/>
      <c r="S967" s="123"/>
      <c r="T967" s="124"/>
    </row>
    <row r="968" spans="1:20" ht="18.75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4"/>
      <c r="N968" s="124"/>
      <c r="O968" s="125"/>
      <c r="P968" s="125"/>
      <c r="Q968" s="125"/>
      <c r="R968" s="123"/>
      <c r="S968" s="123"/>
      <c r="T968" s="124"/>
    </row>
    <row r="969" spans="1:20" ht="18.75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4"/>
      <c r="N969" s="124"/>
      <c r="O969" s="125"/>
      <c r="P969" s="125"/>
      <c r="Q969" s="125"/>
      <c r="R969" s="123"/>
      <c r="S969" s="123"/>
      <c r="T969" s="124"/>
    </row>
    <row r="970" spans="1:20" ht="18.75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4"/>
      <c r="N970" s="124"/>
      <c r="O970" s="125"/>
      <c r="P970" s="125"/>
      <c r="Q970" s="125"/>
      <c r="R970" s="123"/>
      <c r="S970" s="123"/>
      <c r="T970" s="124"/>
    </row>
    <row r="971" spans="1:20" ht="18.75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4"/>
      <c r="N971" s="124"/>
      <c r="O971" s="125"/>
      <c r="P971" s="125"/>
      <c r="Q971" s="125"/>
      <c r="R971" s="123"/>
      <c r="S971" s="123"/>
      <c r="T971" s="124"/>
    </row>
    <row r="972" spans="1:20" ht="18.75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4"/>
      <c r="N972" s="124"/>
      <c r="O972" s="125"/>
      <c r="P972" s="125"/>
      <c r="Q972" s="125"/>
      <c r="R972" s="123"/>
      <c r="S972" s="123"/>
      <c r="T972" s="124"/>
    </row>
    <row r="973" spans="1:20" ht="18.75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4"/>
      <c r="N973" s="124"/>
      <c r="O973" s="125"/>
      <c r="P973" s="125"/>
      <c r="Q973" s="125"/>
      <c r="R973" s="123"/>
      <c r="S973" s="123"/>
      <c r="T973" s="124"/>
    </row>
    <row r="974" spans="1:20" ht="18.75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4"/>
      <c r="N974" s="124"/>
      <c r="O974" s="125"/>
      <c r="P974" s="125"/>
      <c r="Q974" s="125"/>
      <c r="R974" s="123"/>
      <c r="S974" s="123"/>
      <c r="T974" s="124"/>
    </row>
    <row r="975" spans="1:20" ht="18.75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4"/>
      <c r="N975" s="124"/>
      <c r="O975" s="125"/>
      <c r="P975" s="125"/>
      <c r="Q975" s="125"/>
      <c r="R975" s="123"/>
      <c r="S975" s="123"/>
      <c r="T975" s="124"/>
    </row>
    <row r="976" spans="1:20" ht="18.75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4"/>
      <c r="N976" s="124"/>
      <c r="O976" s="125"/>
      <c r="P976" s="125"/>
      <c r="Q976" s="125"/>
      <c r="R976" s="123"/>
      <c r="S976" s="123"/>
      <c r="T976" s="124"/>
    </row>
    <row r="977" spans="1:20" ht="18.75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4"/>
      <c r="N977" s="124"/>
      <c r="O977" s="125"/>
      <c r="P977" s="125"/>
      <c r="Q977" s="125"/>
      <c r="R977" s="123"/>
      <c r="S977" s="123"/>
      <c r="T977" s="124"/>
    </row>
    <row r="978" spans="1:20" ht="18.75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4"/>
      <c r="N978" s="124"/>
      <c r="O978" s="125"/>
      <c r="P978" s="125"/>
      <c r="Q978" s="125"/>
      <c r="R978" s="123"/>
      <c r="S978" s="123"/>
      <c r="T978" s="124"/>
    </row>
    <row r="979" spans="1:20" ht="18.75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4"/>
      <c r="N979" s="124"/>
      <c r="O979" s="125"/>
      <c r="P979" s="125"/>
      <c r="Q979" s="125"/>
      <c r="R979" s="123"/>
      <c r="S979" s="123"/>
      <c r="T979" s="124"/>
    </row>
    <row r="980" spans="1:20" ht="18.75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4"/>
      <c r="N980" s="124"/>
      <c r="O980" s="125"/>
      <c r="P980" s="125"/>
      <c r="Q980" s="125"/>
      <c r="R980" s="123"/>
      <c r="S980" s="123"/>
      <c r="T980" s="124"/>
    </row>
    <row r="981" spans="1:20" ht="18.75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4"/>
      <c r="N981" s="124"/>
      <c r="O981" s="125"/>
      <c r="P981" s="125"/>
      <c r="Q981" s="125"/>
      <c r="R981" s="123"/>
      <c r="S981" s="123"/>
      <c r="T981" s="124"/>
    </row>
    <row r="982" spans="1:20" ht="18.75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124"/>
      <c r="O982" s="125"/>
      <c r="P982" s="125"/>
      <c r="Q982" s="125"/>
      <c r="R982" s="123"/>
      <c r="S982" s="123"/>
      <c r="T982" s="124"/>
    </row>
    <row r="983" spans="1:20" ht="18.75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124"/>
      <c r="O983" s="125"/>
      <c r="P983" s="125"/>
      <c r="Q983" s="125"/>
      <c r="R983" s="123"/>
      <c r="S983" s="123"/>
      <c r="T983" s="124"/>
    </row>
    <row r="984" spans="1:20" ht="18.75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4"/>
      <c r="N984" s="124"/>
      <c r="O984" s="125"/>
      <c r="P984" s="125"/>
      <c r="Q984" s="125"/>
      <c r="R984" s="123"/>
      <c r="S984" s="123"/>
      <c r="T984" s="124"/>
    </row>
    <row r="985" spans="1:20" ht="18.75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4"/>
      <c r="N985" s="124"/>
      <c r="O985" s="125"/>
      <c r="P985" s="125"/>
      <c r="Q985" s="125"/>
      <c r="R985" s="123"/>
      <c r="S985" s="123"/>
      <c r="T985" s="124"/>
    </row>
    <row r="986" spans="1:20" ht="18.75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4"/>
      <c r="N986" s="124"/>
      <c r="O986" s="125"/>
      <c r="P986" s="125"/>
      <c r="Q986" s="125"/>
      <c r="R986" s="123"/>
      <c r="S986" s="123"/>
      <c r="T986" s="124"/>
    </row>
    <row r="987" spans="1:20" ht="18.75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4"/>
      <c r="N987" s="124"/>
      <c r="O987" s="125"/>
      <c r="P987" s="125"/>
      <c r="Q987" s="125"/>
      <c r="R987" s="123"/>
      <c r="S987" s="123"/>
      <c r="T987" s="124"/>
    </row>
    <row r="988" spans="1:20" ht="18.75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4"/>
      <c r="N988" s="124"/>
      <c r="O988" s="125"/>
      <c r="P988" s="125"/>
      <c r="Q988" s="125"/>
      <c r="R988" s="123"/>
      <c r="S988" s="123"/>
      <c r="T988" s="124"/>
    </row>
    <row r="989" spans="1:20" ht="18.75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4"/>
      <c r="N989" s="124"/>
      <c r="O989" s="125"/>
      <c r="P989" s="125"/>
      <c r="Q989" s="125"/>
      <c r="R989" s="123"/>
      <c r="S989" s="123"/>
      <c r="T989" s="124"/>
    </row>
  </sheetData>
  <mergeCells count="30">
    <mergeCell ref="A7:B7"/>
    <mergeCell ref="A2:B6"/>
    <mergeCell ref="C5:C6"/>
    <mergeCell ref="D5:D6"/>
    <mergeCell ref="E5:E6"/>
    <mergeCell ref="F5:F6"/>
    <mergeCell ref="A13:B13"/>
    <mergeCell ref="A31:B31"/>
    <mergeCell ref="A52:B52"/>
    <mergeCell ref="A74:B74"/>
    <mergeCell ref="A89:B89"/>
    <mergeCell ref="C2:AB2"/>
    <mergeCell ref="C3:Q3"/>
    <mergeCell ref="R3:Z3"/>
    <mergeCell ref="AA3:AB3"/>
    <mergeCell ref="C4:G4"/>
    <mergeCell ref="H4:I4"/>
    <mergeCell ref="AB4:AB5"/>
    <mergeCell ref="G5:G6"/>
    <mergeCell ref="Z4:Z5"/>
    <mergeCell ref="AA4:AA5"/>
    <mergeCell ref="J5:K5"/>
    <mergeCell ref="L5:N5"/>
    <mergeCell ref="O5:Q5"/>
    <mergeCell ref="S5:T5"/>
    <mergeCell ref="J4:Q4"/>
    <mergeCell ref="R4:T4"/>
    <mergeCell ref="U4:X4"/>
    <mergeCell ref="Y4:Y5"/>
    <mergeCell ref="V5:W5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C990"/>
  <sheetViews>
    <sheetView view="pageBreakPreview" zoomScale="60" zoomScaleNormal="6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9" width="16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9" width="12.5703125" customWidth="1"/>
  </cols>
  <sheetData>
    <row r="1" spans="1:29" ht="24" customHeight="1" x14ac:dyDescent="0.3">
      <c r="A1" s="1" t="s">
        <v>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235"/>
      <c r="N1" s="235"/>
      <c r="O1" s="236"/>
      <c r="P1" s="236"/>
      <c r="Q1" s="236"/>
      <c r="R1" s="126"/>
      <c r="S1" s="126"/>
      <c r="T1" s="126"/>
      <c r="U1" s="235"/>
      <c r="V1" s="235"/>
      <c r="W1" s="235"/>
      <c r="X1" s="235"/>
      <c r="Y1" s="235"/>
      <c r="Z1" s="235"/>
      <c r="AA1" s="235"/>
      <c r="AB1" s="235"/>
      <c r="AC1" s="235"/>
    </row>
    <row r="2" spans="1:29" ht="24" customHeight="1" x14ac:dyDescent="0.2">
      <c r="A2" s="448" t="s">
        <v>1</v>
      </c>
      <c r="B2" s="402"/>
      <c r="C2" s="434" t="s">
        <v>201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468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2"/>
    </row>
    <row r="3" spans="1:29" ht="45" customHeight="1" x14ac:dyDescent="0.3">
      <c r="A3" s="401"/>
      <c r="B3" s="402"/>
      <c r="C3" s="435" t="s">
        <v>3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469" t="s">
        <v>22</v>
      </c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2"/>
    </row>
    <row r="4" spans="1:29" ht="30" customHeight="1" x14ac:dyDescent="0.3">
      <c r="A4" s="401"/>
      <c r="B4" s="402"/>
      <c r="C4" s="437" t="s">
        <v>6</v>
      </c>
      <c r="D4" s="381"/>
      <c r="E4" s="381"/>
      <c r="F4" s="381"/>
      <c r="G4" s="382"/>
      <c r="H4" s="414" t="s">
        <v>7</v>
      </c>
      <c r="I4" s="382"/>
      <c r="J4" s="415" t="s">
        <v>8</v>
      </c>
      <c r="K4" s="381"/>
      <c r="L4" s="381"/>
      <c r="M4" s="381"/>
      <c r="N4" s="381"/>
      <c r="O4" s="381"/>
      <c r="P4" s="381"/>
      <c r="Q4" s="382"/>
      <c r="R4" s="467" t="s">
        <v>202</v>
      </c>
      <c r="S4" s="381"/>
      <c r="T4" s="381"/>
      <c r="U4" s="382"/>
      <c r="V4" s="467" t="s">
        <v>203</v>
      </c>
      <c r="W4" s="381"/>
      <c r="X4" s="381"/>
      <c r="Y4" s="382"/>
      <c r="Z4" s="467" t="s">
        <v>204</v>
      </c>
      <c r="AA4" s="381"/>
      <c r="AB4" s="381"/>
      <c r="AC4" s="382"/>
    </row>
    <row r="5" spans="1:29" ht="24" customHeight="1" x14ac:dyDescent="0.3">
      <c r="A5" s="401"/>
      <c r="B5" s="402"/>
      <c r="C5" s="416" t="s">
        <v>13</v>
      </c>
      <c r="D5" s="418" t="s">
        <v>14</v>
      </c>
      <c r="E5" s="425" t="s">
        <v>15</v>
      </c>
      <c r="F5" s="426" t="s">
        <v>16</v>
      </c>
      <c r="G5" s="427" t="s">
        <v>17</v>
      </c>
      <c r="H5" s="237" t="s">
        <v>18</v>
      </c>
      <c r="I5" s="237" t="s">
        <v>19</v>
      </c>
      <c r="J5" s="428" t="s">
        <v>20</v>
      </c>
      <c r="K5" s="382"/>
      <c r="L5" s="428" t="s">
        <v>18</v>
      </c>
      <c r="M5" s="381"/>
      <c r="N5" s="382"/>
      <c r="O5" s="429" t="s">
        <v>19</v>
      </c>
      <c r="P5" s="381"/>
      <c r="Q5" s="382"/>
      <c r="R5" s="238" t="s">
        <v>21</v>
      </c>
      <c r="S5" s="447" t="s">
        <v>22</v>
      </c>
      <c r="T5" s="381"/>
      <c r="U5" s="382"/>
      <c r="V5" s="238" t="s">
        <v>21</v>
      </c>
      <c r="W5" s="447" t="s">
        <v>22</v>
      </c>
      <c r="X5" s="381"/>
      <c r="Y5" s="382"/>
      <c r="Z5" s="238" t="s">
        <v>21</v>
      </c>
      <c r="AA5" s="447" t="s">
        <v>22</v>
      </c>
      <c r="AB5" s="381"/>
      <c r="AC5" s="382"/>
    </row>
    <row r="6" spans="1:29" ht="30" customHeight="1" x14ac:dyDescent="0.3">
      <c r="A6" s="403"/>
      <c r="B6" s="404"/>
      <c r="C6" s="417"/>
      <c r="D6" s="417"/>
      <c r="E6" s="417"/>
      <c r="F6" s="417"/>
      <c r="G6" s="417"/>
      <c r="H6" s="239"/>
      <c r="I6" s="239"/>
      <c r="J6" s="240" t="s">
        <v>23</v>
      </c>
      <c r="K6" s="241" t="s">
        <v>24</v>
      </c>
      <c r="L6" s="240" t="s">
        <v>23</v>
      </c>
      <c r="M6" s="242" t="s">
        <v>25</v>
      </c>
      <c r="N6" s="242" t="s">
        <v>26</v>
      </c>
      <c r="O6" s="243" t="s">
        <v>23</v>
      </c>
      <c r="P6" s="242" t="s">
        <v>25</v>
      </c>
      <c r="Q6" s="242" t="s">
        <v>26</v>
      </c>
      <c r="R6" s="244" t="s">
        <v>132</v>
      </c>
      <c r="S6" s="245" t="s">
        <v>28</v>
      </c>
      <c r="T6" s="245" t="s">
        <v>132</v>
      </c>
      <c r="U6" s="363" t="s">
        <v>205</v>
      </c>
      <c r="V6" s="244" t="s">
        <v>28</v>
      </c>
      <c r="W6" s="245" t="s">
        <v>28</v>
      </c>
      <c r="X6" s="245" t="s">
        <v>132</v>
      </c>
      <c r="Y6" s="363" t="s">
        <v>206</v>
      </c>
      <c r="Z6" s="244" t="s">
        <v>28</v>
      </c>
      <c r="AA6" s="245" t="s">
        <v>28</v>
      </c>
      <c r="AB6" s="245" t="s">
        <v>132</v>
      </c>
      <c r="AC6" s="363" t="s">
        <v>206</v>
      </c>
    </row>
    <row r="7" spans="1:29" ht="24" customHeight="1" x14ac:dyDescent="0.3">
      <c r="A7" s="442" t="s">
        <v>31</v>
      </c>
      <c r="B7" s="417"/>
      <c r="C7" s="141">
        <f t="shared" ref="C7:C10" ca="1" si="0">D7+G7</f>
        <v>64611100</v>
      </c>
      <c r="D7" s="142">
        <f t="shared" ref="D7:E7" ca="1" si="1">D8+D9+D12</f>
        <v>64611100</v>
      </c>
      <c r="E7" s="143">
        <f t="shared" ca="1" si="1"/>
        <v>30044200</v>
      </c>
      <c r="F7" s="144">
        <f ca="1">F8+F9</f>
        <v>34566900</v>
      </c>
      <c r="G7" s="145">
        <f t="shared" ref="G7:I7" ca="1" si="2">G8+G9+G12</f>
        <v>0</v>
      </c>
      <c r="H7" s="211">
        <f t="shared" ca="1" si="2"/>
        <v>51530000</v>
      </c>
      <c r="I7" s="211">
        <f t="shared" ca="1" si="2"/>
        <v>0</v>
      </c>
      <c r="J7" s="147">
        <f t="shared" ref="J7:J10" ca="1" si="3">L7+O7</f>
        <v>15141433.710000001</v>
      </c>
      <c r="K7" s="148">
        <f t="shared" ref="K7:K10" ca="1" si="4">IF(C7&gt;0,J7*100/C7,0)</f>
        <v>23.434725163323328</v>
      </c>
      <c r="L7" s="147">
        <f ca="1">L8+L9+L12</f>
        <v>15141433.710000001</v>
      </c>
      <c r="M7" s="149">
        <f t="shared" ref="M7:M10" ca="1" si="5">IF(D7&gt;0,L7*100/D7,0)</f>
        <v>23.434725163323328</v>
      </c>
      <c r="N7" s="149">
        <f t="shared" ref="N7:N10" ca="1" si="6">IF(H7&gt;0,L7*100/H7,0)</f>
        <v>29.383725422084222</v>
      </c>
      <c r="O7" s="150">
        <f ca="1">O8+O9+O12</f>
        <v>0</v>
      </c>
      <c r="P7" s="150">
        <f t="shared" ref="P7:P10" ca="1" si="7">IF(G7&gt;0,O7*100/G7,0)</f>
        <v>0</v>
      </c>
      <c r="Q7" s="149">
        <f t="shared" ref="Q7:Q10" ca="1" si="8">IF(I7&gt;0,O7*100/I7,0)</f>
        <v>0</v>
      </c>
      <c r="R7" s="334">
        <f t="shared" ref="R7:T7" ca="1" si="9">R8</f>
        <v>140750</v>
      </c>
      <c r="S7" s="335">
        <f t="shared" ca="1" si="9"/>
        <v>2672</v>
      </c>
      <c r="T7" s="336">
        <f t="shared" ca="1" si="9"/>
        <v>24424.159999999985</v>
      </c>
      <c r="U7" s="249">
        <f t="shared" ref="U7:U8" ca="1" si="10">IF(R7&gt;0,T7*100/R7,0)</f>
        <v>17.352866785079918</v>
      </c>
      <c r="V7" s="334">
        <f t="shared" ref="V7:X7" ca="1" si="11">V8</f>
        <v>24000</v>
      </c>
      <c r="W7" s="335">
        <f t="shared" ca="1" si="11"/>
        <v>6510</v>
      </c>
      <c r="X7" s="336">
        <f t="shared" ca="1" si="11"/>
        <v>80492.87</v>
      </c>
      <c r="Y7" s="249">
        <f t="shared" ref="Y7:Y8" ca="1" si="12">IF(V7&gt;0,W7*100/V7,0)</f>
        <v>27.125</v>
      </c>
      <c r="Z7" s="334">
        <f t="shared" ref="Z7:AB7" ca="1" si="13">Z8</f>
        <v>16000</v>
      </c>
      <c r="AA7" s="335">
        <f t="shared" ca="1" si="13"/>
        <v>4166</v>
      </c>
      <c r="AB7" s="336">
        <f t="shared" ca="1" si="13"/>
        <v>53784.549999999996</v>
      </c>
      <c r="AC7" s="249">
        <f t="shared" ref="AC7:AC8" ca="1" si="14">IF(Z7&gt;0,AA7*100/Z7,0)</f>
        <v>26.037500000000001</v>
      </c>
    </row>
    <row r="8" spans="1:29" ht="28.5" customHeight="1" x14ac:dyDescent="0.3">
      <c r="A8" s="34" t="s">
        <v>32</v>
      </c>
      <c r="B8" s="35"/>
      <c r="C8" s="154">
        <f t="shared" ca="1" si="0"/>
        <v>39568045</v>
      </c>
      <c r="D8" s="154">
        <f t="shared" ref="D8:I8" ca="1" si="15">+D13+D31+D52+D74</f>
        <v>39568045</v>
      </c>
      <c r="E8" s="154">
        <f t="shared" ca="1" si="15"/>
        <v>14700000</v>
      </c>
      <c r="F8" s="154">
        <f t="shared" ca="1" si="15"/>
        <v>24868045</v>
      </c>
      <c r="G8" s="154">
        <f t="shared" ca="1" si="15"/>
        <v>0</v>
      </c>
      <c r="H8" s="154">
        <f t="shared" ca="1" si="15"/>
        <v>33292765</v>
      </c>
      <c r="I8" s="154">
        <f t="shared" ca="1" si="15"/>
        <v>0</v>
      </c>
      <c r="J8" s="154">
        <f t="shared" ca="1" si="3"/>
        <v>9837221.7800000012</v>
      </c>
      <c r="K8" s="155">
        <f t="shared" ca="1" si="4"/>
        <v>24.861531015747687</v>
      </c>
      <c r="L8" s="154">
        <f ca="1">+L13+L31+L52+L74</f>
        <v>9837221.7800000012</v>
      </c>
      <c r="M8" s="156">
        <f t="shared" ca="1" si="5"/>
        <v>24.861531015747687</v>
      </c>
      <c r="N8" s="156">
        <f t="shared" ca="1" si="6"/>
        <v>29.547626278562326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339">
        <f t="shared" ref="R8:T8" ca="1" si="16">+R13+R31+R52+R74</f>
        <v>140750</v>
      </c>
      <c r="S8" s="154">
        <f t="shared" ca="1" si="16"/>
        <v>2672</v>
      </c>
      <c r="T8" s="156">
        <f t="shared" ca="1" si="16"/>
        <v>24424.159999999985</v>
      </c>
      <c r="U8" s="251">
        <f t="shared" ca="1" si="10"/>
        <v>17.352866785079918</v>
      </c>
      <c r="V8" s="339">
        <f t="shared" ref="V8:X8" ca="1" si="17">+V13+V31+V52+V74</f>
        <v>24000</v>
      </c>
      <c r="W8" s="154">
        <f t="shared" ca="1" si="17"/>
        <v>6510</v>
      </c>
      <c r="X8" s="156">
        <f t="shared" ca="1" si="17"/>
        <v>80492.87</v>
      </c>
      <c r="Y8" s="251">
        <f t="shared" ca="1" si="12"/>
        <v>27.125</v>
      </c>
      <c r="Z8" s="339">
        <f t="shared" ref="Z8:AB8" ca="1" si="18">+Z13+Z31+Z52+Z74</f>
        <v>16000</v>
      </c>
      <c r="AA8" s="154">
        <f t="shared" ca="1" si="18"/>
        <v>4166</v>
      </c>
      <c r="AB8" s="156">
        <f t="shared" ca="1" si="18"/>
        <v>53784.549999999996</v>
      </c>
      <c r="AC8" s="251">
        <f t="shared" ca="1" si="14"/>
        <v>26.037500000000001</v>
      </c>
    </row>
    <row r="9" spans="1:29" ht="28.5" customHeight="1" x14ac:dyDescent="0.3">
      <c r="A9" s="44" t="s">
        <v>33</v>
      </c>
      <c r="B9" s="45"/>
      <c r="C9" s="160">
        <f t="shared" ca="1" si="0"/>
        <v>25043055</v>
      </c>
      <c r="D9" s="160">
        <f t="shared" ref="D9:I9" ca="1" si="19">+D10+D11</f>
        <v>25043055</v>
      </c>
      <c r="E9" s="160">
        <f t="shared" ca="1" si="19"/>
        <v>15344200</v>
      </c>
      <c r="F9" s="160">
        <f t="shared" ca="1" si="19"/>
        <v>9698855</v>
      </c>
      <c r="G9" s="160">
        <f t="shared" ca="1" si="19"/>
        <v>0</v>
      </c>
      <c r="H9" s="160">
        <f t="shared" ca="1" si="19"/>
        <v>18237235</v>
      </c>
      <c r="I9" s="160">
        <f t="shared" ca="1" si="19"/>
        <v>0</v>
      </c>
      <c r="J9" s="160">
        <f t="shared" ca="1" si="3"/>
        <v>5304211.93</v>
      </c>
      <c r="K9" s="161">
        <f t="shared" ca="1" si="4"/>
        <v>21.180370885261404</v>
      </c>
      <c r="L9" s="160">
        <f ca="1">+L10+L11</f>
        <v>5304211.93</v>
      </c>
      <c r="M9" s="162">
        <f t="shared" ca="1" si="5"/>
        <v>21.180370885261404</v>
      </c>
      <c r="N9" s="162">
        <f t="shared" ca="1" si="6"/>
        <v>29.084518184911254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284"/>
      <c r="S9" s="191"/>
      <c r="T9" s="340"/>
      <c r="U9" s="253"/>
      <c r="V9" s="284"/>
      <c r="W9" s="191"/>
      <c r="X9" s="340"/>
      <c r="Y9" s="253"/>
      <c r="Z9" s="284"/>
      <c r="AA9" s="191"/>
      <c r="AB9" s="340"/>
      <c r="AC9" s="253"/>
    </row>
    <row r="10" spans="1:29" ht="28.5" customHeight="1" x14ac:dyDescent="0.3">
      <c r="A10" s="44" t="s">
        <v>34</v>
      </c>
      <c r="B10" s="45"/>
      <c r="C10" s="160">
        <f t="shared" ca="1" si="0"/>
        <v>25043055</v>
      </c>
      <c r="D10" s="160">
        <f t="shared" ref="D10:I10" ca="1" si="20">+D89</f>
        <v>25043055</v>
      </c>
      <c r="E10" s="160">
        <f t="shared" ca="1" si="20"/>
        <v>15344200</v>
      </c>
      <c r="F10" s="160">
        <f t="shared" ca="1" si="20"/>
        <v>9698855</v>
      </c>
      <c r="G10" s="160">
        <f t="shared" ca="1" si="20"/>
        <v>0</v>
      </c>
      <c r="H10" s="160">
        <f t="shared" ca="1" si="20"/>
        <v>18237235</v>
      </c>
      <c r="I10" s="160">
        <f t="shared" ca="1" si="20"/>
        <v>0</v>
      </c>
      <c r="J10" s="160">
        <f t="shared" ca="1" si="3"/>
        <v>5304211.93</v>
      </c>
      <c r="K10" s="161">
        <f t="shared" ca="1" si="4"/>
        <v>21.180370885261404</v>
      </c>
      <c r="L10" s="160">
        <f ca="1">+L89</f>
        <v>5304211.93</v>
      </c>
      <c r="M10" s="162">
        <f t="shared" ca="1" si="5"/>
        <v>21.180370885261404</v>
      </c>
      <c r="N10" s="162">
        <f t="shared" ca="1" si="6"/>
        <v>29.084518184911254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284"/>
      <c r="S10" s="191"/>
      <c r="T10" s="340"/>
      <c r="U10" s="253"/>
      <c r="V10" s="284"/>
      <c r="W10" s="191"/>
      <c r="X10" s="340"/>
      <c r="Y10" s="253"/>
      <c r="Z10" s="284"/>
      <c r="AA10" s="191"/>
      <c r="AB10" s="340"/>
      <c r="AC10" s="253"/>
    </row>
    <row r="11" spans="1:29" ht="28.5" hidden="1" customHeight="1" x14ac:dyDescent="0.3">
      <c r="A11" s="212"/>
      <c r="B11" s="213"/>
      <c r="C11" s="214"/>
      <c r="D11" s="214"/>
      <c r="E11" s="214"/>
      <c r="F11" s="214"/>
      <c r="G11" s="214"/>
      <c r="H11" s="214"/>
      <c r="I11" s="214"/>
      <c r="J11" s="214"/>
      <c r="K11" s="215"/>
      <c r="L11" s="214"/>
      <c r="M11" s="216"/>
      <c r="N11" s="216"/>
      <c r="O11" s="217"/>
      <c r="P11" s="217"/>
      <c r="Q11" s="216"/>
      <c r="R11" s="341"/>
      <c r="S11" s="342"/>
      <c r="T11" s="343"/>
      <c r="U11" s="256"/>
      <c r="V11" s="341"/>
      <c r="W11" s="342"/>
      <c r="X11" s="343"/>
      <c r="Y11" s="256"/>
      <c r="Z11" s="341"/>
      <c r="AA11" s="342"/>
      <c r="AB11" s="343"/>
      <c r="AC11" s="256"/>
    </row>
    <row r="12" spans="1:29" ht="28.5" hidden="1" customHeight="1" x14ac:dyDescent="0.3">
      <c r="A12" s="220"/>
      <c r="B12" s="213"/>
      <c r="C12" s="214"/>
      <c r="D12" s="214"/>
      <c r="E12" s="214"/>
      <c r="F12" s="214"/>
      <c r="G12" s="214"/>
      <c r="H12" s="214"/>
      <c r="I12" s="214"/>
      <c r="J12" s="214"/>
      <c r="K12" s="215"/>
      <c r="L12" s="214"/>
      <c r="M12" s="216"/>
      <c r="N12" s="216"/>
      <c r="O12" s="217"/>
      <c r="P12" s="217"/>
      <c r="Q12" s="216"/>
      <c r="R12" s="341"/>
      <c r="S12" s="342"/>
      <c r="T12" s="343"/>
      <c r="U12" s="256"/>
      <c r="V12" s="341"/>
      <c r="W12" s="342"/>
      <c r="X12" s="343"/>
      <c r="Y12" s="256"/>
      <c r="Z12" s="341"/>
      <c r="AA12" s="342"/>
      <c r="AB12" s="343"/>
      <c r="AC12" s="256"/>
    </row>
    <row r="13" spans="1:29" ht="28.5" customHeight="1" x14ac:dyDescent="0.3">
      <c r="A13" s="394" t="s">
        <v>35</v>
      </c>
      <c r="B13" s="376"/>
      <c r="C13" s="154">
        <f t="shared" ref="C13:C88" ca="1" si="21">D13+G13</f>
        <v>9127945</v>
      </c>
      <c r="D13" s="154">
        <f t="shared" ref="D13:I13" ca="1" si="22">SUM(D14:D30)</f>
        <v>9127945</v>
      </c>
      <c r="E13" s="154">
        <f t="shared" ca="1" si="22"/>
        <v>3168900</v>
      </c>
      <c r="F13" s="154">
        <f t="shared" ca="1" si="22"/>
        <v>5959045</v>
      </c>
      <c r="G13" s="154">
        <f t="shared" ca="1" si="22"/>
        <v>0</v>
      </c>
      <c r="H13" s="154">
        <f t="shared" ca="1" si="22"/>
        <v>7729705</v>
      </c>
      <c r="I13" s="154">
        <f t="shared" ca="1" si="22"/>
        <v>0</v>
      </c>
      <c r="J13" s="154">
        <f t="shared" ref="J13:J88" ca="1" si="23">L13+O13</f>
        <v>1771778.4400000002</v>
      </c>
      <c r="K13" s="155">
        <f t="shared" ref="K13:K88" ca="1" si="24">IF(C13&gt;0,J13*100/C13,0)</f>
        <v>19.410485492627313</v>
      </c>
      <c r="L13" s="154">
        <f ca="1">SUM(L14:L30)</f>
        <v>1771778.4400000002</v>
      </c>
      <c r="M13" s="156">
        <f t="shared" ref="M13:M88" ca="1" si="25">IF(D13&gt;0,L13*100/D13,0)</f>
        <v>19.410485492627313</v>
      </c>
      <c r="N13" s="156">
        <f t="shared" ref="N13:N88" ca="1" si="26">IF(H13&gt;0,L13*100/H13,0)</f>
        <v>22.921682522166115</v>
      </c>
      <c r="O13" s="157">
        <f ca="1">SUM(O14:O30)</f>
        <v>0</v>
      </c>
      <c r="P13" s="157">
        <f t="shared" ref="P13:P88" ca="1" si="27">IF(G13&gt;0,O13*100/G13,0)</f>
        <v>0</v>
      </c>
      <c r="Q13" s="156">
        <f t="shared" ref="Q13:Q88" ca="1" si="28">IF(I13&gt;0,O13*100/I13,0)</f>
        <v>0</v>
      </c>
      <c r="R13" s="339">
        <f t="shared" ref="R13:T13" ca="1" si="29">SUM(R14:R30)</f>
        <v>35340</v>
      </c>
      <c r="S13" s="154">
        <f t="shared" ca="1" si="29"/>
        <v>500</v>
      </c>
      <c r="T13" s="156">
        <f t="shared" ca="1" si="29"/>
        <v>3080.07</v>
      </c>
      <c r="U13" s="251">
        <f t="shared" ref="U13:U88" ca="1" si="30">IF(R13&gt;0,T13*100/R13,0)</f>
        <v>8.7155348047538208</v>
      </c>
      <c r="V13" s="339">
        <f t="shared" ref="V13:X13" ca="1" si="31">SUM(V14:V30)</f>
        <v>6265</v>
      </c>
      <c r="W13" s="154">
        <f t="shared" ca="1" si="31"/>
        <v>1404</v>
      </c>
      <c r="X13" s="156">
        <f t="shared" ca="1" si="31"/>
        <v>15726.399999999987</v>
      </c>
      <c r="Y13" s="251">
        <f t="shared" ref="Y13:Y88" ca="1" si="32">IF(V13&gt;0,W13*100/V13,0)</f>
        <v>22.410215482841181</v>
      </c>
      <c r="Z13" s="339">
        <f t="shared" ref="Z13:AB13" ca="1" si="33">SUM(Z14:Z30)</f>
        <v>4260</v>
      </c>
      <c r="AA13" s="154">
        <f t="shared" ca="1" si="33"/>
        <v>1162</v>
      </c>
      <c r="AB13" s="156">
        <f t="shared" ca="1" si="33"/>
        <v>13841.669999999998</v>
      </c>
      <c r="AC13" s="251">
        <f t="shared" ref="AC13:AC88" ca="1" si="34">IF(Z13&gt;0,AA13*100/Z13,0)</f>
        <v>27.27699530516432</v>
      </c>
    </row>
    <row r="14" spans="1:29" ht="24" customHeight="1" x14ac:dyDescent="0.3">
      <c r="A14" s="74">
        <v>1</v>
      </c>
      <c r="B14" s="75" t="s">
        <v>36</v>
      </c>
      <c r="C14" s="174">
        <f t="shared" ca="1" si="21"/>
        <v>633060</v>
      </c>
      <c r="D14" s="175">
        <f t="shared" ref="D14:D30" ca="1" si="35">+E14+F14</f>
        <v>633060</v>
      </c>
      <c r="E14" s="176">
        <f ca="1">IFERROR(__xludf.DUMMYFUNCTION("IMPORTRANGE(""https://docs.google.com/spreadsheets/d/1-uDff_7J0KD5mKrp0Vvzr7lt3OU09vwQwhkpOPPYv2Y/edit?usp=sharing"",""งบพรบ!FD14"")"),199500)</f>
        <v>199500</v>
      </c>
      <c r="F14" s="176">
        <f ca="1">IFERROR(__xludf.DUMMYFUNCTION("IMPORTRANGE(""https://docs.google.com/spreadsheets/d/1-uDff_7J0KD5mKrp0Vvzr7lt3OU09vwQwhkpOPPYv2Y/edit?usp=sharing"",""งบพรบ!FE14"")"),433560)</f>
        <v>433560</v>
      </c>
      <c r="G14" s="177">
        <f ca="1">IFERROR(__xludf.DUMMYFUNCTION("IMPORTRANGE(""https://docs.google.com/spreadsheets/d/1-uDff_7J0KD5mKrp0Vvzr7lt3OU09vwQwhkpOPPYv2Y/edit?usp=sharing"",""งบพรบ!FF14"")"),0)</f>
        <v>0</v>
      </c>
      <c r="H14" s="177">
        <f ca="1">IFERROR(__xludf.DUMMYFUNCTION("IMPORTRANGE(""https://docs.google.com/spreadsheets/d/1-uDff_7J0KD5mKrp0Vvzr7lt3OU09vwQwhkpOPPYv2Y/edit?usp=sharing"",""งบพรบ!FH14"")"),524060)</f>
        <v>524060</v>
      </c>
      <c r="I14" s="177">
        <f ca="1">IFERROR(__xludf.DUMMYFUNCTION("IMPORTRANGE(""https://docs.google.com/spreadsheets/d/1-uDff_7J0KD5mKrp0Vvzr7lt3OU09vwQwhkpOPPYv2Y/edit?usp=sharing"",""งบพรบ!FI14"")"),0)</f>
        <v>0</v>
      </c>
      <c r="J14" s="177">
        <f t="shared" ca="1" si="23"/>
        <v>177651.45</v>
      </c>
      <c r="K14" s="178">
        <f t="shared" ca="1" si="24"/>
        <v>28.062340062553311</v>
      </c>
      <c r="L14" s="177">
        <f ca="1">IFERROR(__xludf.DUMMYFUNCTION("IMPORTRANGE(""https://docs.google.com/spreadsheets/d/1-uDff_7J0KD5mKrp0Vvzr7lt3OU09vwQwhkpOPPYv2Y/edit?usp=sharing"",""งบพรบ!FJ14"")"),177651.45)</f>
        <v>177651.45</v>
      </c>
      <c r="M14" s="179">
        <f t="shared" ca="1" si="25"/>
        <v>28.062340062553311</v>
      </c>
      <c r="N14" s="179">
        <f t="shared" ca="1" si="26"/>
        <v>33.899066900736557</v>
      </c>
      <c r="O14" s="180">
        <f ca="1">IFERROR(__xludf.DUMMYFUNCTION("IMPORTRANGE(""https://docs.google.com/spreadsheets/d/1-uDff_7J0KD5mKrp0Vvzr7lt3OU09vwQwhkpOPPYv2Y/edit?usp=sharing"",""งบพรบ!FK14"")"),0)</f>
        <v>0</v>
      </c>
      <c r="P14" s="180">
        <f t="shared" ca="1" si="27"/>
        <v>0</v>
      </c>
      <c r="Q14" s="179">
        <f t="shared" ca="1" si="28"/>
        <v>0</v>
      </c>
      <c r="R14" s="344">
        <f ca="1">IFERROR(__xludf.DUMMYFUNCTION("IMPORTRANGE(""https://docs.google.com/spreadsheets/d/1jTcq05yEiRwXcBMLjiodW9e4biSGYWAHcDj22rKWQ3s/edit?usp=sharing"",""กำแพงเพชร!I368"")"),2130)</f>
        <v>2130</v>
      </c>
      <c r="S14" s="177">
        <f ca="1">IFERROR(__xludf.DUMMYFUNCTION("IMPORTRANGE(""https://docs.google.com/spreadsheets/d/1jTcq05yEiRwXcBMLjiodW9e4biSGYWAHcDj22rKWQ3s/edit?usp=sharing"",""กำแพงเพชร!J367"")"),0)</f>
        <v>0</v>
      </c>
      <c r="T14" s="345">
        <f ca="1">IFERROR(__xludf.DUMMYFUNCTION("IMPORTRANGE(""https://docs.google.com/spreadsheets/d/1jTcq05yEiRwXcBMLjiodW9e4biSGYWAHcDj22rKWQ3s/edit?usp=sharing"",""กำแพงเพชร!J368"")"),0)</f>
        <v>0</v>
      </c>
      <c r="U14" s="259">
        <f t="shared" ca="1" si="30"/>
        <v>0</v>
      </c>
      <c r="V14" s="344">
        <f ca="1">IFERROR(__xludf.DUMMYFUNCTION("IMPORTRANGE(""https://docs.google.com/spreadsheets/d/1jTcq05yEiRwXcBMLjiodW9e4biSGYWAHcDj22rKWQ3s/edit?usp=sharing"",""กำแพงเพชร!I369"")"),381)</f>
        <v>381</v>
      </c>
      <c r="W14" s="177">
        <f ca="1">IFERROR(__xludf.DUMMYFUNCTION("IMPORTRANGE(""https://docs.google.com/spreadsheets/d/1jTcq05yEiRwXcBMLjiodW9e4biSGYWAHcDj22rKWQ3s/edit?usp=sharing"",""กำแพงเพชร!J369"")"),184)</f>
        <v>184</v>
      </c>
      <c r="X14" s="345">
        <f ca="1">IFERROR(__xludf.DUMMYFUNCTION("IMPORTRANGE(""https://docs.google.com/spreadsheets/d/1jTcq05yEiRwXcBMLjiodW9e4biSGYWAHcDj22rKWQ3s/edit?usp=sharing"",""กำแพงเพชร!J370"")"),3016.3)</f>
        <v>3016.3</v>
      </c>
      <c r="Y14" s="259">
        <f t="shared" ca="1" si="32"/>
        <v>48.293963254593173</v>
      </c>
      <c r="Z14" s="344">
        <f ca="1">IFERROR(__xludf.DUMMYFUNCTION("IMPORTRANGE(""https://docs.google.com/spreadsheets/d/1jTcq05yEiRwXcBMLjiodW9e4biSGYWAHcDj22rKWQ3s/edit?usp=sharing"",""กำแพงเพชร!I371"")"),235)</f>
        <v>235</v>
      </c>
      <c r="AA14" s="177">
        <f ca="1">IFERROR(__xludf.DUMMYFUNCTION("IMPORTRANGE(""https://docs.google.com/spreadsheets/d/1jTcq05yEiRwXcBMLjiodW9e4biSGYWAHcDj22rKWQ3s/edit?usp=sharing"",""กำแพงเพชร!J371"")"),144)</f>
        <v>144</v>
      </c>
      <c r="AB14" s="345">
        <f ca="1">IFERROR(__xludf.DUMMYFUNCTION("IMPORTRANGE(""https://docs.google.com/spreadsheets/d/1jTcq05yEiRwXcBMLjiodW9e4biSGYWAHcDj22rKWQ3s/edit?usp=sharing"",""กำแพงเพชร!J372"")"),2485.71)</f>
        <v>2485.71</v>
      </c>
      <c r="AC14" s="259">
        <f t="shared" ca="1" si="34"/>
        <v>61.276595744680854</v>
      </c>
    </row>
    <row r="15" spans="1:29" ht="24" customHeight="1" x14ac:dyDescent="0.3">
      <c r="A15" s="84">
        <v>2</v>
      </c>
      <c r="B15" s="85" t="s">
        <v>37</v>
      </c>
      <c r="C15" s="174">
        <f t="shared" ca="1" si="21"/>
        <v>656110</v>
      </c>
      <c r="D15" s="175">
        <f t="shared" ca="1" si="35"/>
        <v>656110</v>
      </c>
      <c r="E15" s="176">
        <f ca="1">IFERROR(__xludf.DUMMYFUNCTION("IMPORTRANGE(""https://docs.google.com/spreadsheets/d/1-uDff_7J0KD5mKrp0Vvzr7lt3OU09vwQwhkpOPPYv2Y/edit?usp=sharing"",""งบพรบ!FD15"")"),0)</f>
        <v>0</v>
      </c>
      <c r="F15" s="176">
        <f ca="1">IFERROR(__xludf.DUMMYFUNCTION("IMPORTRANGE(""https://docs.google.com/spreadsheets/d/1-uDff_7J0KD5mKrp0Vvzr7lt3OU09vwQwhkpOPPYv2Y/edit?usp=sharing"",""งบพรบ!FE15"")"),656110)</f>
        <v>656110</v>
      </c>
      <c r="G15" s="176">
        <f ca="1">IFERROR(__xludf.DUMMYFUNCTION("IMPORTRANGE(""https://docs.google.com/spreadsheets/d/1-uDff_7J0KD5mKrp0Vvzr7lt3OU09vwQwhkpOPPYv2Y/edit?usp=sharing"",""งบพรบ!FF15"")"),0)</f>
        <v>0</v>
      </c>
      <c r="H15" s="176">
        <f ca="1">IFERROR(__xludf.DUMMYFUNCTION("IMPORTRANGE(""https://docs.google.com/spreadsheets/d/1-uDff_7J0KD5mKrp0Vvzr7lt3OU09vwQwhkpOPPYv2Y/edit?usp=sharing"",""งบพรบ!FH15"")"),604110)</f>
        <v>604110</v>
      </c>
      <c r="I15" s="176">
        <f ca="1">IFERROR(__xludf.DUMMYFUNCTION("IMPORTRANGE(""https://docs.google.com/spreadsheets/d/1-uDff_7J0KD5mKrp0Vvzr7lt3OU09vwQwhkpOPPYv2Y/edit?usp=sharing"",""งบพรบ!FI15"")"),0)</f>
        <v>0</v>
      </c>
      <c r="J15" s="176">
        <f t="shared" ca="1" si="23"/>
        <v>33728.39</v>
      </c>
      <c r="K15" s="181">
        <f t="shared" ca="1" si="24"/>
        <v>5.1406608647940129</v>
      </c>
      <c r="L15" s="176">
        <f ca="1">IFERROR(__xludf.DUMMYFUNCTION("IMPORTRANGE(""https://docs.google.com/spreadsheets/d/1-uDff_7J0KD5mKrp0Vvzr7lt3OU09vwQwhkpOPPYv2Y/edit?usp=sharing"",""งบพรบ!FJ15"")"),33728.39)</f>
        <v>33728.39</v>
      </c>
      <c r="M15" s="179">
        <f t="shared" ca="1" si="25"/>
        <v>5.1406608647940129</v>
      </c>
      <c r="N15" s="179">
        <f t="shared" ca="1" si="26"/>
        <v>5.5831537302809089</v>
      </c>
      <c r="O15" s="180">
        <f ca="1">IFERROR(__xludf.DUMMYFUNCTION("IMPORTRANGE(""https://docs.google.com/spreadsheets/d/1-uDff_7J0KD5mKrp0Vvzr7lt3OU09vwQwhkpOPPYv2Y/edit?usp=sharing"",""งบพรบ!FK15"")"),0)</f>
        <v>0</v>
      </c>
      <c r="P15" s="180">
        <f t="shared" ca="1" si="27"/>
        <v>0</v>
      </c>
      <c r="Q15" s="179">
        <f t="shared" ca="1" si="28"/>
        <v>0</v>
      </c>
      <c r="R15" s="344">
        <f ca="1">IFERROR(__xludf.DUMMYFUNCTION("IMPORTRANGE(""https://docs.google.com/spreadsheets/d/1KS0zmDSZPk8KnTAbGN-Xk6MtX1YRZD0ldgdt20K4CRk/edit?usp=sharing"",""เชียงราย!I368"")"),4250)</f>
        <v>4250</v>
      </c>
      <c r="S15" s="177">
        <f ca="1">IFERROR(__xludf.DUMMYFUNCTION("IMPORTRANGE(""https://docs.google.com/spreadsheets/d/1KS0zmDSZPk8KnTAbGN-Xk6MtX1YRZD0ldgdt20K4CRk/edit?usp=sharing"",""เชียงราย!J367"")"),8)</f>
        <v>8</v>
      </c>
      <c r="T15" s="345">
        <f ca="1">IFERROR(__xludf.DUMMYFUNCTION("IMPORTRANGE(""https://docs.google.com/spreadsheets/d/1KS0zmDSZPk8KnTAbGN-Xk6MtX1YRZD0ldgdt20K4CRk/edit?usp=sharing"",""เชียงราย!J368"")"),46.18)</f>
        <v>46.18</v>
      </c>
      <c r="U15" s="259">
        <f t="shared" ca="1" si="30"/>
        <v>1.0865882352941176</v>
      </c>
      <c r="V15" s="344">
        <f ca="1">IFERROR(__xludf.DUMMYFUNCTION("IMPORTRANGE(""https://docs.google.com/spreadsheets/d/1KS0zmDSZPk8KnTAbGN-Xk6MtX1YRZD0ldgdt20K4CRk/edit?usp=sharing"",""เชียงราย!I369"")"),805)</f>
        <v>805</v>
      </c>
      <c r="W15" s="177">
        <f ca="1">IFERROR(__xludf.DUMMYFUNCTION("IMPORTRANGE(""https://docs.google.com/spreadsheets/d/1KS0zmDSZPk8KnTAbGN-Xk6MtX1YRZD0ldgdt20K4CRk/edit?usp=sharing"",""เชียงราย!J369"")"),180)</f>
        <v>180</v>
      </c>
      <c r="X15" s="345">
        <f ca="1">IFERROR(__xludf.DUMMYFUNCTION("IMPORTRANGE(""https://docs.google.com/spreadsheets/d/1KS0zmDSZPk8KnTAbGN-Xk6MtX1YRZD0ldgdt20K4CRk/edit?usp=sharing"",""เชียงราย!J370"")"),1508.16)</f>
        <v>1508.16</v>
      </c>
      <c r="Y15" s="259">
        <f t="shared" ca="1" si="32"/>
        <v>22.36024844720497</v>
      </c>
      <c r="Z15" s="344">
        <f ca="1">IFERROR(__xludf.DUMMYFUNCTION("IMPORTRANGE(""https://docs.google.com/spreadsheets/d/1KS0zmDSZPk8KnTAbGN-Xk6MtX1YRZD0ldgdt20K4CRk/edit?usp=sharing"",""เชียงราย!I371"")"),535)</f>
        <v>535</v>
      </c>
      <c r="AA15" s="177">
        <f ca="1">IFERROR(__xludf.DUMMYFUNCTION("IMPORTRANGE(""https://docs.google.com/spreadsheets/d/1KS0zmDSZPk8KnTAbGN-Xk6MtX1YRZD0ldgdt20K4CRk/edit?usp=sharing"",""เชียงราย!J371"")"),126)</f>
        <v>126</v>
      </c>
      <c r="AB15" s="345">
        <f ca="1">IFERROR(__xludf.DUMMYFUNCTION("IMPORTRANGE(""https://docs.google.com/spreadsheets/d/1KS0zmDSZPk8KnTAbGN-Xk6MtX1YRZD0ldgdt20K4CRk/edit?usp=sharing"",""เชียงราย!J372"")"),1022.52)</f>
        <v>1022.52</v>
      </c>
      <c r="AC15" s="259">
        <f t="shared" ca="1" si="34"/>
        <v>23.55140186915888</v>
      </c>
    </row>
    <row r="16" spans="1:29" ht="24" customHeight="1" x14ac:dyDescent="0.3">
      <c r="A16" s="84">
        <v>3</v>
      </c>
      <c r="B16" s="85" t="s">
        <v>38</v>
      </c>
      <c r="C16" s="174">
        <f t="shared" ca="1" si="21"/>
        <v>352735</v>
      </c>
      <c r="D16" s="175">
        <f t="shared" ca="1" si="35"/>
        <v>352735</v>
      </c>
      <c r="E16" s="176">
        <f ca="1">IFERROR(__xludf.DUMMYFUNCTION("IMPORTRANGE(""https://docs.google.com/spreadsheets/d/1-uDff_7J0KD5mKrp0Vvzr7lt3OU09vwQwhkpOPPYv2Y/edit?usp=sharing"",""งบพรบ!FD16"")"),133000)</f>
        <v>133000</v>
      </c>
      <c r="F16" s="176">
        <f ca="1">IFERROR(__xludf.DUMMYFUNCTION("IMPORTRANGE(""https://docs.google.com/spreadsheets/d/1-uDff_7J0KD5mKrp0Vvzr7lt3OU09vwQwhkpOPPYv2Y/edit?usp=sharing"",""งบพรบ!FE16"")"),219735)</f>
        <v>219735</v>
      </c>
      <c r="G16" s="176">
        <f ca="1">IFERROR(__xludf.DUMMYFUNCTION("IMPORTRANGE(""https://docs.google.com/spreadsheets/d/1-uDff_7J0KD5mKrp0Vvzr7lt3OU09vwQwhkpOPPYv2Y/edit?usp=sharing"",""งบพรบ!FF16"")"),0)</f>
        <v>0</v>
      </c>
      <c r="H16" s="176">
        <f ca="1">IFERROR(__xludf.DUMMYFUNCTION("IMPORTRANGE(""https://docs.google.com/spreadsheets/d/1-uDff_7J0KD5mKrp0Vvzr7lt3OU09vwQwhkpOPPYv2Y/edit?usp=sharing"",""งบพรบ!FH16"")"),298655)</f>
        <v>298655</v>
      </c>
      <c r="I16" s="176">
        <f ca="1">IFERROR(__xludf.DUMMYFUNCTION("IMPORTRANGE(""https://docs.google.com/spreadsheets/d/1-uDff_7J0KD5mKrp0Vvzr7lt3OU09vwQwhkpOPPYv2Y/edit?usp=sharing"",""งบพรบ!FI16"")"),0)</f>
        <v>0</v>
      </c>
      <c r="J16" s="176">
        <f t="shared" ca="1" si="23"/>
        <v>93500.02</v>
      </c>
      <c r="K16" s="181">
        <f t="shared" ca="1" si="24"/>
        <v>26.507156930840434</v>
      </c>
      <c r="L16" s="176">
        <f ca="1">IFERROR(__xludf.DUMMYFUNCTION("IMPORTRANGE(""https://docs.google.com/spreadsheets/d/1-uDff_7J0KD5mKrp0Vvzr7lt3OU09vwQwhkpOPPYv2Y/edit?usp=sharing"",""งบพรบ!FJ16"")"),93500.02)</f>
        <v>93500.02</v>
      </c>
      <c r="M16" s="179">
        <f t="shared" ca="1" si="25"/>
        <v>26.507156930840434</v>
      </c>
      <c r="N16" s="179">
        <f t="shared" ca="1" si="26"/>
        <v>31.307033198841474</v>
      </c>
      <c r="O16" s="180">
        <f ca="1">IFERROR(__xludf.DUMMYFUNCTION("IMPORTRANGE(""https://docs.google.com/spreadsheets/d/1-uDff_7J0KD5mKrp0Vvzr7lt3OU09vwQwhkpOPPYv2Y/edit?usp=sharing"",""งบพรบ!FK16"")"),0)</f>
        <v>0</v>
      </c>
      <c r="P16" s="180">
        <f t="shared" ca="1" si="27"/>
        <v>0</v>
      </c>
      <c r="Q16" s="179">
        <f t="shared" ca="1" si="28"/>
        <v>0</v>
      </c>
      <c r="R16" s="344">
        <f ca="1">IFERROR(__xludf.DUMMYFUNCTION("IMPORTRANGE(""https://docs.google.com/spreadsheets/d/1rEDxBtusbi64tE0zunoIbsTVV16HeL0oJ6trHQeQ7K8/edit?usp=sharing"",""เชียงใหม่!I368"")"),905)</f>
        <v>905</v>
      </c>
      <c r="S16" s="177">
        <f ca="1">IFERROR(__xludf.DUMMYFUNCTION("IMPORTRANGE(""https://docs.google.com/spreadsheets/d/1rEDxBtusbi64tE0zunoIbsTVV16HeL0oJ6trHQeQ7K8/edit?usp=sharing"",""เชียงใหม่!J367"")"),39)</f>
        <v>39</v>
      </c>
      <c r="T16" s="345">
        <f ca="1">IFERROR(__xludf.DUMMYFUNCTION("IMPORTRANGE(""https://docs.google.com/spreadsheets/d/1rEDxBtusbi64tE0zunoIbsTVV16HeL0oJ6trHQeQ7K8/edit?usp=sharing"",""เชียงใหม่!J368"")"),175.81)</f>
        <v>175.81</v>
      </c>
      <c r="U16" s="259">
        <f t="shared" ca="1" si="30"/>
        <v>19.426519337016575</v>
      </c>
      <c r="V16" s="344">
        <f ca="1">IFERROR(__xludf.DUMMYFUNCTION("IMPORTRANGE(""https://docs.google.com/spreadsheets/d/1rEDxBtusbi64tE0zunoIbsTVV16HeL0oJ6trHQeQ7K8/edit?usp=sharing"",""เชียงใหม่!I369"")"),131)</f>
        <v>131</v>
      </c>
      <c r="W16" s="177">
        <f ca="1">IFERROR(__xludf.DUMMYFUNCTION("IMPORTRANGE(""https://docs.google.com/spreadsheets/d/1rEDxBtusbi64tE0zunoIbsTVV16HeL0oJ6trHQeQ7K8/edit?usp=sharing"",""เชียงใหม่!J369"")"),73)</f>
        <v>73</v>
      </c>
      <c r="X16" s="345">
        <f ca="1">IFERROR(__xludf.DUMMYFUNCTION("IMPORTRANGE(""https://docs.google.com/spreadsheets/d/1rEDxBtusbi64tE0zunoIbsTVV16HeL0oJ6trHQeQ7K8/edit?usp=sharing"",""เชียงใหม่!J370"")"),433.61)</f>
        <v>433.61</v>
      </c>
      <c r="Y16" s="259">
        <f t="shared" ca="1" si="32"/>
        <v>55.725190839694655</v>
      </c>
      <c r="Z16" s="344">
        <f ca="1">IFERROR(__xludf.DUMMYFUNCTION("IMPORTRANGE(""https://docs.google.com/spreadsheets/d/1rEDxBtusbi64tE0zunoIbsTVV16HeL0oJ6trHQeQ7K8/edit?usp=sharing"",""เชียงใหม่!I371"")"),114)</f>
        <v>114</v>
      </c>
      <c r="AA16" s="177">
        <f ca="1">IFERROR(__xludf.DUMMYFUNCTION("IMPORTRANGE(""https://docs.google.com/spreadsheets/d/1rEDxBtusbi64tE0zunoIbsTVV16HeL0oJ6trHQeQ7K8/edit?usp=sharing"",""เชียงใหม่!J371"")"),24)</f>
        <v>24</v>
      </c>
      <c r="AB16" s="345">
        <f ca="1">IFERROR(__xludf.DUMMYFUNCTION("IMPORTRANGE(""https://docs.google.com/spreadsheets/d/1rEDxBtusbi64tE0zunoIbsTVV16HeL0oJ6trHQeQ7K8/edit?usp=sharing"",""เชียงใหม่!J372"")"),173.99)</f>
        <v>173.99</v>
      </c>
      <c r="AC16" s="259">
        <f t="shared" ca="1" si="34"/>
        <v>21.05263157894737</v>
      </c>
    </row>
    <row r="17" spans="1:29" ht="24" customHeight="1" x14ac:dyDescent="0.3">
      <c r="A17" s="84">
        <v>4</v>
      </c>
      <c r="B17" s="85" t="s">
        <v>39</v>
      </c>
      <c r="C17" s="174">
        <f t="shared" ca="1" si="21"/>
        <v>446460</v>
      </c>
      <c r="D17" s="175">
        <f t="shared" ca="1" si="35"/>
        <v>446460</v>
      </c>
      <c r="E17" s="176">
        <f ca="1">IFERROR(__xludf.DUMMYFUNCTION("IMPORTRANGE(""https://docs.google.com/spreadsheets/d/1-uDff_7J0KD5mKrp0Vvzr7lt3OU09vwQwhkpOPPYv2Y/edit?usp=sharing"",""งบพรบ!FD17"")"),133000)</f>
        <v>133000</v>
      </c>
      <c r="F17" s="176">
        <f ca="1">IFERROR(__xludf.DUMMYFUNCTION("IMPORTRANGE(""https://docs.google.com/spreadsheets/d/1-uDff_7J0KD5mKrp0Vvzr7lt3OU09vwQwhkpOPPYv2Y/edit?usp=sharing"",""งบพรบ!FE17"")"),313460)</f>
        <v>313460</v>
      </c>
      <c r="G17" s="176">
        <f ca="1">IFERROR(__xludf.DUMMYFUNCTION("IMPORTRANGE(""https://docs.google.com/spreadsheets/d/1-uDff_7J0KD5mKrp0Vvzr7lt3OU09vwQwhkpOPPYv2Y/edit?usp=sharing"",""งบพรบ!FF17"")"),0)</f>
        <v>0</v>
      </c>
      <c r="H17" s="176">
        <f ca="1">IFERROR(__xludf.DUMMYFUNCTION("IMPORTRANGE(""https://docs.google.com/spreadsheets/d/1-uDff_7J0KD5mKrp0Vvzr7lt3OU09vwQwhkpOPPYv2Y/edit?usp=sharing"",""งบพรบ!FH17"")"),382460)</f>
        <v>382460</v>
      </c>
      <c r="I17" s="176">
        <f ca="1">IFERROR(__xludf.DUMMYFUNCTION("IMPORTRANGE(""https://docs.google.com/spreadsheets/d/1-uDff_7J0KD5mKrp0Vvzr7lt3OU09vwQwhkpOPPYv2Y/edit?usp=sharing"",""งบพรบ!FI17"")"),0)</f>
        <v>0</v>
      </c>
      <c r="J17" s="176">
        <f t="shared" ca="1" si="23"/>
        <v>47230</v>
      </c>
      <c r="K17" s="181">
        <f t="shared" ca="1" si="24"/>
        <v>10.578775254222103</v>
      </c>
      <c r="L17" s="176">
        <f ca="1">IFERROR(__xludf.DUMMYFUNCTION("IMPORTRANGE(""https://docs.google.com/spreadsheets/d/1-uDff_7J0KD5mKrp0Vvzr7lt3OU09vwQwhkpOPPYv2Y/edit?usp=sharing"",""งบพรบ!FJ17"")"),47230)</f>
        <v>47230</v>
      </c>
      <c r="M17" s="179">
        <f t="shared" ca="1" si="25"/>
        <v>10.578775254222103</v>
      </c>
      <c r="N17" s="179">
        <f t="shared" ca="1" si="26"/>
        <v>12.349003817392669</v>
      </c>
      <c r="O17" s="180">
        <f ca="1">IFERROR(__xludf.DUMMYFUNCTION("IMPORTRANGE(""https://docs.google.com/spreadsheets/d/1-uDff_7J0KD5mKrp0Vvzr7lt3OU09vwQwhkpOPPYv2Y/edit?usp=sharing"",""งบพรบ!FK17"")"),0)</f>
        <v>0</v>
      </c>
      <c r="P17" s="180">
        <f t="shared" ca="1" si="27"/>
        <v>0</v>
      </c>
      <c r="Q17" s="179">
        <f t="shared" ca="1" si="28"/>
        <v>0</v>
      </c>
      <c r="R17" s="344">
        <f ca="1">IFERROR(__xludf.DUMMYFUNCTION("IMPORTRANGE(""https://docs.google.com/spreadsheets/d/1W6MnUbDkMi6xHnHko_XkFDO9kkuL6Wqyc-6OCDFjW9I/edit?usp=sharing"",""ตาก!I368"")"),1890)</f>
        <v>1890</v>
      </c>
      <c r="S17" s="177">
        <f ca="1">IFERROR(__xludf.DUMMYFUNCTION("IMPORTRANGE(""https://docs.google.com/spreadsheets/d/1W6MnUbDkMi6xHnHko_XkFDO9kkuL6Wqyc-6OCDFjW9I/edit?usp=sharing"",""ตาก!J367"")"),0)</f>
        <v>0</v>
      </c>
      <c r="T17" s="345">
        <f ca="1">IFERROR(__xludf.DUMMYFUNCTION("IMPORTRANGE(""https://docs.google.com/spreadsheets/d/1W6MnUbDkMi6xHnHko_XkFDO9kkuL6Wqyc-6OCDFjW9I/edit?usp=sharing"",""ตาก!J368"")"),0)</f>
        <v>0</v>
      </c>
      <c r="U17" s="259">
        <f t="shared" ca="1" si="30"/>
        <v>0</v>
      </c>
      <c r="V17" s="344">
        <f ca="1">IFERROR(__xludf.DUMMYFUNCTION("IMPORTRANGE(""https://docs.google.com/spreadsheets/d/1W6MnUbDkMi6xHnHko_XkFDO9kkuL6Wqyc-6OCDFjW9I/edit?usp=sharing"",""ตาก!I369"")"),333)</f>
        <v>333</v>
      </c>
      <c r="W17" s="177">
        <f ca="1">IFERROR(__xludf.DUMMYFUNCTION("IMPORTRANGE(""https://docs.google.com/spreadsheets/d/1W6MnUbDkMi6xHnHko_XkFDO9kkuL6Wqyc-6OCDFjW9I/edit?usp=sharing"",""ตาก!J369"")"),88)</f>
        <v>88</v>
      </c>
      <c r="X17" s="345">
        <f ca="1">IFERROR(__xludf.DUMMYFUNCTION("IMPORTRANGE(""https://docs.google.com/spreadsheets/d/1W6MnUbDkMi6xHnHko_XkFDO9kkuL6Wqyc-6OCDFjW9I/edit?usp=sharing"",""ตาก!J370"")"),1247.91)</f>
        <v>1247.9100000000001</v>
      </c>
      <c r="Y17" s="259">
        <f t="shared" ca="1" si="32"/>
        <v>26.426426426426428</v>
      </c>
      <c r="Z17" s="344">
        <f ca="1">IFERROR(__xludf.DUMMYFUNCTION("IMPORTRANGE(""https://docs.google.com/spreadsheets/d/1W6MnUbDkMi6xHnHko_XkFDO9kkuL6Wqyc-6OCDFjW9I/edit?usp=sharing"",""ตาก!I371"")"),225)</f>
        <v>225</v>
      </c>
      <c r="AA17" s="177">
        <f ca="1">IFERROR(__xludf.DUMMYFUNCTION("IMPORTRANGE(""https://docs.google.com/spreadsheets/d/1W6MnUbDkMi6xHnHko_XkFDO9kkuL6Wqyc-6OCDFjW9I/edit?usp=sharing"",""ตาก!J371"")"),88)</f>
        <v>88</v>
      </c>
      <c r="AB17" s="345">
        <f ca="1">IFERROR(__xludf.DUMMYFUNCTION("IMPORTRANGE(""https://docs.google.com/spreadsheets/d/1W6MnUbDkMi6xHnHko_XkFDO9kkuL6Wqyc-6OCDFjW9I/edit?usp=sharing"",""ตาก!J372"")"),1247.91)</f>
        <v>1247.9100000000001</v>
      </c>
      <c r="AC17" s="259">
        <f t="shared" ca="1" si="34"/>
        <v>39.111111111111114</v>
      </c>
    </row>
    <row r="18" spans="1:29" ht="24" customHeight="1" x14ac:dyDescent="0.3">
      <c r="A18" s="84">
        <v>5</v>
      </c>
      <c r="B18" s="85" t="s">
        <v>40</v>
      </c>
      <c r="C18" s="174">
        <f t="shared" ca="1" si="21"/>
        <v>536435</v>
      </c>
      <c r="D18" s="175">
        <f t="shared" ca="1" si="35"/>
        <v>536435</v>
      </c>
      <c r="E18" s="176">
        <f ca="1">IFERROR(__xludf.DUMMYFUNCTION("IMPORTRANGE(""https://docs.google.com/spreadsheets/d/1-uDff_7J0KD5mKrp0Vvzr7lt3OU09vwQwhkpOPPYv2Y/edit?usp=sharing"",""งบพรบ!FD18"")"),266000)</f>
        <v>266000</v>
      </c>
      <c r="F18" s="176">
        <f ca="1">IFERROR(__xludf.DUMMYFUNCTION("IMPORTRANGE(""https://docs.google.com/spreadsheets/d/1-uDff_7J0KD5mKrp0Vvzr7lt3OU09vwQwhkpOPPYv2Y/edit?usp=sharing"",""งบพรบ!FE18"")"),270435)</f>
        <v>270435</v>
      </c>
      <c r="G18" s="176">
        <f ca="1">IFERROR(__xludf.DUMMYFUNCTION("IMPORTRANGE(""https://docs.google.com/spreadsheets/d/1-uDff_7J0KD5mKrp0Vvzr7lt3OU09vwQwhkpOPPYv2Y/edit?usp=sharing"",""งบพรบ!FF18"")"),0)</f>
        <v>0</v>
      </c>
      <c r="H18" s="176">
        <f ca="1">IFERROR(__xludf.DUMMYFUNCTION("IMPORTRANGE(""https://docs.google.com/spreadsheets/d/1-uDff_7J0KD5mKrp0Vvzr7lt3OU09vwQwhkpOPPYv2Y/edit?usp=sharing"",""งบพรบ!FH18"")"),441755)</f>
        <v>441755</v>
      </c>
      <c r="I18" s="176">
        <f ca="1">IFERROR(__xludf.DUMMYFUNCTION("IMPORTRANGE(""https://docs.google.com/spreadsheets/d/1-uDff_7J0KD5mKrp0Vvzr7lt3OU09vwQwhkpOPPYv2Y/edit?usp=sharing"",""งบพรบ!FI18"")"),0)</f>
        <v>0</v>
      </c>
      <c r="J18" s="176">
        <f t="shared" ca="1" si="23"/>
        <v>108818</v>
      </c>
      <c r="K18" s="181">
        <f t="shared" ca="1" si="24"/>
        <v>20.285402704894349</v>
      </c>
      <c r="L18" s="176">
        <f ca="1">IFERROR(__xludf.DUMMYFUNCTION("IMPORTRANGE(""https://docs.google.com/spreadsheets/d/1-uDff_7J0KD5mKrp0Vvzr7lt3OU09vwQwhkpOPPYv2Y/edit?usp=sharing"",""งบพรบ!FJ18"")"),108818)</f>
        <v>108818</v>
      </c>
      <c r="M18" s="179">
        <f t="shared" ca="1" si="25"/>
        <v>20.285402704894349</v>
      </c>
      <c r="N18" s="179">
        <f t="shared" ca="1" si="26"/>
        <v>24.633111113626331</v>
      </c>
      <c r="O18" s="180">
        <f ca="1">IFERROR(__xludf.DUMMYFUNCTION("IMPORTRANGE(""https://docs.google.com/spreadsheets/d/1-uDff_7J0KD5mKrp0Vvzr7lt3OU09vwQwhkpOPPYv2Y/edit?usp=sharing"",""งบพรบ!FK18"")"),0)</f>
        <v>0</v>
      </c>
      <c r="P18" s="180">
        <f t="shared" ca="1" si="27"/>
        <v>0</v>
      </c>
      <c r="Q18" s="179">
        <f t="shared" ca="1" si="28"/>
        <v>0</v>
      </c>
      <c r="R18" s="344">
        <f ca="1">IFERROR(__xludf.DUMMYFUNCTION("IMPORTRANGE(""https://docs.google.com/spreadsheets/d/1IQAWArduLkta9LpYo4a_ULsyqdta6-6aDDiwpUnQT6c/edit?usp=sharing"",""นครสวรรค์!I368"")"),1490)</f>
        <v>1490</v>
      </c>
      <c r="S18" s="177">
        <f ca="1">IFERROR(__xludf.DUMMYFUNCTION("IMPORTRANGE(""https://docs.google.com/spreadsheets/d/1IQAWArduLkta9LpYo4a_ULsyqdta6-6aDDiwpUnQT6c/edit?usp=sharing"",""นครสวรรค์!J367"")"),44)</f>
        <v>44</v>
      </c>
      <c r="T18" s="345">
        <f ca="1">IFERROR(__xludf.DUMMYFUNCTION("IMPORTRANGE(""https://docs.google.com/spreadsheets/d/1IQAWArduLkta9LpYo4a_ULsyqdta6-6aDDiwpUnQT6c/edit?usp=sharing"",""นครสวรรค์!J368"")"),453.74)</f>
        <v>453.74</v>
      </c>
      <c r="U18" s="259">
        <f t="shared" ca="1" si="30"/>
        <v>30.452348993288592</v>
      </c>
      <c r="V18" s="344">
        <f ca="1">IFERROR(__xludf.DUMMYFUNCTION("IMPORTRANGE(""https://docs.google.com/spreadsheets/d/1IQAWArduLkta9LpYo4a_ULsyqdta6-6aDDiwpUnQT6c/edit?usp=sharing"",""นครสวรรค์!I369"")"),198)</f>
        <v>198</v>
      </c>
      <c r="W18" s="177">
        <f ca="1">IFERROR(__xludf.DUMMYFUNCTION("IMPORTRANGE(""https://docs.google.com/spreadsheets/d/1IQAWArduLkta9LpYo4a_ULsyqdta6-6aDDiwpUnQT6c/edit?usp=sharing"",""นครสวรรค์!J369"")"),166)</f>
        <v>166</v>
      </c>
      <c r="X18" s="345">
        <f ca="1">IFERROR(__xludf.DUMMYFUNCTION("IMPORTRANGE(""https://docs.google.com/spreadsheets/d/1IQAWArduLkta9LpYo4a_ULsyqdta6-6aDDiwpUnQT6c/edit?usp=sharing"",""นครสวรรค์!J370"")"),2871.36)</f>
        <v>2871.36</v>
      </c>
      <c r="Y18" s="259">
        <f t="shared" ca="1" si="32"/>
        <v>83.838383838383834</v>
      </c>
      <c r="Z18" s="344">
        <f ca="1">IFERROR(__xludf.DUMMYFUNCTION("IMPORTRANGE(""https://docs.google.com/spreadsheets/d/1IQAWArduLkta9LpYo4a_ULsyqdta6-6aDDiwpUnQT6c/edit?usp=sharing"",""นครสวรรค์!I371"")"),128)</f>
        <v>128</v>
      </c>
      <c r="AA18" s="177">
        <f ca="1">IFERROR(__xludf.DUMMYFUNCTION("IMPORTRANGE(""https://docs.google.com/spreadsheets/d/1IQAWArduLkta9LpYo4a_ULsyqdta6-6aDDiwpUnQT6c/edit?usp=sharing"",""นครสวรรค์!J371"")"),163)</f>
        <v>163</v>
      </c>
      <c r="AB18" s="345">
        <f ca="1">IFERROR(__xludf.DUMMYFUNCTION("IMPORTRANGE(""https://docs.google.com/spreadsheets/d/1IQAWArduLkta9LpYo4a_ULsyqdta6-6aDDiwpUnQT6c/edit?usp=sharing"",""นครสวรรค์!J372"")"),2837.51)</f>
        <v>2837.51</v>
      </c>
      <c r="AC18" s="259">
        <f t="shared" ca="1" si="34"/>
        <v>127.34375</v>
      </c>
    </row>
    <row r="19" spans="1:29" ht="24" customHeight="1" x14ac:dyDescent="0.3">
      <c r="A19" s="84">
        <v>6</v>
      </c>
      <c r="B19" s="85" t="s">
        <v>41</v>
      </c>
      <c r="C19" s="174">
        <f t="shared" ca="1" si="21"/>
        <v>814875</v>
      </c>
      <c r="D19" s="175">
        <f t="shared" ca="1" si="35"/>
        <v>814875</v>
      </c>
      <c r="E19" s="176">
        <f ca="1">IFERROR(__xludf.DUMMYFUNCTION("IMPORTRANGE(""https://docs.google.com/spreadsheets/d/1-uDff_7J0KD5mKrp0Vvzr7lt3OU09vwQwhkpOPPYv2Y/edit?usp=sharing"",""งบพรบ!FD19"")"),250600)</f>
        <v>250600</v>
      </c>
      <c r="F19" s="176">
        <f ca="1">IFERROR(__xludf.DUMMYFUNCTION("IMPORTRANGE(""https://docs.google.com/spreadsheets/d/1-uDff_7J0KD5mKrp0Vvzr7lt3OU09vwQwhkpOPPYv2Y/edit?usp=sharing"",""งบพรบ!FE19"")"),564275)</f>
        <v>564275</v>
      </c>
      <c r="G19" s="176">
        <f ca="1">IFERROR(__xludf.DUMMYFUNCTION("IMPORTRANGE(""https://docs.google.com/spreadsheets/d/1-uDff_7J0KD5mKrp0Vvzr7lt3OU09vwQwhkpOPPYv2Y/edit?usp=sharing"",""งบพรบ!FF19"")"),0)</f>
        <v>0</v>
      </c>
      <c r="H19" s="176">
        <f ca="1">IFERROR(__xludf.DUMMYFUNCTION("IMPORTRANGE(""https://docs.google.com/spreadsheets/d/1-uDff_7J0KD5mKrp0Vvzr7lt3OU09vwQwhkpOPPYv2Y/edit?usp=sharing"",""งบพรบ!FH19"")"),717275)</f>
        <v>717275</v>
      </c>
      <c r="I19" s="176">
        <f ca="1">IFERROR(__xludf.DUMMYFUNCTION("IMPORTRANGE(""https://docs.google.com/spreadsheets/d/1-uDff_7J0KD5mKrp0Vvzr7lt3OU09vwQwhkpOPPYv2Y/edit?usp=sharing"",""งบพรบ!FI19"")"),0)</f>
        <v>0</v>
      </c>
      <c r="J19" s="176">
        <f t="shared" ca="1" si="23"/>
        <v>149420</v>
      </c>
      <c r="K19" s="181">
        <f t="shared" ca="1" si="24"/>
        <v>18.336554686301579</v>
      </c>
      <c r="L19" s="176">
        <f ca="1">IFERROR(__xludf.DUMMYFUNCTION("IMPORTRANGE(""https://docs.google.com/spreadsheets/d/1-uDff_7J0KD5mKrp0Vvzr7lt3OU09vwQwhkpOPPYv2Y/edit?usp=sharing"",""งบพรบ!FJ19"")"),149420)</f>
        <v>149420</v>
      </c>
      <c r="M19" s="179">
        <f t="shared" ca="1" si="25"/>
        <v>18.336554686301579</v>
      </c>
      <c r="N19" s="179">
        <f t="shared" ca="1" si="26"/>
        <v>20.831619671674044</v>
      </c>
      <c r="O19" s="180">
        <f ca="1">IFERROR(__xludf.DUMMYFUNCTION("IMPORTRANGE(""https://docs.google.com/spreadsheets/d/1-uDff_7J0KD5mKrp0Vvzr7lt3OU09vwQwhkpOPPYv2Y/edit?usp=sharing"",""งบพรบ!FK19"")"),0)</f>
        <v>0</v>
      </c>
      <c r="P19" s="180">
        <f t="shared" ca="1" si="27"/>
        <v>0</v>
      </c>
      <c r="Q19" s="179">
        <f t="shared" ca="1" si="28"/>
        <v>0</v>
      </c>
      <c r="R19" s="344">
        <f ca="1">IFERROR(__xludf.DUMMYFUNCTION("IMPORTRANGE(""https://docs.google.com/spreadsheets/d/10s13Sk5xrltsiR-Zkbmk5DwIaDIKO8XlbJAfqyT7Gvg/edit?usp=sharing"",""น่าน!I368"")"),4230)</f>
        <v>4230</v>
      </c>
      <c r="S19" s="177">
        <f ca="1">IFERROR(__xludf.DUMMYFUNCTION("IMPORTRANGE(""https://docs.google.com/spreadsheets/d/10s13Sk5xrltsiR-Zkbmk5DwIaDIKO8XlbJAfqyT7Gvg/edit?usp=sharing"",""น่าน!J367"")"),58)</f>
        <v>58</v>
      </c>
      <c r="T19" s="345">
        <f ca="1">IFERROR(__xludf.DUMMYFUNCTION("IMPORTRANGE(""https://docs.google.com/spreadsheets/d/10s13Sk5xrltsiR-Zkbmk5DwIaDIKO8XlbJAfqyT7Gvg/edit?usp=sharing"",""น่าน!J368"")"),278.25)</f>
        <v>278.25</v>
      </c>
      <c r="U19" s="259">
        <f t="shared" ca="1" si="30"/>
        <v>6.5780141843971629</v>
      </c>
      <c r="V19" s="344">
        <f ca="1">IFERROR(__xludf.DUMMYFUNCTION("IMPORTRANGE(""https://docs.google.com/spreadsheets/d/10s13Sk5xrltsiR-Zkbmk5DwIaDIKO8XlbJAfqyT7Gvg/edit?usp=sharing"",""น่าน!I369"")"),820)</f>
        <v>820</v>
      </c>
      <c r="W19" s="177">
        <f ca="1">IFERROR(__xludf.DUMMYFUNCTION("IMPORTRANGE(""https://docs.google.com/spreadsheets/d/10s13Sk5xrltsiR-Zkbmk5DwIaDIKO8XlbJAfqyT7Gvg/edit?usp=sharing"",""น่าน!J369"")"),267)</f>
        <v>267</v>
      </c>
      <c r="X19" s="345">
        <f ca="1">IFERROR(__xludf.DUMMYFUNCTION("IMPORTRANGE(""https://docs.google.com/spreadsheets/d/10s13Sk5xrltsiR-Zkbmk5DwIaDIKO8XlbJAfqyT7Gvg/edit?usp=sharing"",""น่าน!J370"")"),1823.76)</f>
        <v>1823.76</v>
      </c>
      <c r="Y19" s="259">
        <f t="shared" ca="1" si="32"/>
        <v>32.560975609756099</v>
      </c>
      <c r="Z19" s="344">
        <f ca="1">IFERROR(__xludf.DUMMYFUNCTION("IMPORTRANGE(""https://docs.google.com/spreadsheets/d/10s13Sk5xrltsiR-Zkbmk5DwIaDIKO8XlbJAfqyT7Gvg/edit?usp=sharing"",""น่าน!I371"")"),532)</f>
        <v>532</v>
      </c>
      <c r="AA19" s="177">
        <f ca="1">IFERROR(__xludf.DUMMYFUNCTION("IMPORTRANGE(""https://docs.google.com/spreadsheets/d/10s13Sk5xrltsiR-Zkbmk5DwIaDIKO8XlbJAfqyT7Gvg/edit?usp=sharing"",""น่าน!J371"")"),267)</f>
        <v>267</v>
      </c>
      <c r="AB19" s="345">
        <f ca="1">IFERROR(__xludf.DUMMYFUNCTION("IMPORTRANGE(""https://docs.google.com/spreadsheets/d/10s13Sk5xrltsiR-Zkbmk5DwIaDIKO8XlbJAfqyT7Gvg/edit?usp=sharing"",""น่าน!J372"")"),1823.76)</f>
        <v>1823.76</v>
      </c>
      <c r="AC19" s="259">
        <f t="shared" ca="1" si="34"/>
        <v>50.18796992481203</v>
      </c>
    </row>
    <row r="20" spans="1:29" ht="24" customHeight="1" x14ac:dyDescent="0.3">
      <c r="A20" s="84">
        <v>7</v>
      </c>
      <c r="B20" s="85" t="s">
        <v>42</v>
      </c>
      <c r="C20" s="174">
        <f t="shared" ca="1" si="21"/>
        <v>235980</v>
      </c>
      <c r="D20" s="175">
        <f t="shared" ca="1" si="35"/>
        <v>235980</v>
      </c>
      <c r="E20" s="176">
        <f ca="1">IFERROR(__xludf.DUMMYFUNCTION("IMPORTRANGE(""https://docs.google.com/spreadsheets/d/1-uDff_7J0KD5mKrp0Vvzr7lt3OU09vwQwhkpOPPYv2Y/edit?usp=sharing"",""งบพรบ!FD20"")"),0)</f>
        <v>0</v>
      </c>
      <c r="F20" s="176">
        <f ca="1">IFERROR(__xludf.DUMMYFUNCTION("IMPORTRANGE(""https://docs.google.com/spreadsheets/d/1-uDff_7J0KD5mKrp0Vvzr7lt3OU09vwQwhkpOPPYv2Y/edit?usp=sharing"",""งบพรบ!FE20"")"),235980)</f>
        <v>235980</v>
      </c>
      <c r="G20" s="176">
        <f ca="1">IFERROR(__xludf.DUMMYFUNCTION("IMPORTRANGE(""https://docs.google.com/spreadsheets/d/1-uDff_7J0KD5mKrp0Vvzr7lt3OU09vwQwhkpOPPYv2Y/edit?usp=sharing"",""งบพรบ!FF20"")"),0)</f>
        <v>0</v>
      </c>
      <c r="H20" s="176">
        <f ca="1">IFERROR(__xludf.DUMMYFUNCTION("IMPORTRANGE(""https://docs.google.com/spreadsheets/d/1-uDff_7J0KD5mKrp0Vvzr7lt3OU09vwQwhkpOPPYv2Y/edit?usp=sharing"",""งบพรบ!FH20"")"),219900)</f>
        <v>219900</v>
      </c>
      <c r="I20" s="176">
        <f ca="1">IFERROR(__xludf.DUMMYFUNCTION("IMPORTRANGE(""https://docs.google.com/spreadsheets/d/1-uDff_7J0KD5mKrp0Vvzr7lt3OU09vwQwhkpOPPYv2Y/edit?usp=sharing"",""งบพรบ!FI20"")"),0)</f>
        <v>0</v>
      </c>
      <c r="J20" s="176">
        <f t="shared" ca="1" si="23"/>
        <v>55160</v>
      </c>
      <c r="K20" s="181">
        <f t="shared" ca="1" si="24"/>
        <v>23.374862276464107</v>
      </c>
      <c r="L20" s="176">
        <f ca="1">IFERROR(__xludf.DUMMYFUNCTION("IMPORTRANGE(""https://docs.google.com/spreadsheets/d/1-uDff_7J0KD5mKrp0Vvzr7lt3OU09vwQwhkpOPPYv2Y/edit?usp=sharing"",""งบพรบ!FJ20"")"),55160)</f>
        <v>55160</v>
      </c>
      <c r="M20" s="179">
        <f t="shared" ca="1" si="25"/>
        <v>23.374862276464107</v>
      </c>
      <c r="N20" s="179">
        <f t="shared" ca="1" si="26"/>
        <v>25.08412914961346</v>
      </c>
      <c r="O20" s="180">
        <f ca="1">IFERROR(__xludf.DUMMYFUNCTION("IMPORTRANGE(""https://docs.google.com/spreadsheets/d/1-uDff_7J0KD5mKrp0Vvzr7lt3OU09vwQwhkpOPPYv2Y/edit?usp=sharing"",""งบพรบ!FK20"")"),0)</f>
        <v>0</v>
      </c>
      <c r="P20" s="180">
        <f t="shared" ca="1" si="27"/>
        <v>0</v>
      </c>
      <c r="Q20" s="179">
        <f t="shared" ca="1" si="28"/>
        <v>0</v>
      </c>
      <c r="R20" s="344">
        <f ca="1">IFERROR(__xludf.DUMMYFUNCTION("IMPORTRANGE(""https://docs.google.com/spreadsheets/d/1uu4nAn4Dbi1XREnLKKotUANlKXa7yCgRcgq8HEzQYW8/edit?usp=sharing"",""พะเยา!I368"")"),1145)</f>
        <v>1145</v>
      </c>
      <c r="S20" s="177">
        <f ca="1">IFERROR(__xludf.DUMMYFUNCTION("IMPORTRANGE(""https://docs.google.com/spreadsheets/d/1uu4nAn4Dbi1XREnLKKotUANlKXa7yCgRcgq8HEzQYW8/edit?usp=sharing"",""พะเยา!J367"")"),60)</f>
        <v>60</v>
      </c>
      <c r="T20" s="345">
        <f ca="1">IFERROR(__xludf.DUMMYFUNCTION("IMPORTRANGE(""https://docs.google.com/spreadsheets/d/1uu4nAn4Dbi1XREnLKKotUANlKXa7yCgRcgq8HEzQYW8/edit?usp=sharing"",""พะเยา!J368"")"),337.51)</f>
        <v>337.51</v>
      </c>
      <c r="U20" s="259">
        <f t="shared" ca="1" si="30"/>
        <v>29.476855895196508</v>
      </c>
      <c r="V20" s="344">
        <f ca="1">IFERROR(__xludf.DUMMYFUNCTION("IMPORTRANGE(""https://docs.google.com/spreadsheets/d/1uu4nAn4Dbi1XREnLKKotUANlKXa7yCgRcgq8HEzQYW8/edit?usp=sharing"",""พะเยา!I369"")"),184)</f>
        <v>184</v>
      </c>
      <c r="W20" s="177">
        <f ca="1">IFERROR(__xludf.DUMMYFUNCTION("IMPORTRANGE(""https://docs.google.com/spreadsheets/d/1uu4nAn4Dbi1XREnLKKotUANlKXa7yCgRcgq8HEzQYW8/edit?usp=sharing"",""พะเยา!J369"")"),21)</f>
        <v>21</v>
      </c>
      <c r="X20" s="345">
        <f ca="1">IFERROR(__xludf.DUMMYFUNCTION("IMPORTRANGE(""https://docs.google.com/spreadsheets/d/1uu4nAn4Dbi1XREnLKKotUANlKXa7yCgRcgq8HEzQYW8/edit?usp=sharing"",""พะเยา!J370"")"),182.87)</f>
        <v>182.87</v>
      </c>
      <c r="Y20" s="259">
        <f t="shared" ca="1" si="32"/>
        <v>11.413043478260869</v>
      </c>
      <c r="Z20" s="344">
        <f ca="1">IFERROR(__xludf.DUMMYFUNCTION("IMPORTRANGE(""https://docs.google.com/spreadsheets/d/1uu4nAn4Dbi1XREnLKKotUANlKXa7yCgRcgq8HEzQYW8/edit?usp=sharing"",""พะเยา!I371"")"),123)</f>
        <v>123</v>
      </c>
      <c r="AA20" s="177">
        <f ca="1">IFERROR(__xludf.DUMMYFUNCTION("IMPORTRANGE(""https://docs.google.com/spreadsheets/d/1uu4nAn4Dbi1XREnLKKotUANlKXa7yCgRcgq8HEzQYW8/edit?usp=sharing"",""พะเยา!J371"")"),22)</f>
        <v>22</v>
      </c>
      <c r="AB20" s="345">
        <f ca="1">IFERROR(__xludf.DUMMYFUNCTION("IMPORTRANGE(""https://docs.google.com/spreadsheets/d/1uu4nAn4Dbi1XREnLKKotUANlKXa7yCgRcgq8HEzQYW8/edit?usp=sharing"",""พะเยา!J372"")"),149.34)</f>
        <v>149.34</v>
      </c>
      <c r="AC20" s="259">
        <f t="shared" ca="1" si="34"/>
        <v>17.886178861788618</v>
      </c>
    </row>
    <row r="21" spans="1:29" ht="24" customHeight="1" x14ac:dyDescent="0.3">
      <c r="A21" s="84">
        <v>8</v>
      </c>
      <c r="B21" s="85" t="s">
        <v>43</v>
      </c>
      <c r="C21" s="174">
        <f t="shared" ca="1" si="21"/>
        <v>450035</v>
      </c>
      <c r="D21" s="175">
        <f t="shared" ca="1" si="35"/>
        <v>450035</v>
      </c>
      <c r="E21" s="176">
        <f ca="1">IFERROR(__xludf.DUMMYFUNCTION("IMPORTRANGE(""https://docs.google.com/spreadsheets/d/1-uDff_7J0KD5mKrp0Vvzr7lt3OU09vwQwhkpOPPYv2Y/edit?usp=sharing"",""งบพรบ!FD21"")"),250600)</f>
        <v>250600</v>
      </c>
      <c r="F21" s="176">
        <f ca="1">IFERROR(__xludf.DUMMYFUNCTION("IMPORTRANGE(""https://docs.google.com/spreadsheets/d/1-uDff_7J0KD5mKrp0Vvzr7lt3OU09vwQwhkpOPPYv2Y/edit?usp=sharing"",""งบพรบ!FE21"")"),199435)</f>
        <v>199435</v>
      </c>
      <c r="G21" s="176">
        <f ca="1">IFERROR(__xludf.DUMMYFUNCTION("IMPORTRANGE(""https://docs.google.com/spreadsheets/d/1-uDff_7J0KD5mKrp0Vvzr7lt3OU09vwQwhkpOPPYv2Y/edit?usp=sharing"",""งบพรบ!FF21"")"),0)</f>
        <v>0</v>
      </c>
      <c r="H21" s="176">
        <f ca="1">IFERROR(__xludf.DUMMYFUNCTION("IMPORTRANGE(""https://docs.google.com/spreadsheets/d/1-uDff_7J0KD5mKrp0Vvzr7lt3OU09vwQwhkpOPPYv2Y/edit?usp=sharing"",""งบพรบ!FH21"")"),352435)</f>
        <v>352435</v>
      </c>
      <c r="I21" s="176">
        <f ca="1">IFERROR(__xludf.DUMMYFUNCTION("IMPORTRANGE(""https://docs.google.com/spreadsheets/d/1-uDff_7J0KD5mKrp0Vvzr7lt3OU09vwQwhkpOPPYv2Y/edit?usp=sharing"",""งบพรบ!FI21"")"),0)</f>
        <v>0</v>
      </c>
      <c r="J21" s="176">
        <f t="shared" ca="1" si="23"/>
        <v>93773.32</v>
      </c>
      <c r="K21" s="181">
        <f t="shared" ca="1" si="24"/>
        <v>20.836894908173807</v>
      </c>
      <c r="L21" s="176">
        <f ca="1">IFERROR(__xludf.DUMMYFUNCTION("IMPORTRANGE(""https://docs.google.com/spreadsheets/d/1-uDff_7J0KD5mKrp0Vvzr7lt3OU09vwQwhkpOPPYv2Y/edit?usp=sharing"",""งบพรบ!FJ21"")"),93773.32)</f>
        <v>93773.32</v>
      </c>
      <c r="M21" s="179">
        <f t="shared" ca="1" si="25"/>
        <v>20.836894908173807</v>
      </c>
      <c r="N21" s="179">
        <f t="shared" ca="1" si="26"/>
        <v>26.607266588165192</v>
      </c>
      <c r="O21" s="180">
        <f ca="1">IFERROR(__xludf.DUMMYFUNCTION("IMPORTRANGE(""https://docs.google.com/spreadsheets/d/1-uDff_7J0KD5mKrp0Vvzr7lt3OU09vwQwhkpOPPYv2Y/edit?usp=sharing"",""งบพรบ!FK21"")"),0)</f>
        <v>0</v>
      </c>
      <c r="P21" s="180">
        <f t="shared" ca="1" si="27"/>
        <v>0</v>
      </c>
      <c r="Q21" s="179">
        <f t="shared" ca="1" si="28"/>
        <v>0</v>
      </c>
      <c r="R21" s="344">
        <f ca="1">IFERROR(__xludf.DUMMYFUNCTION("IMPORTRANGE(""https://docs.google.com/spreadsheets/d/1xfJKIQxVOaPDIICqsflNlLu3JacTDk1FP9RH4phX7mI/edit?usp=sharing"",""พิจิตร!I368"")"),775)</f>
        <v>775</v>
      </c>
      <c r="S21" s="177">
        <f ca="1">IFERROR(__xludf.DUMMYFUNCTION("IMPORTRANGE(""https://docs.google.com/spreadsheets/d/1xfJKIQxVOaPDIICqsflNlLu3JacTDk1FP9RH4phX7mI/edit?usp=sharing"",""พิจิตร!J367"")"),9)</f>
        <v>9</v>
      </c>
      <c r="T21" s="345">
        <f ca="1">IFERROR(__xludf.DUMMYFUNCTION("IMPORTRANGE(""https://docs.google.com/spreadsheets/d/1xfJKIQxVOaPDIICqsflNlLu3JacTDk1FP9RH4phX7mI/edit?usp=sharing"",""พิจิตร!J368"")"),76.11)</f>
        <v>76.11</v>
      </c>
      <c r="U21" s="259">
        <f t="shared" ca="1" si="30"/>
        <v>9.8206451612903223</v>
      </c>
      <c r="V21" s="344">
        <f ca="1">IFERROR(__xludf.DUMMYFUNCTION("IMPORTRANGE(""https://docs.google.com/spreadsheets/d/1xfJKIQxVOaPDIICqsflNlLu3JacTDk1FP9RH4phX7mI/edit?usp=sharing"",""พิจิตร!I369"")"),152)</f>
        <v>152</v>
      </c>
      <c r="W21" s="177">
        <f ca="1">IFERROR(__xludf.DUMMYFUNCTION("IMPORTRANGE(""https://docs.google.com/spreadsheets/d/1xfJKIQxVOaPDIICqsflNlLu3JacTDk1FP9RH4phX7mI/edit?usp=sharing"",""พิจิตร!J369"")"),21)</f>
        <v>21</v>
      </c>
      <c r="X21" s="345">
        <f ca="1">IFERROR(__xludf.DUMMYFUNCTION("IMPORTRANGE(""https://docs.google.com/spreadsheets/d/1xfJKIQxVOaPDIICqsflNlLu3JacTDk1FP9RH4phX7mI/edit?usp=sharing"",""พิจิตร!J370"")"),312.64)</f>
        <v>312.64</v>
      </c>
      <c r="Y21" s="259">
        <f t="shared" ca="1" si="32"/>
        <v>13.815789473684211</v>
      </c>
      <c r="Z21" s="344">
        <f ca="1">IFERROR(__xludf.DUMMYFUNCTION("IMPORTRANGE(""https://docs.google.com/spreadsheets/d/1xfJKIQxVOaPDIICqsflNlLu3JacTDk1FP9RH4phX7mI/edit?usp=sharing"",""พิจิตร!I371"")"),100)</f>
        <v>100</v>
      </c>
      <c r="AA21" s="177">
        <f ca="1">IFERROR(__xludf.DUMMYFUNCTION("IMPORTRANGE(""https://docs.google.com/spreadsheets/d/1xfJKIQxVOaPDIICqsflNlLu3JacTDk1FP9RH4phX7mI/edit?usp=sharing"",""พิจิตร!J371"")"),16)</f>
        <v>16</v>
      </c>
      <c r="AB21" s="345">
        <f ca="1">IFERROR(__xludf.DUMMYFUNCTION("IMPORTRANGE(""https://docs.google.com/spreadsheets/d/1xfJKIQxVOaPDIICqsflNlLu3JacTDk1FP9RH4phX7mI/edit?usp=sharing"",""พิจิตร!J372"")"),291.02)</f>
        <v>291.02</v>
      </c>
      <c r="AC21" s="259">
        <f t="shared" ca="1" si="34"/>
        <v>16</v>
      </c>
    </row>
    <row r="22" spans="1:29" ht="24" customHeight="1" x14ac:dyDescent="0.3">
      <c r="A22" s="84">
        <v>9</v>
      </c>
      <c r="B22" s="85" t="s">
        <v>44</v>
      </c>
      <c r="C22" s="174">
        <f t="shared" ca="1" si="21"/>
        <v>405005</v>
      </c>
      <c r="D22" s="175">
        <f t="shared" ca="1" si="35"/>
        <v>405005</v>
      </c>
      <c r="E22" s="176">
        <f ca="1">IFERROR(__xludf.DUMMYFUNCTION("IMPORTRANGE(""https://docs.google.com/spreadsheets/d/1-uDff_7J0KD5mKrp0Vvzr7lt3OU09vwQwhkpOPPYv2Y/edit?usp=sharing"",""งบพรบ!FD22"")"),184100)</f>
        <v>184100</v>
      </c>
      <c r="F22" s="176">
        <f ca="1">IFERROR(__xludf.DUMMYFUNCTION("IMPORTRANGE(""https://docs.google.com/spreadsheets/d/1-uDff_7J0KD5mKrp0Vvzr7lt3OU09vwQwhkpOPPYv2Y/edit?usp=sharing"",""งบพรบ!FE22"")"),220905)</f>
        <v>220905</v>
      </c>
      <c r="G22" s="176">
        <f ca="1">IFERROR(__xludf.DUMMYFUNCTION("IMPORTRANGE(""https://docs.google.com/spreadsheets/d/1-uDff_7J0KD5mKrp0Vvzr7lt3OU09vwQwhkpOPPYv2Y/edit?usp=sharing"",""งบพรบ!FF22"")"),0)</f>
        <v>0</v>
      </c>
      <c r="H22" s="176">
        <f ca="1">IFERROR(__xludf.DUMMYFUNCTION("IMPORTRANGE(""https://docs.google.com/spreadsheets/d/1-uDff_7J0KD5mKrp0Vvzr7lt3OU09vwQwhkpOPPYv2Y/edit?usp=sharing"",""งบพรบ!FH22"")"),326405)</f>
        <v>326405</v>
      </c>
      <c r="I22" s="176">
        <f ca="1">IFERROR(__xludf.DUMMYFUNCTION("IMPORTRANGE(""https://docs.google.com/spreadsheets/d/1-uDff_7J0KD5mKrp0Vvzr7lt3OU09vwQwhkpOPPYv2Y/edit?usp=sharing"",""งบพรบ!FI22"")"),0)</f>
        <v>0</v>
      </c>
      <c r="J22" s="176">
        <f t="shared" ca="1" si="23"/>
        <v>65409.55</v>
      </c>
      <c r="K22" s="181">
        <f t="shared" ca="1" si="24"/>
        <v>16.150306786335971</v>
      </c>
      <c r="L22" s="176">
        <f ca="1">IFERROR(__xludf.DUMMYFUNCTION("IMPORTRANGE(""https://docs.google.com/spreadsheets/d/1-uDff_7J0KD5mKrp0Vvzr7lt3OU09vwQwhkpOPPYv2Y/edit?usp=sharing"",""งบพรบ!FJ22"")"),65409.55)</f>
        <v>65409.55</v>
      </c>
      <c r="M22" s="179">
        <f t="shared" ca="1" si="25"/>
        <v>16.150306786335971</v>
      </c>
      <c r="N22" s="179">
        <f t="shared" ca="1" si="26"/>
        <v>20.03938358787396</v>
      </c>
      <c r="O22" s="180">
        <f ca="1">IFERROR(__xludf.DUMMYFUNCTION("IMPORTRANGE(""https://docs.google.com/spreadsheets/d/1-uDff_7J0KD5mKrp0Vvzr7lt3OU09vwQwhkpOPPYv2Y/edit?usp=sharing"",""งบพรบ!FK22"")"),0)</f>
        <v>0</v>
      </c>
      <c r="P22" s="180">
        <f t="shared" ca="1" si="27"/>
        <v>0</v>
      </c>
      <c r="Q22" s="179">
        <f t="shared" ca="1" si="28"/>
        <v>0</v>
      </c>
      <c r="R22" s="344">
        <f ca="1">IFERROR(__xludf.DUMMYFUNCTION("IMPORTRANGE(""https://docs.google.com/spreadsheets/d/1JtRfZkJMHtEhI5RdRHxYUG4FIZHqKDpNyIuN7A1Q0_k/edit?usp=sharing"",""พิษณุโลก!I368"")"),1010)</f>
        <v>1010</v>
      </c>
      <c r="S22" s="177">
        <f ca="1">IFERROR(__xludf.DUMMYFUNCTION("IMPORTRANGE(""https://docs.google.com/spreadsheets/d/1JtRfZkJMHtEhI5RdRHxYUG4FIZHqKDpNyIuN7A1Q0_k/edit?usp=sharing"",""พิษณุโลก!J367"")"),1)</f>
        <v>1</v>
      </c>
      <c r="T22" s="345">
        <f ca="1">IFERROR(__xludf.DUMMYFUNCTION("IMPORTRANGE(""https://docs.google.com/spreadsheets/d/1JtRfZkJMHtEhI5RdRHxYUG4FIZHqKDpNyIuN7A1Q0_k/edit?usp=sharing"",""พิษณุโลก!J368"")"),1.34)</f>
        <v>1.34</v>
      </c>
      <c r="U22" s="259">
        <f t="shared" ca="1" si="30"/>
        <v>0.13267326732673268</v>
      </c>
      <c r="V22" s="344">
        <f ca="1">IFERROR(__xludf.DUMMYFUNCTION("IMPORTRANGE(""https://docs.google.com/spreadsheets/d/1JtRfZkJMHtEhI5RdRHxYUG4FIZHqKDpNyIuN7A1Q0_k/edit?usp=sharing"",""พิษณุโลก!I369"")"),157)</f>
        <v>157</v>
      </c>
      <c r="W22" s="177">
        <f ca="1">IFERROR(__xludf.DUMMYFUNCTION("IMPORTRANGE(""https://docs.google.com/spreadsheets/d/1JtRfZkJMHtEhI5RdRHxYUG4FIZHqKDpNyIuN7A1Q0_k/edit?usp=sharing"",""พิษณุโลก!J369"")"),0)</f>
        <v>0</v>
      </c>
      <c r="X22" s="345">
        <f ca="1">IFERROR(__xludf.DUMMYFUNCTION("IMPORTRANGE(""https://docs.google.com/spreadsheets/d/1JtRfZkJMHtEhI5RdRHxYUG4FIZHqKDpNyIuN7A1Q0_k/edit?usp=sharing"",""พิษณุโลก!J370"")"),0)</f>
        <v>0</v>
      </c>
      <c r="Y22" s="259">
        <f t="shared" ca="1" si="32"/>
        <v>0</v>
      </c>
      <c r="Z22" s="344">
        <f ca="1">IFERROR(__xludf.DUMMYFUNCTION("IMPORTRANGE(""https://docs.google.com/spreadsheets/d/1JtRfZkJMHtEhI5RdRHxYUG4FIZHqKDpNyIuN7A1Q0_k/edit?usp=sharing"",""พิษณุโลก!I371"")"),101)</f>
        <v>101</v>
      </c>
      <c r="AA22" s="177">
        <f ca="1">IFERROR(__xludf.DUMMYFUNCTION("IMPORTRANGE(""https://docs.google.com/spreadsheets/d/1JtRfZkJMHtEhI5RdRHxYUG4FIZHqKDpNyIuN7A1Q0_k/edit?usp=sharing"",""พิษณุโลก!J371"")"),0)</f>
        <v>0</v>
      </c>
      <c r="AB22" s="345">
        <f ca="1">IFERROR(__xludf.DUMMYFUNCTION("IMPORTRANGE(""https://docs.google.com/spreadsheets/d/1JtRfZkJMHtEhI5RdRHxYUG4FIZHqKDpNyIuN7A1Q0_k/edit?usp=sharing"",""พิษณุโลก!J372"")"),0)</f>
        <v>0</v>
      </c>
      <c r="AC22" s="259">
        <f t="shared" ca="1" si="34"/>
        <v>0</v>
      </c>
    </row>
    <row r="23" spans="1:29" ht="24" customHeight="1" x14ac:dyDescent="0.3">
      <c r="A23" s="84">
        <v>10</v>
      </c>
      <c r="B23" s="85" t="s">
        <v>45</v>
      </c>
      <c r="C23" s="174">
        <f t="shared" ca="1" si="21"/>
        <v>1188345</v>
      </c>
      <c r="D23" s="175">
        <f t="shared" ca="1" si="35"/>
        <v>1188345</v>
      </c>
      <c r="E23" s="176">
        <f ca="1">IFERROR(__xludf.DUMMYFUNCTION("IMPORTRANGE(""https://docs.google.com/spreadsheets/d/1-uDff_7J0KD5mKrp0Vvzr7lt3OU09vwQwhkpOPPYv2Y/edit?usp=sharing"",""งบพรบ!FD23"")"),133000)</f>
        <v>133000</v>
      </c>
      <c r="F23" s="176">
        <f ca="1">IFERROR(__xludf.DUMMYFUNCTION("IMPORTRANGE(""https://docs.google.com/spreadsheets/d/1-uDff_7J0KD5mKrp0Vvzr7lt3OU09vwQwhkpOPPYv2Y/edit?usp=sharing"",""งบพรบ!FE23"")"),1055345)</f>
        <v>1055345</v>
      </c>
      <c r="G23" s="176">
        <f ca="1">IFERROR(__xludf.DUMMYFUNCTION("IMPORTRANGE(""https://docs.google.com/spreadsheets/d/1-uDff_7J0KD5mKrp0Vvzr7lt3OU09vwQwhkpOPPYv2Y/edit?usp=sharing"",""งบพรบ!FF23"")"),0)</f>
        <v>0</v>
      </c>
      <c r="H23" s="176">
        <f ca="1">IFERROR(__xludf.DUMMYFUNCTION("IMPORTRANGE(""https://docs.google.com/spreadsheets/d/1-uDff_7J0KD5mKrp0Vvzr7lt3OU09vwQwhkpOPPYv2Y/edit?usp=sharing"",""งบพรบ!FH23"")"),1098345)</f>
        <v>1098345</v>
      </c>
      <c r="I23" s="176">
        <f ca="1">IFERROR(__xludf.DUMMYFUNCTION("IMPORTRANGE(""https://docs.google.com/spreadsheets/d/1-uDff_7J0KD5mKrp0Vvzr7lt3OU09vwQwhkpOPPYv2Y/edit?usp=sharing"",""งบพรบ!FI23"")"),0)</f>
        <v>0</v>
      </c>
      <c r="J23" s="176">
        <f t="shared" ca="1" si="23"/>
        <v>243255</v>
      </c>
      <c r="K23" s="181">
        <f t="shared" ca="1" si="24"/>
        <v>20.470065511278289</v>
      </c>
      <c r="L23" s="176">
        <f ca="1">IFERROR(__xludf.DUMMYFUNCTION("IMPORTRANGE(""https://docs.google.com/spreadsheets/d/1-uDff_7J0KD5mKrp0Vvzr7lt3OU09vwQwhkpOPPYv2Y/edit?usp=sharing"",""งบพรบ!FJ23"")"),243255)</f>
        <v>243255</v>
      </c>
      <c r="M23" s="179">
        <f t="shared" ca="1" si="25"/>
        <v>20.470065511278289</v>
      </c>
      <c r="N23" s="179">
        <f t="shared" ca="1" si="26"/>
        <v>22.147412698195922</v>
      </c>
      <c r="O23" s="180">
        <f ca="1">IFERROR(__xludf.DUMMYFUNCTION("IMPORTRANGE(""https://docs.google.com/spreadsheets/d/1-uDff_7J0KD5mKrp0Vvzr7lt3OU09vwQwhkpOPPYv2Y/edit?usp=sharing"",""งบพรบ!FK23"")"),0)</f>
        <v>0</v>
      </c>
      <c r="P23" s="180">
        <f t="shared" ca="1" si="27"/>
        <v>0</v>
      </c>
      <c r="Q23" s="179">
        <f t="shared" ca="1" si="28"/>
        <v>0</v>
      </c>
      <c r="R23" s="344">
        <f ca="1">IFERROR(__xludf.DUMMYFUNCTION("IMPORTRANGE(""https://docs.google.com/spreadsheets/d/1xlcVZWUNn6SuWm0c307h32SiGkd9BaeQWlAktfD3KO8/edit?usp=sharing"",""เพชรบูรณ์!I368"")"),8200)</f>
        <v>8200</v>
      </c>
      <c r="S23" s="177">
        <f ca="1">IFERROR(__xludf.DUMMYFUNCTION("IMPORTRANGE(""https://docs.google.com/spreadsheets/d/1xlcVZWUNn6SuWm0c307h32SiGkd9BaeQWlAktfD3KO8/edit?usp=sharing"",""เพชรบูรณ์!J367"")"),1)</f>
        <v>1</v>
      </c>
      <c r="T23" s="345">
        <f ca="1">IFERROR(__xludf.DUMMYFUNCTION("IMPORTRANGE(""https://docs.google.com/spreadsheets/d/1xlcVZWUNn6SuWm0c307h32SiGkd9BaeQWlAktfD3KO8/edit?usp=sharing"",""เพชรบูรณ์!J368"")"),8.39)</f>
        <v>8.39</v>
      </c>
      <c r="U23" s="259">
        <f t="shared" ca="1" si="30"/>
        <v>0.1023170731707317</v>
      </c>
      <c r="V23" s="344">
        <f ca="1">IFERROR(__xludf.DUMMYFUNCTION("IMPORTRANGE(""https://docs.google.com/spreadsheets/d/1xlcVZWUNn6SuWm0c307h32SiGkd9BaeQWlAktfD3KO8/edit?usp=sharing"",""เพชรบูรณ์!I369"")"),1490)</f>
        <v>1490</v>
      </c>
      <c r="W23" s="177">
        <f ca="1">IFERROR(__xludf.DUMMYFUNCTION("IMPORTRANGE(""https://docs.google.com/spreadsheets/d/1xlcVZWUNn6SuWm0c307h32SiGkd9BaeQWlAktfD3KO8/edit?usp=sharing"",""เพชรบูรณ์!J369"")"),50)</f>
        <v>50</v>
      </c>
      <c r="X23" s="345">
        <f ca="1">IFERROR(__xludf.DUMMYFUNCTION("IMPORTRANGE(""https://docs.google.com/spreadsheets/d/1xlcVZWUNn6SuWm0c307h32SiGkd9BaeQWlAktfD3KO8/edit?usp=sharing"",""เพชรบูรณ์!J370"")"),802.6)</f>
        <v>802.6</v>
      </c>
      <c r="Y23" s="259">
        <f t="shared" ca="1" si="32"/>
        <v>3.3557046979865772</v>
      </c>
      <c r="Z23" s="344">
        <f ca="1">IFERROR(__xludf.DUMMYFUNCTION("IMPORTRANGE(""https://docs.google.com/spreadsheets/d/1xlcVZWUNn6SuWm0c307h32SiGkd9BaeQWlAktfD3KO8/edit?usp=sharing"",""เพชรบูรณ์!I371"")"),1095)</f>
        <v>1095</v>
      </c>
      <c r="AA23" s="177">
        <f ca="1">IFERROR(__xludf.DUMMYFUNCTION("IMPORTRANGE(""https://docs.google.com/spreadsheets/d/1xlcVZWUNn6SuWm0c307h32SiGkd9BaeQWlAktfD3KO8/edit?usp=sharing"",""เพชรบูรณ์!J371"")"),44)</f>
        <v>44</v>
      </c>
      <c r="AB23" s="345">
        <f ca="1">IFERROR(__xludf.DUMMYFUNCTION("IMPORTRANGE(""https://docs.google.com/spreadsheets/d/1xlcVZWUNn6SuWm0c307h32SiGkd9BaeQWlAktfD3KO8/edit?usp=sharing"",""เพชรบูรณ์!J372"")"),744.65)</f>
        <v>744.65</v>
      </c>
      <c r="AC23" s="259">
        <f t="shared" ca="1" si="34"/>
        <v>4.0182648401826482</v>
      </c>
    </row>
    <row r="24" spans="1:29" ht="24" customHeight="1" x14ac:dyDescent="0.3">
      <c r="A24" s="84">
        <v>11</v>
      </c>
      <c r="B24" s="85" t="s">
        <v>46</v>
      </c>
      <c r="C24" s="174">
        <f t="shared" ca="1" si="21"/>
        <v>422685</v>
      </c>
      <c r="D24" s="175">
        <f t="shared" ca="1" si="35"/>
        <v>422685</v>
      </c>
      <c r="E24" s="176">
        <f ca="1">IFERROR(__xludf.DUMMYFUNCTION("IMPORTRANGE(""https://docs.google.com/spreadsheets/d/1-uDff_7J0KD5mKrp0Vvzr7lt3OU09vwQwhkpOPPYv2Y/edit?usp=sharing"",""งบพรบ!FD24"")"),184100)</f>
        <v>184100</v>
      </c>
      <c r="F24" s="176">
        <f ca="1">IFERROR(__xludf.DUMMYFUNCTION("IMPORTRANGE(""https://docs.google.com/spreadsheets/d/1-uDff_7J0KD5mKrp0Vvzr7lt3OU09vwQwhkpOPPYv2Y/edit?usp=sharing"",""งบพรบ!FE24"")"),238585)</f>
        <v>238585</v>
      </c>
      <c r="G24" s="176">
        <f ca="1">IFERROR(__xludf.DUMMYFUNCTION("IMPORTRANGE(""https://docs.google.com/spreadsheets/d/1-uDff_7J0KD5mKrp0Vvzr7lt3OU09vwQwhkpOPPYv2Y/edit?usp=sharing"",""งบพรบ!FF24"")"),0)</f>
        <v>0</v>
      </c>
      <c r="H24" s="176">
        <f ca="1">IFERROR(__xludf.DUMMYFUNCTION("IMPORTRANGE(""https://docs.google.com/spreadsheets/d/1-uDff_7J0KD5mKrp0Vvzr7lt3OU09vwQwhkpOPPYv2Y/edit?usp=sharing"",""งบพรบ!FH24"")"),344085)</f>
        <v>344085</v>
      </c>
      <c r="I24" s="176">
        <f ca="1">IFERROR(__xludf.DUMMYFUNCTION("IMPORTRANGE(""https://docs.google.com/spreadsheets/d/1-uDff_7J0KD5mKrp0Vvzr7lt3OU09vwQwhkpOPPYv2Y/edit?usp=sharing"",""งบพรบ!FI24"")"),0)</f>
        <v>0</v>
      </c>
      <c r="J24" s="176">
        <f t="shared" ca="1" si="23"/>
        <v>89900</v>
      </c>
      <c r="K24" s="181">
        <f t="shared" ca="1" si="24"/>
        <v>21.268793546021268</v>
      </c>
      <c r="L24" s="176">
        <f ca="1">IFERROR(__xludf.DUMMYFUNCTION("IMPORTRANGE(""https://docs.google.com/spreadsheets/d/1-uDff_7J0KD5mKrp0Vvzr7lt3OU09vwQwhkpOPPYv2Y/edit?usp=sharing"",""งบพรบ!FJ24"")"),89900)</f>
        <v>89900</v>
      </c>
      <c r="M24" s="179">
        <f t="shared" ca="1" si="25"/>
        <v>21.268793546021268</v>
      </c>
      <c r="N24" s="179">
        <f t="shared" ca="1" si="26"/>
        <v>26.127265065318163</v>
      </c>
      <c r="O24" s="180">
        <f ca="1">IFERROR(__xludf.DUMMYFUNCTION("IMPORTRANGE(""https://docs.google.com/spreadsheets/d/1-uDff_7J0KD5mKrp0Vvzr7lt3OU09vwQwhkpOPPYv2Y/edit?usp=sharing"",""งบพรบ!FK24"")"),0)</f>
        <v>0</v>
      </c>
      <c r="P24" s="180">
        <f t="shared" ca="1" si="27"/>
        <v>0</v>
      </c>
      <c r="Q24" s="179">
        <f t="shared" ca="1" si="28"/>
        <v>0</v>
      </c>
      <c r="R24" s="344">
        <f ca="1">IFERROR(__xludf.DUMMYFUNCTION("IMPORTRANGE(""https://docs.google.com/spreadsheets/d/1lOVebEIsI9qjGXl6EX66luk7wiuP2tBaryw-wKvv4e0/edit?usp=sharing"",""แพร่!I368"")"),1180)</f>
        <v>1180</v>
      </c>
      <c r="S24" s="177">
        <f ca="1">IFERROR(__xludf.DUMMYFUNCTION("IMPORTRANGE(""https://docs.google.com/spreadsheets/d/1lOVebEIsI9qjGXl6EX66luk7wiuP2tBaryw-wKvv4e0/edit?usp=sharing"",""แพร่!J367"")"),28)</f>
        <v>28</v>
      </c>
      <c r="T24" s="345">
        <f ca="1">IFERROR(__xludf.DUMMYFUNCTION("IMPORTRANGE(""https://docs.google.com/spreadsheets/d/1lOVebEIsI9qjGXl6EX66luk7wiuP2tBaryw-wKvv4e0/edit?usp=sharing"",""แพร่!J368"")"),174.54)</f>
        <v>174.54</v>
      </c>
      <c r="U24" s="259">
        <f t="shared" ca="1" si="30"/>
        <v>14.791525423728814</v>
      </c>
      <c r="V24" s="344">
        <f ca="1">IFERROR(__xludf.DUMMYFUNCTION("IMPORTRANGE(""https://docs.google.com/spreadsheets/d/1lOVebEIsI9qjGXl6EX66luk7wiuP2tBaryw-wKvv4e0/edit?usp=sharing"",""แพร่!I369"")"),191)</f>
        <v>191</v>
      </c>
      <c r="W24" s="177">
        <f ca="1">IFERROR(__xludf.DUMMYFUNCTION("IMPORTRANGE(""https://docs.google.com/spreadsheets/d/1lOVebEIsI9qjGXl6EX66luk7wiuP2tBaryw-wKvv4e0/edit?usp=sharing"",""แพร่!J369"")"),57)</f>
        <v>57</v>
      </c>
      <c r="X24" s="345">
        <f ca="1">IFERROR(__xludf.DUMMYFUNCTION("IMPORTRANGE(""https://docs.google.com/spreadsheets/d/1lOVebEIsI9qjGXl6EX66luk7wiuP2tBaryw-wKvv4e0/edit?usp=sharing"",""แพร่!J370"")"),509.05)</f>
        <v>509.05</v>
      </c>
      <c r="Y24" s="259">
        <f t="shared" ca="1" si="32"/>
        <v>29.842931937172775</v>
      </c>
      <c r="Z24" s="344">
        <f ca="1">IFERROR(__xludf.DUMMYFUNCTION("IMPORTRANGE(""https://docs.google.com/spreadsheets/d/1lOVebEIsI9qjGXl6EX66luk7wiuP2tBaryw-wKvv4e0/edit?usp=sharing"",""แพร่!I371"")"),134)</f>
        <v>134</v>
      </c>
      <c r="AA24" s="177">
        <f ca="1">IFERROR(__xludf.DUMMYFUNCTION("IMPORTRANGE(""https://docs.google.com/spreadsheets/d/1lOVebEIsI9qjGXl6EX66luk7wiuP2tBaryw-wKvv4e0/edit?usp=sharing"",""แพร่!J371"")"),57)</f>
        <v>57</v>
      </c>
      <c r="AB24" s="345">
        <f ca="1">IFERROR(__xludf.DUMMYFUNCTION("IMPORTRANGE(""https://docs.google.com/spreadsheets/d/1lOVebEIsI9qjGXl6EX66luk7wiuP2tBaryw-wKvv4e0/edit?usp=sharing"",""แพร่!J372"")"),509.96)</f>
        <v>509.96</v>
      </c>
      <c r="AC24" s="259">
        <f t="shared" ca="1" si="34"/>
        <v>42.537313432835823</v>
      </c>
    </row>
    <row r="25" spans="1:29" ht="24" customHeight="1" x14ac:dyDescent="0.3">
      <c r="A25" s="84">
        <v>12</v>
      </c>
      <c r="B25" s="85" t="s">
        <v>47</v>
      </c>
      <c r="C25" s="174">
        <f t="shared" ca="1" si="21"/>
        <v>446775</v>
      </c>
      <c r="D25" s="175">
        <f t="shared" ca="1" si="35"/>
        <v>446775</v>
      </c>
      <c r="E25" s="176">
        <f ca="1">IFERROR(__xludf.DUMMYFUNCTION("IMPORTRANGE(""https://docs.google.com/spreadsheets/d/1-uDff_7J0KD5mKrp0Vvzr7lt3OU09vwQwhkpOPPYv2Y/edit?usp=sharing"",""งบพรบ!FD25"")"),301700)</f>
        <v>301700</v>
      </c>
      <c r="F25" s="176">
        <f ca="1">IFERROR(__xludf.DUMMYFUNCTION("IMPORTRANGE(""https://docs.google.com/spreadsheets/d/1-uDff_7J0KD5mKrp0Vvzr7lt3OU09vwQwhkpOPPYv2Y/edit?usp=sharing"",""งบพรบ!FE25"")"),145075)</f>
        <v>145075</v>
      </c>
      <c r="G25" s="176">
        <f ca="1">IFERROR(__xludf.DUMMYFUNCTION("IMPORTRANGE(""https://docs.google.com/spreadsheets/d/1-uDff_7J0KD5mKrp0Vvzr7lt3OU09vwQwhkpOPPYv2Y/edit?usp=sharing"",""งบพรบ!FF25"")"),0)</f>
        <v>0</v>
      </c>
      <c r="H25" s="176">
        <f ca="1">IFERROR(__xludf.DUMMYFUNCTION("IMPORTRANGE(""https://docs.google.com/spreadsheets/d/1-uDff_7J0KD5mKrp0Vvzr7lt3OU09vwQwhkpOPPYv2Y/edit?usp=sharing"",""งบพรบ!FH25"")"),334575)</f>
        <v>334575</v>
      </c>
      <c r="I25" s="176">
        <f ca="1">IFERROR(__xludf.DUMMYFUNCTION("IMPORTRANGE(""https://docs.google.com/spreadsheets/d/1-uDff_7J0KD5mKrp0Vvzr7lt3OU09vwQwhkpOPPYv2Y/edit?usp=sharing"",""งบพรบ!FI25"")"),0)</f>
        <v>0</v>
      </c>
      <c r="J25" s="176">
        <f t="shared" ca="1" si="23"/>
        <v>9000</v>
      </c>
      <c r="K25" s="181">
        <f t="shared" ca="1" si="24"/>
        <v>2.0144367970454926</v>
      </c>
      <c r="L25" s="176">
        <f ca="1">IFERROR(__xludf.DUMMYFUNCTION("IMPORTRANGE(""https://docs.google.com/spreadsheets/d/1-uDff_7J0KD5mKrp0Vvzr7lt3OU09vwQwhkpOPPYv2Y/edit?usp=sharing"",""งบพรบ!FJ25"")"),9000)</f>
        <v>9000</v>
      </c>
      <c r="M25" s="179">
        <f t="shared" ca="1" si="25"/>
        <v>2.0144367970454926</v>
      </c>
      <c r="N25" s="179">
        <f t="shared" ca="1" si="26"/>
        <v>2.6899798251513114</v>
      </c>
      <c r="O25" s="180">
        <f ca="1">IFERROR(__xludf.DUMMYFUNCTION("IMPORTRANGE(""https://docs.google.com/spreadsheets/d/1-uDff_7J0KD5mKrp0Vvzr7lt3OU09vwQwhkpOPPYv2Y/edit?usp=sharing"",""งบพรบ!FK25"")"),0)</f>
        <v>0</v>
      </c>
      <c r="P25" s="180">
        <f t="shared" ca="1" si="27"/>
        <v>0</v>
      </c>
      <c r="Q25" s="179">
        <f t="shared" ca="1" si="28"/>
        <v>0</v>
      </c>
      <c r="R25" s="344">
        <f ca="1">IFERROR(__xludf.DUMMYFUNCTION("IMPORTRANGE(""https://docs.google.com/spreadsheets/d/1dQrvX0vEcN7Gu0fnZ0B5S90AeR19zth4XlExFBeExMY/edit?usp=sharing"",""แม่ฮ่องสอน!I368"")"),235)</f>
        <v>235</v>
      </c>
      <c r="S25" s="177">
        <f ca="1">IFERROR(__xludf.DUMMYFUNCTION("IMPORTRANGE(""https://docs.google.com/spreadsheets/d/1dQrvX0vEcN7Gu0fnZ0B5S90AeR19zth4XlExFBeExMY/edit?usp=sharing"",""แม่ฮ่องสอน!J367"")"),0)</f>
        <v>0</v>
      </c>
      <c r="T25" s="345">
        <f ca="1">IFERROR(__xludf.DUMMYFUNCTION("IMPORTRANGE(""https://docs.google.com/spreadsheets/d/1dQrvX0vEcN7Gu0fnZ0B5S90AeR19zth4XlExFBeExMY/edit?usp=sharing"",""แม่ฮ่องสอน!J368"")"),0)</f>
        <v>0</v>
      </c>
      <c r="U25" s="259">
        <f t="shared" ca="1" si="30"/>
        <v>0</v>
      </c>
      <c r="V25" s="344">
        <f ca="1">IFERROR(__xludf.DUMMYFUNCTION("IMPORTRANGE(""https://docs.google.com/spreadsheets/d/1dQrvX0vEcN7Gu0fnZ0B5S90AeR19zth4XlExFBeExMY/edit?usp=sharing"",""แม่ฮ่องสอน!I369"")"),59)</f>
        <v>59</v>
      </c>
      <c r="W25" s="177">
        <f ca="1">IFERROR(__xludf.DUMMYFUNCTION("IMPORTRANGE(""https://docs.google.com/spreadsheets/d/1dQrvX0vEcN7Gu0fnZ0B5S90AeR19zth4XlExFBeExMY/edit?usp=sharing"",""แม่ฮ่องสอน!J369"")"),4)</f>
        <v>4</v>
      </c>
      <c r="X25" s="345">
        <f ca="1">IFERROR(__xludf.DUMMYFUNCTION("IMPORTRANGE(""https://docs.google.com/spreadsheets/d/1dQrvX0vEcN7Gu0fnZ0B5S90AeR19zth4XlExFBeExMY/edit?usp=sharing"",""แม่ฮ่องสอน!J370"")"),28.16)</f>
        <v>28.16</v>
      </c>
      <c r="Y25" s="259">
        <f t="shared" ca="1" si="32"/>
        <v>6.7796610169491522</v>
      </c>
      <c r="Z25" s="344">
        <f ca="1">IFERROR(__xludf.DUMMYFUNCTION("IMPORTRANGE(""https://docs.google.com/spreadsheets/d/1dQrvX0vEcN7Gu0fnZ0B5S90AeR19zth4XlExFBeExMY/edit?usp=sharing"",""แม่ฮ่องสอน!I371"")"),40)</f>
        <v>40</v>
      </c>
      <c r="AA25" s="177">
        <f ca="1">IFERROR(__xludf.DUMMYFUNCTION("IMPORTRANGE(""https://docs.google.com/spreadsheets/d/1dQrvX0vEcN7Gu0fnZ0B5S90AeR19zth4XlExFBeExMY/edit?usp=sharing"",""แม่ฮ่องสอน!J371"")"),4)</f>
        <v>4</v>
      </c>
      <c r="AB25" s="345">
        <f ca="1">IFERROR(__xludf.DUMMYFUNCTION("IMPORTRANGE(""https://docs.google.com/spreadsheets/d/1dQrvX0vEcN7Gu0fnZ0B5S90AeR19zth4XlExFBeExMY/edit?usp=sharing"",""แม่ฮ่องสอน!J372"")"),28.16)</f>
        <v>28.16</v>
      </c>
      <c r="AC25" s="259">
        <f t="shared" ca="1" si="34"/>
        <v>10</v>
      </c>
    </row>
    <row r="26" spans="1:29" ht="24" customHeight="1" x14ac:dyDescent="0.3">
      <c r="A26" s="84">
        <v>13</v>
      </c>
      <c r="B26" s="85" t="s">
        <v>48</v>
      </c>
      <c r="C26" s="174">
        <f t="shared" ca="1" si="21"/>
        <v>568695</v>
      </c>
      <c r="D26" s="175">
        <f t="shared" ca="1" si="35"/>
        <v>568695</v>
      </c>
      <c r="E26" s="176">
        <f ca="1">IFERROR(__xludf.DUMMYFUNCTION("IMPORTRANGE(""https://docs.google.com/spreadsheets/d/1-uDff_7J0KD5mKrp0Vvzr7lt3OU09vwQwhkpOPPYv2Y/edit?usp=sharing"",""งบพรบ!FD26"")"),184100)</f>
        <v>184100</v>
      </c>
      <c r="F26" s="176">
        <f ca="1">IFERROR(__xludf.DUMMYFUNCTION("IMPORTRANGE(""https://docs.google.com/spreadsheets/d/1-uDff_7J0KD5mKrp0Vvzr7lt3OU09vwQwhkpOPPYv2Y/edit?usp=sharing"",""งบพรบ!FE26"")"),384595)</f>
        <v>384595</v>
      </c>
      <c r="G26" s="176">
        <f ca="1">IFERROR(__xludf.DUMMYFUNCTION("IMPORTRANGE(""https://docs.google.com/spreadsheets/d/1-uDff_7J0KD5mKrp0Vvzr7lt3OU09vwQwhkpOPPYv2Y/edit?usp=sharing"",""งบพรบ!FF26"")"),0)</f>
        <v>0</v>
      </c>
      <c r="H26" s="176">
        <f ca="1">IFERROR(__xludf.DUMMYFUNCTION("IMPORTRANGE(""https://docs.google.com/spreadsheets/d/1-uDff_7J0KD5mKrp0Vvzr7lt3OU09vwQwhkpOPPYv2Y/edit?usp=sharing"",""งบพรบ!FH26"")"),490095)</f>
        <v>490095</v>
      </c>
      <c r="I26" s="176">
        <f ca="1">IFERROR(__xludf.DUMMYFUNCTION("IMPORTRANGE(""https://docs.google.com/spreadsheets/d/1-uDff_7J0KD5mKrp0Vvzr7lt3OU09vwQwhkpOPPYv2Y/edit?usp=sharing"",""งบพรบ!FI26"")"),0)</f>
        <v>0</v>
      </c>
      <c r="J26" s="176">
        <f t="shared" ca="1" si="23"/>
        <v>122286.71</v>
      </c>
      <c r="K26" s="181">
        <f t="shared" ca="1" si="24"/>
        <v>21.503039414800551</v>
      </c>
      <c r="L26" s="176">
        <f ca="1">IFERROR(__xludf.DUMMYFUNCTION("IMPORTRANGE(""https://docs.google.com/spreadsheets/d/1-uDff_7J0KD5mKrp0Vvzr7lt3OU09vwQwhkpOPPYv2Y/edit?usp=sharing"",""งบพรบ!FJ26"")"),122286.71)</f>
        <v>122286.71</v>
      </c>
      <c r="M26" s="179">
        <f t="shared" ca="1" si="25"/>
        <v>21.503039414800551</v>
      </c>
      <c r="N26" s="179">
        <f t="shared" ca="1" si="26"/>
        <v>24.951633866903354</v>
      </c>
      <c r="O26" s="180">
        <f ca="1">IFERROR(__xludf.DUMMYFUNCTION("IMPORTRANGE(""https://docs.google.com/spreadsheets/d/1-uDff_7J0KD5mKrp0Vvzr7lt3OU09vwQwhkpOPPYv2Y/edit?usp=sharing"",""งบพรบ!FK26"")"),0)</f>
        <v>0</v>
      </c>
      <c r="P26" s="180">
        <f t="shared" ca="1" si="27"/>
        <v>0</v>
      </c>
      <c r="Q26" s="179">
        <f t="shared" ca="1" si="28"/>
        <v>0</v>
      </c>
      <c r="R26" s="346">
        <f ca="1">IFERROR(__xludf.DUMMYFUNCTION("IMPORTRANGE(""https://docs.google.com/spreadsheets/d/1DY4XTNNwjluuxqdfdn6qvOSlMRrZqUtmYcZR0ttFiG4/edit?usp=sharing"",""ลำปาง!I368"")"),2545)</f>
        <v>2545</v>
      </c>
      <c r="S26" s="177">
        <f ca="1">IFERROR(__xludf.DUMMYFUNCTION("IMPORTRANGE(""https://docs.google.com/spreadsheets/d/1DY4XTNNwjluuxqdfdn6qvOSlMRrZqUtmYcZR0ttFiG4/edit?usp=sharing"",""ลำปาง!J367"")"),86)</f>
        <v>86</v>
      </c>
      <c r="T26" s="345">
        <f ca="1">IFERROR(__xludf.DUMMYFUNCTION("IMPORTRANGE(""https://docs.google.com/spreadsheets/d/1DY4XTNNwjluuxqdfdn6qvOSlMRrZqUtmYcZR0ttFiG4/edit?usp=sharing"",""ลำปาง!J368"")"),334.74)</f>
        <v>334.74</v>
      </c>
      <c r="U26" s="259">
        <f t="shared" ca="1" si="30"/>
        <v>13.152848722986247</v>
      </c>
      <c r="V26" s="346">
        <f ca="1">IFERROR(__xludf.DUMMYFUNCTION("IMPORTRANGE(""https://docs.google.com/spreadsheets/d/1DY4XTNNwjluuxqdfdn6qvOSlMRrZqUtmYcZR0ttFiG4/edit?usp=sharing"",""ลำปาง!I369"")"),446)</f>
        <v>446</v>
      </c>
      <c r="W26" s="177">
        <f ca="1">IFERROR(__xludf.DUMMYFUNCTION("IMPORTRANGE(""https://docs.google.com/spreadsheets/d/1DY4XTNNwjluuxqdfdn6qvOSlMRrZqUtmYcZR0ttFiG4/edit?usp=sharing"",""ลำปาง!J369"")"),75)</f>
        <v>75</v>
      </c>
      <c r="X26" s="345">
        <f ca="1">IFERROR(__xludf.DUMMYFUNCTION("IMPORTRANGE(""https://docs.google.com/spreadsheets/d/1DY4XTNNwjluuxqdfdn6qvOSlMRrZqUtmYcZR0ttFiG4/edit?usp=sharing"",""ลำปาง!J370"")"),259.82)</f>
        <v>259.82</v>
      </c>
      <c r="Y26" s="259">
        <f t="shared" ca="1" si="32"/>
        <v>16.816143497757846</v>
      </c>
      <c r="Z26" s="346">
        <f ca="1">IFERROR(__xludf.DUMMYFUNCTION("IMPORTRANGE(""https://docs.google.com/spreadsheets/d/1DY4XTNNwjluuxqdfdn6qvOSlMRrZqUtmYcZR0ttFiG4/edit?usp=sharing"",""ลำปาง!I371"")"),303)</f>
        <v>303</v>
      </c>
      <c r="AA26" s="177">
        <f ca="1">IFERROR(__xludf.DUMMYFUNCTION("IMPORTRANGE(""https://docs.google.com/spreadsheets/d/1DY4XTNNwjluuxqdfdn6qvOSlMRrZqUtmYcZR0ttFiG4/edit?usp=sharing"",""ลำปาง!J371"")"),34)</f>
        <v>34</v>
      </c>
      <c r="AB26" s="345">
        <f ca="1">IFERROR(__xludf.DUMMYFUNCTION("IMPORTRANGE(""https://docs.google.com/spreadsheets/d/1DY4XTNNwjluuxqdfdn6qvOSlMRrZqUtmYcZR0ttFiG4/edit?usp=sharing"",""ลำปาง!J372"")"),206.06)</f>
        <v>206.06</v>
      </c>
      <c r="AC26" s="259">
        <f t="shared" ca="1" si="34"/>
        <v>11.221122112211221</v>
      </c>
    </row>
    <row r="27" spans="1:29" ht="24" customHeight="1" x14ac:dyDescent="0.3">
      <c r="A27" s="84">
        <v>14</v>
      </c>
      <c r="B27" s="85" t="s">
        <v>49</v>
      </c>
      <c r="C27" s="174">
        <f t="shared" ca="1" si="21"/>
        <v>243965</v>
      </c>
      <c r="D27" s="175">
        <f t="shared" ca="1" si="35"/>
        <v>243965</v>
      </c>
      <c r="E27" s="176">
        <f ca="1">IFERROR(__xludf.DUMMYFUNCTION("IMPORTRANGE(""https://docs.google.com/spreadsheets/d/1-uDff_7J0KD5mKrp0Vvzr7lt3OU09vwQwhkpOPPYv2Y/edit?usp=sharing"",""งบพรบ!FD27"")"),51100)</f>
        <v>51100</v>
      </c>
      <c r="F27" s="176">
        <f ca="1">IFERROR(__xludf.DUMMYFUNCTION("IMPORTRANGE(""https://docs.google.com/spreadsheets/d/1-uDff_7J0KD5mKrp0Vvzr7lt3OU09vwQwhkpOPPYv2Y/edit?usp=sharing"",""งบพรบ!FE27"")"),192865)</f>
        <v>192865</v>
      </c>
      <c r="G27" s="176">
        <f ca="1">IFERROR(__xludf.DUMMYFUNCTION("IMPORTRANGE(""https://docs.google.com/spreadsheets/d/1-uDff_7J0KD5mKrp0Vvzr7lt3OU09vwQwhkpOPPYv2Y/edit?usp=sharing"",""งบพรบ!FF27"")"),0)</f>
        <v>0</v>
      </c>
      <c r="H27" s="176">
        <f ca="1">IFERROR(__xludf.DUMMYFUNCTION("IMPORTRANGE(""https://docs.google.com/spreadsheets/d/1-uDff_7J0KD5mKrp0Vvzr7lt3OU09vwQwhkpOPPYv2Y/edit?usp=sharing"",""งบพรบ!FH27"")"),203365)</f>
        <v>203365</v>
      </c>
      <c r="I27" s="176">
        <f ca="1">IFERROR(__xludf.DUMMYFUNCTION("IMPORTRANGE(""https://docs.google.com/spreadsheets/d/1-uDff_7J0KD5mKrp0Vvzr7lt3OU09vwQwhkpOPPYv2Y/edit?usp=sharing"",""งบพรบ!FI27"")"),0)</f>
        <v>0</v>
      </c>
      <c r="J27" s="176">
        <f t="shared" ca="1" si="23"/>
        <v>48500</v>
      </c>
      <c r="K27" s="181">
        <f t="shared" ca="1" si="24"/>
        <v>19.879900805443405</v>
      </c>
      <c r="L27" s="176">
        <f ca="1">IFERROR(__xludf.DUMMYFUNCTION("IMPORTRANGE(""https://docs.google.com/spreadsheets/d/1-uDff_7J0KD5mKrp0Vvzr7lt3OU09vwQwhkpOPPYv2Y/edit?usp=sharing"",""งบพรบ!FJ27"")"),48500)</f>
        <v>48500</v>
      </c>
      <c r="M27" s="179">
        <f t="shared" ca="1" si="25"/>
        <v>19.879900805443405</v>
      </c>
      <c r="N27" s="179">
        <f t="shared" ca="1" si="26"/>
        <v>23.848744867602587</v>
      </c>
      <c r="O27" s="180">
        <f ca="1">IFERROR(__xludf.DUMMYFUNCTION("IMPORTRANGE(""https://docs.google.com/spreadsheets/d/1-uDff_7J0KD5mKrp0Vvzr7lt3OU09vwQwhkpOPPYv2Y/edit?usp=sharing"",""งบพรบ!FK27"")"),0)</f>
        <v>0</v>
      </c>
      <c r="P27" s="180">
        <f t="shared" ca="1" si="27"/>
        <v>0</v>
      </c>
      <c r="Q27" s="179">
        <f t="shared" ca="1" si="28"/>
        <v>0</v>
      </c>
      <c r="R27" s="344">
        <f ca="1">IFERROR(__xludf.DUMMYFUNCTION("IMPORTRANGE(""https://docs.google.com/spreadsheets/d/1ICwG78r0OFT8biBlxnBF8r7she7gNSzOvJ958PWT09c/edit?usp=sharing"",""ลำพูน!I368"")"),730)</f>
        <v>730</v>
      </c>
      <c r="S27" s="177">
        <f ca="1">IFERROR(__xludf.DUMMYFUNCTION("IMPORTRANGE(""https://docs.google.com/spreadsheets/d/1ICwG78r0OFT8biBlxnBF8r7she7gNSzOvJ958PWT09c/edit?usp=sharing"",""ลำพูน!J367"")"),2)</f>
        <v>2</v>
      </c>
      <c r="T27" s="345">
        <f ca="1">IFERROR(__xludf.DUMMYFUNCTION("IMPORTRANGE(""https://docs.google.com/spreadsheets/d/1ICwG78r0OFT8biBlxnBF8r7she7gNSzOvJ958PWT09c/edit?usp=sharing"",""ลำพูน!J368"")"),9.05)</f>
        <v>9.0500000000000007</v>
      </c>
      <c r="U27" s="259">
        <f t="shared" ca="1" si="30"/>
        <v>1.2397260273972603</v>
      </c>
      <c r="V27" s="344">
        <f ca="1">IFERROR(__xludf.DUMMYFUNCTION("IMPORTRANGE(""https://docs.google.com/spreadsheets/d/1ICwG78r0OFT8biBlxnBF8r7she7gNSzOvJ958PWT09c/edit?usp=sharing"",""ลำพูน!I369"")"),110)</f>
        <v>110</v>
      </c>
      <c r="W27" s="177">
        <f ca="1">IFERROR(__xludf.DUMMYFUNCTION("IMPORTRANGE(""https://docs.google.com/spreadsheets/d/1ICwG78r0OFT8biBlxnBF8r7she7gNSzOvJ958PWT09c/edit?usp=sharing"",""ลำพูน!J369"")"),9)</f>
        <v>9</v>
      </c>
      <c r="X27" s="345">
        <f ca="1">IFERROR(__xludf.DUMMYFUNCTION("IMPORTRANGE(""https://docs.google.com/spreadsheets/d/1ICwG78r0OFT8biBlxnBF8r7she7gNSzOvJ958PWT09c/edit?usp=sharing"",""ลำพูน!J370"")"),56.46)</f>
        <v>56.46</v>
      </c>
      <c r="Y27" s="259">
        <f t="shared" ca="1" si="32"/>
        <v>8.1818181818181817</v>
      </c>
      <c r="Z27" s="344">
        <f ca="1">IFERROR(__xludf.DUMMYFUNCTION("IMPORTRANGE(""https://docs.google.com/spreadsheets/d/1ICwG78r0OFT8biBlxnBF8r7she7gNSzOvJ958PWT09c/edit?usp=sharing"",""ลำพูน!I371"")"),69)</f>
        <v>69</v>
      </c>
      <c r="AA27" s="177">
        <f ca="1">IFERROR(__xludf.DUMMYFUNCTION("IMPORTRANGE(""https://docs.google.com/spreadsheets/d/1ICwG78r0OFT8biBlxnBF8r7she7gNSzOvJ958PWT09c/edit?usp=sharing"",""ลำพูน!J371"")"),8)</f>
        <v>8</v>
      </c>
      <c r="AB27" s="345">
        <f ca="1">IFERROR(__xludf.DUMMYFUNCTION("IMPORTRANGE(""https://docs.google.com/spreadsheets/d/1ICwG78r0OFT8biBlxnBF8r7she7gNSzOvJ958PWT09c/edit?usp=sharing"",""ลำพูน!J372"")"),50.08)</f>
        <v>50.08</v>
      </c>
      <c r="AC27" s="259">
        <f t="shared" ca="1" si="34"/>
        <v>11.594202898550725</v>
      </c>
    </row>
    <row r="28" spans="1:29" ht="24" customHeight="1" x14ac:dyDescent="0.3">
      <c r="A28" s="84">
        <v>15</v>
      </c>
      <c r="B28" s="85" t="s">
        <v>50</v>
      </c>
      <c r="C28" s="174">
        <f t="shared" ca="1" si="21"/>
        <v>700725</v>
      </c>
      <c r="D28" s="175">
        <f t="shared" ca="1" si="35"/>
        <v>700725</v>
      </c>
      <c r="E28" s="176">
        <f ca="1">IFERROR(__xludf.DUMMYFUNCTION("IMPORTRANGE(""https://docs.google.com/spreadsheets/d/1-uDff_7J0KD5mKrp0Vvzr7lt3OU09vwQwhkpOPPYv2Y/edit?usp=sharing"",""งบพรบ!FD28"")"),408100)</f>
        <v>408100</v>
      </c>
      <c r="F28" s="176">
        <f ca="1">IFERROR(__xludf.DUMMYFUNCTION("IMPORTRANGE(""https://docs.google.com/spreadsheets/d/1-uDff_7J0KD5mKrp0Vvzr7lt3OU09vwQwhkpOPPYv2Y/edit?usp=sharing"",""งบพรบ!FE28"")"),292625)</f>
        <v>292625</v>
      </c>
      <c r="G28" s="176">
        <f ca="1">IFERROR(__xludf.DUMMYFUNCTION("IMPORTRANGE(""https://docs.google.com/spreadsheets/d/1-uDff_7J0KD5mKrp0Vvzr7lt3OU09vwQwhkpOPPYv2Y/edit?usp=sharing"",""งบพรบ!FF28"")"),0)</f>
        <v>0</v>
      </c>
      <c r="H28" s="176">
        <f ca="1">IFERROR(__xludf.DUMMYFUNCTION("IMPORTRANGE(""https://docs.google.com/spreadsheets/d/1-uDff_7J0KD5mKrp0Vvzr7lt3OU09vwQwhkpOPPYv2Y/edit?usp=sharing"",""งบพรบ!FH28"")"),558125)</f>
        <v>558125</v>
      </c>
      <c r="I28" s="176">
        <f ca="1">IFERROR(__xludf.DUMMYFUNCTION("IMPORTRANGE(""https://docs.google.com/spreadsheets/d/1-uDff_7J0KD5mKrp0Vvzr7lt3OU09vwQwhkpOPPYv2Y/edit?usp=sharing"",""งบพรบ!FI28"")"),0)</f>
        <v>0</v>
      </c>
      <c r="J28" s="176">
        <f t="shared" ca="1" si="23"/>
        <v>101940</v>
      </c>
      <c r="K28" s="181">
        <f t="shared" ca="1" si="24"/>
        <v>14.547789789146956</v>
      </c>
      <c r="L28" s="176">
        <f ca="1">IFERROR(__xludf.DUMMYFUNCTION("IMPORTRANGE(""https://docs.google.com/spreadsheets/d/1-uDff_7J0KD5mKrp0Vvzr7lt3OU09vwQwhkpOPPYv2Y/edit?usp=sharing"",""งบพรบ!FJ28"")"),101940)</f>
        <v>101940</v>
      </c>
      <c r="M28" s="179">
        <f t="shared" ca="1" si="25"/>
        <v>14.547789789146956</v>
      </c>
      <c r="N28" s="179">
        <f t="shared" ca="1" si="26"/>
        <v>18.264725643896977</v>
      </c>
      <c r="O28" s="180">
        <f ca="1">IFERROR(__xludf.DUMMYFUNCTION("IMPORTRANGE(""https://docs.google.com/spreadsheets/d/1-uDff_7J0KD5mKrp0Vvzr7lt3OU09vwQwhkpOPPYv2Y/edit?usp=sharing"",""งบพรบ!FK28"")"),0)</f>
        <v>0</v>
      </c>
      <c r="P28" s="180">
        <f t="shared" ca="1" si="27"/>
        <v>0</v>
      </c>
      <c r="Q28" s="179">
        <f t="shared" ca="1" si="28"/>
        <v>0</v>
      </c>
      <c r="R28" s="344">
        <f ca="1">IFERROR(__xludf.DUMMYFUNCTION("IMPORTRANGE(""https://docs.google.com/spreadsheets/d/1B0f2xJpZUC6Z0xXnqKlZtEPzsf6L84eP1r1Q15seqRM/edit?usp=sharing"",""สุโขทัย!I368"")"),1710)</f>
        <v>1710</v>
      </c>
      <c r="S28" s="177">
        <f ca="1">IFERROR(__xludf.DUMMYFUNCTION("IMPORTRANGE(""https://docs.google.com/spreadsheets/d/1B0f2xJpZUC6Z0xXnqKlZtEPzsf6L84eP1r1Q15seqRM/edit?usp=sharing"",""สุโขทัย!J367"")"),18)</f>
        <v>18</v>
      </c>
      <c r="T28" s="345">
        <f ca="1">IFERROR(__xludf.DUMMYFUNCTION("IMPORTRANGE(""https://docs.google.com/spreadsheets/d/1B0f2xJpZUC6Z0xXnqKlZtEPzsf6L84eP1r1Q15seqRM/edit?usp=sharing"",""สุโขทัย!J368"")"),225.57)</f>
        <v>225.57</v>
      </c>
      <c r="U28" s="259">
        <f t="shared" ca="1" si="30"/>
        <v>13.191228070175439</v>
      </c>
      <c r="V28" s="344">
        <f ca="1">IFERROR(__xludf.DUMMYFUNCTION("IMPORTRANGE(""https://docs.google.com/spreadsheets/d/1B0f2xJpZUC6Z0xXnqKlZtEPzsf6L84eP1r1Q15seqRM/edit?usp=sharing"",""สุโขทัย!I369"")"),288)</f>
        <v>288</v>
      </c>
      <c r="W28" s="177">
        <f ca="1">IFERROR(__xludf.DUMMYFUNCTION("IMPORTRANGE(""https://docs.google.com/spreadsheets/d/1B0f2xJpZUC6Z0xXnqKlZtEPzsf6L84eP1r1Q15seqRM/edit?usp=sharing"",""สุโขทัย!J369"")"),116)</f>
        <v>116</v>
      </c>
      <c r="X28" s="345">
        <f ca="1">IFERROR(__xludf.DUMMYFUNCTION("IMPORTRANGE(""https://docs.google.com/spreadsheets/d/1B0f2xJpZUC6Z0xXnqKlZtEPzsf6L84eP1r1Q15seqRM/edit?usp=sharing"",""สุโขทัย!J370"")"),1259.66999999999)</f>
        <v>1259.6699999999901</v>
      </c>
      <c r="Y28" s="259">
        <f t="shared" ca="1" si="32"/>
        <v>40.277777777777779</v>
      </c>
      <c r="Z28" s="344">
        <f ca="1">IFERROR(__xludf.DUMMYFUNCTION("IMPORTRANGE(""https://docs.google.com/spreadsheets/d/1B0f2xJpZUC6Z0xXnqKlZtEPzsf6L84eP1r1Q15seqRM/edit?usp=sharing"",""สุโขทัย!I371"")"),189)</f>
        <v>189</v>
      </c>
      <c r="AA28" s="177">
        <f ca="1">IFERROR(__xludf.DUMMYFUNCTION("IMPORTRANGE(""https://docs.google.com/spreadsheets/d/1B0f2xJpZUC6Z0xXnqKlZtEPzsf6L84eP1r1Q15seqRM/edit?usp=sharing"",""สุโขทัย!J371"")"),108)</f>
        <v>108</v>
      </c>
      <c r="AB28" s="345">
        <f ca="1">IFERROR(__xludf.DUMMYFUNCTION("IMPORTRANGE(""https://docs.google.com/spreadsheets/d/1B0f2xJpZUC6Z0xXnqKlZtEPzsf6L84eP1r1Q15seqRM/edit?usp=sharing"",""สุโขทัย!J372"")"),1239.36)</f>
        <v>1239.3599999999999</v>
      </c>
      <c r="AC28" s="259">
        <f t="shared" ca="1" si="34"/>
        <v>57.142857142857146</v>
      </c>
    </row>
    <row r="29" spans="1:29" ht="24" customHeight="1" x14ac:dyDescent="0.3">
      <c r="A29" s="84">
        <v>16</v>
      </c>
      <c r="B29" s="85" t="s">
        <v>51</v>
      </c>
      <c r="C29" s="174">
        <f t="shared" ca="1" si="21"/>
        <v>452160</v>
      </c>
      <c r="D29" s="175">
        <f t="shared" ca="1" si="35"/>
        <v>452160</v>
      </c>
      <c r="E29" s="176">
        <f ca="1">IFERROR(__xludf.DUMMYFUNCTION("IMPORTRANGE(""https://docs.google.com/spreadsheets/d/1-uDff_7J0KD5mKrp0Vvzr7lt3OU09vwQwhkpOPPYv2Y/edit?usp=sharing"",""งบพรบ!FD29"")"),199500)</f>
        <v>199500</v>
      </c>
      <c r="F29" s="176">
        <f ca="1">IFERROR(__xludf.DUMMYFUNCTION("IMPORTRANGE(""https://docs.google.com/spreadsheets/d/1-uDff_7J0KD5mKrp0Vvzr7lt3OU09vwQwhkpOPPYv2Y/edit?usp=sharing"",""งบพรบ!FE29"")"),252660)</f>
        <v>252660</v>
      </c>
      <c r="G29" s="176">
        <f ca="1">IFERROR(__xludf.DUMMYFUNCTION("IMPORTRANGE(""https://docs.google.com/spreadsheets/d/1-uDff_7J0KD5mKrp0Vvzr7lt3OU09vwQwhkpOPPYv2Y/edit?usp=sharing"",""งบพรบ!FF29"")"),0)</f>
        <v>0</v>
      </c>
      <c r="H29" s="176">
        <f ca="1">IFERROR(__xludf.DUMMYFUNCTION("IMPORTRANGE(""https://docs.google.com/spreadsheets/d/1-uDff_7J0KD5mKrp0Vvzr7lt3OU09vwQwhkpOPPYv2Y/edit?usp=sharing"",""งบพรบ!FH29"")"),369160)</f>
        <v>369160</v>
      </c>
      <c r="I29" s="176">
        <f ca="1">IFERROR(__xludf.DUMMYFUNCTION("IMPORTRANGE(""https://docs.google.com/spreadsheets/d/1-uDff_7J0KD5mKrp0Vvzr7lt3OU09vwQwhkpOPPYv2Y/edit?usp=sharing"",""งบพรบ!FI29"")"),0)</f>
        <v>0</v>
      </c>
      <c r="J29" s="176">
        <f t="shared" ca="1" si="23"/>
        <v>139323</v>
      </c>
      <c r="K29" s="181">
        <f t="shared" ca="1" si="24"/>
        <v>30.812765392781316</v>
      </c>
      <c r="L29" s="176">
        <f ca="1">IFERROR(__xludf.DUMMYFUNCTION("IMPORTRANGE(""https://docs.google.com/spreadsheets/d/1-uDff_7J0KD5mKrp0Vvzr7lt3OU09vwQwhkpOPPYv2Y/edit?usp=sharing"",""งบพรบ!FJ29"")"),139323)</f>
        <v>139323</v>
      </c>
      <c r="M29" s="179">
        <f t="shared" ca="1" si="25"/>
        <v>30.812765392781316</v>
      </c>
      <c r="N29" s="179">
        <f t="shared" ca="1" si="26"/>
        <v>37.740546104670059</v>
      </c>
      <c r="O29" s="180">
        <f ca="1">IFERROR(__xludf.DUMMYFUNCTION("IMPORTRANGE(""https://docs.google.com/spreadsheets/d/1-uDff_7J0KD5mKrp0Vvzr7lt3OU09vwQwhkpOPPYv2Y/edit?usp=sharing"",""งบพรบ!FK29"")"),0)</f>
        <v>0</v>
      </c>
      <c r="P29" s="180">
        <f t="shared" ca="1" si="27"/>
        <v>0</v>
      </c>
      <c r="Q29" s="179">
        <f t="shared" ca="1" si="28"/>
        <v>0</v>
      </c>
      <c r="R29" s="344">
        <f ca="1">IFERROR(__xludf.DUMMYFUNCTION("IMPORTRANGE(""https://docs.google.com/spreadsheets/d/1v0b9pFQCsKUVExMei7AgY2yQkdeNQvtOssygGsXbiKo/edit?usp=sharing"",""อุตรดิตถ์!I368"")"),1295)</f>
        <v>1295</v>
      </c>
      <c r="S29" s="177">
        <f ca="1">IFERROR(__xludf.DUMMYFUNCTION("IMPORTRANGE(""https://docs.google.com/spreadsheets/d/1v0b9pFQCsKUVExMei7AgY2yQkdeNQvtOssygGsXbiKo/edit?usp=sharing"",""อุตรดิตถ์!J367"")"),82)</f>
        <v>82</v>
      </c>
      <c r="T29" s="345">
        <f ca="1">IFERROR(__xludf.DUMMYFUNCTION("IMPORTRANGE(""https://docs.google.com/spreadsheets/d/1v0b9pFQCsKUVExMei7AgY2yQkdeNQvtOssygGsXbiKo/edit?usp=sharing"",""อุตรดิตถ์!J368"")"),356.61)</f>
        <v>356.61</v>
      </c>
      <c r="U29" s="259">
        <f t="shared" ca="1" si="30"/>
        <v>27.537451737451736</v>
      </c>
      <c r="V29" s="344">
        <f ca="1">IFERROR(__xludf.DUMMYFUNCTION("IMPORTRANGE(""https://docs.google.com/spreadsheets/d/1v0b9pFQCsKUVExMei7AgY2yQkdeNQvtOssygGsXbiKo/edit?usp=sharing"",""อุตรดิตถ์!I369"")"),223)</f>
        <v>223</v>
      </c>
      <c r="W29" s="177">
        <f ca="1">IFERROR(__xludf.DUMMYFUNCTION("IMPORTRANGE(""https://docs.google.com/spreadsheets/d/1v0b9pFQCsKUVExMei7AgY2yQkdeNQvtOssygGsXbiKo/edit?usp=sharing"",""อุตรดิตถ์!J369"")"),12)</f>
        <v>12</v>
      </c>
      <c r="X29" s="345">
        <f ca="1">IFERROR(__xludf.DUMMYFUNCTION("IMPORTRANGE(""https://docs.google.com/spreadsheets/d/1v0b9pFQCsKUVExMei7AgY2yQkdeNQvtOssygGsXbiKo/edit?usp=sharing"",""อุตรดิตถ์!J370"")"),71.57)</f>
        <v>71.569999999999993</v>
      </c>
      <c r="Y29" s="259">
        <f t="shared" ca="1" si="32"/>
        <v>5.3811659192825116</v>
      </c>
      <c r="Z29" s="344">
        <f ca="1">IFERROR(__xludf.DUMMYFUNCTION("IMPORTRANGE(""https://docs.google.com/spreadsheets/d/1v0b9pFQCsKUVExMei7AgY2yQkdeNQvtOssygGsXbiKo/edit?usp=sharing"",""อุตรดิตถ์!I371"")"),141)</f>
        <v>141</v>
      </c>
      <c r="AA29" s="177">
        <f ca="1">IFERROR(__xludf.DUMMYFUNCTION("IMPORTRANGE(""https://docs.google.com/spreadsheets/d/1v0b9pFQCsKUVExMei7AgY2yQkdeNQvtOssygGsXbiKo/edit?usp=sharing"",""อุตรดิตถ์!J371"")"),10)</f>
        <v>10</v>
      </c>
      <c r="AB29" s="345">
        <f ca="1">IFERROR(__xludf.DUMMYFUNCTION("IMPORTRANGE(""https://docs.google.com/spreadsheets/d/1v0b9pFQCsKUVExMei7AgY2yQkdeNQvtOssygGsXbiKo/edit?usp=sharing"",""อุตรดิตถ์!J372"")"),38.56)</f>
        <v>38.56</v>
      </c>
      <c r="AC29" s="259">
        <f t="shared" ca="1" si="34"/>
        <v>7.0921985815602833</v>
      </c>
    </row>
    <row r="30" spans="1:29" ht="24" customHeight="1" x14ac:dyDescent="0.3">
      <c r="A30" s="95">
        <v>17</v>
      </c>
      <c r="B30" s="96" t="s">
        <v>52</v>
      </c>
      <c r="C30" s="184">
        <f t="shared" ca="1" si="21"/>
        <v>573900</v>
      </c>
      <c r="D30" s="185">
        <f t="shared" ca="1" si="35"/>
        <v>573900</v>
      </c>
      <c r="E30" s="186">
        <f ca="1">IFERROR(__xludf.DUMMYFUNCTION("IMPORTRANGE(""https://docs.google.com/spreadsheets/d/1-uDff_7J0KD5mKrp0Vvzr7lt3OU09vwQwhkpOPPYv2Y/edit?usp=sharing"",""งบพรบ!FD30"")"),290500)</f>
        <v>290500</v>
      </c>
      <c r="F30" s="186">
        <f ca="1">IFERROR(__xludf.DUMMYFUNCTION("IMPORTRANGE(""https://docs.google.com/spreadsheets/d/1-uDff_7J0KD5mKrp0Vvzr7lt3OU09vwQwhkpOPPYv2Y/edit?usp=sharing"",""งบพรบ!FE30"")"),283400)</f>
        <v>283400</v>
      </c>
      <c r="G30" s="186">
        <f ca="1">IFERROR(__xludf.DUMMYFUNCTION("IMPORTRANGE(""https://docs.google.com/spreadsheets/d/1-uDff_7J0KD5mKrp0Vvzr7lt3OU09vwQwhkpOPPYv2Y/edit?usp=sharing"",""งบพรบ!FF30"")"),0)</f>
        <v>0</v>
      </c>
      <c r="H30" s="186">
        <f ca="1">IFERROR(__xludf.DUMMYFUNCTION("IMPORTRANGE(""https://docs.google.com/spreadsheets/d/1-uDff_7J0KD5mKrp0Vvzr7lt3OU09vwQwhkpOPPYv2Y/edit?usp=sharing"",""งบพรบ!FH30"")"),464900)</f>
        <v>464900</v>
      </c>
      <c r="I30" s="186">
        <f ca="1">IFERROR(__xludf.DUMMYFUNCTION("IMPORTRANGE(""https://docs.google.com/spreadsheets/d/1-uDff_7J0KD5mKrp0Vvzr7lt3OU09vwQwhkpOPPYv2Y/edit?usp=sharing"",""งบพรบ!FI30"")"),0)</f>
        <v>0</v>
      </c>
      <c r="J30" s="186">
        <f t="shared" ca="1" si="23"/>
        <v>192883</v>
      </c>
      <c r="K30" s="187">
        <f t="shared" ca="1" si="24"/>
        <v>33.609165359818782</v>
      </c>
      <c r="L30" s="186">
        <f ca="1">IFERROR(__xludf.DUMMYFUNCTION("IMPORTRANGE(""https://docs.google.com/spreadsheets/d/1-uDff_7J0KD5mKrp0Vvzr7lt3OU09vwQwhkpOPPYv2Y/edit?usp=sharing"",""งบพรบ!FJ30"")"),192883)</f>
        <v>192883</v>
      </c>
      <c r="M30" s="188">
        <f t="shared" ca="1" si="25"/>
        <v>33.609165359818782</v>
      </c>
      <c r="N30" s="188">
        <f t="shared" ca="1" si="26"/>
        <v>41.489137448913745</v>
      </c>
      <c r="O30" s="189">
        <f ca="1">IFERROR(__xludf.DUMMYFUNCTION("IMPORTRANGE(""https://docs.google.com/spreadsheets/d/1-uDff_7J0KD5mKrp0Vvzr7lt3OU09vwQwhkpOPPYv2Y/edit?usp=sharing"",""งบพรบ!FK30"")"),0)</f>
        <v>0</v>
      </c>
      <c r="P30" s="189">
        <f t="shared" ca="1" si="27"/>
        <v>0</v>
      </c>
      <c r="Q30" s="188">
        <f t="shared" ca="1" si="28"/>
        <v>0</v>
      </c>
      <c r="R30" s="347">
        <f ca="1">IFERROR(__xludf.DUMMYFUNCTION("IMPORTRANGE(""https://docs.google.com/spreadsheets/d/1UsNK1e-WWiCo2PvGqdNfdme4m17_Ezd3J69EeeiQPD0/edit?usp=sharing"",""อุทัยธานี!I368"")"),1620)</f>
        <v>1620</v>
      </c>
      <c r="S30" s="190">
        <f ca="1">IFERROR(__xludf.DUMMYFUNCTION("IMPORTRANGE(""https://docs.google.com/spreadsheets/d/1UsNK1e-WWiCo2PvGqdNfdme4m17_Ezd3J69EeeiQPD0/edit?usp=sharing"",""อุทัยธานี!J367"")"),64)</f>
        <v>64</v>
      </c>
      <c r="T30" s="348">
        <f ca="1">IFERROR(__xludf.DUMMYFUNCTION("IMPORTRANGE(""https://docs.google.com/spreadsheets/d/1UsNK1e-WWiCo2PvGqdNfdme4m17_Ezd3J69EeeiQPD0/edit?usp=sharing"",""อุทัยธานี!J368"")"),602.23)</f>
        <v>602.23</v>
      </c>
      <c r="U30" s="261">
        <f t="shared" ca="1" si="30"/>
        <v>37.174691358024688</v>
      </c>
      <c r="V30" s="347">
        <f ca="1">IFERROR(__xludf.DUMMYFUNCTION("IMPORTRANGE(""https://docs.google.com/spreadsheets/d/1UsNK1e-WWiCo2PvGqdNfdme4m17_Ezd3J69EeeiQPD0/edit?usp=sharing"",""อุทัยธานี!I369"")"),297)</f>
        <v>297</v>
      </c>
      <c r="W30" s="190">
        <f ca="1">IFERROR(__xludf.DUMMYFUNCTION("IMPORTRANGE(""https://docs.google.com/spreadsheets/d/1UsNK1e-WWiCo2PvGqdNfdme4m17_Ezd3J69EeeiQPD0/edit?usp=sharing"",""อุทัยธานี!J369"")"),81)</f>
        <v>81</v>
      </c>
      <c r="X30" s="348">
        <f ca="1">IFERROR(__xludf.DUMMYFUNCTION("IMPORTRANGE(""https://docs.google.com/spreadsheets/d/1UsNK1e-WWiCo2PvGqdNfdme4m17_Ezd3J69EeeiQPD0/edit?usp=sharing"",""อุทัยธานี!J370"")"),1342.46)</f>
        <v>1342.46</v>
      </c>
      <c r="Y30" s="261">
        <f t="shared" ca="1" si="32"/>
        <v>27.272727272727273</v>
      </c>
      <c r="Z30" s="347">
        <f ca="1">IFERROR(__xludf.DUMMYFUNCTION("IMPORTRANGE(""https://docs.google.com/spreadsheets/d/1UsNK1e-WWiCo2PvGqdNfdme4m17_Ezd3J69EeeiQPD0/edit?usp=sharing"",""อุทัยธานี!I371"")"),196)</f>
        <v>196</v>
      </c>
      <c r="AA30" s="190">
        <f ca="1">IFERROR(__xludf.DUMMYFUNCTION("IMPORTRANGE(""https://docs.google.com/spreadsheets/d/1UsNK1e-WWiCo2PvGqdNfdme4m17_Ezd3J69EeeiQPD0/edit?usp=sharing"",""อุทัยธานี!J371"")"),47)</f>
        <v>47</v>
      </c>
      <c r="AB30" s="348">
        <f ca="1">IFERROR(__xludf.DUMMYFUNCTION("IMPORTRANGE(""https://docs.google.com/spreadsheets/d/1UsNK1e-WWiCo2PvGqdNfdme4m17_Ezd3J69EeeiQPD0/edit?usp=sharing"",""อุทัยธานี!J372"")"),993.08)</f>
        <v>993.08</v>
      </c>
      <c r="AC30" s="261">
        <f t="shared" ca="1" si="34"/>
        <v>23.979591836734695</v>
      </c>
    </row>
    <row r="31" spans="1:29" ht="21" customHeight="1" x14ac:dyDescent="0.3">
      <c r="A31" s="395" t="s">
        <v>53</v>
      </c>
      <c r="B31" s="396"/>
      <c r="C31" s="154">
        <f t="shared" ca="1" si="21"/>
        <v>16083580</v>
      </c>
      <c r="D31" s="154">
        <f t="shared" ref="D31:I31" ca="1" si="36">SUM(D32:D51)</f>
        <v>16083580</v>
      </c>
      <c r="E31" s="154">
        <f t="shared" ca="1" si="36"/>
        <v>4678100</v>
      </c>
      <c r="F31" s="154">
        <f t="shared" ca="1" si="36"/>
        <v>11405480</v>
      </c>
      <c r="G31" s="154">
        <f t="shared" ca="1" si="36"/>
        <v>0</v>
      </c>
      <c r="H31" s="154">
        <f t="shared" ca="1" si="36"/>
        <v>13893750</v>
      </c>
      <c r="I31" s="154">
        <f t="shared" ca="1" si="36"/>
        <v>0</v>
      </c>
      <c r="J31" s="154">
        <f t="shared" ca="1" si="23"/>
        <v>4915947.4899999993</v>
      </c>
      <c r="K31" s="155">
        <f t="shared" ca="1" si="24"/>
        <v>30.565007852729302</v>
      </c>
      <c r="L31" s="154">
        <f ca="1">SUM(L32:L51)</f>
        <v>4915947.4899999993</v>
      </c>
      <c r="M31" s="156">
        <f t="shared" ca="1" si="25"/>
        <v>30.565007852729302</v>
      </c>
      <c r="N31" s="156">
        <f t="shared" ca="1" si="26"/>
        <v>35.382438074673857</v>
      </c>
      <c r="O31" s="157">
        <f ca="1">SUM(O32:O51)</f>
        <v>0</v>
      </c>
      <c r="P31" s="157">
        <f t="shared" ca="1" si="27"/>
        <v>0</v>
      </c>
      <c r="Q31" s="156">
        <f t="shared" ca="1" si="28"/>
        <v>0</v>
      </c>
      <c r="R31" s="339">
        <f t="shared" ref="R31:T31" ca="1" si="37">SUM(R32:R51)</f>
        <v>72275</v>
      </c>
      <c r="S31" s="154">
        <f t="shared" ca="1" si="37"/>
        <v>1505</v>
      </c>
      <c r="T31" s="156">
        <f t="shared" ca="1" si="37"/>
        <v>13921.019999999984</v>
      </c>
      <c r="U31" s="251">
        <f t="shared" ca="1" si="30"/>
        <v>19.261182981667222</v>
      </c>
      <c r="V31" s="339">
        <f t="shared" ref="V31:X31" ca="1" si="38">SUM(V32:V51)</f>
        <v>12380</v>
      </c>
      <c r="W31" s="154">
        <f t="shared" ca="1" si="38"/>
        <v>3541</v>
      </c>
      <c r="X31" s="156">
        <f t="shared" ca="1" si="38"/>
        <v>43142.14</v>
      </c>
      <c r="Y31" s="251">
        <f t="shared" ca="1" si="32"/>
        <v>28.602584814216478</v>
      </c>
      <c r="Z31" s="339">
        <f t="shared" ref="Z31:AB31" ca="1" si="39">SUM(Z32:Z51)</f>
        <v>8150</v>
      </c>
      <c r="AA31" s="154">
        <f t="shared" ca="1" si="39"/>
        <v>1712</v>
      </c>
      <c r="AB31" s="156">
        <f t="shared" ca="1" si="39"/>
        <v>21693.18</v>
      </c>
      <c r="AC31" s="251">
        <f t="shared" ca="1" si="34"/>
        <v>21.006134969325153</v>
      </c>
    </row>
    <row r="32" spans="1:29" ht="21" customHeight="1" x14ac:dyDescent="0.3">
      <c r="A32" s="74">
        <v>1</v>
      </c>
      <c r="B32" s="75" t="s">
        <v>54</v>
      </c>
      <c r="C32" s="174">
        <f t="shared" ca="1" si="21"/>
        <v>632185</v>
      </c>
      <c r="D32" s="175">
        <f t="shared" ref="D32:D51" ca="1" si="40">+E32+F32</f>
        <v>632185</v>
      </c>
      <c r="E32" s="176">
        <f ca="1">IFERROR(__xludf.DUMMYFUNCTION("IMPORTRANGE(""https://docs.google.com/spreadsheets/d/1-uDff_7J0KD5mKrp0Vvzr7lt3OU09vwQwhkpOPPYv2Y/edit?usp=sharing"",""งบพรบ!FD32"")"),250600)</f>
        <v>250600</v>
      </c>
      <c r="F32" s="176">
        <f ca="1">IFERROR(__xludf.DUMMYFUNCTION("IMPORTRANGE(""https://docs.google.com/spreadsheets/d/1-uDff_7J0KD5mKrp0Vvzr7lt3OU09vwQwhkpOPPYv2Y/edit?usp=sharing"",""งบพรบ!FE32"")"),381585)</f>
        <v>381585</v>
      </c>
      <c r="G32" s="177">
        <f ca="1">IFERROR(__xludf.DUMMYFUNCTION("IMPORTRANGE(""https://docs.google.com/spreadsheets/d/1-uDff_7J0KD5mKrp0Vvzr7lt3OU09vwQwhkpOPPYv2Y/edit?usp=sharing"",""งบพรบ!FF32"")"),0)</f>
        <v>0</v>
      </c>
      <c r="H32" s="177">
        <f ca="1">IFERROR(__xludf.DUMMYFUNCTION("IMPORTRANGE(""https://docs.google.com/spreadsheets/d/1-uDff_7J0KD5mKrp0Vvzr7lt3OU09vwQwhkpOPPYv2Y/edit?usp=sharing"",""งบพรบ!FH32"")"),534585)</f>
        <v>534585</v>
      </c>
      <c r="I32" s="177">
        <f ca="1">IFERROR(__xludf.DUMMYFUNCTION("IMPORTRANGE(""https://docs.google.com/spreadsheets/d/1-uDff_7J0KD5mKrp0Vvzr7lt3OU09vwQwhkpOPPYv2Y/edit?usp=sharing"",""งบพรบ!FI32"")"),0)</f>
        <v>0</v>
      </c>
      <c r="J32" s="177">
        <f t="shared" ca="1" si="23"/>
        <v>118480</v>
      </c>
      <c r="K32" s="178">
        <f t="shared" ca="1" si="24"/>
        <v>18.741349446760047</v>
      </c>
      <c r="L32" s="177">
        <f ca="1">IFERROR(__xludf.DUMMYFUNCTION("IMPORTRANGE(""https://docs.google.com/spreadsheets/d/1-uDff_7J0KD5mKrp0Vvzr7lt3OU09vwQwhkpOPPYv2Y/edit?usp=sharing"",""งบพรบ!FJ32"")"),118480)</f>
        <v>118480</v>
      </c>
      <c r="M32" s="179">
        <f t="shared" ca="1" si="25"/>
        <v>18.741349446760047</v>
      </c>
      <c r="N32" s="179">
        <f t="shared" ca="1" si="26"/>
        <v>22.162986241664093</v>
      </c>
      <c r="O32" s="180">
        <f ca="1">IFERROR(__xludf.DUMMYFUNCTION("IMPORTRANGE(""https://docs.google.com/spreadsheets/d/1-uDff_7J0KD5mKrp0Vvzr7lt3OU09vwQwhkpOPPYv2Y/edit?usp=sharing"",""งบพรบ!FK32"")"),0)</f>
        <v>0</v>
      </c>
      <c r="P32" s="180">
        <f t="shared" ca="1" si="27"/>
        <v>0</v>
      </c>
      <c r="Q32" s="179">
        <f t="shared" ca="1" si="28"/>
        <v>0</v>
      </c>
      <c r="R32" s="344">
        <f ca="1">IFERROR(__xludf.DUMMYFUNCTION("IMPORTRANGE(""https://docs.google.com/spreadsheets/d/1yhBcrRPreicbMKl9Bu_Snb2-OcQAF62RKfhTLhJ2eAA/edit?usp=sharing"",""กาฬสินธุ์!I368"")"),2465)</f>
        <v>2465</v>
      </c>
      <c r="S32" s="177">
        <f ca="1">IFERROR(__xludf.DUMMYFUNCTION("IMPORTRANGE(""https://docs.google.com/spreadsheets/d/1yhBcrRPreicbMKl9Bu_Snb2-OcQAF62RKfhTLhJ2eAA/edit?usp=sharing"",""กาฬสินธุ์!J367"")"),75)</f>
        <v>75</v>
      </c>
      <c r="T32" s="345">
        <f ca="1">IFERROR(__xludf.DUMMYFUNCTION("IMPORTRANGE(""https://docs.google.com/spreadsheets/d/1yhBcrRPreicbMKl9Bu_Snb2-OcQAF62RKfhTLhJ2eAA/edit?usp=sharing"",""กาฬสินธุ์!J368"")"),601.089999999999)</f>
        <v>601.08999999999901</v>
      </c>
      <c r="U32" s="259">
        <f t="shared" ca="1" si="30"/>
        <v>24.38498985801213</v>
      </c>
      <c r="V32" s="344">
        <f ca="1">IFERROR(__xludf.DUMMYFUNCTION("IMPORTRANGE(""https://docs.google.com/spreadsheets/d/1yhBcrRPreicbMKl9Bu_Snb2-OcQAF62RKfhTLhJ2eAA/edit?usp=sharing"",""กาฬสินธุ์!I369"")"),457)</f>
        <v>457</v>
      </c>
      <c r="W32" s="177">
        <f ca="1">IFERROR(__xludf.DUMMYFUNCTION("IMPORTRANGE(""https://docs.google.com/spreadsheets/d/1yhBcrRPreicbMKl9Bu_Snb2-OcQAF62RKfhTLhJ2eAA/edit?usp=sharing"",""กาฬสินธุ์!J369"")"),109)</f>
        <v>109</v>
      </c>
      <c r="X32" s="345">
        <f ca="1">IFERROR(__xludf.DUMMYFUNCTION("IMPORTRANGE(""https://docs.google.com/spreadsheets/d/1yhBcrRPreicbMKl9Bu_Snb2-OcQAF62RKfhTLhJ2eAA/edit?usp=sharing"",""กาฬสินธุ์!J370"")"),924.35)</f>
        <v>924.35</v>
      </c>
      <c r="Y32" s="259">
        <f t="shared" ca="1" si="32"/>
        <v>23.851203501094091</v>
      </c>
      <c r="Z32" s="344">
        <f ca="1">IFERROR(__xludf.DUMMYFUNCTION("IMPORTRANGE(""https://docs.google.com/spreadsheets/d/1yhBcrRPreicbMKl9Bu_Snb2-OcQAF62RKfhTLhJ2eAA/edit?usp=sharing"",""กาฬสินธุ์!I371"")"),302)</f>
        <v>302</v>
      </c>
      <c r="AA32" s="177">
        <f ca="1">IFERROR(__xludf.DUMMYFUNCTION("IMPORTRANGE(""https://docs.google.com/spreadsheets/d/1yhBcrRPreicbMKl9Bu_Snb2-OcQAF62RKfhTLhJ2eAA/edit?usp=sharing"",""กาฬสินธุ์!J371"")"),37)</f>
        <v>37</v>
      </c>
      <c r="AB32" s="345">
        <f ca="1">IFERROR(__xludf.DUMMYFUNCTION("IMPORTRANGE(""https://docs.google.com/spreadsheets/d/1yhBcrRPreicbMKl9Bu_Snb2-OcQAF62RKfhTLhJ2eAA/edit?usp=sharing"",""กาฬสินธุ์!J372"")"),335.06)</f>
        <v>335.06</v>
      </c>
      <c r="AC32" s="259">
        <f t="shared" ca="1" si="34"/>
        <v>12.251655629139073</v>
      </c>
    </row>
    <row r="33" spans="1:29" ht="21" customHeight="1" x14ac:dyDescent="0.3">
      <c r="A33" s="84">
        <v>2</v>
      </c>
      <c r="B33" s="85" t="s">
        <v>55</v>
      </c>
      <c r="C33" s="174">
        <f t="shared" ca="1" si="21"/>
        <v>877045</v>
      </c>
      <c r="D33" s="175">
        <f t="shared" ca="1" si="40"/>
        <v>877045</v>
      </c>
      <c r="E33" s="176">
        <f ca="1">IFERROR(__xludf.DUMMYFUNCTION("IMPORTRANGE(""https://docs.google.com/spreadsheets/d/1-uDff_7J0KD5mKrp0Vvzr7lt3OU09vwQwhkpOPPYv2Y/edit?usp=sharing"",""งบพรบ!FD33"")"),301700)</f>
        <v>301700</v>
      </c>
      <c r="F33" s="176">
        <f ca="1">IFERROR(__xludf.DUMMYFUNCTION("IMPORTRANGE(""https://docs.google.com/spreadsheets/d/1-uDff_7J0KD5mKrp0Vvzr7lt3OU09vwQwhkpOPPYv2Y/edit?usp=sharing"",""งบพรบ!FE33"")"),575345)</f>
        <v>575345</v>
      </c>
      <c r="G33" s="176">
        <f ca="1">IFERROR(__xludf.DUMMYFUNCTION("IMPORTRANGE(""https://docs.google.com/spreadsheets/d/1-uDff_7J0KD5mKrp0Vvzr7lt3OU09vwQwhkpOPPYv2Y/edit?usp=sharing"",""งบพรบ!FF33"")"),0)</f>
        <v>0</v>
      </c>
      <c r="H33" s="176">
        <f ca="1">IFERROR(__xludf.DUMMYFUNCTION("IMPORTRANGE(""https://docs.google.com/spreadsheets/d/1-uDff_7J0KD5mKrp0Vvzr7lt3OU09vwQwhkpOPPYv2Y/edit?usp=sharing"",""งบพรบ!FH33"")"),738845)</f>
        <v>738845</v>
      </c>
      <c r="I33" s="176">
        <f ca="1">IFERROR(__xludf.DUMMYFUNCTION("IMPORTRANGE(""https://docs.google.com/spreadsheets/d/1-uDff_7J0KD5mKrp0Vvzr7lt3OU09vwQwhkpOPPYv2Y/edit?usp=sharing"",""งบพรบ!FI33"")"),0)</f>
        <v>0</v>
      </c>
      <c r="J33" s="176">
        <f t="shared" ca="1" si="23"/>
        <v>386748.22</v>
      </c>
      <c r="K33" s="181">
        <f t="shared" ca="1" si="24"/>
        <v>44.096736199396837</v>
      </c>
      <c r="L33" s="176">
        <f ca="1">IFERROR(__xludf.DUMMYFUNCTION("IMPORTRANGE(""https://docs.google.com/spreadsheets/d/1-uDff_7J0KD5mKrp0Vvzr7lt3OU09vwQwhkpOPPYv2Y/edit?usp=sharing"",""งบพรบ!FJ33"")"),386748.22)</f>
        <v>386748.22</v>
      </c>
      <c r="M33" s="179">
        <f t="shared" ca="1" si="25"/>
        <v>44.096736199396837</v>
      </c>
      <c r="N33" s="179">
        <f t="shared" ca="1" si="26"/>
        <v>52.344973573618283</v>
      </c>
      <c r="O33" s="180">
        <f ca="1">IFERROR(__xludf.DUMMYFUNCTION("IMPORTRANGE(""https://docs.google.com/spreadsheets/d/1-uDff_7J0KD5mKrp0Vvzr7lt3OU09vwQwhkpOPPYv2Y/edit?usp=sharing"",""งบพรบ!FK33"")"),0)</f>
        <v>0</v>
      </c>
      <c r="P33" s="180">
        <f t="shared" ca="1" si="27"/>
        <v>0</v>
      </c>
      <c r="Q33" s="179">
        <f t="shared" ca="1" si="28"/>
        <v>0</v>
      </c>
      <c r="R33" s="346">
        <f ca="1">IFERROR(__xludf.DUMMYFUNCTION("IMPORTRANGE(""https://docs.google.com/spreadsheets/d/1aHkj4IaQMThhwWwevcOymEh837vdxeC_PycurhTbGFA/edit?usp=sharing"",""ขอนแก่น!I368"")"),3505)</f>
        <v>3505</v>
      </c>
      <c r="S33" s="177">
        <f ca="1">IFERROR(__xludf.DUMMYFUNCTION("IMPORTRANGE(""https://docs.google.com/spreadsheets/d/1aHkj4IaQMThhwWwevcOymEh837vdxeC_PycurhTbGFA/edit?usp=sharing"",""ขอนแก่น!J367"")"),62)</f>
        <v>62</v>
      </c>
      <c r="T33" s="345">
        <f ca="1">IFERROR(__xludf.DUMMYFUNCTION("IMPORTRANGE(""https://docs.google.com/spreadsheets/d/1aHkj4IaQMThhwWwevcOymEh837vdxeC_PycurhTbGFA/edit?usp=sharing"",""ขอนแก่น!J368"")"),671.709999999999)</f>
        <v>671.70999999999901</v>
      </c>
      <c r="U33" s="259">
        <f t="shared" ca="1" si="30"/>
        <v>19.164336661911527</v>
      </c>
      <c r="V33" s="346">
        <f ca="1">IFERROR(__xludf.DUMMYFUNCTION("IMPORTRANGE(""https://docs.google.com/spreadsheets/d/1aHkj4IaQMThhwWwevcOymEh837vdxeC_PycurhTbGFA/edit?usp=sharing"",""ขอนแก่น!I369"")"),551)</f>
        <v>551</v>
      </c>
      <c r="W33" s="177">
        <f ca="1">IFERROR(__xludf.DUMMYFUNCTION("IMPORTRANGE(""https://docs.google.com/spreadsheets/d/1aHkj4IaQMThhwWwevcOymEh837vdxeC_PycurhTbGFA/edit?usp=sharing"",""ขอนแก่น!J369"")"),375)</f>
        <v>375</v>
      </c>
      <c r="X33" s="345">
        <f ca="1">IFERROR(__xludf.DUMMYFUNCTION("IMPORTRANGE(""https://docs.google.com/spreadsheets/d/1aHkj4IaQMThhwWwevcOymEh837vdxeC_PycurhTbGFA/edit?usp=sharing"",""ขอนแก่น!J370"")"),4355.84)</f>
        <v>4355.84</v>
      </c>
      <c r="Y33" s="259">
        <f t="shared" ca="1" si="32"/>
        <v>68.058076225045369</v>
      </c>
      <c r="Z33" s="346">
        <f ca="1">IFERROR(__xludf.DUMMYFUNCTION("IMPORTRANGE(""https://docs.google.com/spreadsheets/d/1aHkj4IaQMThhwWwevcOymEh837vdxeC_PycurhTbGFA/edit?usp=sharing"",""ขอนแก่น!I371"")"),354)</f>
        <v>354</v>
      </c>
      <c r="AA33" s="177">
        <f ca="1">IFERROR(__xludf.DUMMYFUNCTION("IMPORTRANGE(""https://docs.google.com/spreadsheets/d/1aHkj4IaQMThhwWwevcOymEh837vdxeC_PycurhTbGFA/edit?usp=sharing"",""ขอนแก่น!J371"")"),181)</f>
        <v>181</v>
      </c>
      <c r="AB33" s="345">
        <f ca="1">IFERROR(__xludf.DUMMYFUNCTION("IMPORTRANGE(""https://docs.google.com/spreadsheets/d/1aHkj4IaQMThhwWwevcOymEh837vdxeC_PycurhTbGFA/edit?usp=sharing"",""ขอนแก่น!J372"")"),2288.78)</f>
        <v>2288.7800000000002</v>
      </c>
      <c r="AC33" s="259">
        <f t="shared" ca="1" si="34"/>
        <v>51.129943502824858</v>
      </c>
    </row>
    <row r="34" spans="1:29" ht="21" customHeight="1" x14ac:dyDescent="0.3">
      <c r="A34" s="84">
        <v>3</v>
      </c>
      <c r="B34" s="85" t="s">
        <v>56</v>
      </c>
      <c r="C34" s="174">
        <f t="shared" ca="1" si="21"/>
        <v>946430</v>
      </c>
      <c r="D34" s="175">
        <f t="shared" ca="1" si="40"/>
        <v>946430</v>
      </c>
      <c r="E34" s="176">
        <f ca="1">IFERROR(__xludf.DUMMYFUNCTION("IMPORTRANGE(""https://docs.google.com/spreadsheets/d/1-uDff_7J0KD5mKrp0Vvzr7lt3OU09vwQwhkpOPPYv2Y/edit?usp=sharing"",""งบพรบ!FD34"")"),383600)</f>
        <v>383600</v>
      </c>
      <c r="F34" s="176">
        <f ca="1">IFERROR(__xludf.DUMMYFUNCTION("IMPORTRANGE(""https://docs.google.com/spreadsheets/d/1-uDff_7J0KD5mKrp0Vvzr7lt3OU09vwQwhkpOPPYv2Y/edit?usp=sharing"",""งบพรบ!FE34"")"),562830)</f>
        <v>562830</v>
      </c>
      <c r="G34" s="176">
        <f ca="1">IFERROR(__xludf.DUMMYFUNCTION("IMPORTRANGE(""https://docs.google.com/spreadsheets/d/1-uDff_7J0KD5mKrp0Vvzr7lt3OU09vwQwhkpOPPYv2Y/edit?usp=sharing"",""งบพรบ!FF34"")"),0)</f>
        <v>0</v>
      </c>
      <c r="H34" s="176">
        <f ca="1">IFERROR(__xludf.DUMMYFUNCTION("IMPORTRANGE(""https://docs.google.com/spreadsheets/d/1-uDff_7J0KD5mKrp0Vvzr7lt3OU09vwQwhkpOPPYv2Y/edit?usp=sharing"",""งบพรบ!FH34"")"),815905)</f>
        <v>815905</v>
      </c>
      <c r="I34" s="176">
        <f ca="1">IFERROR(__xludf.DUMMYFUNCTION("IMPORTRANGE(""https://docs.google.com/spreadsheets/d/1-uDff_7J0KD5mKrp0Vvzr7lt3OU09vwQwhkpOPPYv2Y/edit?usp=sharing"",""งบพรบ!FI34"")"),0)</f>
        <v>0</v>
      </c>
      <c r="J34" s="176">
        <f t="shared" ca="1" si="23"/>
        <v>124221.1</v>
      </c>
      <c r="K34" s="181">
        <f t="shared" ca="1" si="24"/>
        <v>13.125228490221147</v>
      </c>
      <c r="L34" s="176">
        <f ca="1">IFERROR(__xludf.DUMMYFUNCTION("IMPORTRANGE(""https://docs.google.com/spreadsheets/d/1-uDff_7J0KD5mKrp0Vvzr7lt3OU09vwQwhkpOPPYv2Y/edit?usp=sharing"",""งบพรบ!FJ34"")"),124221.1)</f>
        <v>124221.1</v>
      </c>
      <c r="M34" s="179">
        <f t="shared" ca="1" si="25"/>
        <v>13.125228490221147</v>
      </c>
      <c r="N34" s="179">
        <f t="shared" ca="1" si="26"/>
        <v>15.22494653176534</v>
      </c>
      <c r="O34" s="180">
        <f ca="1">IFERROR(__xludf.DUMMYFUNCTION("IMPORTRANGE(""https://docs.google.com/spreadsheets/d/1-uDff_7J0KD5mKrp0Vvzr7lt3OU09vwQwhkpOPPYv2Y/edit?usp=sharing"",""งบพรบ!FK34"")"),0)</f>
        <v>0</v>
      </c>
      <c r="P34" s="180">
        <f t="shared" ca="1" si="27"/>
        <v>0</v>
      </c>
      <c r="Q34" s="179">
        <f t="shared" ca="1" si="28"/>
        <v>0</v>
      </c>
      <c r="R34" s="344">
        <f ca="1">IFERROR(__xludf.DUMMYFUNCTION("IMPORTRANGE(""https://docs.google.com/spreadsheets/d/1FvTu2DsIWUjP6WCWra38Bkj_oOl_sOMf14r5Fg5srxU/edit?usp=sharing"",""ชัยภูมิ!I368"")"),3405)</f>
        <v>3405</v>
      </c>
      <c r="S34" s="177">
        <f ca="1">IFERROR(__xludf.DUMMYFUNCTION("IMPORTRANGE(""https://docs.google.com/spreadsheets/d/1FvTu2DsIWUjP6WCWra38Bkj_oOl_sOMf14r5Fg5srxU/edit?usp=sharing"",""ชัยภูมิ!J367"")"),13)</f>
        <v>13</v>
      </c>
      <c r="T34" s="345">
        <f ca="1">IFERROR(__xludf.DUMMYFUNCTION("IMPORTRANGE(""https://docs.google.com/spreadsheets/d/1FvTu2DsIWUjP6WCWra38Bkj_oOl_sOMf14r5Fg5srxU/edit?usp=sharing"",""ชัยภูมิ!J368"")"),122.419999999999)</f>
        <v>122.41999999999901</v>
      </c>
      <c r="U34" s="259">
        <f t="shared" ca="1" si="30"/>
        <v>3.5953010279001174</v>
      </c>
      <c r="V34" s="344">
        <f ca="1">IFERROR(__xludf.DUMMYFUNCTION("IMPORTRANGE(""https://docs.google.com/spreadsheets/d/1FvTu2DsIWUjP6WCWra38Bkj_oOl_sOMf14r5Fg5srxU/edit?usp=sharing"",""ชัยภูมิ!I369"")"),591)</f>
        <v>591</v>
      </c>
      <c r="W34" s="177">
        <f ca="1">IFERROR(__xludf.DUMMYFUNCTION("IMPORTRANGE(""https://docs.google.com/spreadsheets/d/1FvTu2DsIWUjP6WCWra38Bkj_oOl_sOMf14r5Fg5srxU/edit?usp=sharing"",""ชัยภูมิ!J369"")"),128)</f>
        <v>128</v>
      </c>
      <c r="X34" s="345">
        <f ca="1">IFERROR(__xludf.DUMMYFUNCTION("IMPORTRANGE(""https://docs.google.com/spreadsheets/d/1FvTu2DsIWUjP6WCWra38Bkj_oOl_sOMf14r5Fg5srxU/edit?usp=sharing"",""ชัยภูมิ!J370"")"),1907.37)</f>
        <v>1907.37</v>
      </c>
      <c r="Y34" s="259">
        <f t="shared" ca="1" si="32"/>
        <v>21.658206429780034</v>
      </c>
      <c r="Z34" s="344">
        <f ca="1">IFERROR(__xludf.DUMMYFUNCTION("IMPORTRANGE(""https://docs.google.com/spreadsheets/d/1FvTu2DsIWUjP6WCWra38Bkj_oOl_sOMf14r5Fg5srxU/edit?usp=sharing"",""ชัยภูมิ!I371"")"),385)</f>
        <v>385</v>
      </c>
      <c r="AA34" s="177">
        <f ca="1">IFERROR(__xludf.DUMMYFUNCTION("IMPORTRANGE(""https://docs.google.com/spreadsheets/d/1FvTu2DsIWUjP6WCWra38Bkj_oOl_sOMf14r5Fg5srxU/edit?usp=sharing"",""ชัยภูมิ!J371"")"),126)</f>
        <v>126</v>
      </c>
      <c r="AB34" s="345">
        <f ca="1">IFERROR(__xludf.DUMMYFUNCTION("IMPORTRANGE(""https://docs.google.com/spreadsheets/d/1FvTu2DsIWUjP6WCWra38Bkj_oOl_sOMf14r5Fg5srxU/edit?usp=sharing"",""ชัยภูมิ!J372"")"),1845.24)</f>
        <v>1845.24</v>
      </c>
      <c r="AC34" s="259">
        <f t="shared" ca="1" si="34"/>
        <v>32.727272727272727</v>
      </c>
    </row>
    <row r="35" spans="1:29" ht="21" customHeight="1" x14ac:dyDescent="0.3">
      <c r="A35" s="84">
        <v>4</v>
      </c>
      <c r="B35" s="85" t="s">
        <v>57</v>
      </c>
      <c r="C35" s="174">
        <f t="shared" ca="1" si="21"/>
        <v>481855</v>
      </c>
      <c r="D35" s="175">
        <f t="shared" ca="1" si="40"/>
        <v>481855</v>
      </c>
      <c r="E35" s="176">
        <f ca="1">IFERROR(__xludf.DUMMYFUNCTION("IMPORTRANGE(""https://docs.google.com/spreadsheets/d/1-uDff_7J0KD5mKrp0Vvzr7lt3OU09vwQwhkpOPPYv2Y/edit?usp=sharing"",""งบพรบ!FD35"")"),224000)</f>
        <v>224000</v>
      </c>
      <c r="F35" s="176">
        <f ca="1">IFERROR(__xludf.DUMMYFUNCTION("IMPORTRANGE(""https://docs.google.com/spreadsheets/d/1-uDff_7J0KD5mKrp0Vvzr7lt3OU09vwQwhkpOPPYv2Y/edit?usp=sharing"",""งบพรบ!FE35"")"),257855)</f>
        <v>257855</v>
      </c>
      <c r="G35" s="176">
        <f ca="1">IFERROR(__xludf.DUMMYFUNCTION("IMPORTRANGE(""https://docs.google.com/spreadsheets/d/1-uDff_7J0KD5mKrp0Vvzr7lt3OU09vwQwhkpOPPYv2Y/edit?usp=sharing"",""งบพรบ!FF35"")"),0)</f>
        <v>0</v>
      </c>
      <c r="H35" s="176">
        <f ca="1">IFERROR(__xludf.DUMMYFUNCTION("IMPORTRANGE(""https://docs.google.com/spreadsheets/d/1-uDff_7J0KD5mKrp0Vvzr7lt3OU09vwQwhkpOPPYv2Y/edit?usp=sharing"",""งบพรบ!FH35"")"),391855)</f>
        <v>391855</v>
      </c>
      <c r="I35" s="176">
        <f ca="1">IFERROR(__xludf.DUMMYFUNCTION("IMPORTRANGE(""https://docs.google.com/spreadsheets/d/1-uDff_7J0KD5mKrp0Vvzr7lt3OU09vwQwhkpOPPYv2Y/edit?usp=sharing"",""งบพรบ!FI35"")"),0)</f>
        <v>0</v>
      </c>
      <c r="J35" s="176">
        <f t="shared" ca="1" si="23"/>
        <v>147250</v>
      </c>
      <c r="K35" s="181">
        <f t="shared" ca="1" si="24"/>
        <v>30.558985586950431</v>
      </c>
      <c r="L35" s="176">
        <f ca="1">IFERROR(__xludf.DUMMYFUNCTION("IMPORTRANGE(""https://docs.google.com/spreadsheets/d/1-uDff_7J0KD5mKrp0Vvzr7lt3OU09vwQwhkpOPPYv2Y/edit?usp=sharing"",""งบพรบ!FJ35"")"),147250)</f>
        <v>147250</v>
      </c>
      <c r="M35" s="179">
        <f t="shared" ca="1" si="25"/>
        <v>30.558985586950431</v>
      </c>
      <c r="N35" s="179">
        <f t="shared" ca="1" si="26"/>
        <v>37.5776754156512</v>
      </c>
      <c r="O35" s="180">
        <f ca="1">IFERROR(__xludf.DUMMYFUNCTION("IMPORTRANGE(""https://docs.google.com/spreadsheets/d/1-uDff_7J0KD5mKrp0Vvzr7lt3OU09vwQwhkpOPPYv2Y/edit?usp=sharing"",""งบพรบ!FK35"")"),0)</f>
        <v>0</v>
      </c>
      <c r="P35" s="180">
        <f t="shared" ca="1" si="27"/>
        <v>0</v>
      </c>
      <c r="Q35" s="179">
        <f t="shared" ca="1" si="28"/>
        <v>0</v>
      </c>
      <c r="R35" s="344">
        <f ca="1">IFERROR(__xludf.DUMMYFUNCTION("IMPORTRANGE(""https://docs.google.com/spreadsheets/d/1XVB7oCJ3pr-vBUdflwPQ8Z2LlzhnCvZaaYjAfP-647E/edit?usp=sharing"",""นครพนม!I368"")"),1335)</f>
        <v>1335</v>
      </c>
      <c r="S35" s="177">
        <f ca="1">IFERROR(__xludf.DUMMYFUNCTION("IMPORTRANGE(""https://docs.google.com/spreadsheets/d/1XVB7oCJ3pr-vBUdflwPQ8Z2LlzhnCvZaaYjAfP-647E/edit?usp=sharing"",""นครพนม!J367"")"),0)</f>
        <v>0</v>
      </c>
      <c r="T35" s="345">
        <f ca="1">IFERROR(__xludf.DUMMYFUNCTION("IMPORTRANGE(""https://docs.google.com/spreadsheets/d/1XVB7oCJ3pr-vBUdflwPQ8Z2LlzhnCvZaaYjAfP-647E/edit?usp=sharing"",""นครพนม!J368"")"),0)</f>
        <v>0</v>
      </c>
      <c r="U35" s="259">
        <f t="shared" ca="1" si="30"/>
        <v>0</v>
      </c>
      <c r="V35" s="344">
        <f ca="1">IFERROR(__xludf.DUMMYFUNCTION("IMPORTRANGE(""https://docs.google.com/spreadsheets/d/1XVB7oCJ3pr-vBUdflwPQ8Z2LlzhnCvZaaYjAfP-647E/edit?usp=sharing"",""นครพนม!I369"")"),231)</f>
        <v>231</v>
      </c>
      <c r="W35" s="177">
        <f ca="1">IFERROR(__xludf.DUMMYFUNCTION("IMPORTRANGE(""https://docs.google.com/spreadsheets/d/1XVB7oCJ3pr-vBUdflwPQ8Z2LlzhnCvZaaYjAfP-647E/edit?usp=sharing"",""นครพนม!J369"")"),125)</f>
        <v>125</v>
      </c>
      <c r="X35" s="345">
        <f ca="1">IFERROR(__xludf.DUMMYFUNCTION("IMPORTRANGE(""https://docs.google.com/spreadsheets/d/1XVB7oCJ3pr-vBUdflwPQ8Z2LlzhnCvZaaYjAfP-647E/edit?usp=sharing"",""นครพนม!J370"")"),1508.39)</f>
        <v>1508.39</v>
      </c>
      <c r="Y35" s="259">
        <f t="shared" ca="1" si="32"/>
        <v>54.112554112554115</v>
      </c>
      <c r="Z35" s="344">
        <f ca="1">IFERROR(__xludf.DUMMYFUNCTION("IMPORTRANGE(""https://docs.google.com/spreadsheets/d/1XVB7oCJ3pr-vBUdflwPQ8Z2LlzhnCvZaaYjAfP-647E/edit?usp=sharing"",""นครพนม!I371"")"),153)</f>
        <v>153</v>
      </c>
      <c r="AA35" s="177">
        <f ca="1">IFERROR(__xludf.DUMMYFUNCTION("IMPORTRANGE(""https://docs.google.com/spreadsheets/d/1XVB7oCJ3pr-vBUdflwPQ8Z2LlzhnCvZaaYjAfP-647E/edit?usp=sharing"",""นครพนม!J371"")"),126)</f>
        <v>126</v>
      </c>
      <c r="AB35" s="345">
        <f ca="1">IFERROR(__xludf.DUMMYFUNCTION("IMPORTRANGE(""https://docs.google.com/spreadsheets/d/1XVB7oCJ3pr-vBUdflwPQ8Z2LlzhnCvZaaYjAfP-647E/edit?usp=sharing"",""นครพนม!J372"")"),1511.89)</f>
        <v>1511.89</v>
      </c>
      <c r="AC35" s="259">
        <f t="shared" ca="1" si="34"/>
        <v>82.352941176470594</v>
      </c>
    </row>
    <row r="36" spans="1:29" ht="21" customHeight="1" x14ac:dyDescent="0.3">
      <c r="A36" s="84">
        <v>5</v>
      </c>
      <c r="B36" s="85" t="s">
        <v>58</v>
      </c>
      <c r="C36" s="174">
        <f t="shared" ca="1" si="21"/>
        <v>1332925</v>
      </c>
      <c r="D36" s="175">
        <f t="shared" ca="1" si="40"/>
        <v>1332925</v>
      </c>
      <c r="E36" s="176">
        <f ca="1">IFERROR(__xludf.DUMMYFUNCTION("IMPORTRANGE(""https://docs.google.com/spreadsheets/d/1-uDff_7J0KD5mKrp0Vvzr7lt3OU09vwQwhkpOPPYv2Y/edit?usp=sharing"",""งบพรบ!FD36"")"),199500)</f>
        <v>199500</v>
      </c>
      <c r="F36" s="176">
        <f ca="1">IFERROR(__xludf.DUMMYFUNCTION("IMPORTRANGE(""https://docs.google.com/spreadsheets/d/1-uDff_7J0KD5mKrp0Vvzr7lt3OU09vwQwhkpOPPYv2Y/edit?usp=sharing"",""งบพรบ!FE36"")"),1133425)</f>
        <v>1133425</v>
      </c>
      <c r="G36" s="176">
        <f ca="1">IFERROR(__xludf.DUMMYFUNCTION("IMPORTRANGE(""https://docs.google.com/spreadsheets/d/1-uDff_7J0KD5mKrp0Vvzr7lt3OU09vwQwhkpOPPYv2Y/edit?usp=sharing"",""งบพรบ!FF36"")"),0)</f>
        <v>0</v>
      </c>
      <c r="H36" s="176">
        <f ca="1">IFERROR(__xludf.DUMMYFUNCTION("IMPORTRANGE(""https://docs.google.com/spreadsheets/d/1-uDff_7J0KD5mKrp0Vvzr7lt3OU09vwQwhkpOPPYv2Y/edit?usp=sharing"",""งบพรบ!FH36"")"),1197925)</f>
        <v>1197925</v>
      </c>
      <c r="I36" s="176">
        <f ca="1">IFERROR(__xludf.DUMMYFUNCTION("IMPORTRANGE(""https://docs.google.com/spreadsheets/d/1-uDff_7J0KD5mKrp0Vvzr7lt3OU09vwQwhkpOPPYv2Y/edit?usp=sharing"",""งบพรบ!FI36"")"),0)</f>
        <v>0</v>
      </c>
      <c r="J36" s="176">
        <f t="shared" ca="1" si="23"/>
        <v>703852.77</v>
      </c>
      <c r="K36" s="181">
        <f t="shared" ca="1" si="24"/>
        <v>52.805129320854512</v>
      </c>
      <c r="L36" s="176">
        <f ca="1">IFERROR(__xludf.DUMMYFUNCTION("IMPORTRANGE(""https://docs.google.com/spreadsheets/d/1-uDff_7J0KD5mKrp0Vvzr7lt3OU09vwQwhkpOPPYv2Y/edit?usp=sharing"",""งบพรบ!FJ36"")"),703852.77)</f>
        <v>703852.77</v>
      </c>
      <c r="M36" s="179">
        <f t="shared" ca="1" si="25"/>
        <v>52.805129320854512</v>
      </c>
      <c r="N36" s="179">
        <f t="shared" ca="1" si="26"/>
        <v>58.755996410459751</v>
      </c>
      <c r="O36" s="180">
        <f ca="1">IFERROR(__xludf.DUMMYFUNCTION("IMPORTRANGE(""https://docs.google.com/spreadsheets/d/1-uDff_7J0KD5mKrp0Vvzr7lt3OU09vwQwhkpOPPYv2Y/edit?usp=sharing"",""งบพรบ!FK36"")"),0)</f>
        <v>0</v>
      </c>
      <c r="P36" s="180">
        <f t="shared" ca="1" si="27"/>
        <v>0</v>
      </c>
      <c r="Q36" s="179">
        <f t="shared" ca="1" si="28"/>
        <v>0</v>
      </c>
      <c r="R36" s="344">
        <f ca="1">IFERROR(__xludf.DUMMYFUNCTION("IMPORTRANGE(""https://docs.google.com/spreadsheets/d/1Mnpb-8PYAgn85W6KOTD40hc_Xc55CaLfHoGAbrZ8tls/edit?usp=sharing"",""นครราชสีมา!I368"")"),8205)</f>
        <v>8205</v>
      </c>
      <c r="S36" s="177">
        <f ca="1">IFERROR(__xludf.DUMMYFUNCTION("IMPORTRANGE(""https://docs.google.com/spreadsheets/d/1Mnpb-8PYAgn85W6KOTD40hc_Xc55CaLfHoGAbrZ8tls/edit?usp=sharing"",""นครราชสีมา!J367"")"),331)</f>
        <v>331</v>
      </c>
      <c r="T36" s="345">
        <f ca="1">IFERROR(__xludf.DUMMYFUNCTION("IMPORTRANGE(""https://docs.google.com/spreadsheets/d/1Mnpb-8PYAgn85W6KOTD40hc_Xc55CaLfHoGAbrZ8tls/edit?usp=sharing"",""นครราชสีมา!J368"")"),3527.77)</f>
        <v>3527.77</v>
      </c>
      <c r="U36" s="259">
        <f t="shared" ca="1" si="30"/>
        <v>42.995368677635589</v>
      </c>
      <c r="V36" s="344">
        <f ca="1">IFERROR(__xludf.DUMMYFUNCTION("IMPORTRANGE(""https://docs.google.com/spreadsheets/d/1Mnpb-8PYAgn85W6KOTD40hc_Xc55CaLfHoGAbrZ8tls/edit?usp=sharing"",""นครราชสีมา!I369"")"),1241)</f>
        <v>1241</v>
      </c>
      <c r="W36" s="177">
        <f ca="1">IFERROR(__xludf.DUMMYFUNCTION("IMPORTRANGE(""https://docs.google.com/spreadsheets/d/1Mnpb-8PYAgn85W6KOTD40hc_Xc55CaLfHoGAbrZ8tls/edit?usp=sharing"",""นครราชสีมา!J369"")"),530)</f>
        <v>530</v>
      </c>
      <c r="X36" s="345">
        <f ca="1">IFERROR(__xludf.DUMMYFUNCTION("IMPORTRANGE(""https://docs.google.com/spreadsheets/d/1Mnpb-8PYAgn85W6KOTD40hc_Xc55CaLfHoGAbrZ8tls/edit?usp=sharing"",""นครราชสีมา!J370"")"),7133.06)</f>
        <v>7133.06</v>
      </c>
      <c r="Y36" s="259">
        <f t="shared" ca="1" si="32"/>
        <v>42.707493956486701</v>
      </c>
      <c r="Z36" s="344">
        <f ca="1">IFERROR(__xludf.DUMMYFUNCTION("IMPORTRANGE(""https://docs.google.com/spreadsheets/d/1Mnpb-8PYAgn85W6KOTD40hc_Xc55CaLfHoGAbrZ8tls/edit?usp=sharing"",""นครราชสีมา!I371"")"),818)</f>
        <v>818</v>
      </c>
      <c r="AA36" s="177">
        <f ca="1">IFERROR(__xludf.DUMMYFUNCTION("IMPORTRANGE(""https://docs.google.com/spreadsheets/d/1Mnpb-8PYAgn85W6KOTD40hc_Xc55CaLfHoGAbrZ8tls/edit?usp=sharing"",""นครราชสีมา!J371"")"),287)</f>
        <v>287</v>
      </c>
      <c r="AB36" s="345">
        <f ca="1">IFERROR(__xludf.DUMMYFUNCTION("IMPORTRANGE(""https://docs.google.com/spreadsheets/d/1Mnpb-8PYAgn85W6KOTD40hc_Xc55CaLfHoGAbrZ8tls/edit?usp=sharing"",""นครราชสีมา!J372"")"),4208.88)</f>
        <v>4208.88</v>
      </c>
      <c r="AC36" s="259">
        <f t="shared" ca="1" si="34"/>
        <v>35.085574572127136</v>
      </c>
    </row>
    <row r="37" spans="1:29" ht="21" customHeight="1" x14ac:dyDescent="0.3">
      <c r="A37" s="84">
        <v>6</v>
      </c>
      <c r="B37" s="85" t="s">
        <v>59</v>
      </c>
      <c r="C37" s="174">
        <f t="shared" ca="1" si="21"/>
        <v>773740</v>
      </c>
      <c r="D37" s="175">
        <f t="shared" ca="1" si="40"/>
        <v>773740</v>
      </c>
      <c r="E37" s="176">
        <f ca="1">IFERROR(__xludf.DUMMYFUNCTION("IMPORTRANGE(""https://docs.google.com/spreadsheets/d/1-uDff_7J0KD5mKrp0Vvzr7lt3OU09vwQwhkpOPPYv2Y/edit?usp=sharing"",""งบพรบ!FD37"")"),117600)</f>
        <v>117600</v>
      </c>
      <c r="F37" s="176">
        <f ca="1">IFERROR(__xludf.DUMMYFUNCTION("IMPORTRANGE(""https://docs.google.com/spreadsheets/d/1-uDff_7J0KD5mKrp0Vvzr7lt3OU09vwQwhkpOPPYv2Y/edit?usp=sharing"",""งบพรบ!FE37"")"),656140)</f>
        <v>656140</v>
      </c>
      <c r="G37" s="176">
        <f ca="1">IFERROR(__xludf.DUMMYFUNCTION("IMPORTRANGE(""https://docs.google.com/spreadsheets/d/1-uDff_7J0KD5mKrp0Vvzr7lt3OU09vwQwhkpOPPYv2Y/edit?usp=sharing"",""งบพรบ!FF37"")"),0)</f>
        <v>0</v>
      </c>
      <c r="H37" s="176">
        <f ca="1">IFERROR(__xludf.DUMMYFUNCTION("IMPORTRANGE(""https://docs.google.com/spreadsheets/d/1-uDff_7J0KD5mKrp0Vvzr7lt3OU09vwQwhkpOPPYv2Y/edit?usp=sharing"",""งบพรบ!FH37"")"),729795)</f>
        <v>729795</v>
      </c>
      <c r="I37" s="176">
        <f ca="1">IFERROR(__xludf.DUMMYFUNCTION("IMPORTRANGE(""https://docs.google.com/spreadsheets/d/1-uDff_7J0KD5mKrp0Vvzr7lt3OU09vwQwhkpOPPYv2Y/edit?usp=sharing"",""งบพรบ!FI37"")"),0)</f>
        <v>0</v>
      </c>
      <c r="J37" s="176">
        <f t="shared" ca="1" si="23"/>
        <v>200487</v>
      </c>
      <c r="K37" s="181">
        <f t="shared" ca="1" si="24"/>
        <v>25.911417271951819</v>
      </c>
      <c r="L37" s="176">
        <f ca="1">IFERROR(__xludf.DUMMYFUNCTION("IMPORTRANGE(""https://docs.google.com/spreadsheets/d/1-uDff_7J0KD5mKrp0Vvzr7lt3OU09vwQwhkpOPPYv2Y/edit?usp=sharing"",""งบพรบ!FJ37"")"),200487)</f>
        <v>200487</v>
      </c>
      <c r="M37" s="179">
        <f t="shared" ca="1" si="25"/>
        <v>25.911417271951819</v>
      </c>
      <c r="N37" s="179">
        <f t="shared" ca="1" si="26"/>
        <v>27.471687254640003</v>
      </c>
      <c r="O37" s="180">
        <f ca="1">IFERROR(__xludf.DUMMYFUNCTION("IMPORTRANGE(""https://docs.google.com/spreadsheets/d/1-uDff_7J0KD5mKrp0Vvzr7lt3OU09vwQwhkpOPPYv2Y/edit?usp=sharing"",""งบพรบ!FK37"")"),0)</f>
        <v>0</v>
      </c>
      <c r="P37" s="180">
        <f t="shared" ca="1" si="27"/>
        <v>0</v>
      </c>
      <c r="Q37" s="179">
        <f t="shared" ca="1" si="28"/>
        <v>0</v>
      </c>
      <c r="R37" s="344">
        <f ca="1">IFERROR(__xludf.DUMMYFUNCTION("IMPORTRANGE(""https://docs.google.com/spreadsheets/d/1xoDLGBv9CYbyosIhki0kTq6IpYNj-gpjxfobnaDiut0/edit?usp=sharing"",""บึงกาฬ!I368"")"),4310)</f>
        <v>4310</v>
      </c>
      <c r="S37" s="177">
        <f ca="1">IFERROR(__xludf.DUMMYFUNCTION("IMPORTRANGE(""https://docs.google.com/spreadsheets/d/1xoDLGBv9CYbyosIhki0kTq6IpYNj-gpjxfobnaDiut0/edit?usp=sharing"",""บึงกาฬ!J367"")"),59)</f>
        <v>59</v>
      </c>
      <c r="T37" s="345">
        <f ca="1">IFERROR(__xludf.DUMMYFUNCTION("IMPORTRANGE(""https://docs.google.com/spreadsheets/d/1xoDLGBv9CYbyosIhki0kTq6IpYNj-gpjxfobnaDiut0/edit?usp=sharing"",""บึงกาฬ!J368"")"),532.45)</f>
        <v>532.45000000000005</v>
      </c>
      <c r="U37" s="259">
        <f t="shared" ca="1" si="30"/>
        <v>12.353828306264504</v>
      </c>
      <c r="V37" s="344">
        <f ca="1">IFERROR(__xludf.DUMMYFUNCTION("IMPORTRANGE(""https://docs.google.com/spreadsheets/d/1xoDLGBv9CYbyosIhki0kTq6IpYNj-gpjxfobnaDiut0/edit?usp=sharing"",""บึงกาฬ!I369"")"),817)</f>
        <v>817</v>
      </c>
      <c r="W37" s="177">
        <f ca="1">IFERROR(__xludf.DUMMYFUNCTION("IMPORTRANGE(""https://docs.google.com/spreadsheets/d/1xoDLGBv9CYbyosIhki0kTq6IpYNj-gpjxfobnaDiut0/edit?usp=sharing"",""บึงกาฬ!J369"")"),33)</f>
        <v>33</v>
      </c>
      <c r="X37" s="345">
        <f ca="1">IFERROR(__xludf.DUMMYFUNCTION("IMPORTRANGE(""https://docs.google.com/spreadsheets/d/1xoDLGBv9CYbyosIhki0kTq6IpYNj-gpjxfobnaDiut0/edit?usp=sharing"",""บึงกาฬ!J370"")"),692.75)</f>
        <v>692.75</v>
      </c>
      <c r="Y37" s="259">
        <f t="shared" ca="1" si="32"/>
        <v>4.0391676866585069</v>
      </c>
      <c r="Z37" s="344">
        <f ca="1">IFERROR(__xludf.DUMMYFUNCTION("IMPORTRANGE(""https://docs.google.com/spreadsheets/d/1xoDLGBv9CYbyosIhki0kTq6IpYNj-gpjxfobnaDiut0/edit?usp=sharing"",""บึงกาฬ!I371"")"),535)</f>
        <v>535</v>
      </c>
      <c r="AA37" s="177">
        <f ca="1">IFERROR(__xludf.DUMMYFUNCTION("IMPORTRANGE(""https://docs.google.com/spreadsheets/d/1xoDLGBv9CYbyosIhki0kTq6IpYNj-gpjxfobnaDiut0/edit?usp=sharing"",""บึงกาฬ!J371"")"),0)</f>
        <v>0</v>
      </c>
      <c r="AB37" s="345">
        <f ca="1">IFERROR(__xludf.DUMMYFUNCTION("IMPORTRANGE(""https://docs.google.com/spreadsheets/d/1xoDLGBv9CYbyosIhki0kTq6IpYNj-gpjxfobnaDiut0/edit?usp=sharing"",""บึงกาฬ!J372"")"),0)</f>
        <v>0</v>
      </c>
      <c r="AC37" s="259">
        <f t="shared" ca="1" si="34"/>
        <v>0</v>
      </c>
    </row>
    <row r="38" spans="1:29" ht="21" customHeight="1" x14ac:dyDescent="0.3">
      <c r="A38" s="84">
        <v>7</v>
      </c>
      <c r="B38" s="85" t="s">
        <v>60</v>
      </c>
      <c r="C38" s="174">
        <f t="shared" ca="1" si="21"/>
        <v>681865</v>
      </c>
      <c r="D38" s="175">
        <f t="shared" ca="1" si="40"/>
        <v>681865</v>
      </c>
      <c r="E38" s="176">
        <f ca="1">IFERROR(__xludf.DUMMYFUNCTION("IMPORTRANGE(""https://docs.google.com/spreadsheets/d/1-uDff_7J0KD5mKrp0Vvzr7lt3OU09vwQwhkpOPPYv2Y/edit?usp=sharing"",""งบพรบ!FD38"")"),0)</f>
        <v>0</v>
      </c>
      <c r="F38" s="176">
        <f ca="1">IFERROR(__xludf.DUMMYFUNCTION("IMPORTRANGE(""https://docs.google.com/spreadsheets/d/1-uDff_7J0KD5mKrp0Vvzr7lt3OU09vwQwhkpOPPYv2Y/edit?usp=sharing"",""งบพรบ!FE38"")"),681865)</f>
        <v>681865</v>
      </c>
      <c r="G38" s="176">
        <f ca="1">IFERROR(__xludf.DUMMYFUNCTION("IMPORTRANGE(""https://docs.google.com/spreadsheets/d/1-uDff_7J0KD5mKrp0Vvzr7lt3OU09vwQwhkpOPPYv2Y/edit?usp=sharing"",""งบพรบ!FF38"")"),0)</f>
        <v>0</v>
      </c>
      <c r="H38" s="176">
        <f ca="1">IFERROR(__xludf.DUMMYFUNCTION("IMPORTRANGE(""https://docs.google.com/spreadsheets/d/1-uDff_7J0KD5mKrp0Vvzr7lt3OU09vwQwhkpOPPYv2Y/edit?usp=sharing"",""งบพรบ!FH38"")"),629865)</f>
        <v>629865</v>
      </c>
      <c r="I38" s="176">
        <f ca="1">IFERROR(__xludf.DUMMYFUNCTION("IMPORTRANGE(""https://docs.google.com/spreadsheets/d/1-uDff_7J0KD5mKrp0Vvzr7lt3OU09vwQwhkpOPPYv2Y/edit?usp=sharing"",""งบพรบ!FI38"")"),0)</f>
        <v>0</v>
      </c>
      <c r="J38" s="176">
        <f t="shared" ca="1" si="23"/>
        <v>256335</v>
      </c>
      <c r="K38" s="181">
        <f t="shared" ca="1" si="24"/>
        <v>37.593218598989537</v>
      </c>
      <c r="L38" s="176">
        <f ca="1">IFERROR(__xludf.DUMMYFUNCTION("IMPORTRANGE(""https://docs.google.com/spreadsheets/d/1-uDff_7J0KD5mKrp0Vvzr7lt3OU09vwQwhkpOPPYv2Y/edit?usp=sharing"",""งบพรบ!FJ38"")"),256335)</f>
        <v>256335</v>
      </c>
      <c r="M38" s="179">
        <f t="shared" ca="1" si="25"/>
        <v>37.593218598989537</v>
      </c>
      <c r="N38" s="179">
        <f t="shared" ca="1" si="26"/>
        <v>40.696815984377608</v>
      </c>
      <c r="O38" s="180">
        <f ca="1">IFERROR(__xludf.DUMMYFUNCTION("IMPORTRANGE(""https://docs.google.com/spreadsheets/d/1-uDff_7J0KD5mKrp0Vvzr7lt3OU09vwQwhkpOPPYv2Y/edit?usp=sharing"",""งบพรบ!FK38"")"),0)</f>
        <v>0</v>
      </c>
      <c r="P38" s="180">
        <f t="shared" ca="1" si="27"/>
        <v>0</v>
      </c>
      <c r="Q38" s="179">
        <f t="shared" ca="1" si="28"/>
        <v>0</v>
      </c>
      <c r="R38" s="344">
        <f ca="1">IFERROR(__xludf.DUMMYFUNCTION("IMPORTRANGE(""https://docs.google.com/spreadsheets/d/1MMPq-JyI6DSgQETxuSiXkesP-P7JHuemnE6QJIa-Nlw/edit?usp=sharing"",""บุรีรัมย์!I368"")"),4460)</f>
        <v>4460</v>
      </c>
      <c r="S38" s="177">
        <f ca="1">IFERROR(__xludf.DUMMYFUNCTION("IMPORTRANGE(""https://docs.google.com/spreadsheets/d/1MMPq-JyI6DSgQETxuSiXkesP-P7JHuemnE6QJIa-Nlw/edit?usp=sharing"",""บุรีรัมย์!J367"")"),0)</f>
        <v>0</v>
      </c>
      <c r="T38" s="345">
        <f ca="1">IFERROR(__xludf.DUMMYFUNCTION("IMPORTRANGE(""https://docs.google.com/spreadsheets/d/1MMPq-JyI6DSgQETxuSiXkesP-P7JHuemnE6QJIa-Nlw/edit?usp=sharing"",""บุรีรัมย์!J368"")"),0)</f>
        <v>0</v>
      </c>
      <c r="U38" s="259">
        <f t="shared" ca="1" si="30"/>
        <v>0</v>
      </c>
      <c r="V38" s="344">
        <f ca="1">IFERROR(__xludf.DUMMYFUNCTION("IMPORTRANGE(""https://docs.google.com/spreadsheets/d/1MMPq-JyI6DSgQETxuSiXkesP-P7JHuemnE6QJIa-Nlw/edit?usp=sharing"",""บุรีรัมย์!I369"")"),802)</f>
        <v>802</v>
      </c>
      <c r="W38" s="177">
        <f ca="1">IFERROR(__xludf.DUMMYFUNCTION("IMPORTRANGE(""https://docs.google.com/spreadsheets/d/1MMPq-JyI6DSgQETxuSiXkesP-P7JHuemnE6QJIa-Nlw/edit?usp=sharing"",""บุรีรัมย์!J369"")"),29)</f>
        <v>29</v>
      </c>
      <c r="X38" s="345">
        <f ca="1">IFERROR(__xludf.DUMMYFUNCTION("IMPORTRANGE(""https://docs.google.com/spreadsheets/d/1MMPq-JyI6DSgQETxuSiXkesP-P7JHuemnE6QJIa-Nlw/edit?usp=sharing"",""บุรีรัมย์!J370"")"),242.37)</f>
        <v>242.37</v>
      </c>
      <c r="Y38" s="259">
        <f t="shared" ca="1" si="32"/>
        <v>3.6159600997506236</v>
      </c>
      <c r="Z38" s="344">
        <f ca="1">IFERROR(__xludf.DUMMYFUNCTION("IMPORTRANGE(""https://docs.google.com/spreadsheets/d/1MMPq-JyI6DSgQETxuSiXkesP-P7JHuemnE6QJIa-Nlw/edit?usp=sharing"",""บุรีรัมย์!I371"")"),522)</f>
        <v>522</v>
      </c>
      <c r="AA38" s="177">
        <f ca="1">IFERROR(__xludf.DUMMYFUNCTION("IMPORTRANGE(""https://docs.google.com/spreadsheets/d/1MMPq-JyI6DSgQETxuSiXkesP-P7JHuemnE6QJIa-Nlw/edit?usp=sharing"",""บุรีรัมย์!J371"")"),1)</f>
        <v>1</v>
      </c>
      <c r="AB38" s="345">
        <f ca="1">IFERROR(__xludf.DUMMYFUNCTION("IMPORTRANGE(""https://docs.google.com/spreadsheets/d/1MMPq-JyI6DSgQETxuSiXkesP-P7JHuemnE6QJIa-Nlw/edit?usp=sharing"",""บุรีรัมย์!J372"")"),42.26)</f>
        <v>42.26</v>
      </c>
      <c r="AC38" s="259">
        <f t="shared" ca="1" si="34"/>
        <v>0.19157088122605365</v>
      </c>
    </row>
    <row r="39" spans="1:29" ht="21" customHeight="1" x14ac:dyDescent="0.3">
      <c r="A39" s="84">
        <v>8</v>
      </c>
      <c r="B39" s="85" t="s">
        <v>61</v>
      </c>
      <c r="C39" s="174">
        <f t="shared" ca="1" si="21"/>
        <v>192265</v>
      </c>
      <c r="D39" s="175">
        <f t="shared" ca="1" si="40"/>
        <v>192265</v>
      </c>
      <c r="E39" s="176">
        <f ca="1">IFERROR(__xludf.DUMMYFUNCTION("IMPORTRANGE(""https://docs.google.com/spreadsheets/d/1-uDff_7J0KD5mKrp0Vvzr7lt3OU09vwQwhkpOPPYv2Y/edit?usp=sharing"",""งบพรบ!FD39"")"),51100)</f>
        <v>51100</v>
      </c>
      <c r="F39" s="176">
        <f ca="1">IFERROR(__xludf.DUMMYFUNCTION("IMPORTRANGE(""https://docs.google.com/spreadsheets/d/1-uDff_7J0KD5mKrp0Vvzr7lt3OU09vwQwhkpOPPYv2Y/edit?usp=sharing"",""งบพรบ!FE39"")"),141165)</f>
        <v>141165</v>
      </c>
      <c r="G39" s="176">
        <f ca="1">IFERROR(__xludf.DUMMYFUNCTION("IMPORTRANGE(""https://docs.google.com/spreadsheets/d/1-uDff_7J0KD5mKrp0Vvzr7lt3OU09vwQwhkpOPPYv2Y/edit?usp=sharing"",""งบพรบ!FF39"")"),0)</f>
        <v>0</v>
      </c>
      <c r="H39" s="176">
        <f ca="1">IFERROR(__xludf.DUMMYFUNCTION("IMPORTRANGE(""https://docs.google.com/spreadsheets/d/1-uDff_7J0KD5mKrp0Vvzr7lt3OU09vwQwhkpOPPYv2Y/edit?usp=sharing"",""งบพรบ!FH39"")"),151665)</f>
        <v>151665</v>
      </c>
      <c r="I39" s="176">
        <f ca="1">IFERROR(__xludf.DUMMYFUNCTION("IMPORTRANGE(""https://docs.google.com/spreadsheets/d/1-uDff_7J0KD5mKrp0Vvzr7lt3OU09vwQwhkpOPPYv2Y/edit?usp=sharing"",""งบพรบ!FI39"")"),0)</f>
        <v>0</v>
      </c>
      <c r="J39" s="176">
        <f t="shared" ca="1" si="23"/>
        <v>31446.67</v>
      </c>
      <c r="K39" s="181">
        <f t="shared" ca="1" si="24"/>
        <v>16.355899409668947</v>
      </c>
      <c r="L39" s="176">
        <f ca="1">IFERROR(__xludf.DUMMYFUNCTION("IMPORTRANGE(""https://docs.google.com/spreadsheets/d/1-uDff_7J0KD5mKrp0Vvzr7lt3OU09vwQwhkpOPPYv2Y/edit?usp=sharing"",""งบพรบ!FJ39"")"),31446.67)</f>
        <v>31446.67</v>
      </c>
      <c r="M39" s="179">
        <f t="shared" ca="1" si="25"/>
        <v>16.355899409668947</v>
      </c>
      <c r="N39" s="179">
        <f t="shared" ca="1" si="26"/>
        <v>20.734295981274521</v>
      </c>
      <c r="O39" s="180">
        <f ca="1">IFERROR(__xludf.DUMMYFUNCTION("IMPORTRANGE(""https://docs.google.com/spreadsheets/d/1-uDff_7J0KD5mKrp0Vvzr7lt3OU09vwQwhkpOPPYv2Y/edit?usp=sharing"",""งบพรบ!FK39"")"),0)</f>
        <v>0</v>
      </c>
      <c r="P39" s="180">
        <f t="shared" ca="1" si="27"/>
        <v>0</v>
      </c>
      <c r="Q39" s="179">
        <f t="shared" ca="1" si="28"/>
        <v>0</v>
      </c>
      <c r="R39" s="344">
        <f ca="1">IFERROR(__xludf.DUMMYFUNCTION("IMPORTRANGE(""https://docs.google.com/spreadsheets/d/1l6IZ8xUPgMrESzcTYwhA1k_tPjeQjJPTqlm8Gd9eU5g/edit?usp=sharing"",""มหาสารคาม!I368"")"),155)</f>
        <v>155</v>
      </c>
      <c r="S39" s="177">
        <f ca="1">IFERROR(__xludf.DUMMYFUNCTION("IMPORTRANGE(""https://docs.google.com/spreadsheets/d/1l6IZ8xUPgMrESzcTYwhA1k_tPjeQjJPTqlm8Gd9eU5g/edit?usp=sharing"",""มหาสารคาม!J367"")"),9)</f>
        <v>9</v>
      </c>
      <c r="T39" s="345">
        <f ca="1">IFERROR(__xludf.DUMMYFUNCTION("IMPORTRANGE(""https://docs.google.com/spreadsheets/d/1l6IZ8xUPgMrESzcTYwhA1k_tPjeQjJPTqlm8Gd9eU5g/edit?usp=sharing"",""มหาสารคาม!J368"")"),50.28)</f>
        <v>50.28</v>
      </c>
      <c r="U39" s="259">
        <f t="shared" ca="1" si="30"/>
        <v>32.438709677419354</v>
      </c>
      <c r="V39" s="344">
        <f ca="1">IFERROR(__xludf.DUMMYFUNCTION("IMPORTRANGE(""https://docs.google.com/spreadsheets/d/1l6IZ8xUPgMrESzcTYwhA1k_tPjeQjJPTqlm8Gd9eU5g/edit?usp=sharing"",""มหาสารคาม!I369"")"),28)</f>
        <v>28</v>
      </c>
      <c r="W39" s="177">
        <f ca="1">IFERROR(__xludf.DUMMYFUNCTION("IMPORTRANGE(""https://docs.google.com/spreadsheets/d/1l6IZ8xUPgMrESzcTYwhA1k_tPjeQjJPTqlm8Gd9eU5g/edit?usp=sharing"",""มหาสารคาม!J369"")"),222)</f>
        <v>222</v>
      </c>
      <c r="X39" s="345">
        <f ca="1">IFERROR(__xludf.DUMMYFUNCTION("IMPORTRANGE(""https://docs.google.com/spreadsheets/d/1l6IZ8xUPgMrESzcTYwhA1k_tPjeQjJPTqlm8Gd9eU5g/edit?usp=sharing"",""มหาสารคาม!J370"")"),2248.45)</f>
        <v>2248.4499999999998</v>
      </c>
      <c r="Y39" s="259">
        <f t="shared" ca="1" si="32"/>
        <v>792.85714285714289</v>
      </c>
      <c r="Z39" s="344">
        <f ca="1">IFERROR(__xludf.DUMMYFUNCTION("IMPORTRANGE(""https://docs.google.com/spreadsheets/d/1l6IZ8xUPgMrESzcTYwhA1k_tPjeQjJPTqlm8Gd9eU5g/edit?usp=sharing"",""มหาสารคาม!I371"")"),28)</f>
        <v>28</v>
      </c>
      <c r="AA39" s="177">
        <f ca="1">IFERROR(__xludf.DUMMYFUNCTION("IMPORTRANGE(""https://docs.google.com/spreadsheets/d/1l6IZ8xUPgMrESzcTYwhA1k_tPjeQjJPTqlm8Gd9eU5g/edit?usp=sharing"",""มหาสารคาม!J371"")"),153)</f>
        <v>153</v>
      </c>
      <c r="AB39" s="345">
        <f ca="1">IFERROR(__xludf.DUMMYFUNCTION("IMPORTRANGE(""https://docs.google.com/spreadsheets/d/1l6IZ8xUPgMrESzcTYwhA1k_tPjeQjJPTqlm8Gd9eU5g/edit?usp=sharing"",""มหาสารคาม!J372"")"),1517.45)</f>
        <v>1517.45</v>
      </c>
      <c r="AC39" s="259">
        <f t="shared" ca="1" si="34"/>
        <v>546.42857142857144</v>
      </c>
    </row>
    <row r="40" spans="1:29" ht="21" customHeight="1" x14ac:dyDescent="0.3">
      <c r="A40" s="84">
        <v>9</v>
      </c>
      <c r="B40" s="85" t="s">
        <v>62</v>
      </c>
      <c r="C40" s="174">
        <f t="shared" ca="1" si="21"/>
        <v>384030</v>
      </c>
      <c r="D40" s="175">
        <f t="shared" ca="1" si="40"/>
        <v>384030</v>
      </c>
      <c r="E40" s="176">
        <f ca="1">IFERROR(__xludf.DUMMYFUNCTION("IMPORTRANGE(""https://docs.google.com/spreadsheets/d/1-uDff_7J0KD5mKrp0Vvzr7lt3OU09vwQwhkpOPPYv2Y/edit?usp=sharing"",""งบพรบ!FD40"")"),133000)</f>
        <v>133000</v>
      </c>
      <c r="F40" s="176">
        <f ca="1">IFERROR(__xludf.DUMMYFUNCTION("IMPORTRANGE(""https://docs.google.com/spreadsheets/d/1-uDff_7J0KD5mKrp0Vvzr7lt3OU09vwQwhkpOPPYv2Y/edit?usp=sharing"",""งบพรบ!FE40"")"),251030)</f>
        <v>251030</v>
      </c>
      <c r="G40" s="176">
        <f ca="1">IFERROR(__xludf.DUMMYFUNCTION("IMPORTRANGE(""https://docs.google.com/spreadsheets/d/1-uDff_7J0KD5mKrp0Vvzr7lt3OU09vwQwhkpOPPYv2Y/edit?usp=sharing"",""งบพรบ!FF40"")"),0)</f>
        <v>0</v>
      </c>
      <c r="H40" s="176">
        <f ca="1">IFERROR(__xludf.DUMMYFUNCTION("IMPORTRANGE(""https://docs.google.com/spreadsheets/d/1-uDff_7J0KD5mKrp0Vvzr7lt3OU09vwQwhkpOPPYv2Y/edit?usp=sharing"",""งบพรบ!FH40"")"),320030)</f>
        <v>320030</v>
      </c>
      <c r="I40" s="176">
        <f ca="1">IFERROR(__xludf.DUMMYFUNCTION("IMPORTRANGE(""https://docs.google.com/spreadsheets/d/1-uDff_7J0KD5mKrp0Vvzr7lt3OU09vwQwhkpOPPYv2Y/edit?usp=sharing"",""งบพรบ!FI40"")"),0)</f>
        <v>0</v>
      </c>
      <c r="J40" s="176">
        <f t="shared" ca="1" si="23"/>
        <v>134213</v>
      </c>
      <c r="K40" s="181">
        <f t="shared" ca="1" si="24"/>
        <v>34.948571726167224</v>
      </c>
      <c r="L40" s="176">
        <f ca="1">IFERROR(__xludf.DUMMYFUNCTION("IMPORTRANGE(""https://docs.google.com/spreadsheets/d/1-uDff_7J0KD5mKrp0Vvzr7lt3OU09vwQwhkpOPPYv2Y/edit?usp=sharing"",""งบพรบ!FJ40"")"),134213)</f>
        <v>134213</v>
      </c>
      <c r="M40" s="179">
        <f t="shared" ca="1" si="25"/>
        <v>34.948571726167224</v>
      </c>
      <c r="N40" s="179">
        <f t="shared" ca="1" si="26"/>
        <v>41.937630847108082</v>
      </c>
      <c r="O40" s="180">
        <f ca="1">IFERROR(__xludf.DUMMYFUNCTION("IMPORTRANGE(""https://docs.google.com/spreadsheets/d/1-uDff_7J0KD5mKrp0Vvzr7lt3OU09vwQwhkpOPPYv2Y/edit?usp=sharing"",""งบพรบ!FK40"")"),0)</f>
        <v>0</v>
      </c>
      <c r="P40" s="180">
        <f t="shared" ca="1" si="27"/>
        <v>0</v>
      </c>
      <c r="Q40" s="179">
        <f t="shared" ca="1" si="28"/>
        <v>0</v>
      </c>
      <c r="R40" s="346">
        <f ca="1">IFERROR(__xludf.DUMMYFUNCTION("IMPORTRANGE(""https://docs.google.com/spreadsheets/d/1uB74YLqNjWX6FObjekfB2NtSYigTQyR2rq9u4Ub2Sq4/edit?usp=sharing"",""มุกดาหาร!I368"")"),1275)</f>
        <v>1275</v>
      </c>
      <c r="S40" s="177">
        <f ca="1">IFERROR(__xludf.DUMMYFUNCTION("IMPORTRANGE(""https://docs.google.com/spreadsheets/d/1uB74YLqNjWX6FObjekfB2NtSYigTQyR2rq9u4Ub2Sq4/edit?usp=sharing"",""มุกดาหาร!J367"")"),41)</f>
        <v>41</v>
      </c>
      <c r="T40" s="345">
        <f ca="1">IFERROR(__xludf.DUMMYFUNCTION("IMPORTRANGE(""https://docs.google.com/spreadsheets/d/1uB74YLqNjWX6FObjekfB2NtSYigTQyR2rq9u4Ub2Sq4/edit?usp=sharing"",""มุกดาหาร!J368"")"),337.83)</f>
        <v>337.83</v>
      </c>
      <c r="U40" s="259">
        <f t="shared" ca="1" si="30"/>
        <v>26.496470588235294</v>
      </c>
      <c r="V40" s="346">
        <f ca="1">IFERROR(__xludf.DUMMYFUNCTION("IMPORTRANGE(""https://docs.google.com/spreadsheets/d/1uB74YLqNjWX6FObjekfB2NtSYigTQyR2rq9u4Ub2Sq4/edit?usp=sharing"",""มุกดาหาร!I369"")"),240)</f>
        <v>240</v>
      </c>
      <c r="W40" s="177">
        <f ca="1">IFERROR(__xludf.DUMMYFUNCTION("IMPORTRANGE(""https://docs.google.com/spreadsheets/d/1uB74YLqNjWX6FObjekfB2NtSYigTQyR2rq9u4Ub2Sq4/edit?usp=sharing"",""มุกดาหาร!J369"")"),79)</f>
        <v>79</v>
      </c>
      <c r="X40" s="345">
        <f ca="1">IFERROR(__xludf.DUMMYFUNCTION("IMPORTRANGE(""https://docs.google.com/spreadsheets/d/1uB74YLqNjWX6FObjekfB2NtSYigTQyR2rq9u4Ub2Sq4/edit?usp=sharing"",""มุกดาหาร!J370"")"),751.81)</f>
        <v>751.81</v>
      </c>
      <c r="Y40" s="259">
        <f t="shared" ca="1" si="32"/>
        <v>32.916666666666664</v>
      </c>
      <c r="Z40" s="346">
        <f ca="1">IFERROR(__xludf.DUMMYFUNCTION("IMPORTRANGE(""https://docs.google.com/spreadsheets/d/1uB74YLqNjWX6FObjekfB2NtSYigTQyR2rq9u4Ub2Sq4/edit?usp=sharing"",""มุกดาหาร!I371"")"),159)</f>
        <v>159</v>
      </c>
      <c r="AA40" s="177">
        <f ca="1">IFERROR(__xludf.DUMMYFUNCTION("IMPORTRANGE(""https://docs.google.com/spreadsheets/d/1uB74YLqNjWX6FObjekfB2NtSYigTQyR2rq9u4Ub2Sq4/edit?usp=sharing"",""มุกดาหาร!J371"")"),42)</f>
        <v>42</v>
      </c>
      <c r="AB40" s="345">
        <f ca="1">IFERROR(__xludf.DUMMYFUNCTION("IMPORTRANGE(""https://docs.google.com/spreadsheets/d/1uB74YLqNjWX6FObjekfB2NtSYigTQyR2rq9u4Ub2Sq4/edit?usp=sharing"",""มุกดาหาร!J372"")"),446.32)</f>
        <v>446.32</v>
      </c>
      <c r="AC40" s="259">
        <f t="shared" ca="1" si="34"/>
        <v>26.415094339622641</v>
      </c>
    </row>
    <row r="41" spans="1:29" ht="21" customHeight="1" x14ac:dyDescent="0.3">
      <c r="A41" s="84">
        <v>10</v>
      </c>
      <c r="B41" s="85" t="s">
        <v>63</v>
      </c>
      <c r="C41" s="174">
        <f t="shared" ca="1" si="21"/>
        <v>350375</v>
      </c>
      <c r="D41" s="175">
        <f t="shared" ca="1" si="40"/>
        <v>350375</v>
      </c>
      <c r="E41" s="176">
        <f ca="1">IFERROR(__xludf.DUMMYFUNCTION("IMPORTRANGE(""https://docs.google.com/spreadsheets/d/1-uDff_7J0KD5mKrp0Vvzr7lt3OU09vwQwhkpOPPYv2Y/edit?usp=sharing"",""งบพรบ!FD41"")"),0)</f>
        <v>0</v>
      </c>
      <c r="F41" s="176">
        <f ca="1">IFERROR(__xludf.DUMMYFUNCTION("IMPORTRANGE(""https://docs.google.com/spreadsheets/d/1-uDff_7J0KD5mKrp0Vvzr7lt3OU09vwQwhkpOPPYv2Y/edit?usp=sharing"",""งบพรบ!FE41"")"),350375)</f>
        <v>350375</v>
      </c>
      <c r="G41" s="176">
        <f ca="1">IFERROR(__xludf.DUMMYFUNCTION("IMPORTRANGE(""https://docs.google.com/spreadsheets/d/1-uDff_7J0KD5mKrp0Vvzr7lt3OU09vwQwhkpOPPYv2Y/edit?usp=sharing"",""งบพรบ!FF41"")"),0)</f>
        <v>0</v>
      </c>
      <c r="H41" s="176">
        <f ca="1">IFERROR(__xludf.DUMMYFUNCTION("IMPORTRANGE(""https://docs.google.com/spreadsheets/d/1-uDff_7J0KD5mKrp0Vvzr7lt3OU09vwQwhkpOPPYv2Y/edit?usp=sharing"",""งบพรบ!FH41"")"),324375)</f>
        <v>324375</v>
      </c>
      <c r="I41" s="176">
        <f ca="1">IFERROR(__xludf.DUMMYFUNCTION("IMPORTRANGE(""https://docs.google.com/spreadsheets/d/1-uDff_7J0KD5mKrp0Vvzr7lt3OU09vwQwhkpOPPYv2Y/edit?usp=sharing"",""งบพรบ!FI41"")"),0)</f>
        <v>0</v>
      </c>
      <c r="J41" s="176">
        <f t="shared" ca="1" si="23"/>
        <v>33833</v>
      </c>
      <c r="K41" s="181">
        <f t="shared" ca="1" si="24"/>
        <v>9.6562254727078134</v>
      </c>
      <c r="L41" s="176">
        <f ca="1">IFERROR(__xludf.DUMMYFUNCTION("IMPORTRANGE(""https://docs.google.com/spreadsheets/d/1-uDff_7J0KD5mKrp0Vvzr7lt3OU09vwQwhkpOPPYv2Y/edit?usp=sharing"",""งบพรบ!FJ41"")"),33833)</f>
        <v>33833</v>
      </c>
      <c r="M41" s="179">
        <f t="shared" ca="1" si="25"/>
        <v>9.6562254727078134</v>
      </c>
      <c r="N41" s="179">
        <f t="shared" ca="1" si="26"/>
        <v>10.430211946050097</v>
      </c>
      <c r="O41" s="180">
        <f ca="1">IFERROR(__xludf.DUMMYFUNCTION("IMPORTRANGE(""https://docs.google.com/spreadsheets/d/1-uDff_7J0KD5mKrp0Vvzr7lt3OU09vwQwhkpOPPYv2Y/edit?usp=sharing"",""งบพรบ!FK41"")"),0)</f>
        <v>0</v>
      </c>
      <c r="P41" s="180">
        <f t="shared" ca="1" si="27"/>
        <v>0</v>
      </c>
      <c r="Q41" s="179">
        <f t="shared" ca="1" si="28"/>
        <v>0</v>
      </c>
      <c r="R41" s="346">
        <f ca="1">IFERROR(__xludf.DUMMYFUNCTION("IMPORTRANGE(""https://docs.google.com/spreadsheets/d/1NexK3geCPxCTO1fzNF8dPec7yZyUx3OaWkFBC9HsQOo/edit?usp=sharing"",""ยโสธร!I368"")"),2235)</f>
        <v>2235</v>
      </c>
      <c r="S41" s="177">
        <f ca="1">IFERROR(__xludf.DUMMYFUNCTION("IMPORTRANGE(""https://docs.google.com/spreadsheets/d/1NexK3geCPxCTO1fzNF8dPec7yZyUx3OaWkFBC9HsQOo/edit?usp=sharing"",""ยโสธร!J367"")"),9)</f>
        <v>9</v>
      </c>
      <c r="T41" s="345">
        <f ca="1">IFERROR(__xludf.DUMMYFUNCTION("IMPORTRANGE(""https://docs.google.com/spreadsheets/d/1NexK3geCPxCTO1fzNF8dPec7yZyUx3OaWkFBC9HsQOo/edit?usp=sharing"",""ยโสธร!J368"")"),43.32)</f>
        <v>43.32</v>
      </c>
      <c r="U41" s="259">
        <f t="shared" ca="1" si="30"/>
        <v>1.938255033557047</v>
      </c>
      <c r="V41" s="346">
        <f ca="1">IFERROR(__xludf.DUMMYFUNCTION("IMPORTRANGE(""https://docs.google.com/spreadsheets/d/1NexK3geCPxCTO1fzNF8dPec7yZyUx3OaWkFBC9HsQOo/edit?usp=sharing"",""ยโสธร!I369"")"),402)</f>
        <v>402</v>
      </c>
      <c r="W41" s="177">
        <f ca="1">IFERROR(__xludf.DUMMYFUNCTION("IMPORTRANGE(""https://docs.google.com/spreadsheets/d/1NexK3geCPxCTO1fzNF8dPec7yZyUx3OaWkFBC9HsQOo/edit?usp=sharing"",""ยโสธร!J369"")"),11)</f>
        <v>11</v>
      </c>
      <c r="X41" s="345">
        <f ca="1">IFERROR(__xludf.DUMMYFUNCTION("IMPORTRANGE(""https://docs.google.com/spreadsheets/d/1NexK3geCPxCTO1fzNF8dPec7yZyUx3OaWkFBC9HsQOo/edit?usp=sharing"",""ยโสธร!J370"")"),78.05)</f>
        <v>78.05</v>
      </c>
      <c r="Y41" s="259">
        <f t="shared" ca="1" si="32"/>
        <v>2.7363184079601992</v>
      </c>
      <c r="Z41" s="346">
        <f ca="1">IFERROR(__xludf.DUMMYFUNCTION("IMPORTRANGE(""https://docs.google.com/spreadsheets/d/1NexK3geCPxCTO1fzNF8dPec7yZyUx3OaWkFBC9HsQOo/edit?usp=sharing"",""ยโสธร!I371"")"),260)</f>
        <v>260</v>
      </c>
      <c r="AA41" s="177">
        <f ca="1">IFERROR(__xludf.DUMMYFUNCTION("IMPORTRANGE(""https://docs.google.com/spreadsheets/d/1NexK3geCPxCTO1fzNF8dPec7yZyUx3OaWkFBC9HsQOo/edit?usp=sharing"",""ยโสธร!J371"")"),3)</f>
        <v>3</v>
      </c>
      <c r="AB41" s="345">
        <f ca="1">IFERROR(__xludf.DUMMYFUNCTION("IMPORTRANGE(""https://docs.google.com/spreadsheets/d/1NexK3geCPxCTO1fzNF8dPec7yZyUx3OaWkFBC9HsQOo/edit?usp=sharing"",""ยโสธร!J372"")"),34.92)</f>
        <v>34.92</v>
      </c>
      <c r="AC41" s="259">
        <f t="shared" ca="1" si="34"/>
        <v>1.1538461538461537</v>
      </c>
    </row>
    <row r="42" spans="1:29" ht="21" customHeight="1" x14ac:dyDescent="0.3">
      <c r="A42" s="84">
        <v>11</v>
      </c>
      <c r="B42" s="85" t="s">
        <v>64</v>
      </c>
      <c r="C42" s="174">
        <f t="shared" ca="1" si="21"/>
        <v>1040145</v>
      </c>
      <c r="D42" s="175">
        <f t="shared" ca="1" si="40"/>
        <v>1040145</v>
      </c>
      <c r="E42" s="176">
        <f ca="1">IFERROR(__xludf.DUMMYFUNCTION("IMPORTRANGE(""https://docs.google.com/spreadsheets/d/1-uDff_7J0KD5mKrp0Vvzr7lt3OU09vwQwhkpOPPYv2Y/edit?usp=sharing"",""งบพรบ!FD42"")"),432600)</f>
        <v>432600</v>
      </c>
      <c r="F42" s="176">
        <f ca="1">IFERROR(__xludf.DUMMYFUNCTION("IMPORTRANGE(""https://docs.google.com/spreadsheets/d/1-uDff_7J0KD5mKrp0Vvzr7lt3OU09vwQwhkpOPPYv2Y/edit?usp=sharing"",""งบพรบ!FE42"")"),607545)</f>
        <v>607545</v>
      </c>
      <c r="G42" s="176">
        <f ca="1">IFERROR(__xludf.DUMMYFUNCTION("IMPORTRANGE(""https://docs.google.com/spreadsheets/d/1-uDff_7J0KD5mKrp0Vvzr7lt3OU09vwQwhkpOPPYv2Y/edit?usp=sharing"",""งบพรบ!FF42"")"),0)</f>
        <v>0</v>
      </c>
      <c r="H42" s="176">
        <f ca="1">IFERROR(__xludf.DUMMYFUNCTION("IMPORTRANGE(""https://docs.google.com/spreadsheets/d/1-uDff_7J0KD5mKrp0Vvzr7lt3OU09vwQwhkpOPPYv2Y/edit?usp=sharing"",""งบพรบ!FH42"")"),864545)</f>
        <v>864545</v>
      </c>
      <c r="I42" s="176">
        <f ca="1">IFERROR(__xludf.DUMMYFUNCTION("IMPORTRANGE(""https://docs.google.com/spreadsheets/d/1-uDff_7J0KD5mKrp0Vvzr7lt3OU09vwQwhkpOPPYv2Y/edit?usp=sharing"",""งบพรบ!FI42"")"),0)</f>
        <v>0</v>
      </c>
      <c r="J42" s="176">
        <f t="shared" ca="1" si="23"/>
        <v>215661.69</v>
      </c>
      <c r="K42" s="181">
        <f t="shared" ca="1" si="24"/>
        <v>20.733810189925443</v>
      </c>
      <c r="L42" s="176">
        <f ca="1">IFERROR(__xludf.DUMMYFUNCTION("IMPORTRANGE(""https://docs.google.com/spreadsheets/d/1-uDff_7J0KD5mKrp0Vvzr7lt3OU09vwQwhkpOPPYv2Y/edit?usp=sharing"",""งบพรบ!FJ42"")"),215661.69)</f>
        <v>215661.69</v>
      </c>
      <c r="M42" s="179">
        <f t="shared" ca="1" si="25"/>
        <v>20.733810189925443</v>
      </c>
      <c r="N42" s="179">
        <f t="shared" ca="1" si="26"/>
        <v>24.94510869879532</v>
      </c>
      <c r="O42" s="180">
        <f ca="1">IFERROR(__xludf.DUMMYFUNCTION("IMPORTRANGE(""https://docs.google.com/spreadsheets/d/1-uDff_7J0KD5mKrp0Vvzr7lt3OU09vwQwhkpOPPYv2Y/edit?usp=sharing"",""งบพรบ!FK42"")"),0)</f>
        <v>0</v>
      </c>
      <c r="P42" s="180">
        <f t="shared" ca="1" si="27"/>
        <v>0</v>
      </c>
      <c r="Q42" s="179">
        <f t="shared" ca="1" si="28"/>
        <v>0</v>
      </c>
      <c r="R42" s="344">
        <f ca="1">IFERROR(__xludf.DUMMYFUNCTION("IMPORTRANGE(""https://docs.google.com/spreadsheets/d/1v_cJrbBlyqmnHPReHk44g9NrMRdENNlSy_E_c5M9fIg/edit?usp=sharing"",""ร้อยเอ็ด!I368"")"),3825)</f>
        <v>3825</v>
      </c>
      <c r="S42" s="177">
        <f ca="1">IFERROR(__xludf.DUMMYFUNCTION("IMPORTRANGE(""https://docs.google.com/spreadsheets/d/1v_cJrbBlyqmnHPReHk44g9NrMRdENNlSy_E_c5M9fIg/edit?usp=sharing"",""ร้อยเอ็ด!J367"")"),0)</f>
        <v>0</v>
      </c>
      <c r="T42" s="345">
        <f ca="1">IFERROR(__xludf.DUMMYFUNCTION("IMPORTRANGE(""https://docs.google.com/spreadsheets/d/1v_cJrbBlyqmnHPReHk44g9NrMRdENNlSy_E_c5M9fIg/edit?usp=sharing"",""ร้อยเอ็ด!J368"")"),0)</f>
        <v>0</v>
      </c>
      <c r="U42" s="259">
        <f t="shared" ca="1" si="30"/>
        <v>0</v>
      </c>
      <c r="V42" s="344">
        <f ca="1">IFERROR(__xludf.DUMMYFUNCTION("IMPORTRANGE(""https://docs.google.com/spreadsheets/d/1v_cJrbBlyqmnHPReHk44g9NrMRdENNlSy_E_c5M9fIg/edit?usp=sharing"",""ร้อยเอ็ด!I369"")"),675)</f>
        <v>675</v>
      </c>
      <c r="W42" s="177">
        <f ca="1">IFERROR(__xludf.DUMMYFUNCTION("IMPORTRANGE(""https://docs.google.com/spreadsheets/d/1v_cJrbBlyqmnHPReHk44g9NrMRdENNlSy_E_c5M9fIg/edit?usp=sharing"",""ร้อยเอ็ด!J369"")"),291)</f>
        <v>291</v>
      </c>
      <c r="X42" s="345">
        <f ca="1">IFERROR(__xludf.DUMMYFUNCTION("IMPORTRANGE(""https://docs.google.com/spreadsheets/d/1v_cJrbBlyqmnHPReHk44g9NrMRdENNlSy_E_c5M9fIg/edit?usp=sharing"",""ร้อยเอ็ด!J370"")"),3590.95)</f>
        <v>3590.95</v>
      </c>
      <c r="Y42" s="259">
        <f t="shared" ca="1" si="32"/>
        <v>43.111111111111114</v>
      </c>
      <c r="Z42" s="344">
        <f ca="1">IFERROR(__xludf.DUMMYFUNCTION("IMPORTRANGE(""https://docs.google.com/spreadsheets/d/1v_cJrbBlyqmnHPReHk44g9NrMRdENNlSy_E_c5M9fIg/edit?usp=sharing"",""ร้อยเอ็ด!I371"")"),445)</f>
        <v>445</v>
      </c>
      <c r="AA42" s="177">
        <f ca="1">IFERROR(__xludf.DUMMYFUNCTION("IMPORTRANGE(""https://docs.google.com/spreadsheets/d/1v_cJrbBlyqmnHPReHk44g9NrMRdENNlSy_E_c5M9fIg/edit?usp=sharing"",""ร้อยเอ็ด!J371"")"),5)</f>
        <v>5</v>
      </c>
      <c r="AB42" s="345">
        <f ca="1">IFERROR(__xludf.DUMMYFUNCTION("IMPORTRANGE(""https://docs.google.com/spreadsheets/d/1v_cJrbBlyqmnHPReHk44g9NrMRdENNlSy_E_c5M9fIg/edit?usp=sharing"",""ร้อยเอ็ด!J372"")"),29.79)</f>
        <v>29.79</v>
      </c>
      <c r="AC42" s="259">
        <f t="shared" ca="1" si="34"/>
        <v>1.1235955056179776</v>
      </c>
    </row>
    <row r="43" spans="1:29" ht="21" customHeight="1" x14ac:dyDescent="0.3">
      <c r="A43" s="84">
        <v>12</v>
      </c>
      <c r="B43" s="85" t="s">
        <v>65</v>
      </c>
      <c r="C43" s="174">
        <f t="shared" ca="1" si="21"/>
        <v>997580</v>
      </c>
      <c r="D43" s="175">
        <f t="shared" ca="1" si="40"/>
        <v>997580</v>
      </c>
      <c r="E43" s="176">
        <f ca="1">IFERROR(__xludf.DUMMYFUNCTION("IMPORTRANGE(""https://docs.google.com/spreadsheets/d/1-uDff_7J0KD5mKrp0Vvzr7lt3OU09vwQwhkpOPPYv2Y/edit?usp=sharing"",""งบพรบ!FD43"")"),366100)</f>
        <v>366100</v>
      </c>
      <c r="F43" s="176">
        <f ca="1">IFERROR(__xludf.DUMMYFUNCTION("IMPORTRANGE(""https://docs.google.com/spreadsheets/d/1-uDff_7J0KD5mKrp0Vvzr7lt3OU09vwQwhkpOPPYv2Y/edit?usp=sharing"",""งบพรบ!FE43"")"),631480)</f>
        <v>631480</v>
      </c>
      <c r="G43" s="176">
        <f ca="1">IFERROR(__xludf.DUMMYFUNCTION("IMPORTRANGE(""https://docs.google.com/spreadsheets/d/1-uDff_7J0KD5mKrp0Vvzr7lt3OU09vwQwhkpOPPYv2Y/edit?usp=sharing"",""งบพรบ!FF43"")"),0)</f>
        <v>0</v>
      </c>
      <c r="H43" s="176">
        <f ca="1">IFERROR(__xludf.DUMMYFUNCTION("IMPORTRANGE(""https://docs.google.com/spreadsheets/d/1-uDff_7J0KD5mKrp0Vvzr7lt3OU09vwQwhkpOPPYv2Y/edit?usp=sharing"",""งบพรบ!FH43"")"),840980)</f>
        <v>840980</v>
      </c>
      <c r="I43" s="176">
        <f ca="1">IFERROR(__xludf.DUMMYFUNCTION("IMPORTRANGE(""https://docs.google.com/spreadsheets/d/1-uDff_7J0KD5mKrp0Vvzr7lt3OU09vwQwhkpOPPYv2Y/edit?usp=sharing"",""งบพรบ!FI43"")"),0)</f>
        <v>0</v>
      </c>
      <c r="J43" s="176">
        <f t="shared" ca="1" si="23"/>
        <v>341383.07</v>
      </c>
      <c r="K43" s="181">
        <f t="shared" ca="1" si="24"/>
        <v>34.221122115519556</v>
      </c>
      <c r="L43" s="176">
        <f ca="1">IFERROR(__xludf.DUMMYFUNCTION("IMPORTRANGE(""https://docs.google.com/spreadsheets/d/1-uDff_7J0KD5mKrp0Vvzr7lt3OU09vwQwhkpOPPYv2Y/edit?usp=sharing"",""งบพรบ!FJ43"")"),341383.07)</f>
        <v>341383.07</v>
      </c>
      <c r="M43" s="179">
        <f t="shared" ca="1" si="25"/>
        <v>34.221122115519556</v>
      </c>
      <c r="N43" s="179">
        <f t="shared" ca="1" si="26"/>
        <v>40.593482603629099</v>
      </c>
      <c r="O43" s="180">
        <f ca="1">IFERROR(__xludf.DUMMYFUNCTION("IMPORTRANGE(""https://docs.google.com/spreadsheets/d/1-uDff_7J0KD5mKrp0Vvzr7lt3OU09vwQwhkpOPPYv2Y/edit?usp=sharing"",""งบพรบ!FK43"")"),0)</f>
        <v>0</v>
      </c>
      <c r="P43" s="180">
        <f t="shared" ca="1" si="27"/>
        <v>0</v>
      </c>
      <c r="Q43" s="179">
        <f t="shared" ca="1" si="28"/>
        <v>0</v>
      </c>
      <c r="R43" s="344">
        <f ca="1">IFERROR(__xludf.DUMMYFUNCTION("IMPORTRANGE(""https://docs.google.com/spreadsheets/d/1Ul4RCpCX66NxYADU1QpwAPjOmBzW64SsT11s1wzXw_c/edit?usp=sharing"",""เลย!I368"")"),4085)</f>
        <v>4085</v>
      </c>
      <c r="S43" s="177">
        <f ca="1">IFERROR(__xludf.DUMMYFUNCTION("IMPORTRANGE(""https://docs.google.com/spreadsheets/d/1Ul4RCpCX66NxYADU1QpwAPjOmBzW64SsT11s1wzXw_c/edit?usp=sharing"",""เลย!J367"")"),75)</f>
        <v>75</v>
      </c>
      <c r="T43" s="345">
        <f ca="1">IFERROR(__xludf.DUMMYFUNCTION("IMPORTRANGE(""https://docs.google.com/spreadsheets/d/1Ul4RCpCX66NxYADU1QpwAPjOmBzW64SsT11s1wzXw_c/edit?usp=sharing"",""เลย!J368"")"),940.38)</f>
        <v>940.38</v>
      </c>
      <c r="U43" s="259">
        <f t="shared" ca="1" si="30"/>
        <v>23.020318237454099</v>
      </c>
      <c r="V43" s="344">
        <f ca="1">IFERROR(__xludf.DUMMYFUNCTION("IMPORTRANGE(""https://docs.google.com/spreadsheets/d/1Ul4RCpCX66NxYADU1QpwAPjOmBzW64SsT11s1wzXw_c/edit?usp=sharing"",""เลย!I369"")"),727)</f>
        <v>727</v>
      </c>
      <c r="W43" s="177">
        <f ca="1">IFERROR(__xludf.DUMMYFUNCTION("IMPORTRANGE(""https://docs.google.com/spreadsheets/d/1Ul4RCpCX66NxYADU1QpwAPjOmBzW64SsT11s1wzXw_c/edit?usp=sharing"",""เลย!J369"")"),171)</f>
        <v>171</v>
      </c>
      <c r="X43" s="345">
        <f ca="1">IFERROR(__xludf.DUMMYFUNCTION("IMPORTRANGE(""https://docs.google.com/spreadsheets/d/1Ul4RCpCX66NxYADU1QpwAPjOmBzW64SsT11s1wzXw_c/edit?usp=sharing"",""เลย!J370"")"),2559.51)</f>
        <v>2559.5100000000002</v>
      </c>
      <c r="Y43" s="259">
        <f t="shared" ca="1" si="32"/>
        <v>23.521320495185694</v>
      </c>
      <c r="Z43" s="344">
        <f ca="1">IFERROR(__xludf.DUMMYFUNCTION("IMPORTRANGE(""https://docs.google.com/spreadsheets/d/1Ul4RCpCX66NxYADU1QpwAPjOmBzW64SsT11s1wzXw_c/edit?usp=sharing"",""เลย!I371"")"),488)</f>
        <v>488</v>
      </c>
      <c r="AA43" s="177">
        <f ca="1">IFERROR(__xludf.DUMMYFUNCTION("IMPORTRANGE(""https://docs.google.com/spreadsheets/d/1Ul4RCpCX66NxYADU1QpwAPjOmBzW64SsT11s1wzXw_c/edit?usp=sharing"",""เลย!J371"")"),171)</f>
        <v>171</v>
      </c>
      <c r="AB43" s="345">
        <f ca="1">IFERROR(__xludf.DUMMYFUNCTION("IMPORTRANGE(""https://docs.google.com/spreadsheets/d/1Ul4RCpCX66NxYADU1QpwAPjOmBzW64SsT11s1wzXw_c/edit?usp=sharing"",""เลย!J372"")"),2559.51)</f>
        <v>2559.5100000000002</v>
      </c>
      <c r="AC43" s="259">
        <f t="shared" ca="1" si="34"/>
        <v>35.040983606557376</v>
      </c>
    </row>
    <row r="44" spans="1:29" ht="21" customHeight="1" x14ac:dyDescent="0.3">
      <c r="A44" s="84">
        <v>13</v>
      </c>
      <c r="B44" s="85" t="s">
        <v>66</v>
      </c>
      <c r="C44" s="174">
        <f t="shared" ca="1" si="21"/>
        <v>1411545</v>
      </c>
      <c r="D44" s="175">
        <f t="shared" ca="1" si="40"/>
        <v>1411545</v>
      </c>
      <c r="E44" s="176">
        <f ca="1">IFERROR(__xludf.DUMMYFUNCTION("IMPORTRANGE(""https://docs.google.com/spreadsheets/d/1-uDff_7J0KD5mKrp0Vvzr7lt3OU09vwQwhkpOPPYv2Y/edit?usp=sharing"",""งบพรบ!FD44"")"),392700)</f>
        <v>392700</v>
      </c>
      <c r="F44" s="176">
        <f ca="1">IFERROR(__xludf.DUMMYFUNCTION("IMPORTRANGE(""https://docs.google.com/spreadsheets/d/1-uDff_7J0KD5mKrp0Vvzr7lt3OU09vwQwhkpOPPYv2Y/edit?usp=sharing"",""งบพรบ!FE44"")"),1018845)</f>
        <v>1018845</v>
      </c>
      <c r="G44" s="176">
        <f ca="1">IFERROR(__xludf.DUMMYFUNCTION("IMPORTRANGE(""https://docs.google.com/spreadsheets/d/1-uDff_7J0KD5mKrp0Vvzr7lt3OU09vwQwhkpOPPYv2Y/edit?usp=sharing"",""งบพรบ!FF44"")"),0)</f>
        <v>0</v>
      </c>
      <c r="H44" s="176">
        <f ca="1">IFERROR(__xludf.DUMMYFUNCTION("IMPORTRANGE(""https://docs.google.com/spreadsheets/d/1-uDff_7J0KD5mKrp0Vvzr7lt3OU09vwQwhkpOPPYv2Y/edit?usp=sharing"",""งบพรบ!FH44"")"),1221345)</f>
        <v>1221345</v>
      </c>
      <c r="I44" s="176">
        <f ca="1">IFERROR(__xludf.DUMMYFUNCTION("IMPORTRANGE(""https://docs.google.com/spreadsheets/d/1-uDff_7J0KD5mKrp0Vvzr7lt3OU09vwQwhkpOPPYv2Y/edit?usp=sharing"",""งบพรบ!FI44"")"),0)</f>
        <v>0</v>
      </c>
      <c r="J44" s="176">
        <f t="shared" ca="1" si="23"/>
        <v>280238.94</v>
      </c>
      <c r="K44" s="181">
        <f t="shared" ca="1" si="24"/>
        <v>19.85334792727118</v>
      </c>
      <c r="L44" s="176">
        <f ca="1">IFERROR(__xludf.DUMMYFUNCTION("IMPORTRANGE(""https://docs.google.com/spreadsheets/d/1-uDff_7J0KD5mKrp0Vvzr7lt3OU09vwQwhkpOPPYv2Y/edit?usp=sharing"",""งบพรบ!FJ44"")"),280238.94)</f>
        <v>280238.94</v>
      </c>
      <c r="M44" s="179">
        <f t="shared" ca="1" si="25"/>
        <v>19.85334792727118</v>
      </c>
      <c r="N44" s="179">
        <f t="shared" ca="1" si="26"/>
        <v>22.945108875870453</v>
      </c>
      <c r="O44" s="180">
        <f ca="1">IFERROR(__xludf.DUMMYFUNCTION("IMPORTRANGE(""https://docs.google.com/spreadsheets/d/1-uDff_7J0KD5mKrp0Vvzr7lt3OU09vwQwhkpOPPYv2Y/edit?usp=sharing"",""งบพรบ!FK44"")"),0)</f>
        <v>0</v>
      </c>
      <c r="P44" s="180">
        <f t="shared" ca="1" si="27"/>
        <v>0</v>
      </c>
      <c r="Q44" s="179">
        <f t="shared" ca="1" si="28"/>
        <v>0</v>
      </c>
      <c r="R44" s="346">
        <f ca="1">IFERROR(__xludf.DUMMYFUNCTION("IMPORTRANGE(""https://docs.google.com/spreadsheets/d/1bRrNKwbHDVktQG10isr5vbWRtt5spIZPpkOSWgbT5ug/edit?usp=sharing"",""ศรีสะเกษ!I368"")"),6865)</f>
        <v>6865</v>
      </c>
      <c r="S44" s="177">
        <f ca="1">IFERROR(__xludf.DUMMYFUNCTION("IMPORTRANGE(""https://docs.google.com/spreadsheets/d/1bRrNKwbHDVktQG10isr5vbWRtt5spIZPpkOSWgbT5ug/edit?usp=sharing"",""ศรีสะเกษ!J367"")"),98)</f>
        <v>98</v>
      </c>
      <c r="T44" s="345">
        <f ca="1">IFERROR(__xludf.DUMMYFUNCTION("IMPORTRANGE(""https://docs.google.com/spreadsheets/d/1bRrNKwbHDVktQG10isr5vbWRtt5spIZPpkOSWgbT5ug/edit?usp=sharing"",""ศรีสะเกษ!J368"")"),608.99)</f>
        <v>608.99</v>
      </c>
      <c r="U44" s="259">
        <f t="shared" ca="1" si="30"/>
        <v>8.8709395484340856</v>
      </c>
      <c r="V44" s="346">
        <f ca="1">IFERROR(__xludf.DUMMYFUNCTION("IMPORTRANGE(""https://docs.google.com/spreadsheets/d/1bRrNKwbHDVktQG10isr5vbWRtt5spIZPpkOSWgbT5ug/edit?usp=sharing"",""ศรีสะเกษ!I369"")"),1283)</f>
        <v>1283</v>
      </c>
      <c r="W44" s="177">
        <f ca="1">IFERROR(__xludf.DUMMYFUNCTION("IMPORTRANGE(""https://docs.google.com/spreadsheets/d/1bRrNKwbHDVktQG10isr5vbWRtt5spIZPpkOSWgbT5ug/edit?usp=sharing"",""ศรีสะเกษ!J369"")"),169)</f>
        <v>169</v>
      </c>
      <c r="X44" s="345">
        <f ca="1">IFERROR(__xludf.DUMMYFUNCTION("IMPORTRANGE(""https://docs.google.com/spreadsheets/d/1bRrNKwbHDVktQG10isr5vbWRtt5spIZPpkOSWgbT5ug/edit?usp=sharing"",""ศรีสะเกษ!J370"")"),1313.58)</f>
        <v>1313.58</v>
      </c>
      <c r="Y44" s="259">
        <f t="shared" ca="1" si="32"/>
        <v>13.172252533125487</v>
      </c>
      <c r="Z44" s="346">
        <f ca="1">IFERROR(__xludf.DUMMYFUNCTION("IMPORTRANGE(""https://docs.google.com/spreadsheets/d/1bRrNKwbHDVktQG10isr5vbWRtt5spIZPpkOSWgbT5ug/edit?usp=sharing"",""ศรีสะเกษ!I371"")"),845)</f>
        <v>845</v>
      </c>
      <c r="AA44" s="177">
        <f ca="1">IFERROR(__xludf.DUMMYFUNCTION("IMPORTRANGE(""https://docs.google.com/spreadsheets/d/1bRrNKwbHDVktQG10isr5vbWRtt5spIZPpkOSWgbT5ug/edit?usp=sharing"",""ศรีสะเกษ!J371"")"),89)</f>
        <v>89</v>
      </c>
      <c r="AB44" s="345">
        <f ca="1">IFERROR(__xludf.DUMMYFUNCTION("IMPORTRANGE(""https://docs.google.com/spreadsheets/d/1bRrNKwbHDVktQG10isr5vbWRtt5spIZPpkOSWgbT5ug/edit?usp=sharing"",""ศรีสะเกษ!J372"")"),815.13)</f>
        <v>815.13</v>
      </c>
      <c r="AC44" s="259">
        <f t="shared" ca="1" si="34"/>
        <v>10.532544378698224</v>
      </c>
    </row>
    <row r="45" spans="1:29" ht="21" customHeight="1" x14ac:dyDescent="0.3">
      <c r="A45" s="84">
        <v>14</v>
      </c>
      <c r="B45" s="85" t="s">
        <v>67</v>
      </c>
      <c r="C45" s="174">
        <f t="shared" ca="1" si="21"/>
        <v>812710</v>
      </c>
      <c r="D45" s="175">
        <f t="shared" ca="1" si="40"/>
        <v>812710</v>
      </c>
      <c r="E45" s="176">
        <f ca="1">IFERROR(__xludf.DUMMYFUNCTION("IMPORTRANGE(""https://docs.google.com/spreadsheets/d/1-uDff_7J0KD5mKrp0Vvzr7lt3OU09vwQwhkpOPPYv2Y/edit?usp=sharing"",""งบพรบ!FD45"")"),199500)</f>
        <v>199500</v>
      </c>
      <c r="F45" s="176">
        <f ca="1">IFERROR(__xludf.DUMMYFUNCTION("IMPORTRANGE(""https://docs.google.com/spreadsheets/d/1-uDff_7J0KD5mKrp0Vvzr7lt3OU09vwQwhkpOPPYv2Y/edit?usp=sharing"",""งบพรบ!FE45"")"),613210)</f>
        <v>613210</v>
      </c>
      <c r="G45" s="176">
        <f ca="1">IFERROR(__xludf.DUMMYFUNCTION("IMPORTRANGE(""https://docs.google.com/spreadsheets/d/1-uDff_7J0KD5mKrp0Vvzr7lt3OU09vwQwhkpOPPYv2Y/edit?usp=sharing"",""งบพรบ!FF45"")"),0)</f>
        <v>0</v>
      </c>
      <c r="H45" s="176">
        <f ca="1">IFERROR(__xludf.DUMMYFUNCTION("IMPORTRANGE(""https://docs.google.com/spreadsheets/d/1-uDff_7J0KD5mKrp0Vvzr7lt3OU09vwQwhkpOPPYv2Y/edit?usp=sharing"",""งบพรบ!FH45"")"),703710)</f>
        <v>703710</v>
      </c>
      <c r="I45" s="176">
        <f ca="1">IFERROR(__xludf.DUMMYFUNCTION("IMPORTRANGE(""https://docs.google.com/spreadsheets/d/1-uDff_7J0KD5mKrp0Vvzr7lt3OU09vwQwhkpOPPYv2Y/edit?usp=sharing"",""งบพรบ!FI45"")"),0)</f>
        <v>0</v>
      </c>
      <c r="J45" s="176">
        <f t="shared" ca="1" si="23"/>
        <v>422214.68</v>
      </c>
      <c r="K45" s="181">
        <f t="shared" ca="1" si="24"/>
        <v>51.951456239002844</v>
      </c>
      <c r="L45" s="176">
        <f ca="1">IFERROR(__xludf.DUMMYFUNCTION("IMPORTRANGE(""https://docs.google.com/spreadsheets/d/1-uDff_7J0KD5mKrp0Vvzr7lt3OU09vwQwhkpOPPYv2Y/edit?usp=sharing"",""งบพรบ!FJ45"")"),422214.68)</f>
        <v>422214.68</v>
      </c>
      <c r="M45" s="179">
        <f t="shared" ca="1" si="25"/>
        <v>51.951456239002844</v>
      </c>
      <c r="N45" s="179">
        <f t="shared" ca="1" si="26"/>
        <v>59.998391382813942</v>
      </c>
      <c r="O45" s="180">
        <f ca="1">IFERROR(__xludf.DUMMYFUNCTION("IMPORTRANGE(""https://docs.google.com/spreadsheets/d/1-uDff_7J0KD5mKrp0Vvzr7lt3OU09vwQwhkpOPPYv2Y/edit?usp=sharing"",""งบพรบ!FK45"")"),0)</f>
        <v>0</v>
      </c>
      <c r="P45" s="180">
        <f t="shared" ca="1" si="27"/>
        <v>0</v>
      </c>
      <c r="Q45" s="179">
        <f t="shared" ca="1" si="28"/>
        <v>0</v>
      </c>
      <c r="R45" s="344">
        <f ca="1">IFERROR(__xludf.DUMMYFUNCTION("IMPORTRANGE(""https://docs.google.com/spreadsheets/d/17P34_Ow5kFBfdQD0qspb2UuPX5zpi6WMrQzslghyvrI/edit?usp=sharing"",""สกลนคร!I368"")"),3875)</f>
        <v>3875</v>
      </c>
      <c r="S45" s="177">
        <f ca="1">IFERROR(__xludf.DUMMYFUNCTION("IMPORTRANGE(""https://docs.google.com/spreadsheets/d/17P34_Ow5kFBfdQD0qspb2UuPX5zpi6WMrQzslghyvrI/edit?usp=sharing"",""สกลนคร!J367"")"),258)</f>
        <v>258</v>
      </c>
      <c r="T45" s="345">
        <f ca="1">IFERROR(__xludf.DUMMYFUNCTION("IMPORTRANGE(""https://docs.google.com/spreadsheets/d/17P34_Ow5kFBfdQD0qspb2UuPX5zpi6WMrQzslghyvrI/edit?usp=sharing"",""สกลนคร!J368"")"),1789.18)</f>
        <v>1789.18</v>
      </c>
      <c r="U45" s="259">
        <f t="shared" ca="1" si="30"/>
        <v>46.172387096774195</v>
      </c>
      <c r="V45" s="344">
        <f ca="1">IFERROR(__xludf.DUMMYFUNCTION("IMPORTRANGE(""https://docs.google.com/spreadsheets/d/17P34_Ow5kFBfdQD0qspb2UuPX5zpi6WMrQzslghyvrI/edit?usp=sharing"",""สกลนคร!I369"")"),663)</f>
        <v>663</v>
      </c>
      <c r="W45" s="177">
        <f ca="1">IFERROR(__xludf.DUMMYFUNCTION("IMPORTRANGE(""https://docs.google.com/spreadsheets/d/17P34_Ow5kFBfdQD0qspb2UuPX5zpi6WMrQzslghyvrI/edit?usp=sharing"",""สกลนคร!J369"")"),617)</f>
        <v>617</v>
      </c>
      <c r="X45" s="345">
        <f ca="1">IFERROR(__xludf.DUMMYFUNCTION("IMPORTRANGE(""https://docs.google.com/spreadsheets/d/17P34_Ow5kFBfdQD0qspb2UuPX5zpi6WMrQzslghyvrI/edit?usp=sharing"",""สกลนคร!J370"")"),6507.37)</f>
        <v>6507.37</v>
      </c>
      <c r="Y45" s="259">
        <f t="shared" ca="1" si="32"/>
        <v>93.061840120663646</v>
      </c>
      <c r="Z45" s="344">
        <f ca="1">IFERROR(__xludf.DUMMYFUNCTION("IMPORTRANGE(""https://docs.google.com/spreadsheets/d/17P34_Ow5kFBfdQD0qspb2UuPX5zpi6WMrQzslghyvrI/edit?usp=sharing"",""สกลนคร!I371"")"),437)</f>
        <v>437</v>
      </c>
      <c r="AA45" s="177">
        <f ca="1">IFERROR(__xludf.DUMMYFUNCTION("IMPORTRANGE(""https://docs.google.com/spreadsheets/d/17P34_Ow5kFBfdQD0qspb2UuPX5zpi6WMrQzslghyvrI/edit?usp=sharing"",""สกลนคร!J371"")"),80)</f>
        <v>80</v>
      </c>
      <c r="AB45" s="345">
        <f ca="1">IFERROR(__xludf.DUMMYFUNCTION("IMPORTRANGE(""https://docs.google.com/spreadsheets/d/17P34_Ow5kFBfdQD0qspb2UuPX5zpi6WMrQzslghyvrI/edit?usp=sharing"",""สกลนคร!J372"")"),977.2)</f>
        <v>977.2</v>
      </c>
      <c r="AC45" s="259">
        <f t="shared" ca="1" si="34"/>
        <v>18.306636155606409</v>
      </c>
    </row>
    <row r="46" spans="1:29" ht="21" customHeight="1" x14ac:dyDescent="0.3">
      <c r="A46" s="84">
        <v>15</v>
      </c>
      <c r="B46" s="85" t="s">
        <v>68</v>
      </c>
      <c r="C46" s="174">
        <f t="shared" ca="1" si="21"/>
        <v>1045540</v>
      </c>
      <c r="D46" s="175">
        <f t="shared" ca="1" si="40"/>
        <v>1045540</v>
      </c>
      <c r="E46" s="176">
        <f ca="1">IFERROR(__xludf.DUMMYFUNCTION("IMPORTRANGE(""https://docs.google.com/spreadsheets/d/1-uDff_7J0KD5mKrp0Vvzr7lt3OU09vwQwhkpOPPYv2Y/edit?usp=sharing"",""งบพรบ!FD46"")"),432600)</f>
        <v>432600</v>
      </c>
      <c r="F46" s="176">
        <f ca="1">IFERROR(__xludf.DUMMYFUNCTION("IMPORTRANGE(""https://docs.google.com/spreadsheets/d/1-uDff_7J0KD5mKrp0Vvzr7lt3OU09vwQwhkpOPPYv2Y/edit?usp=sharing"",""งบพรบ!FE46"")"),612940)</f>
        <v>612940</v>
      </c>
      <c r="G46" s="176">
        <f ca="1">IFERROR(__xludf.DUMMYFUNCTION("IMPORTRANGE(""https://docs.google.com/spreadsheets/d/1-uDff_7J0KD5mKrp0Vvzr7lt3OU09vwQwhkpOPPYv2Y/edit?usp=sharing"",""งบพรบ!FF46"")"),0)</f>
        <v>0</v>
      </c>
      <c r="H46" s="176">
        <f ca="1">IFERROR(__xludf.DUMMYFUNCTION("IMPORTRANGE(""https://docs.google.com/spreadsheets/d/1-uDff_7J0KD5mKrp0Vvzr7lt3OU09vwQwhkpOPPYv2Y/edit?usp=sharing"",""งบพรบ!FH46"")"),843940)</f>
        <v>843940</v>
      </c>
      <c r="I46" s="176">
        <f ca="1">IFERROR(__xludf.DUMMYFUNCTION("IMPORTRANGE(""https://docs.google.com/spreadsheets/d/1-uDff_7J0KD5mKrp0Vvzr7lt3OU09vwQwhkpOPPYv2Y/edit?usp=sharing"",""งบพรบ!FI46"")"),0)</f>
        <v>0</v>
      </c>
      <c r="J46" s="176">
        <f t="shared" ca="1" si="23"/>
        <v>272220</v>
      </c>
      <c r="K46" s="181">
        <f t="shared" ca="1" si="24"/>
        <v>26.036306597547679</v>
      </c>
      <c r="L46" s="176">
        <f ca="1">IFERROR(__xludf.DUMMYFUNCTION("IMPORTRANGE(""https://docs.google.com/spreadsheets/d/1-uDff_7J0KD5mKrp0Vvzr7lt3OU09vwQwhkpOPPYv2Y/edit?usp=sharing"",""งบพรบ!FJ46"")"),272220)</f>
        <v>272220</v>
      </c>
      <c r="M46" s="179">
        <f t="shared" ca="1" si="25"/>
        <v>26.036306597547679</v>
      </c>
      <c r="N46" s="179">
        <f t="shared" ca="1" si="26"/>
        <v>32.255847572102283</v>
      </c>
      <c r="O46" s="180">
        <f ca="1">IFERROR(__xludf.DUMMYFUNCTION("IMPORTRANGE(""https://docs.google.com/spreadsheets/d/1-uDff_7J0KD5mKrp0Vvzr7lt3OU09vwQwhkpOPPYv2Y/edit?usp=sharing"",""งบพรบ!FK46"")"),0)</f>
        <v>0</v>
      </c>
      <c r="P46" s="180">
        <f t="shared" ca="1" si="27"/>
        <v>0</v>
      </c>
      <c r="Q46" s="179">
        <f t="shared" ca="1" si="28"/>
        <v>0</v>
      </c>
      <c r="R46" s="344">
        <f ca="1">IFERROR(__xludf.DUMMYFUNCTION("IMPORTRANGE(""https://docs.google.com/spreadsheets/d/1yswqbM3-AEpThF3ZSUa1AcmHnmRTF1vlJ1CZGcJ8YuU/edit?usp=sharing"",""สุรินทร์!I368"")"),2940)</f>
        <v>2940</v>
      </c>
      <c r="S46" s="177">
        <f ca="1">IFERROR(__xludf.DUMMYFUNCTION("IMPORTRANGE(""https://docs.google.com/spreadsheets/d/1yswqbM3-AEpThF3ZSUa1AcmHnmRTF1vlJ1CZGcJ8YuU/edit?usp=sharing"",""สุรินทร์!J367"")"),27)</f>
        <v>27</v>
      </c>
      <c r="T46" s="345">
        <f ca="1">IFERROR(__xludf.DUMMYFUNCTION("IMPORTRANGE(""https://docs.google.com/spreadsheets/d/1yswqbM3-AEpThF3ZSUa1AcmHnmRTF1vlJ1CZGcJ8YuU/edit?usp=sharing"",""สุรินทร์!J368"")"),192.38)</f>
        <v>192.38</v>
      </c>
      <c r="U46" s="259">
        <f t="shared" ca="1" si="30"/>
        <v>6.5435374149659866</v>
      </c>
      <c r="V46" s="344">
        <f ca="1">IFERROR(__xludf.DUMMYFUNCTION("IMPORTRANGE(""https://docs.google.com/spreadsheets/d/1yswqbM3-AEpThF3ZSUa1AcmHnmRTF1vlJ1CZGcJ8YuU/edit?usp=sharing"",""สุรินทร์!I369"")"),543)</f>
        <v>543</v>
      </c>
      <c r="W46" s="177">
        <f ca="1">IFERROR(__xludf.DUMMYFUNCTION("IMPORTRANGE(""https://docs.google.com/spreadsheets/d/1yswqbM3-AEpThF3ZSUa1AcmHnmRTF1vlJ1CZGcJ8YuU/edit?usp=sharing"",""สุรินทร์!J369"")"),16)</f>
        <v>16</v>
      </c>
      <c r="X46" s="345">
        <f ca="1">IFERROR(__xludf.DUMMYFUNCTION("IMPORTRANGE(""https://docs.google.com/spreadsheets/d/1yswqbM3-AEpThF3ZSUa1AcmHnmRTF1vlJ1CZGcJ8YuU/edit?usp=sharing"",""สุรินทร์!J370"")"),125.03)</f>
        <v>125.03</v>
      </c>
      <c r="Y46" s="259">
        <f t="shared" ca="1" si="32"/>
        <v>2.9465930018416207</v>
      </c>
      <c r="Z46" s="344">
        <f ca="1">IFERROR(__xludf.DUMMYFUNCTION("IMPORTRANGE(""https://docs.google.com/spreadsheets/d/1yswqbM3-AEpThF3ZSUa1AcmHnmRTF1vlJ1CZGcJ8YuU/edit?usp=sharing"",""สุรินทร์!I371"")"),355)</f>
        <v>355</v>
      </c>
      <c r="AA46" s="177">
        <f ca="1">IFERROR(__xludf.DUMMYFUNCTION("IMPORTRANGE(""https://docs.google.com/spreadsheets/d/1yswqbM3-AEpThF3ZSUa1AcmHnmRTF1vlJ1CZGcJ8YuU/edit?usp=sharing"",""สุรินทร์!J371"")"),0)</f>
        <v>0</v>
      </c>
      <c r="AB46" s="345">
        <f ca="1">IFERROR(__xludf.DUMMYFUNCTION("IMPORTRANGE(""https://docs.google.com/spreadsheets/d/1yswqbM3-AEpThF3ZSUa1AcmHnmRTF1vlJ1CZGcJ8YuU/edit?usp=sharing"",""สุรินทร์!J372"")"),0)</f>
        <v>0</v>
      </c>
      <c r="AC46" s="259">
        <f t="shared" ca="1" si="34"/>
        <v>0</v>
      </c>
    </row>
    <row r="47" spans="1:29" ht="21" customHeight="1" x14ac:dyDescent="0.3">
      <c r="A47" s="84">
        <v>16</v>
      </c>
      <c r="B47" s="85" t="s">
        <v>69</v>
      </c>
      <c r="C47" s="174">
        <f t="shared" ca="1" si="21"/>
        <v>557230</v>
      </c>
      <c r="D47" s="175">
        <f t="shared" ca="1" si="40"/>
        <v>557230</v>
      </c>
      <c r="E47" s="176">
        <f ca="1">IFERROR(__xludf.DUMMYFUNCTION("IMPORTRANGE(""https://docs.google.com/spreadsheets/d/1-uDff_7J0KD5mKrp0Vvzr7lt3OU09vwQwhkpOPPYv2Y/edit?usp=sharing"",""งบพรบ!FD47"")"),250600)</f>
        <v>250600</v>
      </c>
      <c r="F47" s="176">
        <f ca="1">IFERROR(__xludf.DUMMYFUNCTION("IMPORTRANGE(""https://docs.google.com/spreadsheets/d/1-uDff_7J0KD5mKrp0Vvzr7lt3OU09vwQwhkpOPPYv2Y/edit?usp=sharing"",""งบพรบ!FE47"")"),306630)</f>
        <v>306630</v>
      </c>
      <c r="G47" s="176">
        <f ca="1">IFERROR(__xludf.DUMMYFUNCTION("IMPORTRANGE(""https://docs.google.com/spreadsheets/d/1-uDff_7J0KD5mKrp0Vvzr7lt3OU09vwQwhkpOPPYv2Y/edit?usp=sharing"",""งบพรบ!FF47"")"),0)</f>
        <v>0</v>
      </c>
      <c r="H47" s="176">
        <f ca="1">IFERROR(__xludf.DUMMYFUNCTION("IMPORTRANGE(""https://docs.google.com/spreadsheets/d/1-uDff_7J0KD5mKrp0Vvzr7lt3OU09vwQwhkpOPPYv2Y/edit?usp=sharing"",""งบพรบ!FH47"")"),459630)</f>
        <v>459630</v>
      </c>
      <c r="I47" s="176">
        <f ca="1">IFERROR(__xludf.DUMMYFUNCTION("IMPORTRANGE(""https://docs.google.com/spreadsheets/d/1-uDff_7J0KD5mKrp0Vvzr7lt3OU09vwQwhkpOPPYv2Y/edit?usp=sharing"",""งบพรบ!FI47"")"),0)</f>
        <v>0</v>
      </c>
      <c r="J47" s="176">
        <f t="shared" ca="1" si="23"/>
        <v>159592</v>
      </c>
      <c r="K47" s="181">
        <f t="shared" ca="1" si="24"/>
        <v>28.640238321698401</v>
      </c>
      <c r="L47" s="176">
        <f ca="1">IFERROR(__xludf.DUMMYFUNCTION("IMPORTRANGE(""https://docs.google.com/spreadsheets/d/1-uDff_7J0KD5mKrp0Vvzr7lt3OU09vwQwhkpOPPYv2Y/edit?usp=sharing"",""งบพรบ!FJ47"")"),159592)</f>
        <v>159592</v>
      </c>
      <c r="M47" s="179">
        <f t="shared" ca="1" si="25"/>
        <v>28.640238321698401</v>
      </c>
      <c r="N47" s="179">
        <f t="shared" ca="1" si="26"/>
        <v>34.72184148119139</v>
      </c>
      <c r="O47" s="180">
        <f ca="1">IFERROR(__xludf.DUMMYFUNCTION("IMPORTRANGE(""https://docs.google.com/spreadsheets/d/1-uDff_7J0KD5mKrp0Vvzr7lt3OU09vwQwhkpOPPYv2Y/edit?usp=sharing"",""งบพรบ!FK47"")"),0)</f>
        <v>0</v>
      </c>
      <c r="P47" s="180">
        <f t="shared" ca="1" si="27"/>
        <v>0</v>
      </c>
      <c r="Q47" s="179">
        <f t="shared" ca="1" si="28"/>
        <v>0</v>
      </c>
      <c r="R47" s="344">
        <f ca="1">IFERROR(__xludf.DUMMYFUNCTION("IMPORTRANGE(""https://docs.google.com/spreadsheets/d/13JHU_EFbsQOUQ0JSQ3dWy1VTRosIWcDq6Nc99z2qzdc/edit?usp=sharing"",""หนองคาย!I368"")"),1805)</f>
        <v>1805</v>
      </c>
      <c r="S47" s="177">
        <f ca="1">IFERROR(__xludf.DUMMYFUNCTION("IMPORTRANGE(""https://docs.google.com/spreadsheets/d/13JHU_EFbsQOUQ0JSQ3dWy1VTRosIWcDq6Nc99z2qzdc/edit?usp=sharing"",""หนองคาย!J367"")"),38)</f>
        <v>38</v>
      </c>
      <c r="T47" s="345">
        <f ca="1">IFERROR(__xludf.DUMMYFUNCTION("IMPORTRANGE(""https://docs.google.com/spreadsheets/d/13JHU_EFbsQOUQ0JSQ3dWy1VTRosIWcDq6Nc99z2qzdc/edit?usp=sharing"",""หนองคาย!J368"")"),424.61)</f>
        <v>424.61</v>
      </c>
      <c r="U47" s="259">
        <f t="shared" ca="1" si="30"/>
        <v>23.524099722991689</v>
      </c>
      <c r="V47" s="344">
        <f ca="1">IFERROR(__xludf.DUMMYFUNCTION("IMPORTRANGE(""https://docs.google.com/spreadsheets/d/13JHU_EFbsQOUQ0JSQ3dWy1VTRosIWcDq6Nc99z2qzdc/edit?usp=sharing"",""หนองคาย!I369"")"),350)</f>
        <v>350</v>
      </c>
      <c r="W47" s="177">
        <f ca="1">IFERROR(__xludf.DUMMYFUNCTION("IMPORTRANGE(""https://docs.google.com/spreadsheets/d/13JHU_EFbsQOUQ0JSQ3dWy1VTRosIWcDq6Nc99z2qzdc/edit?usp=sharing"",""หนองคาย!J369"")"),83)</f>
        <v>83</v>
      </c>
      <c r="X47" s="345">
        <f ca="1">IFERROR(__xludf.DUMMYFUNCTION("IMPORTRANGE(""https://docs.google.com/spreadsheets/d/13JHU_EFbsQOUQ0JSQ3dWy1VTRosIWcDq6Nc99z2qzdc/edit?usp=sharing"",""หนองคาย!J370"")"),1298.13)</f>
        <v>1298.1300000000001</v>
      </c>
      <c r="Y47" s="259">
        <f t="shared" ca="1" si="32"/>
        <v>23.714285714285715</v>
      </c>
      <c r="Z47" s="344">
        <f ca="1">IFERROR(__xludf.DUMMYFUNCTION("IMPORTRANGE(""https://docs.google.com/spreadsheets/d/13JHU_EFbsQOUQ0JSQ3dWy1VTRosIWcDq6Nc99z2qzdc/edit?usp=sharing"",""หนองคาย!I371"")"),229)</f>
        <v>229</v>
      </c>
      <c r="AA47" s="177">
        <f ca="1">IFERROR(__xludf.DUMMYFUNCTION("IMPORTRANGE(""https://docs.google.com/spreadsheets/d/13JHU_EFbsQOUQ0JSQ3dWy1VTRosIWcDq6Nc99z2qzdc/edit?usp=sharing"",""หนองคาย!J371"")"),45)</f>
        <v>45</v>
      </c>
      <c r="AB47" s="345">
        <f ca="1">IFERROR(__xludf.DUMMYFUNCTION("IMPORTRANGE(""https://docs.google.com/spreadsheets/d/13JHU_EFbsQOUQ0JSQ3dWy1VTRosIWcDq6Nc99z2qzdc/edit?usp=sharing"",""หนองคาย!J372"")"),843.34)</f>
        <v>843.34</v>
      </c>
      <c r="AC47" s="259">
        <f t="shared" ca="1" si="34"/>
        <v>19.650655021834062</v>
      </c>
    </row>
    <row r="48" spans="1:29" ht="21" customHeight="1" x14ac:dyDescent="0.3">
      <c r="A48" s="84">
        <v>17</v>
      </c>
      <c r="B48" s="85" t="s">
        <v>70</v>
      </c>
      <c r="C48" s="174">
        <f t="shared" ca="1" si="21"/>
        <v>561010</v>
      </c>
      <c r="D48" s="175">
        <f t="shared" ca="1" si="40"/>
        <v>561010</v>
      </c>
      <c r="E48" s="176">
        <f ca="1">IFERROR(__xludf.DUMMYFUNCTION("IMPORTRANGE(""https://docs.google.com/spreadsheets/d/1-uDff_7J0KD5mKrp0Vvzr7lt3OU09vwQwhkpOPPYv2Y/edit?usp=sharing"",""งบพรบ!FD48"")"),184100)</f>
        <v>184100</v>
      </c>
      <c r="F48" s="176">
        <f ca="1">IFERROR(__xludf.DUMMYFUNCTION("IMPORTRANGE(""https://docs.google.com/spreadsheets/d/1-uDff_7J0KD5mKrp0Vvzr7lt3OU09vwQwhkpOPPYv2Y/edit?usp=sharing"",""งบพรบ!FE48"")"),376910)</f>
        <v>376910</v>
      </c>
      <c r="G48" s="176">
        <f ca="1">IFERROR(__xludf.DUMMYFUNCTION("IMPORTRANGE(""https://docs.google.com/spreadsheets/d/1-uDff_7J0KD5mKrp0Vvzr7lt3OU09vwQwhkpOPPYv2Y/edit?usp=sharing"",""งบพรบ!FF48"")"),0)</f>
        <v>0</v>
      </c>
      <c r="H48" s="176">
        <f ca="1">IFERROR(__xludf.DUMMYFUNCTION("IMPORTRANGE(""https://docs.google.com/spreadsheets/d/1-uDff_7J0KD5mKrp0Vvzr7lt3OU09vwQwhkpOPPYv2Y/edit?usp=sharing"",""งบพรบ!FH48"")"),466330)</f>
        <v>466330</v>
      </c>
      <c r="I48" s="176">
        <f ca="1">IFERROR(__xludf.DUMMYFUNCTION("IMPORTRANGE(""https://docs.google.com/spreadsheets/d/1-uDff_7J0KD5mKrp0Vvzr7lt3OU09vwQwhkpOPPYv2Y/edit?usp=sharing"",""งบพรบ!FI48"")"),0)</f>
        <v>0</v>
      </c>
      <c r="J48" s="176">
        <f t="shared" ca="1" si="23"/>
        <v>227964.99</v>
      </c>
      <c r="K48" s="181">
        <f t="shared" ca="1" si="24"/>
        <v>40.634746261207468</v>
      </c>
      <c r="L48" s="176">
        <f ca="1">IFERROR(__xludf.DUMMYFUNCTION("IMPORTRANGE(""https://docs.google.com/spreadsheets/d/1-uDff_7J0KD5mKrp0Vvzr7lt3OU09vwQwhkpOPPYv2Y/edit?usp=sharing"",""งบพรบ!FJ48"")"),227964.99)</f>
        <v>227964.99</v>
      </c>
      <c r="M48" s="179">
        <f t="shared" ca="1" si="25"/>
        <v>40.634746261207468</v>
      </c>
      <c r="N48" s="179">
        <f t="shared" ca="1" si="26"/>
        <v>48.884907683400165</v>
      </c>
      <c r="O48" s="180">
        <f ca="1">IFERROR(__xludf.DUMMYFUNCTION("IMPORTRANGE(""https://docs.google.com/spreadsheets/d/1-uDff_7J0KD5mKrp0Vvzr7lt3OU09vwQwhkpOPPYv2Y/edit?usp=sharing"",""งบพรบ!FK48"")"),0)</f>
        <v>0</v>
      </c>
      <c r="P48" s="180">
        <f t="shared" ca="1" si="27"/>
        <v>0</v>
      </c>
      <c r="Q48" s="179">
        <f t="shared" ca="1" si="28"/>
        <v>0</v>
      </c>
      <c r="R48" s="344">
        <f ca="1">IFERROR(__xludf.DUMMYFUNCTION("IMPORTRANGE(""https://docs.google.com/spreadsheets/d/1Hx73zIEgVdDZZaYSTc46Dqv64atFhpr3GelxLbaIN8A/edit?usp=sharing"",""หนองบัวลำภู!I368"")"),1645)</f>
        <v>1645</v>
      </c>
      <c r="S48" s="177">
        <f ca="1">IFERROR(__xludf.DUMMYFUNCTION("IMPORTRANGE(""https://docs.google.com/spreadsheets/d/1Hx73zIEgVdDZZaYSTc46Dqv64atFhpr3GelxLbaIN8A/edit?usp=sharing"",""หนองบัวลำภู!J367"")"),69)</f>
        <v>69</v>
      </c>
      <c r="T48" s="345">
        <f ca="1">IFERROR(__xludf.DUMMYFUNCTION("IMPORTRANGE(""https://docs.google.com/spreadsheets/d/1Hx73zIEgVdDZZaYSTc46Dqv64atFhpr3GelxLbaIN8A/edit?usp=sharing"",""หนองบัวลำภู!J368"")"),855.72)</f>
        <v>855.72</v>
      </c>
      <c r="U48" s="259">
        <f t="shared" ca="1" si="30"/>
        <v>52.019452887537994</v>
      </c>
      <c r="V48" s="344">
        <f ca="1">IFERROR(__xludf.DUMMYFUNCTION("IMPORTRANGE(""https://docs.google.com/spreadsheets/d/1Hx73zIEgVdDZZaYSTc46Dqv64atFhpr3GelxLbaIN8A/edit?usp=sharing"",""หนองบัวลำภู!I369"")"),284)</f>
        <v>284</v>
      </c>
      <c r="W48" s="177">
        <f ca="1">IFERROR(__xludf.DUMMYFUNCTION("IMPORTRANGE(""https://docs.google.com/spreadsheets/d/1Hx73zIEgVdDZZaYSTc46Dqv64atFhpr3GelxLbaIN8A/edit?usp=sharing"",""หนองบัวลำภู!J369"")"),90)</f>
        <v>90</v>
      </c>
      <c r="X48" s="345">
        <f ca="1">IFERROR(__xludf.DUMMYFUNCTION("IMPORTRANGE(""https://docs.google.com/spreadsheets/d/1Hx73zIEgVdDZZaYSTc46Dqv64atFhpr3GelxLbaIN8A/edit?usp=sharing"",""หนองบัวลำภู!J370"")"),1450.12)</f>
        <v>1450.12</v>
      </c>
      <c r="Y48" s="259">
        <f t="shared" ca="1" si="32"/>
        <v>31.690140845070424</v>
      </c>
      <c r="Z48" s="344">
        <f ca="1">IFERROR(__xludf.DUMMYFUNCTION("IMPORTRANGE(""https://docs.google.com/spreadsheets/d/1Hx73zIEgVdDZZaYSTc46Dqv64atFhpr3GelxLbaIN8A/edit?usp=sharing"",""หนองบัวลำภู!I371"")"),188)</f>
        <v>188</v>
      </c>
      <c r="AA48" s="177">
        <f ca="1">IFERROR(__xludf.DUMMYFUNCTION("IMPORTRANGE(""https://docs.google.com/spreadsheets/d/1Hx73zIEgVdDZZaYSTc46Dqv64atFhpr3GelxLbaIN8A/edit?usp=sharing"",""หนองบัวลำภู!J371"")"),90)</f>
        <v>90</v>
      </c>
      <c r="AB48" s="345">
        <f ca="1">IFERROR(__xludf.DUMMYFUNCTION("IMPORTRANGE(""https://docs.google.com/spreadsheets/d/1Hx73zIEgVdDZZaYSTc46Dqv64atFhpr3GelxLbaIN8A/edit?usp=sharing"",""หนองบัวลำภู!J372"")"),1450.12)</f>
        <v>1450.12</v>
      </c>
      <c r="AC48" s="259">
        <f t="shared" ca="1" si="34"/>
        <v>47.872340425531917</v>
      </c>
    </row>
    <row r="49" spans="1:29" ht="21" customHeight="1" x14ac:dyDescent="0.3">
      <c r="A49" s="84">
        <v>18</v>
      </c>
      <c r="B49" s="85" t="s">
        <v>71</v>
      </c>
      <c r="C49" s="174">
        <f t="shared" ca="1" si="21"/>
        <v>577005</v>
      </c>
      <c r="D49" s="175">
        <f t="shared" ca="1" si="40"/>
        <v>577005</v>
      </c>
      <c r="E49" s="176">
        <f ca="1">IFERROR(__xludf.DUMMYFUNCTION("IMPORTRANGE(""https://docs.google.com/spreadsheets/d/1-uDff_7J0KD5mKrp0Vvzr7lt3OU09vwQwhkpOPPYv2Y/edit?usp=sharing"",""งบพรบ!FD49"")"),275100)</f>
        <v>275100</v>
      </c>
      <c r="F49" s="176">
        <f ca="1">IFERROR(__xludf.DUMMYFUNCTION("IMPORTRANGE(""https://docs.google.com/spreadsheets/d/1-uDff_7J0KD5mKrp0Vvzr7lt3OU09vwQwhkpOPPYv2Y/edit?usp=sharing"",""งบพรบ!FE49"")"),301905)</f>
        <v>301905</v>
      </c>
      <c r="G49" s="176">
        <f ca="1">IFERROR(__xludf.DUMMYFUNCTION("IMPORTRANGE(""https://docs.google.com/spreadsheets/d/1-uDff_7J0KD5mKrp0Vvzr7lt3OU09vwQwhkpOPPYv2Y/edit?usp=sharing"",""งบพรบ!FF49"")"),0)</f>
        <v>0</v>
      </c>
      <c r="H49" s="176">
        <f ca="1">IFERROR(__xludf.DUMMYFUNCTION("IMPORTRANGE(""https://docs.google.com/spreadsheets/d/1-uDff_7J0KD5mKrp0Vvzr7lt3OU09vwQwhkpOPPYv2Y/edit?usp=sharing"",""งบพรบ!FH49"")"),472405)</f>
        <v>472405</v>
      </c>
      <c r="I49" s="176">
        <f ca="1">IFERROR(__xludf.DUMMYFUNCTION("IMPORTRANGE(""https://docs.google.com/spreadsheets/d/1-uDff_7J0KD5mKrp0Vvzr7lt3OU09vwQwhkpOPPYv2Y/edit?usp=sharing"",""งบพรบ!FI49"")"),0)</f>
        <v>0</v>
      </c>
      <c r="J49" s="176">
        <f t="shared" ca="1" si="23"/>
        <v>81965</v>
      </c>
      <c r="K49" s="181">
        <f t="shared" ca="1" si="24"/>
        <v>14.205249521234652</v>
      </c>
      <c r="L49" s="176">
        <f ca="1">IFERROR(__xludf.DUMMYFUNCTION("IMPORTRANGE(""https://docs.google.com/spreadsheets/d/1-uDff_7J0KD5mKrp0Vvzr7lt3OU09vwQwhkpOPPYv2Y/edit?usp=sharing"",""งบพรบ!FJ49"")"),81965)</f>
        <v>81965</v>
      </c>
      <c r="M49" s="179">
        <f t="shared" ca="1" si="25"/>
        <v>14.205249521234652</v>
      </c>
      <c r="N49" s="179">
        <f t="shared" ca="1" si="26"/>
        <v>17.35057842317503</v>
      </c>
      <c r="O49" s="180">
        <f ca="1">IFERROR(__xludf.DUMMYFUNCTION("IMPORTRANGE(""https://docs.google.com/spreadsheets/d/1-uDff_7J0KD5mKrp0Vvzr7lt3OU09vwQwhkpOPPYv2Y/edit?usp=sharing"",""งบพรบ!FK49"")"),0)</f>
        <v>0</v>
      </c>
      <c r="P49" s="180">
        <f t="shared" ca="1" si="27"/>
        <v>0</v>
      </c>
      <c r="Q49" s="179">
        <f t="shared" ca="1" si="28"/>
        <v>0</v>
      </c>
      <c r="R49" s="344">
        <f ca="1">IFERROR(__xludf.DUMMYFUNCTION("IMPORTRANGE(""https://docs.google.com/spreadsheets/d/1lFxr3ctmjFN90yc-xV6jrQ9Ty8BKYVBWnAZ15wcNIJc/edit?usp=sharing"",""อำนาจเจริญ!I368"")"),1820)</f>
        <v>1820</v>
      </c>
      <c r="S49" s="177">
        <f ca="1">IFERROR(__xludf.DUMMYFUNCTION("IMPORTRANGE(""https://docs.google.com/spreadsheets/d/1lFxr3ctmjFN90yc-xV6jrQ9Ty8BKYVBWnAZ15wcNIJc/edit?usp=sharing"",""อำนาจเจริญ!J367"")"),24)</f>
        <v>24</v>
      </c>
      <c r="T49" s="345">
        <f ca="1">IFERROR(__xludf.DUMMYFUNCTION("IMPORTRANGE(""https://docs.google.com/spreadsheets/d/1lFxr3ctmjFN90yc-xV6jrQ9Ty8BKYVBWnAZ15wcNIJc/edit?usp=sharing"",""อำนาจเจริญ!J368"")"),201.98)</f>
        <v>201.98</v>
      </c>
      <c r="U49" s="259">
        <f t="shared" ca="1" si="30"/>
        <v>11.097802197802197</v>
      </c>
      <c r="V49" s="344">
        <f ca="1">IFERROR(__xludf.DUMMYFUNCTION("IMPORTRANGE(""https://docs.google.com/spreadsheets/d/1lFxr3ctmjFN90yc-xV6jrQ9Ty8BKYVBWnAZ15wcNIJc/edit?usp=sharing"",""อำนาจเจริญ!I369"")"),292)</f>
        <v>292</v>
      </c>
      <c r="W49" s="177">
        <f ca="1">IFERROR(__xludf.DUMMYFUNCTION("IMPORTRANGE(""https://docs.google.com/spreadsheets/d/1lFxr3ctmjFN90yc-xV6jrQ9Ty8BKYVBWnAZ15wcNIJc/edit?usp=sharing"",""อำนาจเจริญ!J369"")"),144)</f>
        <v>144</v>
      </c>
      <c r="X49" s="345">
        <f ca="1">IFERROR(__xludf.DUMMYFUNCTION("IMPORTRANGE(""https://docs.google.com/spreadsheets/d/1lFxr3ctmjFN90yc-xV6jrQ9Ty8BKYVBWnAZ15wcNIJc/edit?usp=sharing"",""อำนาจเจริญ!J370"")"),1151.84)</f>
        <v>1151.8399999999999</v>
      </c>
      <c r="Y49" s="259">
        <f t="shared" ca="1" si="32"/>
        <v>49.315068493150683</v>
      </c>
      <c r="Z49" s="344">
        <f ca="1">IFERROR(__xludf.DUMMYFUNCTION("IMPORTRANGE(""https://docs.google.com/spreadsheets/d/1lFxr3ctmjFN90yc-xV6jrQ9Ty8BKYVBWnAZ15wcNIJc/edit?usp=sharing"",""อำนาจเจริญ!I371"")"),194)</f>
        <v>194</v>
      </c>
      <c r="AA49" s="177">
        <f ca="1">IFERROR(__xludf.DUMMYFUNCTION("IMPORTRANGE(""https://docs.google.com/spreadsheets/d/1lFxr3ctmjFN90yc-xV6jrQ9Ty8BKYVBWnAZ15wcNIJc/edit?usp=sharing"",""อำนาจเจริญ!J371"")"),125)</f>
        <v>125</v>
      </c>
      <c r="AB49" s="345">
        <f ca="1">IFERROR(__xludf.DUMMYFUNCTION("IMPORTRANGE(""https://docs.google.com/spreadsheets/d/1lFxr3ctmjFN90yc-xV6jrQ9Ty8BKYVBWnAZ15wcNIJc/edit?usp=sharing"",""อำนาจเจริญ!J372"")"),1024.34)</f>
        <v>1024.3399999999999</v>
      </c>
      <c r="AC49" s="259">
        <f t="shared" ca="1" si="34"/>
        <v>64.432989690721655</v>
      </c>
    </row>
    <row r="50" spans="1:29" ht="21" customHeight="1" x14ac:dyDescent="0.3">
      <c r="A50" s="84">
        <v>19</v>
      </c>
      <c r="B50" s="85" t="s">
        <v>72</v>
      </c>
      <c r="C50" s="174">
        <f t="shared" ca="1" si="21"/>
        <v>1348240</v>
      </c>
      <c r="D50" s="175">
        <f t="shared" ca="1" si="40"/>
        <v>1348240</v>
      </c>
      <c r="E50" s="176">
        <f ca="1">IFERROR(__xludf.DUMMYFUNCTION("IMPORTRANGE(""https://docs.google.com/spreadsheets/d/1-uDff_7J0KD5mKrp0Vvzr7lt3OU09vwQwhkpOPPYv2Y/edit?usp=sharing"",""งบพรบ!FD50"")"),182000)</f>
        <v>182000</v>
      </c>
      <c r="F50" s="176">
        <f ca="1">IFERROR(__xludf.DUMMYFUNCTION("IMPORTRANGE(""https://docs.google.com/spreadsheets/d/1-uDff_7J0KD5mKrp0Vvzr7lt3OU09vwQwhkpOPPYv2Y/edit?usp=sharing"",""งบพรบ!FE50"")"),1166240)</f>
        <v>1166240</v>
      </c>
      <c r="G50" s="176">
        <f ca="1">IFERROR(__xludf.DUMMYFUNCTION("IMPORTRANGE(""https://docs.google.com/spreadsheets/d/1-uDff_7J0KD5mKrp0Vvzr7lt3OU09vwQwhkpOPPYv2Y/edit?usp=sharing"",""งบพรบ!FF50"")"),0)</f>
        <v>0</v>
      </c>
      <c r="H50" s="176">
        <f ca="1">IFERROR(__xludf.DUMMYFUNCTION("IMPORTRANGE(""https://docs.google.com/spreadsheets/d/1-uDff_7J0KD5mKrp0Vvzr7lt3OU09vwQwhkpOPPYv2Y/edit?usp=sharing"",""งบพรบ!FH50"")"),1244260)</f>
        <v>1244260</v>
      </c>
      <c r="I50" s="176">
        <f ca="1">IFERROR(__xludf.DUMMYFUNCTION("IMPORTRANGE(""https://docs.google.com/spreadsheets/d/1-uDff_7J0KD5mKrp0Vvzr7lt3OU09vwQwhkpOPPYv2Y/edit?usp=sharing"",""งบพรบ!FI50"")"),0)</f>
        <v>0</v>
      </c>
      <c r="J50" s="176">
        <f t="shared" ca="1" si="23"/>
        <v>463359.31</v>
      </c>
      <c r="K50" s="181">
        <f t="shared" ca="1" si="24"/>
        <v>34.367717172016853</v>
      </c>
      <c r="L50" s="176">
        <f ca="1">IFERROR(__xludf.DUMMYFUNCTION("IMPORTRANGE(""https://docs.google.com/spreadsheets/d/1-uDff_7J0KD5mKrp0Vvzr7lt3OU09vwQwhkpOPPYv2Y/edit?usp=sharing"",""งบพรบ!FJ50"")"),463359.31)</f>
        <v>463359.31</v>
      </c>
      <c r="M50" s="179">
        <f t="shared" ca="1" si="25"/>
        <v>34.367717172016853</v>
      </c>
      <c r="N50" s="179">
        <f t="shared" ca="1" si="26"/>
        <v>37.23974973076367</v>
      </c>
      <c r="O50" s="180">
        <f ca="1">IFERROR(__xludf.DUMMYFUNCTION("IMPORTRANGE(""https://docs.google.com/spreadsheets/d/1-uDff_7J0KD5mKrp0Vvzr7lt3OU09vwQwhkpOPPYv2Y/edit?usp=sharing"",""งบพรบ!FK50"")"),0)</f>
        <v>0</v>
      </c>
      <c r="P50" s="180">
        <f t="shared" ca="1" si="27"/>
        <v>0</v>
      </c>
      <c r="Q50" s="179">
        <f t="shared" ca="1" si="28"/>
        <v>0</v>
      </c>
      <c r="R50" s="344">
        <f ca="1">IFERROR(__xludf.DUMMYFUNCTION("IMPORTRANGE(""https://docs.google.com/spreadsheets/d/1gF7RJpRnL-1oyjyeWxs5SFWEH7y8ahOZsQlyp2A2e-A/edit?usp=sharing"",""อุดรธานี!I368"")"),9500)</f>
        <v>9500</v>
      </c>
      <c r="S50" s="177">
        <f ca="1">IFERROR(__xludf.DUMMYFUNCTION("IMPORTRANGE(""https://docs.google.com/spreadsheets/d/1gF7RJpRnL-1oyjyeWxs5SFWEH7y8ahOZsQlyp2A2e-A/edit?usp=sharing"",""อุดรธานี!J367"")"),166)</f>
        <v>166</v>
      </c>
      <c r="T50" s="345">
        <f ca="1">IFERROR(__xludf.DUMMYFUNCTION("IMPORTRANGE(""https://docs.google.com/spreadsheets/d/1gF7RJpRnL-1oyjyeWxs5SFWEH7y8ahOZsQlyp2A2e-A/edit?usp=sharing"",""อุดรธานี!J368"")"),2007.27999999999)</f>
        <v>2007.27999999999</v>
      </c>
      <c r="U50" s="259">
        <f t="shared" ca="1" si="30"/>
        <v>21.129263157894634</v>
      </c>
      <c r="V50" s="344">
        <f ca="1">IFERROR(__xludf.DUMMYFUNCTION("IMPORTRANGE(""https://docs.google.com/spreadsheets/d/1gF7RJpRnL-1oyjyeWxs5SFWEH7y8ahOZsQlyp2A2e-A/edit?usp=sharing"",""อุดรธานี!I369"")"),1470)</f>
        <v>1470</v>
      </c>
      <c r="W50" s="177">
        <f ca="1">IFERROR(__xludf.DUMMYFUNCTION("IMPORTRANGE(""https://docs.google.com/spreadsheets/d/1gF7RJpRnL-1oyjyeWxs5SFWEH7y8ahOZsQlyp2A2e-A/edit?usp=sharing"",""อุดรธานี!J369"")"),221)</f>
        <v>221</v>
      </c>
      <c r="X50" s="345">
        <f ca="1">IFERROR(__xludf.DUMMYFUNCTION("IMPORTRANGE(""https://docs.google.com/spreadsheets/d/1gF7RJpRnL-1oyjyeWxs5SFWEH7y8ahOZsQlyp2A2e-A/edit?usp=sharing"",""อุดรธานี!J370"")"),4408.49)</f>
        <v>4408.49</v>
      </c>
      <c r="Y50" s="259">
        <f t="shared" ca="1" si="32"/>
        <v>15.034013605442176</v>
      </c>
      <c r="Z50" s="344">
        <f ca="1">IFERROR(__xludf.DUMMYFUNCTION("IMPORTRANGE(""https://docs.google.com/spreadsheets/d/1gF7RJpRnL-1oyjyeWxs5SFWEH7y8ahOZsQlyp2A2e-A/edit?usp=sharing"",""อุดรธานี!I371"")"),974)</f>
        <v>974</v>
      </c>
      <c r="AA50" s="177">
        <f ca="1">IFERROR(__xludf.DUMMYFUNCTION("IMPORTRANGE(""https://docs.google.com/spreadsheets/d/1gF7RJpRnL-1oyjyeWxs5SFWEH7y8ahOZsQlyp2A2e-A/edit?usp=sharing"",""อุดรธานี!J371"")"),53)</f>
        <v>53</v>
      </c>
      <c r="AB50" s="345">
        <f ca="1">IFERROR(__xludf.DUMMYFUNCTION("IMPORTRANGE(""https://docs.google.com/spreadsheets/d/1gF7RJpRnL-1oyjyeWxs5SFWEH7y8ahOZsQlyp2A2e-A/edit?usp=sharing"",""อุดรธานี!J372"")"),868.27)</f>
        <v>868.27</v>
      </c>
      <c r="AC50" s="259">
        <f t="shared" ca="1" si="34"/>
        <v>5.4414784394250511</v>
      </c>
    </row>
    <row r="51" spans="1:29" ht="21" customHeight="1" x14ac:dyDescent="0.3">
      <c r="A51" s="95">
        <v>20</v>
      </c>
      <c r="B51" s="96" t="s">
        <v>73</v>
      </c>
      <c r="C51" s="223">
        <f t="shared" ca="1" si="21"/>
        <v>1079860</v>
      </c>
      <c r="D51" s="224">
        <f t="shared" ca="1" si="40"/>
        <v>1079860</v>
      </c>
      <c r="E51" s="225">
        <f ca="1">IFERROR(__xludf.DUMMYFUNCTION("IMPORTRANGE(""https://docs.google.com/spreadsheets/d/1-uDff_7J0KD5mKrp0Vvzr7lt3OU09vwQwhkpOPPYv2Y/edit?usp=sharing"",""งบพรบ!FD51"")"),301700)</f>
        <v>301700</v>
      </c>
      <c r="F51" s="225">
        <f ca="1">IFERROR(__xludf.DUMMYFUNCTION("IMPORTRANGE(""https://docs.google.com/spreadsheets/d/1-uDff_7J0KD5mKrp0Vvzr7lt3OU09vwQwhkpOPPYv2Y/edit?usp=sharing"",""งบพรบ!FE51"")"),778160)</f>
        <v>778160</v>
      </c>
      <c r="G51" s="225">
        <f ca="1">IFERROR(__xludf.DUMMYFUNCTION("IMPORTRANGE(""https://docs.google.com/spreadsheets/d/1-uDff_7J0KD5mKrp0Vvzr7lt3OU09vwQwhkpOPPYv2Y/edit?usp=sharing"",""งบพรบ!FF51"")"),0)</f>
        <v>0</v>
      </c>
      <c r="H51" s="225">
        <f ca="1">IFERROR(__xludf.DUMMYFUNCTION("IMPORTRANGE(""https://docs.google.com/spreadsheets/d/1-uDff_7J0KD5mKrp0Vvzr7lt3OU09vwQwhkpOPPYv2Y/edit?usp=sharing"",""งบพรบ!FH51"")"),941760)</f>
        <v>941760</v>
      </c>
      <c r="I51" s="225">
        <f ca="1">IFERROR(__xludf.DUMMYFUNCTION("IMPORTRANGE(""https://docs.google.com/spreadsheets/d/1-uDff_7J0KD5mKrp0Vvzr7lt3OU09vwQwhkpOPPYv2Y/edit?usp=sharing"",""งบพรบ!FI51"")"),0)</f>
        <v>0</v>
      </c>
      <c r="J51" s="225">
        <f t="shared" ca="1" si="23"/>
        <v>314481.05</v>
      </c>
      <c r="K51" s="226">
        <f t="shared" ca="1" si="24"/>
        <v>29.122390865482561</v>
      </c>
      <c r="L51" s="225">
        <f ca="1">IFERROR(__xludf.DUMMYFUNCTION("IMPORTRANGE(""https://docs.google.com/spreadsheets/d/1-uDff_7J0KD5mKrp0Vvzr7lt3OU09vwQwhkpOPPYv2Y/edit?usp=sharing"",""งบพรบ!FJ51"")"),314481.05)</f>
        <v>314481.05</v>
      </c>
      <c r="M51" s="227">
        <f t="shared" ca="1" si="25"/>
        <v>29.122390865482561</v>
      </c>
      <c r="N51" s="227">
        <f t="shared" ca="1" si="26"/>
        <v>33.392907959565072</v>
      </c>
      <c r="O51" s="228">
        <f ca="1">IFERROR(__xludf.DUMMYFUNCTION("IMPORTRANGE(""https://docs.google.com/spreadsheets/d/1-uDff_7J0KD5mKrp0Vvzr7lt3OU09vwQwhkpOPPYv2Y/edit?usp=sharing"",""งบพรบ!FK51"")"),0)</f>
        <v>0</v>
      </c>
      <c r="P51" s="228">
        <f t="shared" ca="1" si="27"/>
        <v>0</v>
      </c>
      <c r="Q51" s="227">
        <f t="shared" ca="1" si="28"/>
        <v>0</v>
      </c>
      <c r="R51" s="347">
        <f ca="1">IFERROR(__xludf.DUMMYFUNCTION("IMPORTRANGE(""https://docs.google.com/spreadsheets/d/1kfLP0j3INXRa8bTDpcEmoWewMBV61jlFlfzczfjWIgc/edit?usp=sharing"",""อุบลราชธานี!I368"")"),4565)</f>
        <v>4565</v>
      </c>
      <c r="S51" s="190">
        <f ca="1">IFERROR(__xludf.DUMMYFUNCTION("IMPORTRANGE(""https://docs.google.com/spreadsheets/d/1kfLP0j3INXRa8bTDpcEmoWewMBV61jlFlfzczfjWIgc/edit?usp=sharing"",""อุบลราชธานี!J367"")"),151)</f>
        <v>151</v>
      </c>
      <c r="T51" s="348">
        <f ca="1">IFERROR(__xludf.DUMMYFUNCTION("IMPORTRANGE(""https://docs.google.com/spreadsheets/d/1kfLP0j3INXRa8bTDpcEmoWewMBV61jlFlfzczfjWIgc/edit?usp=sharing"",""อุบลราชธานี!J368"")"),1013.63)</f>
        <v>1013.63</v>
      </c>
      <c r="U51" s="261">
        <f t="shared" ca="1" si="30"/>
        <v>22.204381161007667</v>
      </c>
      <c r="V51" s="347">
        <f ca="1">IFERROR(__xludf.DUMMYFUNCTION("IMPORTRANGE(""https://docs.google.com/spreadsheets/d/1kfLP0j3INXRa8bTDpcEmoWewMBV61jlFlfzczfjWIgc/edit?usp=sharing"",""อุบลราชธานี!I369"")"),733)</f>
        <v>733</v>
      </c>
      <c r="W51" s="190">
        <f ca="1">IFERROR(__xludf.DUMMYFUNCTION("IMPORTRANGE(""https://docs.google.com/spreadsheets/d/1kfLP0j3INXRa8bTDpcEmoWewMBV61jlFlfzczfjWIgc/edit?usp=sharing"",""อุบลราชธานี!J369"")"),98)</f>
        <v>98</v>
      </c>
      <c r="X51" s="348">
        <f ca="1">IFERROR(__xludf.DUMMYFUNCTION("IMPORTRANGE(""https://docs.google.com/spreadsheets/d/1kfLP0j3INXRa8bTDpcEmoWewMBV61jlFlfzczfjWIgc/edit?usp=sharing"",""อุบลราชธานี!J370"")"),894.68)</f>
        <v>894.68</v>
      </c>
      <c r="Y51" s="261">
        <f t="shared" ca="1" si="32"/>
        <v>13.369713506139155</v>
      </c>
      <c r="Z51" s="347">
        <f ca="1">IFERROR(__xludf.DUMMYFUNCTION("IMPORTRANGE(""https://docs.google.com/spreadsheets/d/1kfLP0j3INXRa8bTDpcEmoWewMBV61jlFlfzczfjWIgc/edit?usp=sharing"",""อุบลราชธานี!I371"")"),479)</f>
        <v>479</v>
      </c>
      <c r="AA51" s="190">
        <f ca="1">IFERROR(__xludf.DUMMYFUNCTION("IMPORTRANGE(""https://docs.google.com/spreadsheets/d/1kfLP0j3INXRa8bTDpcEmoWewMBV61jlFlfzczfjWIgc/edit?usp=sharing"",""อุบลราชธานี!J371"")"),98)</f>
        <v>98</v>
      </c>
      <c r="AB51" s="348">
        <f ca="1">IFERROR(__xludf.DUMMYFUNCTION("IMPORTRANGE(""https://docs.google.com/spreadsheets/d/1kfLP0j3INXRa8bTDpcEmoWewMBV61jlFlfzczfjWIgc/edit?usp=sharing"",""อุบลราชธานี!J372"")"),894.68)</f>
        <v>894.68</v>
      </c>
      <c r="AC51" s="261">
        <f t="shared" ca="1" si="34"/>
        <v>20.45929018789144</v>
      </c>
    </row>
    <row r="52" spans="1:29" ht="21" customHeight="1" x14ac:dyDescent="0.3">
      <c r="A52" s="443" t="s">
        <v>74</v>
      </c>
      <c r="B52" s="376"/>
      <c r="C52" s="229">
        <f t="shared" ca="1" si="21"/>
        <v>8038505</v>
      </c>
      <c r="D52" s="229">
        <f t="shared" ref="D52:I52" ca="1" si="41">SUM(D53:D73)</f>
        <v>8038505</v>
      </c>
      <c r="E52" s="229">
        <f t="shared" ca="1" si="41"/>
        <v>3933300</v>
      </c>
      <c r="F52" s="229">
        <f t="shared" ca="1" si="41"/>
        <v>4105205</v>
      </c>
      <c r="G52" s="229">
        <f t="shared" ca="1" si="41"/>
        <v>0</v>
      </c>
      <c r="H52" s="229">
        <f t="shared" ca="1" si="41"/>
        <v>6498895</v>
      </c>
      <c r="I52" s="229">
        <f t="shared" ca="1" si="41"/>
        <v>0</v>
      </c>
      <c r="J52" s="229">
        <f t="shared" ca="1" si="23"/>
        <v>1832333.4800000002</v>
      </c>
      <c r="K52" s="230">
        <f t="shared" ca="1" si="24"/>
        <v>22.794455934281316</v>
      </c>
      <c r="L52" s="229">
        <f ca="1">SUM(L53:L73)</f>
        <v>1832333.4800000002</v>
      </c>
      <c r="M52" s="231">
        <f t="shared" ca="1" si="25"/>
        <v>22.794455934281316</v>
      </c>
      <c r="N52" s="231">
        <f t="shared" ca="1" si="26"/>
        <v>28.194538917769872</v>
      </c>
      <c r="O52" s="232">
        <f ca="1">SUM(O53:O73)</f>
        <v>0</v>
      </c>
      <c r="P52" s="232">
        <f t="shared" ca="1" si="27"/>
        <v>0</v>
      </c>
      <c r="Q52" s="231">
        <f t="shared" ca="1" si="28"/>
        <v>0</v>
      </c>
      <c r="R52" s="339">
        <f t="shared" ref="R52:T52" ca="1" si="42">SUM(R53:R73)</f>
        <v>17325</v>
      </c>
      <c r="S52" s="154">
        <f t="shared" ca="1" si="42"/>
        <v>455</v>
      </c>
      <c r="T52" s="156">
        <f t="shared" ca="1" si="42"/>
        <v>5702.6399999999985</v>
      </c>
      <c r="U52" s="251">
        <f t="shared" ca="1" si="30"/>
        <v>32.915670995670986</v>
      </c>
      <c r="V52" s="339">
        <f t="shared" ref="V52:X52" ca="1" si="43">SUM(V53:V73)</f>
        <v>2680</v>
      </c>
      <c r="W52" s="154">
        <f t="shared" ca="1" si="43"/>
        <v>569</v>
      </c>
      <c r="X52" s="156">
        <f t="shared" ca="1" si="43"/>
        <v>8129.5899999999992</v>
      </c>
      <c r="Y52" s="251">
        <f t="shared" ca="1" si="32"/>
        <v>21.231343283582088</v>
      </c>
      <c r="Z52" s="339">
        <f t="shared" ref="Z52:AB52" ca="1" si="44">SUM(Z53:Z73)</f>
        <v>1810</v>
      </c>
      <c r="AA52" s="154">
        <f t="shared" ca="1" si="44"/>
        <v>357</v>
      </c>
      <c r="AB52" s="156">
        <f t="shared" ca="1" si="44"/>
        <v>5375.2800000000007</v>
      </c>
      <c r="AC52" s="251">
        <f t="shared" ca="1" si="34"/>
        <v>19.723756906077348</v>
      </c>
    </row>
    <row r="53" spans="1:29" ht="21" customHeight="1" x14ac:dyDescent="0.3">
      <c r="A53" s="74">
        <v>1</v>
      </c>
      <c r="B53" s="75" t="s">
        <v>75</v>
      </c>
      <c r="C53" s="174">
        <f t="shared" ca="1" si="21"/>
        <v>756670</v>
      </c>
      <c r="D53" s="175">
        <f t="shared" ref="D53:D73" ca="1" si="45">+E53+F53</f>
        <v>756670</v>
      </c>
      <c r="E53" s="176">
        <f ca="1">IFERROR(__xludf.DUMMYFUNCTION("IMPORTRANGE(""https://docs.google.com/spreadsheets/d/1-uDff_7J0KD5mKrp0Vvzr7lt3OU09vwQwhkpOPPYv2Y/edit?usp=sharing"",""งบพรบ!FD53"")"),499100)</f>
        <v>499100</v>
      </c>
      <c r="F53" s="176">
        <f ca="1">IFERROR(__xludf.DUMMYFUNCTION("IMPORTRANGE(""https://docs.google.com/spreadsheets/d/1-uDff_7J0KD5mKrp0Vvzr7lt3OU09vwQwhkpOPPYv2Y/edit?usp=sharing"",""งบพรบ!FE53"")"),257570)</f>
        <v>257570</v>
      </c>
      <c r="G53" s="177">
        <f ca="1">IFERROR(__xludf.DUMMYFUNCTION("IMPORTRANGE(""https://docs.google.com/spreadsheets/d/1-uDff_7J0KD5mKrp0Vvzr7lt3OU09vwQwhkpOPPYv2Y/edit?usp=sharing"",""งบพรบ!FF53"")"),0)</f>
        <v>0</v>
      </c>
      <c r="H53" s="177">
        <f ca="1">IFERROR(__xludf.DUMMYFUNCTION("IMPORTRANGE(""https://docs.google.com/spreadsheets/d/1-uDff_7J0KD5mKrp0Vvzr7lt3OU09vwQwhkpOPPYv2Y/edit?usp=sharing"",""งบพรบ!FH53"")"),634245)</f>
        <v>634245</v>
      </c>
      <c r="I53" s="177">
        <f ca="1">IFERROR(__xludf.DUMMYFUNCTION("IMPORTRANGE(""https://docs.google.com/spreadsheets/d/1-uDff_7J0KD5mKrp0Vvzr7lt3OU09vwQwhkpOPPYv2Y/edit?usp=sharing"",""งบพรบ!FI53"")"),0)</f>
        <v>0</v>
      </c>
      <c r="J53" s="177">
        <f t="shared" ca="1" si="23"/>
        <v>59875</v>
      </c>
      <c r="K53" s="178">
        <f t="shared" ca="1" si="24"/>
        <v>7.9129607358557887</v>
      </c>
      <c r="L53" s="177">
        <f ca="1">IFERROR(__xludf.DUMMYFUNCTION("IMPORTRANGE(""https://docs.google.com/spreadsheets/d/1-uDff_7J0KD5mKrp0Vvzr7lt3OU09vwQwhkpOPPYv2Y/edit?usp=sharing"",""งบพรบ!FJ53"")"),59875)</f>
        <v>59875</v>
      </c>
      <c r="M53" s="179">
        <f t="shared" ca="1" si="25"/>
        <v>7.9129607358557887</v>
      </c>
      <c r="N53" s="179">
        <f t="shared" ca="1" si="26"/>
        <v>9.4403582211921258</v>
      </c>
      <c r="O53" s="180">
        <f ca="1">IFERROR(__xludf.DUMMYFUNCTION("IMPORTRANGE(""https://docs.google.com/spreadsheets/d/1-uDff_7J0KD5mKrp0Vvzr7lt3OU09vwQwhkpOPPYv2Y/edit?usp=sharing"",""งบพรบ!FK53"")"),0)</f>
        <v>0</v>
      </c>
      <c r="P53" s="180">
        <f t="shared" ca="1" si="27"/>
        <v>0</v>
      </c>
      <c r="Q53" s="179">
        <f t="shared" ca="1" si="28"/>
        <v>0</v>
      </c>
      <c r="R53" s="344">
        <f ca="1">IFERROR(__xludf.DUMMYFUNCTION("IMPORTRANGE(""https://docs.google.com/spreadsheets/d/13wPX838HrBrQMCywv1BsuMkt4PEKTChp52zj44s2izQ/edit?usp=sharing"",""กาญจนบุรี!I368"")"),1350)</f>
        <v>1350</v>
      </c>
      <c r="S53" s="177">
        <f ca="1">IFERROR(__xludf.DUMMYFUNCTION("IMPORTRANGE(""https://docs.google.com/spreadsheets/d/13wPX838HrBrQMCywv1BsuMkt4PEKTChp52zj44s2izQ/edit?usp=sharing"",""กาญจนบุรี!J367"")"),36)</f>
        <v>36</v>
      </c>
      <c r="T53" s="345">
        <f ca="1">IFERROR(__xludf.DUMMYFUNCTION("IMPORTRANGE(""https://docs.google.com/spreadsheets/d/13wPX838HrBrQMCywv1BsuMkt4PEKTChp52zj44s2izQ/edit?usp=sharing"",""กาญจนบุรี!J368"")"),426.92)</f>
        <v>426.92</v>
      </c>
      <c r="U53" s="259">
        <f t="shared" ca="1" si="30"/>
        <v>31.623703703703704</v>
      </c>
      <c r="V53" s="344">
        <f ca="1">IFERROR(__xludf.DUMMYFUNCTION("IMPORTRANGE(""https://docs.google.com/spreadsheets/d/13wPX838HrBrQMCywv1BsuMkt4PEKTChp52zj44s2izQ/edit?usp=sharing"",""กาญจนบุรี!I369"")"),210)</f>
        <v>210</v>
      </c>
      <c r="W53" s="177">
        <f ca="1">IFERROR(__xludf.DUMMYFUNCTION("IMPORTRANGE(""https://docs.google.com/spreadsheets/d/13wPX838HrBrQMCywv1BsuMkt4PEKTChp52zj44s2izQ/edit?usp=sharing"",""กาญจนบุรี!J369"")"),11)</f>
        <v>11</v>
      </c>
      <c r="X53" s="345">
        <f ca="1">IFERROR(__xludf.DUMMYFUNCTION("IMPORTRANGE(""https://docs.google.com/spreadsheets/d/13wPX838HrBrQMCywv1BsuMkt4PEKTChp52zj44s2izQ/edit?usp=sharing"",""กาญจนบุรี!J370"")"),188.899999999999)</f>
        <v>188.89999999999901</v>
      </c>
      <c r="Y53" s="259">
        <f t="shared" ca="1" si="32"/>
        <v>5.2380952380952381</v>
      </c>
      <c r="Z53" s="344">
        <f ca="1">IFERROR(__xludf.DUMMYFUNCTION("IMPORTRANGE(""https://docs.google.com/spreadsheets/d/13wPX838HrBrQMCywv1BsuMkt4PEKTChp52zj44s2izQ/edit?usp=sharing"",""กาญจนบุรี!I371"")"),138)</f>
        <v>138</v>
      </c>
      <c r="AA53" s="177">
        <f ca="1">IFERROR(__xludf.DUMMYFUNCTION("IMPORTRANGE(""https://docs.google.com/spreadsheets/d/13wPX838HrBrQMCywv1BsuMkt4PEKTChp52zj44s2izQ/edit?usp=sharing"",""กาญจนบุรี!J371"")"),9)</f>
        <v>9</v>
      </c>
      <c r="AB53" s="345">
        <f ca="1">IFERROR(__xludf.DUMMYFUNCTION("IMPORTRANGE(""https://docs.google.com/spreadsheets/d/13wPX838HrBrQMCywv1BsuMkt4PEKTChp52zj44s2izQ/edit?usp=sharing"",""กาญจนบุรี!J372"")"),185.75)</f>
        <v>185.75</v>
      </c>
      <c r="AC53" s="259">
        <f t="shared" ca="1" si="34"/>
        <v>6.5217391304347823</v>
      </c>
    </row>
    <row r="54" spans="1:29" ht="21" customHeight="1" x14ac:dyDescent="0.3">
      <c r="A54" s="84">
        <v>2</v>
      </c>
      <c r="B54" s="85" t="s">
        <v>76</v>
      </c>
      <c r="C54" s="174">
        <f t="shared" ca="1" si="21"/>
        <v>440405</v>
      </c>
      <c r="D54" s="175">
        <f t="shared" ca="1" si="45"/>
        <v>440405</v>
      </c>
      <c r="E54" s="176">
        <f ca="1">IFERROR(__xludf.DUMMYFUNCTION("IMPORTRANGE(""https://docs.google.com/spreadsheets/d/1-uDff_7J0KD5mKrp0Vvzr7lt3OU09vwQwhkpOPPYv2Y/edit?usp=sharing"",""งบพรบ!FD54"")"),250600)</f>
        <v>250600</v>
      </c>
      <c r="F54" s="176">
        <f ca="1">IFERROR(__xludf.DUMMYFUNCTION("IMPORTRANGE(""https://docs.google.com/spreadsheets/d/1-uDff_7J0KD5mKrp0Vvzr7lt3OU09vwQwhkpOPPYv2Y/edit?usp=sharing"",""งบพรบ!FE54"")"),189805)</f>
        <v>189805</v>
      </c>
      <c r="G54" s="176">
        <f ca="1">IFERROR(__xludf.DUMMYFUNCTION("IMPORTRANGE(""https://docs.google.com/spreadsheets/d/1-uDff_7J0KD5mKrp0Vvzr7lt3OU09vwQwhkpOPPYv2Y/edit?usp=sharing"",""งบพรบ!FF54"")"),0)</f>
        <v>0</v>
      </c>
      <c r="H54" s="176">
        <f ca="1">IFERROR(__xludf.DUMMYFUNCTION("IMPORTRANGE(""https://docs.google.com/spreadsheets/d/1-uDff_7J0KD5mKrp0Vvzr7lt3OU09vwQwhkpOPPYv2Y/edit?usp=sharing"",""งบพรบ!FH54"")"),342805)</f>
        <v>342805</v>
      </c>
      <c r="I54" s="176">
        <f ca="1">IFERROR(__xludf.DUMMYFUNCTION("IMPORTRANGE(""https://docs.google.com/spreadsheets/d/1-uDff_7J0KD5mKrp0Vvzr7lt3OU09vwQwhkpOPPYv2Y/edit?usp=sharing"",""งบพรบ!FI54"")"),0)</f>
        <v>0</v>
      </c>
      <c r="J54" s="176">
        <f t="shared" ca="1" si="23"/>
        <v>137146.63</v>
      </c>
      <c r="K54" s="181">
        <f t="shared" ca="1" si="24"/>
        <v>31.141024738592886</v>
      </c>
      <c r="L54" s="176">
        <f ca="1">IFERROR(__xludf.DUMMYFUNCTION("IMPORTRANGE(""https://docs.google.com/spreadsheets/d/1-uDff_7J0KD5mKrp0Vvzr7lt3OU09vwQwhkpOPPYv2Y/edit?usp=sharing"",""งบพรบ!FJ54"")"),137146.63)</f>
        <v>137146.63</v>
      </c>
      <c r="M54" s="179">
        <f t="shared" ca="1" si="25"/>
        <v>31.141024738592886</v>
      </c>
      <c r="N54" s="179">
        <f t="shared" ca="1" si="26"/>
        <v>40.007184842694826</v>
      </c>
      <c r="O54" s="180">
        <f ca="1">IFERROR(__xludf.DUMMYFUNCTION("IMPORTRANGE(""https://docs.google.com/spreadsheets/d/1-uDff_7J0KD5mKrp0Vvzr7lt3OU09vwQwhkpOPPYv2Y/edit?usp=sharing"",""งบพรบ!FK54"")"),0)</f>
        <v>0</v>
      </c>
      <c r="P54" s="180">
        <f t="shared" ca="1" si="27"/>
        <v>0</v>
      </c>
      <c r="Q54" s="179">
        <f t="shared" ca="1" si="28"/>
        <v>0</v>
      </c>
      <c r="R54" s="344">
        <f ca="1">IFERROR(__xludf.DUMMYFUNCTION("IMPORTRANGE(""https://docs.google.com/spreadsheets/d/1ddFKvqj1W1NEiWytbGlB1zMx_ykJDVtmfEQ-6-lIUBA/edit?usp=sharing"",""จันทบุรี!I368"")"),730)</f>
        <v>730</v>
      </c>
      <c r="S54" s="177">
        <f ca="1">IFERROR(__xludf.DUMMYFUNCTION("IMPORTRANGE(""https://docs.google.com/spreadsheets/d/1ddFKvqj1W1NEiWytbGlB1zMx_ykJDVtmfEQ-6-lIUBA/edit?usp=sharing"",""จันทบุรี!J367"")"),28)</f>
        <v>28</v>
      </c>
      <c r="T54" s="345">
        <f ca="1">IFERROR(__xludf.DUMMYFUNCTION("IMPORTRANGE(""https://docs.google.com/spreadsheets/d/1ddFKvqj1W1NEiWytbGlB1zMx_ykJDVtmfEQ-6-lIUBA/edit?usp=sharing"",""จันทบุรี!J368"")"),351.67)</f>
        <v>351.67</v>
      </c>
      <c r="U54" s="259">
        <f t="shared" ca="1" si="30"/>
        <v>48.173972602739724</v>
      </c>
      <c r="V54" s="344">
        <f ca="1">IFERROR(__xludf.DUMMYFUNCTION("IMPORTRANGE(""https://docs.google.com/spreadsheets/d/1ddFKvqj1W1NEiWytbGlB1zMx_ykJDVtmfEQ-6-lIUBA/edit?usp=sharing"",""จันทบุรี!I369"")"),119)</f>
        <v>119</v>
      </c>
      <c r="W54" s="177">
        <f ca="1">IFERROR(__xludf.DUMMYFUNCTION("IMPORTRANGE(""https://docs.google.com/spreadsheets/d/1ddFKvqj1W1NEiWytbGlB1zMx_ykJDVtmfEQ-6-lIUBA/edit?usp=sharing"",""จันทบุรี!J369"")"),9)</f>
        <v>9</v>
      </c>
      <c r="X54" s="345">
        <f ca="1">IFERROR(__xludf.DUMMYFUNCTION("IMPORTRANGE(""https://docs.google.com/spreadsheets/d/1ddFKvqj1W1NEiWytbGlB1zMx_ykJDVtmfEQ-6-lIUBA/edit?usp=sharing"",""จันทบุรี!J370"")"),75.38)</f>
        <v>75.38</v>
      </c>
      <c r="Y54" s="259">
        <f t="shared" ca="1" si="32"/>
        <v>7.5630252100840334</v>
      </c>
      <c r="Z54" s="344">
        <f ca="1">IFERROR(__xludf.DUMMYFUNCTION("IMPORTRANGE(""https://docs.google.com/spreadsheets/d/1ddFKvqj1W1NEiWytbGlB1zMx_ykJDVtmfEQ-6-lIUBA/edit?usp=sharing"",""จันทบุรี!I371"")"),79)</f>
        <v>79</v>
      </c>
      <c r="AA54" s="177">
        <f ca="1">IFERROR(__xludf.DUMMYFUNCTION("IMPORTRANGE(""https://docs.google.com/spreadsheets/d/1ddFKvqj1W1NEiWytbGlB1zMx_ykJDVtmfEQ-6-lIUBA/edit?usp=sharing"",""จันทบุรี!J371"")"),9)</f>
        <v>9</v>
      </c>
      <c r="AB54" s="345">
        <f ca="1">IFERROR(__xludf.DUMMYFUNCTION("IMPORTRANGE(""https://docs.google.com/spreadsheets/d/1ddFKvqj1W1NEiWytbGlB1zMx_ykJDVtmfEQ-6-lIUBA/edit?usp=sharing"",""จันทบุรี!J372"")"),75.38)</f>
        <v>75.38</v>
      </c>
      <c r="AC54" s="259">
        <f t="shared" ca="1" si="34"/>
        <v>11.39240506329114</v>
      </c>
    </row>
    <row r="55" spans="1:29" ht="21" customHeight="1" x14ac:dyDescent="0.3">
      <c r="A55" s="84">
        <v>3</v>
      </c>
      <c r="B55" s="85" t="s">
        <v>77</v>
      </c>
      <c r="C55" s="174">
        <f t="shared" ca="1" si="21"/>
        <v>450655</v>
      </c>
      <c r="D55" s="175">
        <f t="shared" ca="1" si="45"/>
        <v>450655</v>
      </c>
      <c r="E55" s="176">
        <f ca="1">IFERROR(__xludf.DUMMYFUNCTION("IMPORTRANGE(""https://docs.google.com/spreadsheets/d/1-uDff_7J0KD5mKrp0Vvzr7lt3OU09vwQwhkpOPPYv2Y/edit?usp=sharing"",""งบพรบ!FD55"")"),0)</f>
        <v>0</v>
      </c>
      <c r="F55" s="176">
        <f ca="1">IFERROR(__xludf.DUMMYFUNCTION("IMPORTRANGE(""https://docs.google.com/spreadsheets/d/1-uDff_7J0KD5mKrp0Vvzr7lt3OU09vwQwhkpOPPYv2Y/edit?usp=sharing"",""งบพรบ!FE55"")"),450655)</f>
        <v>450655</v>
      </c>
      <c r="G55" s="176">
        <f ca="1">IFERROR(__xludf.DUMMYFUNCTION("IMPORTRANGE(""https://docs.google.com/spreadsheets/d/1-uDff_7J0KD5mKrp0Vvzr7lt3OU09vwQwhkpOPPYv2Y/edit?usp=sharing"",""งบพรบ!FF55"")"),0)</f>
        <v>0</v>
      </c>
      <c r="H55" s="176">
        <f ca="1">IFERROR(__xludf.DUMMYFUNCTION("IMPORTRANGE(""https://docs.google.com/spreadsheets/d/1-uDff_7J0KD5mKrp0Vvzr7lt3OU09vwQwhkpOPPYv2Y/edit?usp=sharing"",""งบพรบ!FH55"")"),448030)</f>
        <v>448030</v>
      </c>
      <c r="I55" s="176">
        <f ca="1">IFERROR(__xludf.DUMMYFUNCTION("IMPORTRANGE(""https://docs.google.com/spreadsheets/d/1-uDff_7J0KD5mKrp0Vvzr7lt3OU09vwQwhkpOPPYv2Y/edit?usp=sharing"",""งบพรบ!FI55"")"),0)</f>
        <v>0</v>
      </c>
      <c r="J55" s="176">
        <f t="shared" ca="1" si="23"/>
        <v>112130</v>
      </c>
      <c r="K55" s="181">
        <f t="shared" ca="1" si="24"/>
        <v>24.88156128302138</v>
      </c>
      <c r="L55" s="176">
        <f ca="1">IFERROR(__xludf.DUMMYFUNCTION("IMPORTRANGE(""https://docs.google.com/spreadsheets/d/1-uDff_7J0KD5mKrp0Vvzr7lt3OU09vwQwhkpOPPYv2Y/edit?usp=sharing"",""งบพรบ!FJ55"")"),112130)</f>
        <v>112130</v>
      </c>
      <c r="M55" s="179">
        <f t="shared" ca="1" si="25"/>
        <v>24.88156128302138</v>
      </c>
      <c r="N55" s="179">
        <f t="shared" ca="1" si="26"/>
        <v>25.027341919067918</v>
      </c>
      <c r="O55" s="180">
        <f ca="1">IFERROR(__xludf.DUMMYFUNCTION("IMPORTRANGE(""https://docs.google.com/spreadsheets/d/1-uDff_7J0KD5mKrp0Vvzr7lt3OU09vwQwhkpOPPYv2Y/edit?usp=sharing"",""งบพรบ!FK55"")"),0)</f>
        <v>0</v>
      </c>
      <c r="P55" s="180">
        <f t="shared" ca="1" si="27"/>
        <v>0</v>
      </c>
      <c r="Q55" s="179">
        <f t="shared" ca="1" si="28"/>
        <v>0</v>
      </c>
      <c r="R55" s="344">
        <f ca="1">IFERROR(__xludf.DUMMYFUNCTION("IMPORTRANGE(""https://docs.google.com/spreadsheets/d/1T1PQvRODqOBZk8BRht_U031fIS1beLA0Ub2CEytj2q0/edit?usp=sharing"",""ฉะเชิงเทรา!I368"")"),3355)</f>
        <v>3355</v>
      </c>
      <c r="S55" s="177">
        <f ca="1">IFERROR(__xludf.DUMMYFUNCTION("IMPORTRANGE(""https://docs.google.com/spreadsheets/d/1T1PQvRODqOBZk8BRht_U031fIS1beLA0Ub2CEytj2q0/edit?usp=sharing"",""ฉะเชิงเทรา!J367"")"),127)</f>
        <v>127</v>
      </c>
      <c r="T55" s="345">
        <f ca="1">IFERROR(__xludf.DUMMYFUNCTION("IMPORTRANGE(""https://docs.google.com/spreadsheets/d/1T1PQvRODqOBZk8BRht_U031fIS1beLA0Ub2CEytj2q0/edit?usp=sharing"",""ฉะเชิงเทรา!J368"")"),1935.52)</f>
        <v>1935.52</v>
      </c>
      <c r="U55" s="259">
        <f t="shared" ca="1" si="30"/>
        <v>57.690611028315949</v>
      </c>
      <c r="V55" s="344">
        <f ca="1">IFERROR(__xludf.DUMMYFUNCTION("IMPORTRANGE(""https://docs.google.com/spreadsheets/d/1T1PQvRODqOBZk8BRht_U031fIS1beLA0Ub2CEytj2q0/edit?usp=sharing"",""ฉะเชิงเทรา!I369"")"),491)</f>
        <v>491</v>
      </c>
      <c r="W55" s="177">
        <f ca="1">IFERROR(__xludf.DUMMYFUNCTION("IMPORTRANGE(""https://docs.google.com/spreadsheets/d/1T1PQvRODqOBZk8BRht_U031fIS1beLA0Ub2CEytj2q0/edit?usp=sharing"",""ฉะเชิงเทรา!J369"")"),92)</f>
        <v>92</v>
      </c>
      <c r="X55" s="345">
        <f ca="1">IFERROR(__xludf.DUMMYFUNCTION("IMPORTRANGE(""https://docs.google.com/spreadsheets/d/1T1PQvRODqOBZk8BRht_U031fIS1beLA0Ub2CEytj2q0/edit?usp=sharing"",""ฉะเชิงเทรา!J370"")"),1076.99)</f>
        <v>1076.99</v>
      </c>
      <c r="Y55" s="259">
        <f t="shared" ca="1" si="32"/>
        <v>18.737270875763748</v>
      </c>
      <c r="Z55" s="344">
        <f ca="1">IFERROR(__xludf.DUMMYFUNCTION("IMPORTRANGE(""https://docs.google.com/spreadsheets/d/1T1PQvRODqOBZk8BRht_U031fIS1beLA0Ub2CEytj2q0/edit?usp=sharing"",""ฉะเชิงเทรา!I371"")"),322)</f>
        <v>322</v>
      </c>
      <c r="AA55" s="177">
        <f ca="1">IFERROR(__xludf.DUMMYFUNCTION("IMPORTRANGE(""https://docs.google.com/spreadsheets/d/1T1PQvRODqOBZk8BRht_U031fIS1beLA0Ub2CEytj2q0/edit?usp=sharing"",""ฉะเชิงเทรา!J371"")"),26)</f>
        <v>26</v>
      </c>
      <c r="AB55" s="345">
        <f ca="1">IFERROR(__xludf.DUMMYFUNCTION("IMPORTRANGE(""https://docs.google.com/spreadsheets/d/1T1PQvRODqOBZk8BRht_U031fIS1beLA0Ub2CEytj2q0/edit?usp=sharing"",""ฉะเชิงเทรา!J372"")"),309.2)</f>
        <v>309.2</v>
      </c>
      <c r="AC55" s="259">
        <f t="shared" ca="1" si="34"/>
        <v>8.0745341614906838</v>
      </c>
    </row>
    <row r="56" spans="1:29" ht="21" customHeight="1" x14ac:dyDescent="0.3">
      <c r="A56" s="84">
        <v>4</v>
      </c>
      <c r="B56" s="85" t="s">
        <v>78</v>
      </c>
      <c r="C56" s="174">
        <f t="shared" ca="1" si="21"/>
        <v>601325</v>
      </c>
      <c r="D56" s="175">
        <f t="shared" ca="1" si="45"/>
        <v>601325</v>
      </c>
      <c r="E56" s="176">
        <f ca="1">IFERROR(__xludf.DUMMYFUNCTION("IMPORTRANGE(""https://docs.google.com/spreadsheets/d/1-uDff_7J0KD5mKrp0Vvzr7lt3OU09vwQwhkpOPPYv2Y/edit?usp=sharing"",""งบพรบ!FD56"")"),341600)</f>
        <v>341600</v>
      </c>
      <c r="F56" s="176">
        <f ca="1">IFERROR(__xludf.DUMMYFUNCTION("IMPORTRANGE(""https://docs.google.com/spreadsheets/d/1-uDff_7J0KD5mKrp0Vvzr7lt3OU09vwQwhkpOPPYv2Y/edit?usp=sharing"",""งบพรบ!FE56"")"),259725)</f>
        <v>259725</v>
      </c>
      <c r="G56" s="176">
        <f ca="1">IFERROR(__xludf.DUMMYFUNCTION("IMPORTRANGE(""https://docs.google.com/spreadsheets/d/1-uDff_7J0KD5mKrp0Vvzr7lt3OU09vwQwhkpOPPYv2Y/edit?usp=sharing"",""งบพรบ!FF56"")"),0)</f>
        <v>0</v>
      </c>
      <c r="H56" s="176">
        <f ca="1">IFERROR(__xludf.DUMMYFUNCTION("IMPORTRANGE(""https://docs.google.com/spreadsheets/d/1-uDff_7J0KD5mKrp0Vvzr7lt3OU09vwQwhkpOPPYv2Y/edit?usp=sharing"",""งบพรบ!FH56"")"),477725)</f>
        <v>477725</v>
      </c>
      <c r="I56" s="176">
        <f ca="1">IFERROR(__xludf.DUMMYFUNCTION("IMPORTRANGE(""https://docs.google.com/spreadsheets/d/1-uDff_7J0KD5mKrp0Vvzr7lt3OU09vwQwhkpOPPYv2Y/edit?usp=sharing"",""งบพรบ!FI56"")"),0)</f>
        <v>0</v>
      </c>
      <c r="J56" s="176">
        <f t="shared" ca="1" si="23"/>
        <v>95862.55</v>
      </c>
      <c r="K56" s="181">
        <f t="shared" ca="1" si="24"/>
        <v>15.941886666943832</v>
      </c>
      <c r="L56" s="176">
        <f ca="1">IFERROR(__xludf.DUMMYFUNCTION("IMPORTRANGE(""https://docs.google.com/spreadsheets/d/1-uDff_7J0KD5mKrp0Vvzr7lt3OU09vwQwhkpOPPYv2Y/edit?usp=sharing"",""งบพรบ!FJ56"")"),95862.55)</f>
        <v>95862.55</v>
      </c>
      <c r="M56" s="179">
        <f t="shared" ca="1" si="25"/>
        <v>15.941886666943832</v>
      </c>
      <c r="N56" s="179">
        <f t="shared" ca="1" si="26"/>
        <v>20.06647129624784</v>
      </c>
      <c r="O56" s="180">
        <f ca="1">IFERROR(__xludf.DUMMYFUNCTION("IMPORTRANGE(""https://docs.google.com/spreadsheets/d/1-uDff_7J0KD5mKrp0Vvzr7lt3OU09vwQwhkpOPPYv2Y/edit?usp=sharing"",""งบพรบ!FK56"")"),0)</f>
        <v>0</v>
      </c>
      <c r="P56" s="180">
        <f t="shared" ca="1" si="27"/>
        <v>0</v>
      </c>
      <c r="Q56" s="179">
        <f t="shared" ca="1" si="28"/>
        <v>0</v>
      </c>
      <c r="R56" s="344">
        <f ca="1">IFERROR(__xludf.DUMMYFUNCTION("IMPORTRANGE(""https://docs.google.com/spreadsheets/d/11tr1B-Bhyr79v2bkwVh5h_fR-PStkgjlZtkrZpYurG0/edit?usp=sharing"",""ชลบุรี!I368"")"),1475)</f>
        <v>1475</v>
      </c>
      <c r="S56" s="177">
        <f ca="1">IFERROR(__xludf.DUMMYFUNCTION("IMPORTRANGE(""https://docs.google.com/spreadsheets/d/11tr1B-Bhyr79v2bkwVh5h_fR-PStkgjlZtkrZpYurG0/edit?usp=sharing"",""ชลบุรี!J367"")"),73)</f>
        <v>73</v>
      </c>
      <c r="T56" s="345">
        <f ca="1">IFERROR(__xludf.DUMMYFUNCTION("IMPORTRANGE(""https://docs.google.com/spreadsheets/d/11tr1B-Bhyr79v2bkwVh5h_fR-PStkgjlZtkrZpYurG0/edit?usp=sharing"",""ชลบุรี!J368"")"),977.56)</f>
        <v>977.56</v>
      </c>
      <c r="U56" s="259">
        <f t="shared" ca="1" si="30"/>
        <v>66.275254237288138</v>
      </c>
      <c r="V56" s="344">
        <f ca="1">IFERROR(__xludf.DUMMYFUNCTION("IMPORTRANGE(""https://docs.google.com/spreadsheets/d/11tr1B-Bhyr79v2bkwVh5h_fR-PStkgjlZtkrZpYurG0/edit?usp=sharing"",""ชลบุรี!I369"")"),205)</f>
        <v>205</v>
      </c>
      <c r="W56" s="177">
        <f ca="1">IFERROR(__xludf.DUMMYFUNCTION("IMPORTRANGE(""https://docs.google.com/spreadsheets/d/11tr1B-Bhyr79v2bkwVh5h_fR-PStkgjlZtkrZpYurG0/edit?usp=sharing"",""ชลบุรี!J369"")"),80)</f>
        <v>80</v>
      </c>
      <c r="X56" s="345">
        <f ca="1">IFERROR(__xludf.DUMMYFUNCTION("IMPORTRANGE(""https://docs.google.com/spreadsheets/d/11tr1B-Bhyr79v2bkwVh5h_fR-PStkgjlZtkrZpYurG0/edit?usp=sharing"",""ชลบุรี!J370"")"),1296.09)</f>
        <v>1296.0899999999999</v>
      </c>
      <c r="Y56" s="259">
        <f t="shared" ca="1" si="32"/>
        <v>39.024390243902438</v>
      </c>
      <c r="Z56" s="344">
        <f ca="1">IFERROR(__xludf.DUMMYFUNCTION("IMPORTRANGE(""https://docs.google.com/spreadsheets/d/11tr1B-Bhyr79v2bkwVh5h_fR-PStkgjlZtkrZpYurG0/edit?usp=sharing"",""ชลบุรี!I371"")"),133)</f>
        <v>133</v>
      </c>
      <c r="AA56" s="177">
        <f ca="1">IFERROR(__xludf.DUMMYFUNCTION("IMPORTRANGE(""https://docs.google.com/spreadsheets/d/11tr1B-Bhyr79v2bkwVh5h_fR-PStkgjlZtkrZpYurG0/edit?usp=sharing"",""ชลบุรี!J371"")"),72)</f>
        <v>72</v>
      </c>
      <c r="AB56" s="345">
        <f ca="1">IFERROR(__xludf.DUMMYFUNCTION("IMPORTRANGE(""https://docs.google.com/spreadsheets/d/11tr1B-Bhyr79v2bkwVh5h_fR-PStkgjlZtkrZpYurG0/edit?usp=sharing"",""ชลบุรี!J372"")"),1033.44)</f>
        <v>1033.44</v>
      </c>
      <c r="AC56" s="259">
        <f t="shared" ca="1" si="34"/>
        <v>54.13533834586466</v>
      </c>
    </row>
    <row r="57" spans="1:29" ht="21" customHeight="1" x14ac:dyDescent="0.3">
      <c r="A57" s="84">
        <v>5</v>
      </c>
      <c r="B57" s="85" t="s">
        <v>79</v>
      </c>
      <c r="C57" s="174">
        <f t="shared" ca="1" si="21"/>
        <v>368685</v>
      </c>
      <c r="D57" s="175">
        <f t="shared" ca="1" si="45"/>
        <v>368685</v>
      </c>
      <c r="E57" s="176">
        <f ca="1">IFERROR(__xludf.DUMMYFUNCTION("IMPORTRANGE(""https://docs.google.com/spreadsheets/d/1-uDff_7J0KD5mKrp0Vvzr7lt3OU09vwQwhkpOPPYv2Y/edit?usp=sharing"",""งบพรบ!FD57"")"),224000)</f>
        <v>224000</v>
      </c>
      <c r="F57" s="176">
        <f ca="1">IFERROR(__xludf.DUMMYFUNCTION("IMPORTRANGE(""https://docs.google.com/spreadsheets/d/1-uDff_7J0KD5mKrp0Vvzr7lt3OU09vwQwhkpOPPYv2Y/edit?usp=sharing"",""งบพรบ!FE57"")"),144685)</f>
        <v>144685</v>
      </c>
      <c r="G57" s="176">
        <f ca="1">IFERROR(__xludf.DUMMYFUNCTION("IMPORTRANGE(""https://docs.google.com/spreadsheets/d/1-uDff_7J0KD5mKrp0Vvzr7lt3OU09vwQwhkpOPPYv2Y/edit?usp=sharing"",""งบพรบ!FF57"")"),0)</f>
        <v>0</v>
      </c>
      <c r="H57" s="176">
        <f ca="1">IFERROR(__xludf.DUMMYFUNCTION("IMPORTRANGE(""https://docs.google.com/spreadsheets/d/1-uDff_7J0KD5mKrp0Vvzr7lt3OU09vwQwhkpOPPYv2Y/edit?usp=sharing"",""งบพรบ!FH57"")"),298685)</f>
        <v>298685</v>
      </c>
      <c r="I57" s="176">
        <f ca="1">IFERROR(__xludf.DUMMYFUNCTION("IMPORTRANGE(""https://docs.google.com/spreadsheets/d/1-uDff_7J0KD5mKrp0Vvzr7lt3OU09vwQwhkpOPPYv2Y/edit?usp=sharing"",""งบพรบ!FI57"")"),0)</f>
        <v>0</v>
      </c>
      <c r="J57" s="176">
        <f t="shared" ca="1" si="23"/>
        <v>116150</v>
      </c>
      <c r="K57" s="181">
        <f t="shared" ca="1" si="24"/>
        <v>31.503858307227038</v>
      </c>
      <c r="L57" s="176">
        <f ca="1">IFERROR(__xludf.DUMMYFUNCTION("IMPORTRANGE(""https://docs.google.com/spreadsheets/d/1-uDff_7J0KD5mKrp0Vvzr7lt3OU09vwQwhkpOPPYv2Y/edit?usp=sharing"",""งบพรบ!FJ57"")"),116150)</f>
        <v>116150</v>
      </c>
      <c r="M57" s="179">
        <f t="shared" ca="1" si="25"/>
        <v>31.503858307227038</v>
      </c>
      <c r="N57" s="179">
        <f t="shared" ca="1" si="26"/>
        <v>38.887121884259336</v>
      </c>
      <c r="O57" s="180">
        <f ca="1">IFERROR(__xludf.DUMMYFUNCTION("IMPORTRANGE(""https://docs.google.com/spreadsheets/d/1-uDff_7J0KD5mKrp0Vvzr7lt3OU09vwQwhkpOPPYv2Y/edit?usp=sharing"",""งบพรบ!FK57"")"),0)</f>
        <v>0</v>
      </c>
      <c r="P57" s="180">
        <f t="shared" ca="1" si="27"/>
        <v>0</v>
      </c>
      <c r="Q57" s="179">
        <f t="shared" ca="1" si="28"/>
        <v>0</v>
      </c>
      <c r="R57" s="344">
        <f ca="1">IFERROR(__xludf.DUMMYFUNCTION("IMPORTRANGE(""https://docs.google.com/spreadsheets/d/1hh-FVnSX0vozXhGluamEcS54Dw9_zqW0N7qJUWgJ0Sw/edit?usp=sharing"",""ชัยนาท!I368"")"),265)</f>
        <v>265</v>
      </c>
      <c r="S57" s="177">
        <f ca="1">IFERROR(__xludf.DUMMYFUNCTION("IMPORTRANGE(""https://docs.google.com/spreadsheets/d/1hh-FVnSX0vozXhGluamEcS54Dw9_zqW0N7qJUWgJ0Sw/edit?usp=sharing"",""ชัยนาท!J367"")"),0)</f>
        <v>0</v>
      </c>
      <c r="T57" s="345">
        <f ca="1">IFERROR(__xludf.DUMMYFUNCTION("IMPORTRANGE(""https://docs.google.com/spreadsheets/d/1hh-FVnSX0vozXhGluamEcS54Dw9_zqW0N7qJUWgJ0Sw/edit?usp=sharing"",""ชัยนาท!J368"")"),0)</f>
        <v>0</v>
      </c>
      <c r="U57" s="259">
        <f t="shared" ca="1" si="30"/>
        <v>0</v>
      </c>
      <c r="V57" s="344">
        <f ca="1">IFERROR(__xludf.DUMMYFUNCTION("IMPORTRANGE(""https://docs.google.com/spreadsheets/d/1hh-FVnSX0vozXhGluamEcS54Dw9_zqW0N7qJUWgJ0Sw/edit?usp=sharing"",""ชัยนาท!I369"")"),53)</f>
        <v>53</v>
      </c>
      <c r="W57" s="177">
        <f ca="1">IFERROR(__xludf.DUMMYFUNCTION("IMPORTRANGE(""https://docs.google.com/spreadsheets/d/1hh-FVnSX0vozXhGluamEcS54Dw9_zqW0N7qJUWgJ0Sw/edit?usp=sharing"",""ชัยนาท!J369"")"),0)</f>
        <v>0</v>
      </c>
      <c r="X57" s="345">
        <f ca="1">IFERROR(__xludf.DUMMYFUNCTION("IMPORTRANGE(""https://docs.google.com/spreadsheets/d/1hh-FVnSX0vozXhGluamEcS54Dw9_zqW0N7qJUWgJ0Sw/edit?usp=sharing"",""ชัยนาท!J370"")"),0)</f>
        <v>0</v>
      </c>
      <c r="Y57" s="259">
        <f t="shared" ca="1" si="32"/>
        <v>0</v>
      </c>
      <c r="Z57" s="344">
        <f ca="1">IFERROR(__xludf.DUMMYFUNCTION("IMPORTRANGE(""https://docs.google.com/spreadsheets/d/1hh-FVnSX0vozXhGluamEcS54Dw9_zqW0N7qJUWgJ0Sw/edit?usp=sharing"",""ชัยนาท!I371"")"),42)</f>
        <v>42</v>
      </c>
      <c r="AA57" s="177">
        <f ca="1">IFERROR(__xludf.DUMMYFUNCTION("IMPORTRANGE(""https://docs.google.com/spreadsheets/d/1hh-FVnSX0vozXhGluamEcS54Dw9_zqW0N7qJUWgJ0Sw/edit?usp=sharing"",""ชัยนาท!J371"")"),0)</f>
        <v>0</v>
      </c>
      <c r="AB57" s="345">
        <f ca="1">IFERROR(__xludf.DUMMYFUNCTION("IMPORTRANGE(""https://docs.google.com/spreadsheets/d/1hh-FVnSX0vozXhGluamEcS54Dw9_zqW0N7qJUWgJ0Sw/edit?usp=sharing"",""ชัยนาท!J372"")"),0)</f>
        <v>0</v>
      </c>
      <c r="AC57" s="259">
        <f t="shared" ca="1" si="34"/>
        <v>0</v>
      </c>
    </row>
    <row r="58" spans="1:29" ht="21" customHeight="1" x14ac:dyDescent="0.3">
      <c r="A58" s="84">
        <v>6</v>
      </c>
      <c r="B58" s="85" t="s">
        <v>80</v>
      </c>
      <c r="C58" s="174">
        <f t="shared" ca="1" si="21"/>
        <v>335210</v>
      </c>
      <c r="D58" s="175">
        <f t="shared" ca="1" si="45"/>
        <v>335210</v>
      </c>
      <c r="E58" s="176">
        <f ca="1">IFERROR(__xludf.DUMMYFUNCTION("IMPORTRANGE(""https://docs.google.com/spreadsheets/d/1-uDff_7J0KD5mKrp0Vvzr7lt3OU09vwQwhkpOPPYv2Y/edit?usp=sharing"",""งบพรบ!FD58"")"),91000)</f>
        <v>91000</v>
      </c>
      <c r="F58" s="176">
        <f ca="1">IFERROR(__xludf.DUMMYFUNCTION("IMPORTRANGE(""https://docs.google.com/spreadsheets/d/1-uDff_7J0KD5mKrp0Vvzr7lt3OU09vwQwhkpOPPYv2Y/edit?usp=sharing"",""งบพรบ!FE58"")"),244210)</f>
        <v>244210</v>
      </c>
      <c r="G58" s="176">
        <f ca="1">IFERROR(__xludf.DUMMYFUNCTION("IMPORTRANGE(""https://docs.google.com/spreadsheets/d/1-uDff_7J0KD5mKrp0Vvzr7lt3OU09vwQwhkpOPPYv2Y/edit?usp=sharing"",""งบพรบ!FF58"")"),0)</f>
        <v>0</v>
      </c>
      <c r="H58" s="176">
        <f ca="1">IFERROR(__xludf.DUMMYFUNCTION("IMPORTRANGE(""https://docs.google.com/spreadsheets/d/1-uDff_7J0KD5mKrp0Vvzr7lt3OU09vwQwhkpOPPYv2Y/edit?usp=sharing"",""งบพรบ!FH58"")"),283210)</f>
        <v>283210</v>
      </c>
      <c r="I58" s="176">
        <f ca="1">IFERROR(__xludf.DUMMYFUNCTION("IMPORTRANGE(""https://docs.google.com/spreadsheets/d/1-uDff_7J0KD5mKrp0Vvzr7lt3OU09vwQwhkpOPPYv2Y/edit?usp=sharing"",""งบพรบ!FI58"")"),0)</f>
        <v>0</v>
      </c>
      <c r="J58" s="176">
        <f t="shared" ca="1" si="23"/>
        <v>62350</v>
      </c>
      <c r="K58" s="181">
        <f t="shared" ca="1" si="24"/>
        <v>18.600280421228483</v>
      </c>
      <c r="L58" s="176">
        <f ca="1">IFERROR(__xludf.DUMMYFUNCTION("IMPORTRANGE(""https://docs.google.com/spreadsheets/d/1-uDff_7J0KD5mKrp0Vvzr7lt3OU09vwQwhkpOPPYv2Y/edit?usp=sharing"",""งบพรบ!FJ58"")"),62350)</f>
        <v>62350</v>
      </c>
      <c r="M58" s="179">
        <f t="shared" ca="1" si="25"/>
        <v>18.600280421228483</v>
      </c>
      <c r="N58" s="179">
        <f t="shared" ca="1" si="26"/>
        <v>22.015465555594787</v>
      </c>
      <c r="O58" s="180">
        <f ca="1">IFERROR(__xludf.DUMMYFUNCTION("IMPORTRANGE(""https://docs.google.com/spreadsheets/d/1-uDff_7J0KD5mKrp0Vvzr7lt3OU09vwQwhkpOPPYv2Y/edit?usp=sharing"",""งบพรบ!FK58"")"),0)</f>
        <v>0</v>
      </c>
      <c r="P58" s="180">
        <f t="shared" ca="1" si="27"/>
        <v>0</v>
      </c>
      <c r="Q58" s="179">
        <f t="shared" ca="1" si="28"/>
        <v>0</v>
      </c>
      <c r="R58" s="344">
        <f ca="1">IFERROR(__xludf.DUMMYFUNCTION("IMPORTRANGE(""https://docs.google.com/spreadsheets/d/1jkqa6GXxSacMcY1eN8AHjMNJ_7dDXMJVRLDlaFSOdPM/edit?usp=sharing"",""ตราด!I368"")"),1315)</f>
        <v>1315</v>
      </c>
      <c r="S58" s="177">
        <f ca="1">IFERROR(__xludf.DUMMYFUNCTION("IMPORTRANGE(""https://docs.google.com/spreadsheets/d/1jkqa6GXxSacMcY1eN8AHjMNJ_7dDXMJVRLDlaFSOdPM/edit?usp=sharing"",""ตราด!J367"")"),0)</f>
        <v>0</v>
      </c>
      <c r="T58" s="345">
        <f ca="1">IFERROR(__xludf.DUMMYFUNCTION("IMPORTRANGE(""https://docs.google.com/spreadsheets/d/1jkqa6GXxSacMcY1eN8AHjMNJ_7dDXMJVRLDlaFSOdPM/edit?usp=sharing"",""ตราด!J368"")"),0)</f>
        <v>0</v>
      </c>
      <c r="U58" s="259">
        <f t="shared" ca="1" si="30"/>
        <v>0</v>
      </c>
      <c r="V58" s="344">
        <f ca="1">IFERROR(__xludf.DUMMYFUNCTION("IMPORTRANGE(""https://docs.google.com/spreadsheets/d/1jkqa6GXxSacMcY1eN8AHjMNJ_7dDXMJVRLDlaFSOdPM/edit?usp=sharing"",""ตราด!I369"")"),191)</f>
        <v>191</v>
      </c>
      <c r="W58" s="177">
        <f ca="1">IFERROR(__xludf.DUMMYFUNCTION("IMPORTRANGE(""https://docs.google.com/spreadsheets/d/1jkqa6GXxSacMcY1eN8AHjMNJ_7dDXMJVRLDlaFSOdPM/edit?usp=sharing"",""ตราด!J369"")"),52)</f>
        <v>52</v>
      </c>
      <c r="X58" s="345">
        <f ca="1">IFERROR(__xludf.DUMMYFUNCTION("IMPORTRANGE(""https://docs.google.com/spreadsheets/d/1jkqa6GXxSacMcY1eN8AHjMNJ_7dDXMJVRLDlaFSOdPM/edit?usp=sharing"",""ตราด!J370"")"),955.38)</f>
        <v>955.38</v>
      </c>
      <c r="Y58" s="259">
        <f t="shared" ca="1" si="32"/>
        <v>27.225130890052355</v>
      </c>
      <c r="Z58" s="344">
        <f ca="1">IFERROR(__xludf.DUMMYFUNCTION("IMPORTRANGE(""https://docs.google.com/spreadsheets/d/1jkqa6GXxSacMcY1eN8AHjMNJ_7dDXMJVRLDlaFSOdPM/edit?usp=sharing"",""ตราด!I371"")"),135)</f>
        <v>135</v>
      </c>
      <c r="AA58" s="177">
        <f ca="1">IFERROR(__xludf.DUMMYFUNCTION("IMPORTRANGE(""https://docs.google.com/spreadsheets/d/1jkqa6GXxSacMcY1eN8AHjMNJ_7dDXMJVRLDlaFSOdPM/edit?usp=sharing"",""ตราด!J371"")"),52)</f>
        <v>52</v>
      </c>
      <c r="AB58" s="345">
        <f ca="1">IFERROR(__xludf.DUMMYFUNCTION("IMPORTRANGE(""https://docs.google.com/spreadsheets/d/1jkqa6GXxSacMcY1eN8AHjMNJ_7dDXMJVRLDlaFSOdPM/edit?usp=sharing"",""ตราด!J372"")"),955.38)</f>
        <v>955.38</v>
      </c>
      <c r="AC58" s="259">
        <f t="shared" ca="1" si="34"/>
        <v>38.518518518518519</v>
      </c>
    </row>
    <row r="59" spans="1:29" ht="21" customHeight="1" x14ac:dyDescent="0.3">
      <c r="A59" s="84">
        <v>7</v>
      </c>
      <c r="B59" s="85" t="s">
        <v>81</v>
      </c>
      <c r="C59" s="174">
        <f t="shared" ca="1" si="21"/>
        <v>116090</v>
      </c>
      <c r="D59" s="175">
        <f t="shared" ca="1" si="45"/>
        <v>116090</v>
      </c>
      <c r="E59" s="176">
        <f ca="1">IFERROR(__xludf.DUMMYFUNCTION("IMPORTRANGE(""https://docs.google.com/spreadsheets/d/1-uDff_7J0KD5mKrp0Vvzr7lt3OU09vwQwhkpOPPYv2Y/edit?usp=sharing"",""งบพรบ!FD59"")"),0)</f>
        <v>0</v>
      </c>
      <c r="F59" s="176">
        <f ca="1">IFERROR(__xludf.DUMMYFUNCTION("IMPORTRANGE(""https://docs.google.com/spreadsheets/d/1-uDff_7J0KD5mKrp0Vvzr7lt3OU09vwQwhkpOPPYv2Y/edit?usp=sharing"",""งบพรบ!FE59"")"),116090)</f>
        <v>116090</v>
      </c>
      <c r="G59" s="176">
        <f ca="1">IFERROR(__xludf.DUMMYFUNCTION("IMPORTRANGE(""https://docs.google.com/spreadsheets/d/1-uDff_7J0KD5mKrp0Vvzr7lt3OU09vwQwhkpOPPYv2Y/edit?usp=sharing"",""งบพรบ!FF59"")"),0)</f>
        <v>0</v>
      </c>
      <c r="H59" s="176">
        <f ca="1">IFERROR(__xludf.DUMMYFUNCTION("IMPORTRANGE(""https://docs.google.com/spreadsheets/d/1-uDff_7J0KD5mKrp0Vvzr7lt3OU09vwQwhkpOPPYv2Y/edit?usp=sharing"",""งบพรบ!FH59"")"),90090)</f>
        <v>90090</v>
      </c>
      <c r="I59" s="176">
        <f ca="1">IFERROR(__xludf.DUMMYFUNCTION("IMPORTRANGE(""https://docs.google.com/spreadsheets/d/1-uDff_7J0KD5mKrp0Vvzr7lt3OU09vwQwhkpOPPYv2Y/edit?usp=sharing"",""งบพรบ!FI59"")"),0)</f>
        <v>0</v>
      </c>
      <c r="J59" s="176">
        <f t="shared" ca="1" si="23"/>
        <v>25566</v>
      </c>
      <c r="K59" s="181">
        <f t="shared" ca="1" si="24"/>
        <v>22.022568696700837</v>
      </c>
      <c r="L59" s="176">
        <f ca="1">IFERROR(__xludf.DUMMYFUNCTION("IMPORTRANGE(""https://docs.google.com/spreadsheets/d/1-uDff_7J0KD5mKrp0Vvzr7lt3OU09vwQwhkpOPPYv2Y/edit?usp=sharing"",""งบพรบ!FJ59"")"),25566)</f>
        <v>25566</v>
      </c>
      <c r="M59" s="179">
        <f t="shared" ca="1" si="25"/>
        <v>22.022568696700837</v>
      </c>
      <c r="N59" s="179">
        <f t="shared" ca="1" si="26"/>
        <v>28.378288378288378</v>
      </c>
      <c r="O59" s="180">
        <f ca="1">IFERROR(__xludf.DUMMYFUNCTION("IMPORTRANGE(""https://docs.google.com/spreadsheets/d/1-uDff_7J0KD5mKrp0Vvzr7lt3OU09vwQwhkpOPPYv2Y/edit?usp=sharing"",""งบพรบ!FK59"")"),0)</f>
        <v>0</v>
      </c>
      <c r="P59" s="180">
        <f t="shared" ca="1" si="27"/>
        <v>0</v>
      </c>
      <c r="Q59" s="179">
        <f t="shared" ca="1" si="28"/>
        <v>0</v>
      </c>
      <c r="R59" s="344">
        <f ca="1">IFERROR(__xludf.DUMMYFUNCTION("IMPORTRANGE(""https://docs.google.com/spreadsheets/d/18hSgUJ3VwClqi_qtULmmW3cLr0oe3OKaSYoKzdpTsYQ/edit?usp=sharing"",""นครนายก!I368"")"),0)</f>
        <v>0</v>
      </c>
      <c r="S59" s="177">
        <f ca="1">IFERROR(__xludf.DUMMYFUNCTION("IMPORTRANGE(""https://docs.google.com/spreadsheets/d/18hSgUJ3VwClqi_qtULmmW3cLr0oe3OKaSYoKzdpTsYQ/edit?usp=sharing"",""นครนายก!J367"")"),0)</f>
        <v>0</v>
      </c>
      <c r="T59" s="345">
        <f ca="1">IFERROR(__xludf.DUMMYFUNCTION("IMPORTRANGE(""https://docs.google.com/spreadsheets/d/18hSgUJ3VwClqi_qtULmmW3cLr0oe3OKaSYoKzdpTsYQ/edit?usp=sharing"",""นครนายก!J368"")"),0)</f>
        <v>0</v>
      </c>
      <c r="U59" s="259">
        <f t="shared" ca="1" si="30"/>
        <v>0</v>
      </c>
      <c r="V59" s="344">
        <f ca="1">IFERROR(__xludf.DUMMYFUNCTION("IMPORTRANGE(""https://docs.google.com/spreadsheets/d/18hSgUJ3VwClqi_qtULmmW3cLr0oe3OKaSYoKzdpTsYQ/edit?usp=sharing"",""นครนายก!I369"")"),0)</f>
        <v>0</v>
      </c>
      <c r="W59" s="177">
        <f ca="1">IFERROR(__xludf.DUMMYFUNCTION("IMPORTRANGE(""https://docs.google.com/spreadsheets/d/18hSgUJ3VwClqi_qtULmmW3cLr0oe3OKaSYoKzdpTsYQ/edit?usp=sharing"",""นครนายก!J369"")"),0)</f>
        <v>0</v>
      </c>
      <c r="X59" s="345">
        <f ca="1">IFERROR(__xludf.DUMMYFUNCTION("IMPORTRANGE(""https://docs.google.com/spreadsheets/d/18hSgUJ3VwClqi_qtULmmW3cLr0oe3OKaSYoKzdpTsYQ/edit?usp=sharing"",""นครนายก!J370"")"),0)</f>
        <v>0</v>
      </c>
      <c r="Y59" s="259">
        <f t="shared" ca="1" si="32"/>
        <v>0</v>
      </c>
      <c r="Z59" s="344">
        <f ca="1">IFERROR(__xludf.DUMMYFUNCTION("IMPORTRANGE(""https://docs.google.com/spreadsheets/d/18hSgUJ3VwClqi_qtULmmW3cLr0oe3OKaSYoKzdpTsYQ/edit?usp=sharing"",""นครนายก!I371"")"),9)</f>
        <v>9</v>
      </c>
      <c r="AA59" s="177">
        <f ca="1">IFERROR(__xludf.DUMMYFUNCTION("IMPORTRANGE(""https://docs.google.com/spreadsheets/d/18hSgUJ3VwClqi_qtULmmW3cLr0oe3OKaSYoKzdpTsYQ/edit?usp=sharing"",""นครนายก!J371"")"),0)</f>
        <v>0</v>
      </c>
      <c r="AB59" s="345">
        <f ca="1">IFERROR(__xludf.DUMMYFUNCTION("IMPORTRANGE(""https://docs.google.com/spreadsheets/d/18hSgUJ3VwClqi_qtULmmW3cLr0oe3OKaSYoKzdpTsYQ/edit?usp=sharing"",""นครนายก!J372"")"),0)</f>
        <v>0</v>
      </c>
      <c r="AC59" s="259">
        <f t="shared" ca="1" si="34"/>
        <v>0</v>
      </c>
    </row>
    <row r="60" spans="1:29" ht="21" customHeight="1" x14ac:dyDescent="0.3">
      <c r="A60" s="84">
        <v>8</v>
      </c>
      <c r="B60" s="85" t="s">
        <v>82</v>
      </c>
      <c r="C60" s="174">
        <f t="shared" ca="1" si="21"/>
        <v>115055</v>
      </c>
      <c r="D60" s="175">
        <f t="shared" ca="1" si="45"/>
        <v>115055</v>
      </c>
      <c r="E60" s="176">
        <f ca="1">IFERROR(__xludf.DUMMYFUNCTION("IMPORTRANGE(""https://docs.google.com/spreadsheets/d/1-uDff_7J0KD5mKrp0Vvzr7lt3OU09vwQwhkpOPPYv2Y/edit?usp=sharing"",""งบพรบ!FD60"")"),0)</f>
        <v>0</v>
      </c>
      <c r="F60" s="176">
        <f ca="1">IFERROR(__xludf.DUMMYFUNCTION("IMPORTRANGE(""https://docs.google.com/spreadsheets/d/1-uDff_7J0KD5mKrp0Vvzr7lt3OU09vwQwhkpOPPYv2Y/edit?usp=sharing"",""งบพรบ!FE60"")"),115055)</f>
        <v>115055</v>
      </c>
      <c r="G60" s="176">
        <f ca="1">IFERROR(__xludf.DUMMYFUNCTION("IMPORTRANGE(""https://docs.google.com/spreadsheets/d/1-uDff_7J0KD5mKrp0Vvzr7lt3OU09vwQwhkpOPPYv2Y/edit?usp=sharing"",""งบพรบ!FF60"")"),0)</f>
        <v>0</v>
      </c>
      <c r="H60" s="176">
        <f ca="1">IFERROR(__xludf.DUMMYFUNCTION("IMPORTRANGE(""https://docs.google.com/spreadsheets/d/1-uDff_7J0KD5mKrp0Vvzr7lt3OU09vwQwhkpOPPYv2Y/edit?usp=sharing"",""งบพรบ!FH60"")"),89055)</f>
        <v>89055</v>
      </c>
      <c r="I60" s="176">
        <f ca="1">IFERROR(__xludf.DUMMYFUNCTION("IMPORTRANGE(""https://docs.google.com/spreadsheets/d/1-uDff_7J0KD5mKrp0Vvzr7lt3OU09vwQwhkpOPPYv2Y/edit?usp=sharing"",""งบพรบ!FI60"")"),0)</f>
        <v>0</v>
      </c>
      <c r="J60" s="176">
        <f t="shared" ca="1" si="23"/>
        <v>26000</v>
      </c>
      <c r="K60" s="181">
        <f t="shared" ca="1" si="24"/>
        <v>22.597887966624658</v>
      </c>
      <c r="L60" s="176">
        <f ca="1">IFERROR(__xludf.DUMMYFUNCTION("IMPORTRANGE(""https://docs.google.com/spreadsheets/d/1-uDff_7J0KD5mKrp0Vvzr7lt3OU09vwQwhkpOPPYv2Y/edit?usp=sharing"",""งบพรบ!FJ60"")"),26000)</f>
        <v>26000</v>
      </c>
      <c r="M60" s="179">
        <f t="shared" ca="1" si="25"/>
        <v>22.597887966624658</v>
      </c>
      <c r="N60" s="179">
        <f t="shared" ca="1" si="26"/>
        <v>29.195441019594632</v>
      </c>
      <c r="O60" s="180">
        <f ca="1">IFERROR(__xludf.DUMMYFUNCTION("IMPORTRANGE(""https://docs.google.com/spreadsheets/d/1-uDff_7J0KD5mKrp0Vvzr7lt3OU09vwQwhkpOPPYv2Y/edit?usp=sharing"",""งบพรบ!FK60"")"),0)</f>
        <v>0</v>
      </c>
      <c r="P60" s="180">
        <f t="shared" ca="1" si="27"/>
        <v>0</v>
      </c>
      <c r="Q60" s="179">
        <f t="shared" ca="1" si="28"/>
        <v>0</v>
      </c>
      <c r="R60" s="344">
        <f ca="1">IFERROR(__xludf.DUMMYFUNCTION("IMPORTRANGE(""https://docs.google.com/spreadsheets/d/1YTZo6WM2dQ6Ix6FSdnL5P7uVnVKu40sxZu975tgG10E/edit?usp=sharing"",""นครปฐม!I368"")"),0)</f>
        <v>0</v>
      </c>
      <c r="S60" s="177">
        <f ca="1">IFERROR(__xludf.DUMMYFUNCTION("IMPORTRANGE(""https://docs.google.com/spreadsheets/d/1YTZo6WM2dQ6Ix6FSdnL5P7uVnVKu40sxZu975tgG10E/edit?usp=sharing"",""นครปฐม!J367"")"),0)</f>
        <v>0</v>
      </c>
      <c r="T60" s="345">
        <f ca="1">IFERROR(__xludf.DUMMYFUNCTION("IMPORTRANGE(""https://docs.google.com/spreadsheets/d/1YTZo6WM2dQ6Ix6FSdnL5P7uVnVKu40sxZu975tgG10E/edit?usp=sharing"",""นครปฐม!J368"")"),0)</f>
        <v>0</v>
      </c>
      <c r="U60" s="259">
        <f t="shared" ca="1" si="30"/>
        <v>0</v>
      </c>
      <c r="V60" s="344">
        <f ca="1">IFERROR(__xludf.DUMMYFUNCTION("IMPORTRANGE(""https://docs.google.com/spreadsheets/d/1YTZo6WM2dQ6Ix6FSdnL5P7uVnVKu40sxZu975tgG10E/edit?usp=sharing"",""นครปฐม!I369"")"),0)</f>
        <v>0</v>
      </c>
      <c r="W60" s="177">
        <f ca="1">IFERROR(__xludf.DUMMYFUNCTION("IMPORTRANGE(""https://docs.google.com/spreadsheets/d/1YTZo6WM2dQ6Ix6FSdnL5P7uVnVKu40sxZu975tgG10E/edit?usp=sharing"",""นครปฐม!J369"")"),0)</f>
        <v>0</v>
      </c>
      <c r="X60" s="345">
        <f ca="1">IFERROR(__xludf.DUMMYFUNCTION("IMPORTRANGE(""https://docs.google.com/spreadsheets/d/1YTZo6WM2dQ6Ix6FSdnL5P7uVnVKu40sxZu975tgG10E/edit?usp=sharing"",""นครปฐม!J370"")"),0)</f>
        <v>0</v>
      </c>
      <c r="Y60" s="259">
        <f t="shared" ca="1" si="32"/>
        <v>0</v>
      </c>
      <c r="Z60" s="344">
        <f ca="1">IFERROR(__xludf.DUMMYFUNCTION("IMPORTRANGE(""https://docs.google.com/spreadsheets/d/1YTZo6WM2dQ6Ix6FSdnL5P7uVnVKu40sxZu975tgG10E/edit?usp=sharing"",""นครปฐม!I371"")"),0)</f>
        <v>0</v>
      </c>
      <c r="AA60" s="177">
        <f ca="1">IFERROR(__xludf.DUMMYFUNCTION("IMPORTRANGE(""https://docs.google.com/spreadsheets/d/1YTZo6WM2dQ6Ix6FSdnL5P7uVnVKu40sxZu975tgG10E/edit?usp=sharing"",""นครปฐม!J371"")"),0)</f>
        <v>0</v>
      </c>
      <c r="AB60" s="345">
        <f ca="1">IFERROR(__xludf.DUMMYFUNCTION("IMPORTRANGE(""https://docs.google.com/spreadsheets/d/1YTZo6WM2dQ6Ix6FSdnL5P7uVnVKu40sxZu975tgG10E/edit?usp=sharing"",""นครปฐม!J372"")"),0)</f>
        <v>0</v>
      </c>
      <c r="AC60" s="259">
        <f t="shared" ca="1" si="34"/>
        <v>0</v>
      </c>
    </row>
    <row r="61" spans="1:29" ht="21" customHeight="1" x14ac:dyDescent="0.3">
      <c r="A61" s="84">
        <v>9</v>
      </c>
      <c r="B61" s="85" t="s">
        <v>83</v>
      </c>
      <c r="C61" s="174">
        <f t="shared" ca="1" si="21"/>
        <v>116090</v>
      </c>
      <c r="D61" s="175">
        <f t="shared" ca="1" si="45"/>
        <v>116090</v>
      </c>
      <c r="E61" s="176">
        <f ca="1">IFERROR(__xludf.DUMMYFUNCTION("IMPORTRANGE(""https://docs.google.com/spreadsheets/d/1-uDff_7J0KD5mKrp0Vvzr7lt3OU09vwQwhkpOPPYv2Y/edit?usp=sharing"",""งบพรบ!FD61"")"),0)</f>
        <v>0</v>
      </c>
      <c r="F61" s="176">
        <f ca="1">IFERROR(__xludf.DUMMYFUNCTION("IMPORTRANGE(""https://docs.google.com/spreadsheets/d/1-uDff_7J0KD5mKrp0Vvzr7lt3OU09vwQwhkpOPPYv2Y/edit?usp=sharing"",""งบพรบ!FE61"")"),116090)</f>
        <v>116090</v>
      </c>
      <c r="G61" s="176">
        <f ca="1">IFERROR(__xludf.DUMMYFUNCTION("IMPORTRANGE(""https://docs.google.com/spreadsheets/d/1-uDff_7J0KD5mKrp0Vvzr7lt3OU09vwQwhkpOPPYv2Y/edit?usp=sharing"",""งบพรบ!FF61"")"),0)</f>
        <v>0</v>
      </c>
      <c r="H61" s="176">
        <f ca="1">IFERROR(__xludf.DUMMYFUNCTION("IMPORTRANGE(""https://docs.google.com/spreadsheets/d/1-uDff_7J0KD5mKrp0Vvzr7lt3OU09vwQwhkpOPPYv2Y/edit?usp=sharing"",""งบพรบ!FH61"")"),90090)</f>
        <v>90090</v>
      </c>
      <c r="I61" s="176">
        <f ca="1">IFERROR(__xludf.DUMMYFUNCTION("IMPORTRANGE(""https://docs.google.com/spreadsheets/d/1-uDff_7J0KD5mKrp0Vvzr7lt3OU09vwQwhkpOPPYv2Y/edit?usp=sharing"",""งบพรบ!FI61"")"),0)</f>
        <v>0</v>
      </c>
      <c r="J61" s="176">
        <f t="shared" ca="1" si="23"/>
        <v>19000</v>
      </c>
      <c r="K61" s="181">
        <f t="shared" ca="1" si="24"/>
        <v>16.366612111292962</v>
      </c>
      <c r="L61" s="176">
        <f ca="1">IFERROR(__xludf.DUMMYFUNCTION("IMPORTRANGE(""https://docs.google.com/spreadsheets/d/1-uDff_7J0KD5mKrp0Vvzr7lt3OU09vwQwhkpOPPYv2Y/edit?usp=sharing"",""งบพรบ!FJ61"")"),19000)</f>
        <v>19000</v>
      </c>
      <c r="M61" s="179">
        <f t="shared" ca="1" si="25"/>
        <v>16.366612111292962</v>
      </c>
      <c r="N61" s="179">
        <f t="shared" ca="1" si="26"/>
        <v>21.090021090021089</v>
      </c>
      <c r="O61" s="180">
        <f ca="1">IFERROR(__xludf.DUMMYFUNCTION("IMPORTRANGE(""https://docs.google.com/spreadsheets/d/1-uDff_7J0KD5mKrp0Vvzr7lt3OU09vwQwhkpOPPYv2Y/edit?usp=sharing"",""งบพรบ!FK61"")"),0)</f>
        <v>0</v>
      </c>
      <c r="P61" s="180">
        <f t="shared" ca="1" si="27"/>
        <v>0</v>
      </c>
      <c r="Q61" s="179">
        <f t="shared" ca="1" si="28"/>
        <v>0</v>
      </c>
      <c r="R61" s="344">
        <f ca="1">IFERROR(__xludf.DUMMYFUNCTION("IMPORTRANGE(""https://docs.google.com/spreadsheets/d/1OYoGg4WDg5RIzwGeB10padOxJF9E_Vljuvvct_M7RDo/edit?usp=sharing"",""ปทุมธานี!I368"")"),0)</f>
        <v>0</v>
      </c>
      <c r="S61" s="177">
        <f ca="1">IFERROR(__xludf.DUMMYFUNCTION("IMPORTRANGE(""https://docs.google.com/spreadsheets/d/1OYoGg4WDg5RIzwGeB10padOxJF9E_Vljuvvct_M7RDo/edit?usp=sharing"",""ปทุมธานี!J367"")"),0)</f>
        <v>0</v>
      </c>
      <c r="T61" s="345">
        <f ca="1">IFERROR(__xludf.DUMMYFUNCTION("IMPORTRANGE(""https://docs.google.com/spreadsheets/d/1OYoGg4WDg5RIzwGeB10padOxJF9E_Vljuvvct_M7RDo/edit?usp=sharing"",""ปทุมธานี!J368"")"),0)</f>
        <v>0</v>
      </c>
      <c r="U61" s="259">
        <f t="shared" ca="1" si="30"/>
        <v>0</v>
      </c>
      <c r="V61" s="344">
        <f ca="1">IFERROR(__xludf.DUMMYFUNCTION("IMPORTRANGE(""https://docs.google.com/spreadsheets/d/1OYoGg4WDg5RIzwGeB10padOxJF9E_Vljuvvct_M7RDo/edit?usp=sharing"",""ปทุมธานี!I369"")"),0)</f>
        <v>0</v>
      </c>
      <c r="W61" s="177">
        <f ca="1">IFERROR(__xludf.DUMMYFUNCTION("IMPORTRANGE(""https://docs.google.com/spreadsheets/d/1OYoGg4WDg5RIzwGeB10padOxJF9E_Vljuvvct_M7RDo/edit?usp=sharing"",""ปทุมธานี!J369"")"),0)</f>
        <v>0</v>
      </c>
      <c r="X61" s="345">
        <f ca="1">IFERROR(__xludf.DUMMYFUNCTION("IMPORTRANGE(""https://docs.google.com/spreadsheets/d/1OYoGg4WDg5RIzwGeB10padOxJF9E_Vljuvvct_M7RDo/edit?usp=sharing"",""ปทุมธานี!J370"")"),0)</f>
        <v>0</v>
      </c>
      <c r="Y61" s="259">
        <f t="shared" ca="1" si="32"/>
        <v>0</v>
      </c>
      <c r="Z61" s="344">
        <f ca="1">IFERROR(__xludf.DUMMYFUNCTION("IMPORTRANGE(""https://docs.google.com/spreadsheets/d/1OYoGg4WDg5RIzwGeB10padOxJF9E_Vljuvvct_M7RDo/edit?usp=sharing"",""ปทุมธานี!I371"")"),0)</f>
        <v>0</v>
      </c>
      <c r="AA61" s="177">
        <f ca="1">IFERROR(__xludf.DUMMYFUNCTION("IMPORTRANGE(""https://docs.google.com/spreadsheets/d/1OYoGg4WDg5RIzwGeB10padOxJF9E_Vljuvvct_M7RDo/edit?usp=sharing"",""ปทุมธานี!J371"")"),0)</f>
        <v>0</v>
      </c>
      <c r="AB61" s="345">
        <f ca="1">IFERROR(__xludf.DUMMYFUNCTION("IMPORTRANGE(""https://docs.google.com/spreadsheets/d/1OYoGg4WDg5RIzwGeB10padOxJF9E_Vljuvvct_M7RDo/edit?usp=sharing"",""ปทุมธานี!J372"")"),0)</f>
        <v>0</v>
      </c>
      <c r="AC61" s="259">
        <f t="shared" ca="1" si="34"/>
        <v>0</v>
      </c>
    </row>
    <row r="62" spans="1:29" ht="21" customHeight="1" x14ac:dyDescent="0.3">
      <c r="A62" s="84">
        <v>10</v>
      </c>
      <c r="B62" s="85" t="s">
        <v>84</v>
      </c>
      <c r="C62" s="174">
        <f t="shared" ca="1" si="21"/>
        <v>266990</v>
      </c>
      <c r="D62" s="175">
        <f t="shared" ca="1" si="45"/>
        <v>266990</v>
      </c>
      <c r="E62" s="176">
        <f ca="1">IFERROR(__xludf.DUMMYFUNCTION("IMPORTRANGE(""https://docs.google.com/spreadsheets/d/1-uDff_7J0KD5mKrp0Vvzr7lt3OU09vwQwhkpOPPYv2Y/edit?usp=sharing"",""งบพรบ!FD62"")"),91000)</f>
        <v>91000</v>
      </c>
      <c r="F62" s="176">
        <f ca="1">IFERROR(__xludf.DUMMYFUNCTION("IMPORTRANGE(""https://docs.google.com/spreadsheets/d/1-uDff_7J0KD5mKrp0Vvzr7lt3OU09vwQwhkpOPPYv2Y/edit?usp=sharing"",""งบพรบ!FE62"")"),175990)</f>
        <v>175990</v>
      </c>
      <c r="G62" s="176">
        <f ca="1">IFERROR(__xludf.DUMMYFUNCTION("IMPORTRANGE(""https://docs.google.com/spreadsheets/d/1-uDff_7J0KD5mKrp0Vvzr7lt3OU09vwQwhkpOPPYv2Y/edit?usp=sharing"",""งบพรบ!FF62"")"),0)</f>
        <v>0</v>
      </c>
      <c r="H62" s="176">
        <f ca="1">IFERROR(__xludf.DUMMYFUNCTION("IMPORTRANGE(""https://docs.google.com/spreadsheets/d/1-uDff_7J0KD5mKrp0Vvzr7lt3OU09vwQwhkpOPPYv2Y/edit?usp=sharing"",""งบพรบ!FH62"")"),214990)</f>
        <v>214990</v>
      </c>
      <c r="I62" s="176">
        <f ca="1">IFERROR(__xludf.DUMMYFUNCTION("IMPORTRANGE(""https://docs.google.com/spreadsheets/d/1-uDff_7J0KD5mKrp0Vvzr7lt3OU09vwQwhkpOPPYv2Y/edit?usp=sharing"",""งบพรบ!FI62"")"),0)</f>
        <v>0</v>
      </c>
      <c r="J62" s="176">
        <f t="shared" ca="1" si="23"/>
        <v>25133.34</v>
      </c>
      <c r="K62" s="181">
        <f t="shared" ca="1" si="24"/>
        <v>9.4135885239147541</v>
      </c>
      <c r="L62" s="176">
        <f ca="1">IFERROR(__xludf.DUMMYFUNCTION("IMPORTRANGE(""https://docs.google.com/spreadsheets/d/1-uDff_7J0KD5mKrp0Vvzr7lt3OU09vwQwhkpOPPYv2Y/edit?usp=sharing"",""งบพรบ!FJ62"")"),25133.34)</f>
        <v>25133.34</v>
      </c>
      <c r="M62" s="179">
        <f t="shared" ca="1" si="25"/>
        <v>9.4135885239147541</v>
      </c>
      <c r="N62" s="179">
        <f t="shared" ca="1" si="26"/>
        <v>11.690469324154613</v>
      </c>
      <c r="O62" s="180">
        <f ca="1">IFERROR(__xludf.DUMMYFUNCTION("IMPORTRANGE(""https://docs.google.com/spreadsheets/d/1-uDff_7J0KD5mKrp0Vvzr7lt3OU09vwQwhkpOPPYv2Y/edit?usp=sharing"",""งบพรบ!FK62"")"),0)</f>
        <v>0</v>
      </c>
      <c r="P62" s="180">
        <f t="shared" ca="1" si="27"/>
        <v>0</v>
      </c>
      <c r="Q62" s="179">
        <f t="shared" ca="1" si="28"/>
        <v>0</v>
      </c>
      <c r="R62" s="344">
        <f ca="1">IFERROR(__xludf.DUMMYFUNCTION("IMPORTRANGE(""https://docs.google.com/spreadsheets/d/1GbCIE4D4wk9FUozzqk7SxfDMxDVBwVmI5zcaVUSzKAc/edit?usp=sharing"",""ประจวบคีรีขันธ์!I368"")"),565)</f>
        <v>565</v>
      </c>
      <c r="S62" s="177">
        <f ca="1">IFERROR(__xludf.DUMMYFUNCTION("IMPORTRANGE(""https://docs.google.com/spreadsheets/d/1GbCIE4D4wk9FUozzqk7SxfDMxDVBwVmI5zcaVUSzKAc/edit?usp=sharing"",""ประจวบคีรีขันธ์!J367"")"),6)</f>
        <v>6</v>
      </c>
      <c r="T62" s="345">
        <f ca="1">IFERROR(__xludf.DUMMYFUNCTION("IMPORTRANGE(""https://docs.google.com/spreadsheets/d/1GbCIE4D4wk9FUozzqk7SxfDMxDVBwVmI5zcaVUSzKAc/edit?usp=sharing"",""ประจวบคีรีขันธ์!J368"")"),39.23)</f>
        <v>39.229999999999997</v>
      </c>
      <c r="U62" s="259">
        <f t="shared" ca="1" si="30"/>
        <v>6.9433628318584066</v>
      </c>
      <c r="V62" s="344">
        <f ca="1">IFERROR(__xludf.DUMMYFUNCTION("IMPORTRANGE(""https://docs.google.com/spreadsheets/d/1GbCIE4D4wk9FUozzqk7SxfDMxDVBwVmI5zcaVUSzKAc/edit?usp=sharing"",""ประจวบคีรีขันธ์!I369"")"),88)</f>
        <v>88</v>
      </c>
      <c r="W62" s="177">
        <f ca="1">IFERROR(__xludf.DUMMYFUNCTION("IMPORTRANGE(""https://docs.google.com/spreadsheets/d/1GbCIE4D4wk9FUozzqk7SxfDMxDVBwVmI5zcaVUSzKAc/edit?usp=sharing"",""ประจวบคีรีขันธ์!J369"")"),55)</f>
        <v>55</v>
      </c>
      <c r="X62" s="345">
        <f ca="1">IFERROR(__xludf.DUMMYFUNCTION("IMPORTRANGE(""https://docs.google.com/spreadsheets/d/1GbCIE4D4wk9FUozzqk7SxfDMxDVBwVmI5zcaVUSzKAc/edit?usp=sharing"",""ประจวบคีรีขันธ์!J370"")"),679.98)</f>
        <v>679.98</v>
      </c>
      <c r="Y62" s="259">
        <f t="shared" ca="1" si="32"/>
        <v>62.5</v>
      </c>
      <c r="Z62" s="344">
        <f ca="1">IFERROR(__xludf.DUMMYFUNCTION("IMPORTRANGE(""https://docs.google.com/spreadsheets/d/1GbCIE4D4wk9FUozzqk7SxfDMxDVBwVmI5zcaVUSzKAc/edit?usp=sharing"",""ประจวบคีรีขันธ์!I371"")"),65)</f>
        <v>65</v>
      </c>
      <c r="AA62" s="177">
        <f ca="1">IFERROR(__xludf.DUMMYFUNCTION("IMPORTRANGE(""https://docs.google.com/spreadsheets/d/1GbCIE4D4wk9FUozzqk7SxfDMxDVBwVmI5zcaVUSzKAc/edit?usp=sharing"",""ประจวบคีรีขันธ์!J371"")"),56)</f>
        <v>56</v>
      </c>
      <c r="AB62" s="345">
        <f ca="1">IFERROR(__xludf.DUMMYFUNCTION("IMPORTRANGE(""https://docs.google.com/spreadsheets/d/1GbCIE4D4wk9FUozzqk7SxfDMxDVBwVmI5zcaVUSzKAc/edit?usp=sharing"",""ประจวบคีรีขันธ์!J372"")"),728.94)</f>
        <v>728.94</v>
      </c>
      <c r="AC62" s="259">
        <f t="shared" ca="1" si="34"/>
        <v>86.15384615384616</v>
      </c>
    </row>
    <row r="63" spans="1:29" ht="21" customHeight="1" x14ac:dyDescent="0.3">
      <c r="A63" s="84">
        <v>11</v>
      </c>
      <c r="B63" s="85" t="s">
        <v>85</v>
      </c>
      <c r="C63" s="174">
        <f t="shared" ca="1" si="21"/>
        <v>618525</v>
      </c>
      <c r="D63" s="175">
        <f t="shared" ca="1" si="45"/>
        <v>618525</v>
      </c>
      <c r="E63" s="176">
        <f ca="1">IFERROR(__xludf.DUMMYFUNCTION("IMPORTRANGE(""https://docs.google.com/spreadsheets/d/1-uDff_7J0KD5mKrp0Vvzr7lt3OU09vwQwhkpOPPYv2Y/edit?usp=sharing"",""งบพรบ!FD63"")"),443800)</f>
        <v>443800</v>
      </c>
      <c r="F63" s="176">
        <f ca="1">IFERROR(__xludf.DUMMYFUNCTION("IMPORTRANGE(""https://docs.google.com/spreadsheets/d/1-uDff_7J0KD5mKrp0Vvzr7lt3OU09vwQwhkpOPPYv2Y/edit?usp=sharing"",""งบพรบ!FE63"")"),174725)</f>
        <v>174725</v>
      </c>
      <c r="G63" s="176">
        <f ca="1">IFERROR(__xludf.DUMMYFUNCTION("IMPORTRANGE(""https://docs.google.com/spreadsheets/d/1-uDff_7J0KD5mKrp0Vvzr7lt3OU09vwQwhkpOPPYv2Y/edit?usp=sharing"",""งบพรบ!FF63"")"),0)</f>
        <v>0</v>
      </c>
      <c r="H63" s="176">
        <f ca="1">IFERROR(__xludf.DUMMYFUNCTION("IMPORTRANGE(""https://docs.google.com/spreadsheets/d/1-uDff_7J0KD5mKrp0Vvzr7lt3OU09vwQwhkpOPPYv2Y/edit?usp=sharing"",""งบพรบ!FH63"")"),465725)</f>
        <v>465725</v>
      </c>
      <c r="I63" s="176">
        <f ca="1">IFERROR(__xludf.DUMMYFUNCTION("IMPORTRANGE(""https://docs.google.com/spreadsheets/d/1-uDff_7J0KD5mKrp0Vvzr7lt3OU09vwQwhkpOPPYv2Y/edit?usp=sharing"",""งบพรบ!FI63"")"),0)</f>
        <v>0</v>
      </c>
      <c r="J63" s="176">
        <f t="shared" ca="1" si="23"/>
        <v>154400</v>
      </c>
      <c r="K63" s="181">
        <f t="shared" ca="1" si="24"/>
        <v>24.962612667232531</v>
      </c>
      <c r="L63" s="176">
        <f ca="1">IFERROR(__xludf.DUMMYFUNCTION("IMPORTRANGE(""https://docs.google.com/spreadsheets/d/1-uDff_7J0KD5mKrp0Vvzr7lt3OU09vwQwhkpOPPYv2Y/edit?usp=sharing"",""งบพรบ!FJ63"")"),154400)</f>
        <v>154400</v>
      </c>
      <c r="M63" s="179">
        <f t="shared" ca="1" si="25"/>
        <v>24.962612667232531</v>
      </c>
      <c r="N63" s="179">
        <f t="shared" ca="1" si="26"/>
        <v>33.152611519673627</v>
      </c>
      <c r="O63" s="180">
        <f ca="1">IFERROR(__xludf.DUMMYFUNCTION("IMPORTRANGE(""https://docs.google.com/spreadsheets/d/1-uDff_7J0KD5mKrp0Vvzr7lt3OU09vwQwhkpOPPYv2Y/edit?usp=sharing"",""งบพรบ!FK63"")"),0)</f>
        <v>0</v>
      </c>
      <c r="P63" s="180">
        <f t="shared" ca="1" si="27"/>
        <v>0</v>
      </c>
      <c r="Q63" s="179">
        <f t="shared" ca="1" si="28"/>
        <v>0</v>
      </c>
      <c r="R63" s="344">
        <f ca="1">IFERROR(__xludf.DUMMYFUNCTION("IMPORTRANGE(""https://docs.google.com/spreadsheets/d/1vVf6wykvW_lAyu7Yo9L4hUTqHqIeP_qcVuxCtosJEbg/edit?usp=sharing"",""ปราจีนบุรี!I368"")"),585)</f>
        <v>585</v>
      </c>
      <c r="S63" s="177">
        <f ca="1">IFERROR(__xludf.DUMMYFUNCTION("IMPORTRANGE(""https://docs.google.com/spreadsheets/d/1vVf6wykvW_lAyu7Yo9L4hUTqHqIeP_qcVuxCtosJEbg/edit?usp=sharing"",""ปราจีนบุรี!J367"")"),3)</f>
        <v>3</v>
      </c>
      <c r="T63" s="345">
        <f ca="1">IFERROR(__xludf.DUMMYFUNCTION("IMPORTRANGE(""https://docs.google.com/spreadsheets/d/1vVf6wykvW_lAyu7Yo9L4hUTqHqIeP_qcVuxCtosJEbg/edit?usp=sharing"",""ปราจีนบุรี!J368"")"),64.46)</f>
        <v>64.459999999999994</v>
      </c>
      <c r="U63" s="259">
        <f t="shared" ca="1" si="30"/>
        <v>11.018803418803417</v>
      </c>
      <c r="V63" s="344">
        <f ca="1">IFERROR(__xludf.DUMMYFUNCTION("IMPORTRANGE(""https://docs.google.com/spreadsheets/d/1vVf6wykvW_lAyu7Yo9L4hUTqHqIeP_qcVuxCtosJEbg/edit?usp=sharing"",""ปราจีนบุรี!I369"")"),90)</f>
        <v>90</v>
      </c>
      <c r="W63" s="177">
        <f ca="1">IFERROR(__xludf.DUMMYFUNCTION("IMPORTRANGE(""https://docs.google.com/spreadsheets/d/1vVf6wykvW_lAyu7Yo9L4hUTqHqIeP_qcVuxCtosJEbg/edit?usp=sharing"",""ปราจีนบุรี!J369"")"),0)</f>
        <v>0</v>
      </c>
      <c r="X63" s="345">
        <f ca="1">IFERROR(__xludf.DUMMYFUNCTION("IMPORTRANGE(""https://docs.google.com/spreadsheets/d/1vVf6wykvW_lAyu7Yo9L4hUTqHqIeP_qcVuxCtosJEbg/edit?usp=sharing"",""ปราจีนบุรี!J370"")"),0)</f>
        <v>0</v>
      </c>
      <c r="Y63" s="259">
        <f t="shared" ca="1" si="32"/>
        <v>0</v>
      </c>
      <c r="Z63" s="344">
        <f ca="1">IFERROR(__xludf.DUMMYFUNCTION("IMPORTRANGE(""https://docs.google.com/spreadsheets/d/1vVf6wykvW_lAyu7Yo9L4hUTqHqIeP_qcVuxCtosJEbg/edit?usp=sharing"",""ปราจีนบุรี!I371"")"),60)</f>
        <v>60</v>
      </c>
      <c r="AA63" s="177">
        <f ca="1">IFERROR(__xludf.DUMMYFUNCTION("IMPORTRANGE(""https://docs.google.com/spreadsheets/d/1vVf6wykvW_lAyu7Yo9L4hUTqHqIeP_qcVuxCtosJEbg/edit?usp=sharing"",""ปราจีนบุรี!J371"")"),2)</f>
        <v>2</v>
      </c>
      <c r="AB63" s="345">
        <f ca="1">IFERROR(__xludf.DUMMYFUNCTION("IMPORTRANGE(""https://docs.google.com/spreadsheets/d/1vVf6wykvW_lAyu7Yo9L4hUTqHqIeP_qcVuxCtosJEbg/edit?usp=sharing"",""ปราจีนบุรี!J372"")"),8.78)</f>
        <v>8.7799999999999994</v>
      </c>
      <c r="AC63" s="259">
        <f t="shared" ca="1" si="34"/>
        <v>3.3333333333333335</v>
      </c>
    </row>
    <row r="64" spans="1:29" ht="21" customHeight="1" x14ac:dyDescent="0.3">
      <c r="A64" s="84">
        <v>12</v>
      </c>
      <c r="B64" s="85" t="s">
        <v>86</v>
      </c>
      <c r="C64" s="174">
        <f t="shared" ca="1" si="21"/>
        <v>115055</v>
      </c>
      <c r="D64" s="175">
        <f t="shared" ca="1" si="45"/>
        <v>115055</v>
      </c>
      <c r="E64" s="176">
        <f ca="1">IFERROR(__xludf.DUMMYFUNCTION("IMPORTRANGE(""https://docs.google.com/spreadsheets/d/1-uDff_7J0KD5mKrp0Vvzr7lt3OU09vwQwhkpOPPYv2Y/edit?usp=sharing"",""งบพรบ!FD64"")"),0)</f>
        <v>0</v>
      </c>
      <c r="F64" s="176">
        <f ca="1">IFERROR(__xludf.DUMMYFUNCTION("IMPORTRANGE(""https://docs.google.com/spreadsheets/d/1-uDff_7J0KD5mKrp0Vvzr7lt3OU09vwQwhkpOPPYv2Y/edit?usp=sharing"",""งบพรบ!FE64"")"),115055)</f>
        <v>115055</v>
      </c>
      <c r="G64" s="176">
        <f ca="1">IFERROR(__xludf.DUMMYFUNCTION("IMPORTRANGE(""https://docs.google.com/spreadsheets/d/1-uDff_7J0KD5mKrp0Vvzr7lt3OU09vwQwhkpOPPYv2Y/edit?usp=sharing"",""งบพรบ!FF64"")"),0)</f>
        <v>0</v>
      </c>
      <c r="H64" s="176">
        <f ca="1">IFERROR(__xludf.DUMMYFUNCTION("IMPORTRANGE(""https://docs.google.com/spreadsheets/d/1-uDff_7J0KD5mKrp0Vvzr7lt3OU09vwQwhkpOPPYv2Y/edit?usp=sharing"",""งบพรบ!FH64"")"),89055)</f>
        <v>89055</v>
      </c>
      <c r="I64" s="176">
        <f ca="1">IFERROR(__xludf.DUMMYFUNCTION("IMPORTRANGE(""https://docs.google.com/spreadsheets/d/1-uDff_7J0KD5mKrp0Vvzr7lt3OU09vwQwhkpOPPYv2Y/edit?usp=sharing"",""งบพรบ!FI64"")"),0)</f>
        <v>0</v>
      </c>
      <c r="J64" s="176">
        <f t="shared" ca="1" si="23"/>
        <v>25161.29</v>
      </c>
      <c r="K64" s="181">
        <f t="shared" ca="1" si="24"/>
        <v>21.868923558298206</v>
      </c>
      <c r="L64" s="176">
        <f ca="1">IFERROR(__xludf.DUMMYFUNCTION("IMPORTRANGE(""https://docs.google.com/spreadsheets/d/1-uDff_7J0KD5mKrp0Vvzr7lt3OU09vwQwhkpOPPYv2Y/edit?usp=sharing"",""งบพรบ!FJ64"")"),25161.29)</f>
        <v>25161.29</v>
      </c>
      <c r="M64" s="179">
        <f t="shared" ca="1" si="25"/>
        <v>21.868923558298206</v>
      </c>
      <c r="N64" s="179">
        <f t="shared" ca="1" si="26"/>
        <v>28.253652237381395</v>
      </c>
      <c r="O64" s="180">
        <f ca="1">IFERROR(__xludf.DUMMYFUNCTION("IMPORTRANGE(""https://docs.google.com/spreadsheets/d/1-uDff_7J0KD5mKrp0Vvzr7lt3OU09vwQwhkpOPPYv2Y/edit?usp=sharing"",""งบพรบ!FK64"")"),0)</f>
        <v>0</v>
      </c>
      <c r="P64" s="180">
        <f t="shared" ca="1" si="27"/>
        <v>0</v>
      </c>
      <c r="Q64" s="179">
        <f t="shared" ca="1" si="28"/>
        <v>0</v>
      </c>
      <c r="R64" s="344">
        <f ca="1">IFERROR(__xludf.DUMMYFUNCTION("IMPORTRANGE(""https://docs.google.com/spreadsheets/d/1BIDqLLg5jk3v59G8NlR8rk5xfQDKne0sAvZHSj7TI6I/edit?usp=sharing"",""พระนครศรีอยุธยา!I368"")"),0)</f>
        <v>0</v>
      </c>
      <c r="S64" s="177">
        <f ca="1">IFERROR(__xludf.DUMMYFUNCTION("IMPORTRANGE(""https://docs.google.com/spreadsheets/d/1BIDqLLg5jk3v59G8NlR8rk5xfQDKne0sAvZHSj7TI6I/edit?usp=sharing"",""พระนครศรีอยุธยา!J367"")"),0)</f>
        <v>0</v>
      </c>
      <c r="T64" s="345">
        <f ca="1">IFERROR(__xludf.DUMMYFUNCTION("IMPORTRANGE(""https://docs.google.com/spreadsheets/d/1BIDqLLg5jk3v59G8NlR8rk5xfQDKne0sAvZHSj7TI6I/edit?usp=sharing"",""พระนครศรีอยุธยา!J368"")"),0)</f>
        <v>0</v>
      </c>
      <c r="U64" s="259">
        <f t="shared" ca="1" si="30"/>
        <v>0</v>
      </c>
      <c r="V64" s="344">
        <f ca="1">IFERROR(__xludf.DUMMYFUNCTION("IMPORTRANGE(""https://docs.google.com/spreadsheets/d/1BIDqLLg5jk3v59G8NlR8rk5xfQDKne0sAvZHSj7TI6I/edit?usp=sharing"",""พระนครศรีอยุธยา!I369"")"),0)</f>
        <v>0</v>
      </c>
      <c r="W64" s="177">
        <f ca="1">IFERROR(__xludf.DUMMYFUNCTION("IMPORTRANGE(""https://docs.google.com/spreadsheets/d/1BIDqLLg5jk3v59G8NlR8rk5xfQDKne0sAvZHSj7TI6I/edit?usp=sharing"",""พระนครศรีอยุธยา!J369"")"),0)</f>
        <v>0</v>
      </c>
      <c r="X64" s="345">
        <f ca="1">IFERROR(__xludf.DUMMYFUNCTION("IMPORTRANGE(""https://docs.google.com/spreadsheets/d/1BIDqLLg5jk3v59G8NlR8rk5xfQDKne0sAvZHSj7TI6I/edit?usp=sharing"",""พระนครศรีอยุธยา!J370"")"),0)</f>
        <v>0</v>
      </c>
      <c r="Y64" s="259">
        <f t="shared" ca="1" si="32"/>
        <v>0</v>
      </c>
      <c r="Z64" s="344">
        <f ca="1">IFERROR(__xludf.DUMMYFUNCTION("IMPORTRANGE(""https://docs.google.com/spreadsheets/d/1BIDqLLg5jk3v59G8NlR8rk5xfQDKne0sAvZHSj7TI6I/edit?usp=sharing"",""พระนครศรีอยุธยา!I371"")"),0)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IFERROR(__xludf.DUMMYFUNCTION("IMPORTRANGE(""https://docs.google.com/spreadsheets/d/1BIDqLLg5jk3v59G8NlR8rk5xfQDKne0sAvZHSj7TI6I/edit?usp=sharing"",""พระนครศรีอยุธยา!J371"")"),0)</f>
        <v>0</v>
      </c>
      <c r="AB64" s="345">
        <f ca="1">IFERROR(__xludf.DUMMYFUNCTION("IMPORTRANGE(""https://docs.google.com/spreadsheets/d/1BIDqLLg5jk3v59G8NlR8rk5xfQDKne0sAvZHSj7TI6I/edit?usp=sharing"",""พระนครศรีอยุธยา!J372"")"),0)</f>
        <v>0</v>
      </c>
      <c r="AC64" s="259">
        <f t="shared" ca="1" si="34"/>
        <v>0</v>
      </c>
    </row>
    <row r="65" spans="1:29" ht="21" customHeight="1" x14ac:dyDescent="0.3">
      <c r="A65" s="84">
        <v>13</v>
      </c>
      <c r="B65" s="85" t="s">
        <v>87</v>
      </c>
      <c r="C65" s="174">
        <f t="shared" ca="1" si="21"/>
        <v>227690</v>
      </c>
      <c r="D65" s="175">
        <f t="shared" ca="1" si="45"/>
        <v>227690</v>
      </c>
      <c r="E65" s="176">
        <f ca="1">IFERROR(__xludf.DUMMYFUNCTION("IMPORTRANGE(""https://docs.google.com/spreadsheets/d/1-uDff_7J0KD5mKrp0Vvzr7lt3OU09vwQwhkpOPPYv2Y/edit?usp=sharing"",""งบพรบ!FD65"")"),91000)</f>
        <v>91000</v>
      </c>
      <c r="F65" s="176">
        <f ca="1">IFERROR(__xludf.DUMMYFUNCTION("IMPORTRANGE(""https://docs.google.com/spreadsheets/d/1-uDff_7J0KD5mKrp0Vvzr7lt3OU09vwQwhkpOPPYv2Y/edit?usp=sharing"",""งบพรบ!FE65"")"),136690)</f>
        <v>136690</v>
      </c>
      <c r="G65" s="176">
        <f ca="1">IFERROR(__xludf.DUMMYFUNCTION("IMPORTRANGE(""https://docs.google.com/spreadsheets/d/1-uDff_7J0KD5mKrp0Vvzr7lt3OU09vwQwhkpOPPYv2Y/edit?usp=sharing"",""งบพรบ!FF65"")"),0)</f>
        <v>0</v>
      </c>
      <c r="H65" s="176">
        <f ca="1">IFERROR(__xludf.DUMMYFUNCTION("IMPORTRANGE(""https://docs.google.com/spreadsheets/d/1-uDff_7J0KD5mKrp0Vvzr7lt3OU09vwQwhkpOPPYv2Y/edit?usp=sharing"",""งบพรบ!FH65"")"),175690)</f>
        <v>175690</v>
      </c>
      <c r="I65" s="176">
        <f ca="1">IFERROR(__xludf.DUMMYFUNCTION("IMPORTRANGE(""https://docs.google.com/spreadsheets/d/1-uDff_7J0KD5mKrp0Vvzr7lt3OU09vwQwhkpOPPYv2Y/edit?usp=sharing"",""งบพรบ!FI65"")"),0)</f>
        <v>0</v>
      </c>
      <c r="J65" s="176">
        <f t="shared" ca="1" si="23"/>
        <v>58480</v>
      </c>
      <c r="K65" s="181">
        <f t="shared" ca="1" si="24"/>
        <v>25.684044095041504</v>
      </c>
      <c r="L65" s="176">
        <f ca="1">IFERROR(__xludf.DUMMYFUNCTION("IMPORTRANGE(""https://docs.google.com/spreadsheets/d/1-uDff_7J0KD5mKrp0Vvzr7lt3OU09vwQwhkpOPPYv2Y/edit?usp=sharing"",""งบพรบ!FJ65"")"),58480)</f>
        <v>58480</v>
      </c>
      <c r="M65" s="179">
        <f t="shared" ca="1" si="25"/>
        <v>25.684044095041504</v>
      </c>
      <c r="N65" s="179">
        <f t="shared" ca="1" si="26"/>
        <v>33.285901303432183</v>
      </c>
      <c r="O65" s="180">
        <f ca="1">IFERROR(__xludf.DUMMYFUNCTION("IMPORTRANGE(""https://docs.google.com/spreadsheets/d/1-uDff_7J0KD5mKrp0Vvzr7lt3OU09vwQwhkpOPPYv2Y/edit?usp=sharing"",""งบพรบ!FK65"")"),0)</f>
        <v>0</v>
      </c>
      <c r="P65" s="180">
        <f t="shared" ca="1" si="27"/>
        <v>0</v>
      </c>
      <c r="Q65" s="179">
        <f t="shared" ca="1" si="28"/>
        <v>0</v>
      </c>
      <c r="R65" s="344">
        <f ca="1">IFERROR(__xludf.DUMMYFUNCTION("IMPORTRANGE(""https://docs.google.com/spreadsheets/d/1YXvxf8Yu6_rV4hTBrwMqAcAnv6DfhUxh5emyM3CJp_w/edit?usp=sharing"",""เพชรบุรี!I368"")"),205)</f>
        <v>205</v>
      </c>
      <c r="S65" s="177">
        <f ca="1">IFERROR(__xludf.DUMMYFUNCTION("IMPORTRANGE(""https://docs.google.com/spreadsheets/d/1YXvxf8Yu6_rV4hTBrwMqAcAnv6DfhUxh5emyM3CJp_w/edit?usp=sharing"",""เพชรบุรี!J367"")"),0)</f>
        <v>0</v>
      </c>
      <c r="T65" s="345">
        <f ca="1">IFERROR(__xludf.DUMMYFUNCTION("IMPORTRANGE(""https://docs.google.com/spreadsheets/d/1YXvxf8Yu6_rV4hTBrwMqAcAnv6DfhUxh5emyM3CJp_w/edit?usp=sharing"",""เพชรบุรี!J368"")"),0)</f>
        <v>0</v>
      </c>
      <c r="U65" s="259">
        <f t="shared" ca="1" si="30"/>
        <v>0</v>
      </c>
      <c r="V65" s="344">
        <f ca="1">IFERROR(__xludf.DUMMYFUNCTION("IMPORTRANGE(""https://docs.google.com/spreadsheets/d/1YXvxf8Yu6_rV4hTBrwMqAcAnv6DfhUxh5emyM3CJp_w/edit?usp=sharing"",""เพชรบุรี!I369"")"),35)</f>
        <v>35</v>
      </c>
      <c r="W65" s="177">
        <f ca="1">IFERROR(__xludf.DUMMYFUNCTION("IMPORTRANGE(""https://docs.google.com/spreadsheets/d/1YXvxf8Yu6_rV4hTBrwMqAcAnv6DfhUxh5emyM3CJp_w/edit?usp=sharing"",""เพชรบุรี!J369"")"),4)</f>
        <v>4</v>
      </c>
      <c r="X65" s="345">
        <f ca="1">IFERROR(__xludf.DUMMYFUNCTION("IMPORTRANGE(""https://docs.google.com/spreadsheets/d/1YXvxf8Yu6_rV4hTBrwMqAcAnv6DfhUxh5emyM3CJp_w/edit?usp=sharing"",""เพชรบุรี!J370"")"),56.73)</f>
        <v>56.73</v>
      </c>
      <c r="Y65" s="259">
        <f t="shared" ca="1" si="32"/>
        <v>11.428571428571429</v>
      </c>
      <c r="Z65" s="344">
        <f ca="1">IFERROR(__xludf.DUMMYFUNCTION("IMPORTRANGE(""https://docs.google.com/spreadsheets/d/1YXvxf8Yu6_rV4hTBrwMqAcAnv6DfhUxh5emyM3CJp_w/edit?usp=sharing"",""เพชรบุรี!I371"")"),29)</f>
        <v>29</v>
      </c>
      <c r="AA65" s="177">
        <f ca="1">IFERROR(__xludf.DUMMYFUNCTION("IMPORTRANGE(""https://docs.google.com/spreadsheets/d/1YXvxf8Yu6_rV4hTBrwMqAcAnv6DfhUxh5emyM3CJp_w/edit?usp=sharing"",""เพชรบุรี!J371"")"),1)</f>
        <v>1</v>
      </c>
      <c r="AB65" s="345">
        <f ca="1">IFERROR(__xludf.DUMMYFUNCTION("IMPORTRANGE(""https://docs.google.com/spreadsheets/d/1YXvxf8Yu6_rV4hTBrwMqAcAnv6DfhUxh5emyM3CJp_w/edit?usp=sharing"",""เพชรบุรี!J372"")"),46.62)</f>
        <v>46.62</v>
      </c>
      <c r="AC65" s="259">
        <f t="shared" ca="1" si="34"/>
        <v>3.4482758620689653</v>
      </c>
    </row>
    <row r="66" spans="1:29" ht="21" customHeight="1" x14ac:dyDescent="0.3">
      <c r="A66" s="84">
        <v>14</v>
      </c>
      <c r="B66" s="85" t="s">
        <v>88</v>
      </c>
      <c r="C66" s="174">
        <f t="shared" ca="1" si="21"/>
        <v>386760</v>
      </c>
      <c r="D66" s="175">
        <f t="shared" ca="1" si="45"/>
        <v>386760</v>
      </c>
      <c r="E66" s="176">
        <f ca="1">IFERROR(__xludf.DUMMYFUNCTION("IMPORTRANGE(""https://docs.google.com/spreadsheets/d/1-uDff_7J0KD5mKrp0Vvzr7lt3OU09vwQwhkpOPPYv2Y/edit?usp=sharing"",""งบพรบ!FD66"")"),224000)</f>
        <v>224000</v>
      </c>
      <c r="F66" s="176">
        <f ca="1">IFERROR(__xludf.DUMMYFUNCTION("IMPORTRANGE(""https://docs.google.com/spreadsheets/d/1-uDff_7J0KD5mKrp0Vvzr7lt3OU09vwQwhkpOPPYv2Y/edit?usp=sharing"",""งบพรบ!FE66"")"),162760)</f>
        <v>162760</v>
      </c>
      <c r="G66" s="176">
        <f ca="1">IFERROR(__xludf.DUMMYFUNCTION("IMPORTRANGE(""https://docs.google.com/spreadsheets/d/1-uDff_7J0KD5mKrp0Vvzr7lt3OU09vwQwhkpOPPYv2Y/edit?usp=sharing"",""งบพรบ!FF66"")"),0)</f>
        <v>0</v>
      </c>
      <c r="H66" s="176">
        <f ca="1">IFERROR(__xludf.DUMMYFUNCTION("IMPORTRANGE(""https://docs.google.com/spreadsheets/d/1-uDff_7J0KD5mKrp0Vvzr7lt3OU09vwQwhkpOPPYv2Y/edit?usp=sharing"",""งบพรบ!FH66"")"),296760)</f>
        <v>296760</v>
      </c>
      <c r="I66" s="176">
        <f ca="1">IFERROR(__xludf.DUMMYFUNCTION("IMPORTRANGE(""https://docs.google.com/spreadsheets/d/1-uDff_7J0KD5mKrp0Vvzr7lt3OU09vwQwhkpOPPYv2Y/edit?usp=sharing"",""งบพรบ!FI66"")"),0)</f>
        <v>0</v>
      </c>
      <c r="J66" s="176">
        <f t="shared" ca="1" si="23"/>
        <v>100786.5</v>
      </c>
      <c r="K66" s="181">
        <f t="shared" ca="1" si="24"/>
        <v>26.059183990071361</v>
      </c>
      <c r="L66" s="176">
        <f ca="1">IFERROR(__xludf.DUMMYFUNCTION("IMPORTRANGE(""https://docs.google.com/spreadsheets/d/1-uDff_7J0KD5mKrp0Vvzr7lt3OU09vwQwhkpOPPYv2Y/edit?usp=sharing"",""งบพรบ!FJ66"")"),100786.5)</f>
        <v>100786.5</v>
      </c>
      <c r="M66" s="179">
        <f t="shared" ca="1" si="25"/>
        <v>26.059183990071361</v>
      </c>
      <c r="N66" s="179">
        <f t="shared" ca="1" si="26"/>
        <v>33.96229276182774</v>
      </c>
      <c r="O66" s="180">
        <f ca="1">IFERROR(__xludf.DUMMYFUNCTION("IMPORTRANGE(""https://docs.google.com/spreadsheets/d/1-uDff_7J0KD5mKrp0Vvzr7lt3OU09vwQwhkpOPPYv2Y/edit?usp=sharing"",""งบพรบ!FK66"")"),0)</f>
        <v>0</v>
      </c>
      <c r="P66" s="180">
        <f t="shared" ca="1" si="27"/>
        <v>0</v>
      </c>
      <c r="Q66" s="179">
        <f t="shared" ca="1" si="28"/>
        <v>0</v>
      </c>
      <c r="R66" s="344">
        <f ca="1">IFERROR(__xludf.DUMMYFUNCTION("IMPORTRANGE(""https://docs.google.com/spreadsheets/d/19KBlQQs7uwvsao6t2n-KvW3Ax8J8uRRfZPq1zPbXgKc/edit?usp=sharing"",""ระยอง!I368"")"),460)</f>
        <v>460</v>
      </c>
      <c r="S66" s="177">
        <f ca="1">IFERROR(__xludf.DUMMYFUNCTION("IMPORTRANGE(""https://docs.google.com/spreadsheets/d/19KBlQQs7uwvsao6t2n-KvW3Ax8J8uRRfZPq1zPbXgKc/edit?usp=sharing"",""ระยอง!J367"")"),10)</f>
        <v>10</v>
      </c>
      <c r="T66" s="345">
        <f ca="1">IFERROR(__xludf.DUMMYFUNCTION("IMPORTRANGE(""https://docs.google.com/spreadsheets/d/19KBlQQs7uwvsao6t2n-KvW3Ax8J8uRRfZPq1zPbXgKc/edit?usp=sharing"",""ระยอง!J368"")"),84.11)</f>
        <v>84.11</v>
      </c>
      <c r="U66" s="259">
        <f t="shared" ca="1" si="30"/>
        <v>18.284782608695654</v>
      </c>
      <c r="V66" s="344">
        <f ca="1">IFERROR(__xludf.DUMMYFUNCTION("IMPORTRANGE(""https://docs.google.com/spreadsheets/d/19KBlQQs7uwvsao6t2n-KvW3Ax8J8uRRfZPq1zPbXgKc/edit?usp=sharing"",""ระยอง!I369"")"),65)</f>
        <v>65</v>
      </c>
      <c r="W66" s="177">
        <f ca="1">IFERROR(__xludf.DUMMYFUNCTION("IMPORTRANGE(""https://docs.google.com/spreadsheets/d/19KBlQQs7uwvsao6t2n-KvW3Ax8J8uRRfZPq1zPbXgKc/edit?usp=sharing"",""ระยอง!J369"")"),67)</f>
        <v>67</v>
      </c>
      <c r="X66" s="345">
        <f ca="1">IFERROR(__xludf.DUMMYFUNCTION("IMPORTRANGE(""https://docs.google.com/spreadsheets/d/19KBlQQs7uwvsao6t2n-KvW3Ax8J8uRRfZPq1zPbXgKc/edit?usp=sharing"",""ระยอง!J370"")"),773.75)</f>
        <v>773.75</v>
      </c>
      <c r="Y66" s="259">
        <f t="shared" ca="1" si="32"/>
        <v>103.07692307692308</v>
      </c>
      <c r="Z66" s="344">
        <f ca="1">IFERROR(__xludf.DUMMYFUNCTION("IMPORTRANGE(""https://docs.google.com/spreadsheets/d/19KBlQQs7uwvsao6t2n-KvW3Ax8J8uRRfZPq1zPbXgKc/edit?usp=sharing"",""ระยอง!I371"")"),48)</f>
        <v>48</v>
      </c>
      <c r="AA66" s="177">
        <f ca="1">IFERROR(__xludf.DUMMYFUNCTION("IMPORTRANGE(""https://docs.google.com/spreadsheets/d/19KBlQQs7uwvsao6t2n-KvW3Ax8J8uRRfZPq1zPbXgKc/edit?usp=sharing"",""ระยอง!J371"")"),1)</f>
        <v>1</v>
      </c>
      <c r="AB66" s="345">
        <f ca="1">IFERROR(__xludf.DUMMYFUNCTION("IMPORTRANGE(""https://docs.google.com/spreadsheets/d/19KBlQQs7uwvsao6t2n-KvW3Ax8J8uRRfZPq1zPbXgKc/edit?usp=sharing"",""ระยอง!J372"")"),49.52)</f>
        <v>49.52</v>
      </c>
      <c r="AC66" s="259">
        <f t="shared" ca="1" si="34"/>
        <v>2.0833333333333335</v>
      </c>
    </row>
    <row r="67" spans="1:29" ht="21" customHeight="1" x14ac:dyDescent="0.3">
      <c r="A67" s="84">
        <v>15</v>
      </c>
      <c r="B67" s="85" t="s">
        <v>89</v>
      </c>
      <c r="C67" s="174">
        <f t="shared" ca="1" si="21"/>
        <v>591785</v>
      </c>
      <c r="D67" s="175">
        <f t="shared" ca="1" si="45"/>
        <v>591785</v>
      </c>
      <c r="E67" s="176">
        <f ca="1">IFERROR(__xludf.DUMMYFUNCTION("IMPORTRANGE(""https://docs.google.com/spreadsheets/d/1-uDff_7J0KD5mKrp0Vvzr7lt3OU09vwQwhkpOPPYv2Y/edit?usp=sharing"",""งบพรบ!FD67"")"),392700)</f>
        <v>392700</v>
      </c>
      <c r="F67" s="176">
        <f ca="1">IFERROR(__xludf.DUMMYFUNCTION("IMPORTRANGE(""https://docs.google.com/spreadsheets/d/1-uDff_7J0KD5mKrp0Vvzr7lt3OU09vwQwhkpOPPYv2Y/edit?usp=sharing"",""งบพรบ!FE67"")"),199085)</f>
        <v>199085</v>
      </c>
      <c r="G67" s="176">
        <f ca="1">IFERROR(__xludf.DUMMYFUNCTION("IMPORTRANGE(""https://docs.google.com/spreadsheets/d/1-uDff_7J0KD5mKrp0Vvzr7lt3OU09vwQwhkpOPPYv2Y/edit?usp=sharing"",""งบพรบ!FF67"")"),0)</f>
        <v>0</v>
      </c>
      <c r="H67" s="176">
        <f ca="1">IFERROR(__xludf.DUMMYFUNCTION("IMPORTRANGE(""https://docs.google.com/spreadsheets/d/1-uDff_7J0KD5mKrp0Vvzr7lt3OU09vwQwhkpOPPYv2Y/edit?usp=sharing"",""งบพรบ!FH67"")"),453585)</f>
        <v>453585</v>
      </c>
      <c r="I67" s="176">
        <f ca="1">IFERROR(__xludf.DUMMYFUNCTION("IMPORTRANGE(""https://docs.google.com/spreadsheets/d/1-uDff_7J0KD5mKrp0Vvzr7lt3OU09vwQwhkpOPPYv2Y/edit?usp=sharing"",""งบพรบ!FI67"")"),0)</f>
        <v>0</v>
      </c>
      <c r="J67" s="176">
        <f t="shared" ca="1" si="23"/>
        <v>175845</v>
      </c>
      <c r="K67" s="181">
        <f t="shared" ca="1" si="24"/>
        <v>29.714338822376369</v>
      </c>
      <c r="L67" s="176">
        <f ca="1">IFERROR(__xludf.DUMMYFUNCTION("IMPORTRANGE(""https://docs.google.com/spreadsheets/d/1-uDff_7J0KD5mKrp0Vvzr7lt3OU09vwQwhkpOPPYv2Y/edit?usp=sharing"",""งบพรบ!FJ67"")"),175845)</f>
        <v>175845</v>
      </c>
      <c r="M67" s="179">
        <f t="shared" ca="1" si="25"/>
        <v>29.714338822376369</v>
      </c>
      <c r="N67" s="179">
        <f t="shared" ca="1" si="26"/>
        <v>38.767816396044843</v>
      </c>
      <c r="O67" s="180">
        <f ca="1">IFERROR(__xludf.DUMMYFUNCTION("IMPORTRANGE(""https://docs.google.com/spreadsheets/d/1-uDff_7J0KD5mKrp0Vvzr7lt3OU09vwQwhkpOPPYv2Y/edit?usp=sharing"",""งบพรบ!FK67"")"),0)</f>
        <v>0</v>
      </c>
      <c r="P67" s="180">
        <f t="shared" ca="1" si="27"/>
        <v>0</v>
      </c>
      <c r="Q67" s="179">
        <f t="shared" ca="1" si="28"/>
        <v>0</v>
      </c>
      <c r="R67" s="346">
        <f ca="1">IFERROR(__xludf.DUMMYFUNCTION("IMPORTRANGE(""https://docs.google.com/spreadsheets/d/1jQ6P4QcrGM89YfqcC_PxOHGCMq5ezhucwJd8ci-NHng/edit?usp=sharing"",""ราชบุรี!I368"")"),840)</f>
        <v>840</v>
      </c>
      <c r="S67" s="177">
        <f ca="1">IFERROR(__xludf.DUMMYFUNCTION("IMPORTRANGE(""https://docs.google.com/spreadsheets/d/1jQ6P4QcrGM89YfqcC_PxOHGCMq5ezhucwJd8ci-NHng/edit?usp=sharing"",""ราชบุรี!J367"")"),17)</f>
        <v>17</v>
      </c>
      <c r="T67" s="345">
        <f ca="1">IFERROR(__xludf.DUMMYFUNCTION("IMPORTRANGE(""https://docs.google.com/spreadsheets/d/1jQ6P4QcrGM89YfqcC_PxOHGCMq5ezhucwJd8ci-NHng/edit?usp=sharing"",""ราชบุรี!J368"")"),102.28)</f>
        <v>102.28</v>
      </c>
      <c r="U67" s="259">
        <f t="shared" ca="1" si="30"/>
        <v>12.176190476190476</v>
      </c>
      <c r="V67" s="346">
        <f ca="1">IFERROR(__xludf.DUMMYFUNCTION("IMPORTRANGE(""https://docs.google.com/spreadsheets/d/1jQ6P4QcrGM89YfqcC_PxOHGCMq5ezhucwJd8ci-NHng/edit?usp=sharing"",""ราชบุรี!I369"")"),123)</f>
        <v>123</v>
      </c>
      <c r="W67" s="177">
        <f ca="1">IFERROR(__xludf.DUMMYFUNCTION("IMPORTRANGE(""https://docs.google.com/spreadsheets/d/1jQ6P4QcrGM89YfqcC_PxOHGCMq5ezhucwJd8ci-NHng/edit?usp=sharing"",""ราชบุรี!J369"")"),64)</f>
        <v>64</v>
      </c>
      <c r="X67" s="345">
        <f ca="1">IFERROR(__xludf.DUMMYFUNCTION("IMPORTRANGE(""https://docs.google.com/spreadsheets/d/1jQ6P4QcrGM89YfqcC_PxOHGCMq5ezhucwJd8ci-NHng/edit?usp=sharing"",""ราชบุรี!J370"")"),661.05)</f>
        <v>661.05</v>
      </c>
      <c r="Y67" s="259">
        <f t="shared" ca="1" si="32"/>
        <v>52.032520325203251</v>
      </c>
      <c r="Z67" s="346">
        <f ca="1">IFERROR(__xludf.DUMMYFUNCTION("IMPORTRANGE(""https://docs.google.com/spreadsheets/d/1jQ6P4QcrGM89YfqcC_PxOHGCMq5ezhucwJd8ci-NHng/edit?usp=sharing"",""ราชบุรี!I371"")"),83)</f>
        <v>83</v>
      </c>
      <c r="AA67" s="177">
        <f ca="1">IFERROR(__xludf.DUMMYFUNCTION("IMPORTRANGE(""https://docs.google.com/spreadsheets/d/1jQ6P4QcrGM89YfqcC_PxOHGCMq5ezhucwJd8ci-NHng/edit?usp=sharing"",""ราชบุรี!J371"")"),64)</f>
        <v>64</v>
      </c>
      <c r="AB67" s="345">
        <f ca="1">IFERROR(__xludf.DUMMYFUNCTION("IMPORTRANGE(""https://docs.google.com/spreadsheets/d/1jQ6P4QcrGM89YfqcC_PxOHGCMq5ezhucwJd8ci-NHng/edit?usp=sharing"",""ราชบุรี!J372"")"),661.05)</f>
        <v>661.05</v>
      </c>
      <c r="AC67" s="259">
        <f t="shared" ca="1" si="34"/>
        <v>77.108433734939766</v>
      </c>
    </row>
    <row r="68" spans="1:29" ht="24" customHeight="1" x14ac:dyDescent="0.3">
      <c r="A68" s="84">
        <v>16</v>
      </c>
      <c r="B68" s="85" t="s">
        <v>90</v>
      </c>
      <c r="C68" s="174">
        <f t="shared" ca="1" si="21"/>
        <v>563400</v>
      </c>
      <c r="D68" s="175">
        <f t="shared" ca="1" si="45"/>
        <v>563400</v>
      </c>
      <c r="E68" s="176">
        <f ca="1">IFERROR(__xludf.DUMMYFUNCTION("IMPORTRANGE(""https://docs.google.com/spreadsheets/d/1-uDff_7J0KD5mKrp0Vvzr7lt3OU09vwQwhkpOPPYv2Y/edit?usp=sharing"",""งบพรบ!FD68"")"),332500)</f>
        <v>332500</v>
      </c>
      <c r="F68" s="176">
        <f ca="1">IFERROR(__xludf.DUMMYFUNCTION("IMPORTRANGE(""https://docs.google.com/spreadsheets/d/1-uDff_7J0KD5mKrp0Vvzr7lt3OU09vwQwhkpOPPYv2Y/edit?usp=sharing"",""งบพรบ!FE68"")"),230900)</f>
        <v>230900</v>
      </c>
      <c r="G68" s="176">
        <f ca="1">IFERROR(__xludf.DUMMYFUNCTION("IMPORTRANGE(""https://docs.google.com/spreadsheets/d/1-uDff_7J0KD5mKrp0Vvzr7lt3OU09vwQwhkpOPPYv2Y/edit?usp=sharing"",""งบพรบ!FF68"")"),0)</f>
        <v>0</v>
      </c>
      <c r="H68" s="176">
        <f ca="1">IFERROR(__xludf.DUMMYFUNCTION("IMPORTRANGE(""https://docs.google.com/spreadsheets/d/1-uDff_7J0KD5mKrp0Vvzr7lt3OU09vwQwhkpOPPYv2Y/edit?usp=sharing"",""งบพรบ!FH68"")"),449720)</f>
        <v>449720</v>
      </c>
      <c r="I68" s="176">
        <f ca="1">IFERROR(__xludf.DUMMYFUNCTION("IMPORTRANGE(""https://docs.google.com/spreadsheets/d/1-uDff_7J0KD5mKrp0Vvzr7lt3OU09vwQwhkpOPPYv2Y/edit?usp=sharing"",""งบพรบ!FI68"")"),0)</f>
        <v>0</v>
      </c>
      <c r="J68" s="176">
        <f t="shared" ca="1" si="23"/>
        <v>169416</v>
      </c>
      <c r="K68" s="181">
        <f t="shared" ca="1" si="24"/>
        <v>30.070287539936103</v>
      </c>
      <c r="L68" s="176">
        <f ca="1">IFERROR(__xludf.DUMMYFUNCTION("IMPORTRANGE(""https://docs.google.com/spreadsheets/d/1-uDff_7J0KD5mKrp0Vvzr7lt3OU09vwQwhkpOPPYv2Y/edit?usp=sharing"",""งบพรบ!FJ68"")"),169416)</f>
        <v>169416</v>
      </c>
      <c r="M68" s="179">
        <f t="shared" ca="1" si="25"/>
        <v>30.070287539936103</v>
      </c>
      <c r="N68" s="179">
        <f t="shared" ca="1" si="26"/>
        <v>37.671440007115535</v>
      </c>
      <c r="O68" s="180">
        <f ca="1">IFERROR(__xludf.DUMMYFUNCTION("IMPORTRANGE(""https://docs.google.com/spreadsheets/d/1-uDff_7J0KD5mKrp0Vvzr7lt3OU09vwQwhkpOPPYv2Y/edit?usp=sharing"",""งบพรบ!FK68"")"),0)</f>
        <v>0</v>
      </c>
      <c r="P68" s="180">
        <f t="shared" ca="1" si="27"/>
        <v>0</v>
      </c>
      <c r="Q68" s="179">
        <f t="shared" ca="1" si="28"/>
        <v>0</v>
      </c>
      <c r="R68" s="344">
        <f ca="1">IFERROR(__xludf.DUMMYFUNCTION("IMPORTRANGE(""https://docs.google.com/spreadsheets/d/1lufeA2cfFqM-elVq2hznhDzC6Pr7wkJ9ZG_sYNGCMCU/edit?usp=sharing"",""ลพบุรี!I368"")"),1065)</f>
        <v>1065</v>
      </c>
      <c r="S68" s="177">
        <f ca="1">IFERROR(__xludf.DUMMYFUNCTION("IMPORTRANGE(""https://docs.google.com/spreadsheets/d/1lufeA2cfFqM-elVq2hznhDzC6Pr7wkJ9ZG_sYNGCMCU/edit?usp=sharing"",""ลพบุรี!J367"")"),21)</f>
        <v>21</v>
      </c>
      <c r="T68" s="345">
        <f ca="1">IFERROR(__xludf.DUMMYFUNCTION("IMPORTRANGE(""https://docs.google.com/spreadsheets/d/1lufeA2cfFqM-elVq2hznhDzC6Pr7wkJ9ZG_sYNGCMCU/edit?usp=sharing"",""ลพบุรี!J368"")"),261.46)</f>
        <v>261.45999999999998</v>
      </c>
      <c r="U68" s="259">
        <f t="shared" ca="1" si="30"/>
        <v>24.550234741784035</v>
      </c>
      <c r="V68" s="344">
        <f ca="1">IFERROR(__xludf.DUMMYFUNCTION("IMPORTRANGE(""https://docs.google.com/spreadsheets/d/1lufeA2cfFqM-elVq2hznhDzC6Pr7wkJ9ZG_sYNGCMCU/edit?usp=sharing"",""ลพบุรี!I369"")"),195)</f>
        <v>195</v>
      </c>
      <c r="W68" s="177">
        <f ca="1">IFERROR(__xludf.DUMMYFUNCTION("IMPORTRANGE(""https://docs.google.com/spreadsheets/d/1lufeA2cfFqM-elVq2hznhDzC6Pr7wkJ9ZG_sYNGCMCU/edit?usp=sharing"",""ลพบุรี!J369"")"),59)</f>
        <v>59</v>
      </c>
      <c r="X68" s="345">
        <f ca="1">IFERROR(__xludf.DUMMYFUNCTION("IMPORTRANGE(""https://docs.google.com/spreadsheets/d/1lufeA2cfFqM-elVq2hznhDzC6Pr7wkJ9ZG_sYNGCMCU/edit?usp=sharing"",""ลพบุรี!J370"")"),1097.93)</f>
        <v>1097.93</v>
      </c>
      <c r="Y68" s="259">
        <f t="shared" ca="1" si="32"/>
        <v>30.256410256410255</v>
      </c>
      <c r="Z68" s="344">
        <f ca="1">IFERROR(__xludf.DUMMYFUNCTION("IMPORTRANGE(""https://docs.google.com/spreadsheets/d/1lufeA2cfFqM-elVq2hznhDzC6Pr7wkJ9ZG_sYNGCMCU/edit?usp=sharing"",""ลพบุรี!I371"")"),125)</f>
        <v>125</v>
      </c>
      <c r="AA68" s="177">
        <f ca="1">IFERROR(__xludf.DUMMYFUNCTION("IMPORTRANGE(""https://docs.google.com/spreadsheets/d/1lufeA2cfFqM-elVq2hznhDzC6Pr7wkJ9ZG_sYNGCMCU/edit?usp=sharing"",""ลพบุรี!J371"")"),44)</f>
        <v>44</v>
      </c>
      <c r="AB68" s="345">
        <f ca="1">IFERROR(__xludf.DUMMYFUNCTION("IMPORTRANGE(""https://docs.google.com/spreadsheets/d/1lufeA2cfFqM-elVq2hznhDzC6Pr7wkJ9ZG_sYNGCMCU/edit?usp=sharing"",""ลพบุรี!J372"")"),908.75)</f>
        <v>908.75</v>
      </c>
      <c r="AC68" s="259">
        <f t="shared" ca="1" si="34"/>
        <v>35.200000000000003</v>
      </c>
    </row>
    <row r="69" spans="1:29" ht="21" customHeight="1" x14ac:dyDescent="0.3">
      <c r="A69" s="84">
        <v>17</v>
      </c>
      <c r="B69" s="85" t="s">
        <v>91</v>
      </c>
      <c r="C69" s="174">
        <f t="shared" ca="1" si="21"/>
        <v>693280</v>
      </c>
      <c r="D69" s="175">
        <f t="shared" ca="1" si="45"/>
        <v>693280</v>
      </c>
      <c r="E69" s="176">
        <f ca="1">IFERROR(__xludf.DUMMYFUNCTION("IMPORTRANGE(""https://docs.google.com/spreadsheets/d/1-uDff_7J0KD5mKrp0Vvzr7lt3OU09vwQwhkpOPPYv2Y/edit?usp=sharing"",""งบพรบ!FD69"")"),102200)</f>
        <v>102200</v>
      </c>
      <c r="F69" s="176">
        <f ca="1">IFERROR(__xludf.DUMMYFUNCTION("IMPORTRANGE(""https://docs.google.com/spreadsheets/d/1-uDff_7J0KD5mKrp0Vvzr7lt3OU09vwQwhkpOPPYv2Y/edit?usp=sharing"",""งบพรบ!FE69"")"),591080)</f>
        <v>591080</v>
      </c>
      <c r="G69" s="176">
        <f ca="1">IFERROR(__xludf.DUMMYFUNCTION("IMPORTRANGE(""https://docs.google.com/spreadsheets/d/1-uDff_7J0KD5mKrp0Vvzr7lt3OU09vwQwhkpOPPYv2Y/edit?usp=sharing"",""งบพรบ!FF69"")"),0)</f>
        <v>0</v>
      </c>
      <c r="H69" s="176">
        <f ca="1">IFERROR(__xludf.DUMMYFUNCTION("IMPORTRANGE(""https://docs.google.com/spreadsheets/d/1-uDff_7J0KD5mKrp0Vvzr7lt3OU09vwQwhkpOPPYv2Y/edit?usp=sharing"",""งบพรบ!FH69"")"),612080)</f>
        <v>612080</v>
      </c>
      <c r="I69" s="176">
        <f ca="1">IFERROR(__xludf.DUMMYFUNCTION("IMPORTRANGE(""https://docs.google.com/spreadsheets/d/1-uDff_7J0KD5mKrp0Vvzr7lt3OU09vwQwhkpOPPYv2Y/edit?usp=sharing"",""งบพรบ!FI69"")"),0)</f>
        <v>0</v>
      </c>
      <c r="J69" s="176">
        <f t="shared" ca="1" si="23"/>
        <v>151993.32999999999</v>
      </c>
      <c r="K69" s="181">
        <f t="shared" ca="1" si="24"/>
        <v>21.923801350103851</v>
      </c>
      <c r="L69" s="176">
        <f ca="1">IFERROR(__xludf.DUMMYFUNCTION("IMPORTRANGE(""https://docs.google.com/spreadsheets/d/1-uDff_7J0KD5mKrp0Vvzr7lt3OU09vwQwhkpOPPYv2Y/edit?usp=sharing"",""งบพรบ!FJ69"")"),151993.33)</f>
        <v>151993.32999999999</v>
      </c>
      <c r="M69" s="179">
        <f t="shared" ca="1" si="25"/>
        <v>21.923801350103851</v>
      </c>
      <c r="N69" s="179">
        <f t="shared" ca="1" si="26"/>
        <v>24.832265390145075</v>
      </c>
      <c r="O69" s="180">
        <f ca="1">IFERROR(__xludf.DUMMYFUNCTION("IMPORTRANGE(""https://docs.google.com/spreadsheets/d/1-uDff_7J0KD5mKrp0Vvzr7lt3OU09vwQwhkpOPPYv2Y/edit?usp=sharing"",""งบพรบ!FK69"")"),0)</f>
        <v>0</v>
      </c>
      <c r="P69" s="180">
        <f t="shared" ca="1" si="27"/>
        <v>0</v>
      </c>
      <c r="Q69" s="179">
        <f t="shared" ca="1" si="28"/>
        <v>0</v>
      </c>
      <c r="R69" s="344">
        <f ca="1">IFERROR(__xludf.DUMMYFUNCTION("IMPORTRANGE(""https://docs.google.com/spreadsheets/d/10oOiF7loTyfsTkbd4MpaIm0HQ9SwB7IYHdIUvt-U1Uc/edit?usp=sharing"",""สระแก้ว!I368"")"),3880)</f>
        <v>3880</v>
      </c>
      <c r="S69" s="177">
        <f ca="1">IFERROR(__xludf.DUMMYFUNCTION("IMPORTRANGE(""https://docs.google.com/spreadsheets/d/10oOiF7loTyfsTkbd4MpaIm0HQ9SwB7IYHdIUvt-U1Uc/edit?usp=sharing"",""สระแก้ว!J367"")"),56)</f>
        <v>56</v>
      </c>
      <c r="T69" s="345">
        <f ca="1">IFERROR(__xludf.DUMMYFUNCTION("IMPORTRANGE(""https://docs.google.com/spreadsheets/d/10oOiF7loTyfsTkbd4MpaIm0HQ9SwB7IYHdIUvt-U1Uc/edit?usp=sharing"",""สระแก้ว!J368"")"),754.19)</f>
        <v>754.19</v>
      </c>
      <c r="U69" s="259">
        <f t="shared" ca="1" si="30"/>
        <v>19.437886597938146</v>
      </c>
      <c r="V69" s="344">
        <f ca="1">IFERROR(__xludf.DUMMYFUNCTION("IMPORTRANGE(""https://docs.google.com/spreadsheets/d/10oOiF7loTyfsTkbd4MpaIm0HQ9SwB7IYHdIUvt-U1Uc/edit?usp=sharing"",""สระแก้ว!I369"")"),596)</f>
        <v>596</v>
      </c>
      <c r="W69" s="177">
        <f ca="1">IFERROR(__xludf.DUMMYFUNCTION("IMPORTRANGE(""https://docs.google.com/spreadsheets/d/10oOiF7loTyfsTkbd4MpaIm0HQ9SwB7IYHdIUvt-U1Uc/edit?usp=sharing"",""สระแก้ว!J369"")"),54)</f>
        <v>54</v>
      </c>
      <c r="X69" s="345">
        <f ca="1">IFERROR(__xludf.DUMMYFUNCTION("IMPORTRANGE(""https://docs.google.com/spreadsheets/d/10oOiF7loTyfsTkbd4MpaIm0HQ9SwB7IYHdIUvt-U1Uc/edit?usp=sharing"",""สระแก้ว!J370"")"),865.86)</f>
        <v>865.86</v>
      </c>
      <c r="Y69" s="259">
        <f t="shared" ca="1" si="32"/>
        <v>9.0604026845637584</v>
      </c>
      <c r="Z69" s="344">
        <f ca="1">IFERROR(__xludf.DUMMYFUNCTION("IMPORTRANGE(""https://docs.google.com/spreadsheets/d/10oOiF7loTyfsTkbd4MpaIm0HQ9SwB7IYHdIUvt-U1Uc/edit?usp=sharing"",""สระแก้ว!I371"")"),392)</f>
        <v>392</v>
      </c>
      <c r="AA69" s="177">
        <f ca="1">IFERROR(__xludf.DUMMYFUNCTION("IMPORTRANGE(""https://docs.google.com/spreadsheets/d/10oOiF7loTyfsTkbd4MpaIm0HQ9SwB7IYHdIUvt-U1Uc/edit?usp=sharing"",""สระแก้ว!J371"")"),1)</f>
        <v>1</v>
      </c>
      <c r="AB69" s="345">
        <f ca="1">IFERROR(__xludf.DUMMYFUNCTION("IMPORTRANGE(""https://docs.google.com/spreadsheets/d/10oOiF7loTyfsTkbd4MpaIm0HQ9SwB7IYHdIUvt-U1Uc/edit?usp=sharing"",""สระแก้ว!J372"")"),17.85)</f>
        <v>17.850000000000001</v>
      </c>
      <c r="AC69" s="259">
        <f t="shared" ca="1" si="34"/>
        <v>0.25510204081632654</v>
      </c>
    </row>
    <row r="70" spans="1:29" ht="21" customHeight="1" x14ac:dyDescent="0.3">
      <c r="A70" s="84">
        <v>18</v>
      </c>
      <c r="B70" s="85" t="s">
        <v>92</v>
      </c>
      <c r="C70" s="174">
        <f t="shared" ca="1" si="21"/>
        <v>559230</v>
      </c>
      <c r="D70" s="175">
        <f t="shared" ca="1" si="45"/>
        <v>559230</v>
      </c>
      <c r="E70" s="176">
        <f ca="1">IFERROR(__xludf.DUMMYFUNCTION("IMPORTRANGE(""https://docs.google.com/spreadsheets/d/1-uDff_7J0KD5mKrp0Vvzr7lt3OU09vwQwhkpOPPYv2Y/edit?usp=sharing"",""งบพรบ!FD70"")"),377300)</f>
        <v>377300</v>
      </c>
      <c r="F70" s="176">
        <f ca="1">IFERROR(__xludf.DUMMYFUNCTION("IMPORTRANGE(""https://docs.google.com/spreadsheets/d/1-uDff_7J0KD5mKrp0Vvzr7lt3OU09vwQwhkpOPPYv2Y/edit?usp=sharing"",""งบพรบ!FE70"")"),181930)</f>
        <v>181930</v>
      </c>
      <c r="G70" s="176">
        <f ca="1">IFERROR(__xludf.DUMMYFUNCTION("IMPORTRANGE(""https://docs.google.com/spreadsheets/d/1-uDff_7J0KD5mKrp0Vvzr7lt3OU09vwQwhkpOPPYv2Y/edit?usp=sharing"",""งบพรบ!FF70"")"),0)</f>
        <v>0</v>
      </c>
      <c r="H70" s="176">
        <f ca="1">IFERROR(__xludf.DUMMYFUNCTION("IMPORTRANGE(""https://docs.google.com/spreadsheets/d/1-uDff_7J0KD5mKrp0Vvzr7lt3OU09vwQwhkpOPPYv2Y/edit?usp=sharing"",""งบพรบ!FH70"")"),425430)</f>
        <v>425430</v>
      </c>
      <c r="I70" s="176">
        <f ca="1">IFERROR(__xludf.DUMMYFUNCTION("IMPORTRANGE(""https://docs.google.com/spreadsheets/d/1-uDff_7J0KD5mKrp0Vvzr7lt3OU09vwQwhkpOPPYv2Y/edit?usp=sharing"",""งบพรบ!FI70"")"),0)</f>
        <v>0</v>
      </c>
      <c r="J70" s="176">
        <f t="shared" ca="1" si="23"/>
        <v>146383</v>
      </c>
      <c r="K70" s="181">
        <f t="shared" ca="1" si="24"/>
        <v>26.175813171682492</v>
      </c>
      <c r="L70" s="176">
        <f ca="1">IFERROR(__xludf.DUMMYFUNCTION("IMPORTRANGE(""https://docs.google.com/spreadsheets/d/1-uDff_7J0KD5mKrp0Vvzr7lt3OU09vwQwhkpOPPYv2Y/edit?usp=sharing"",""งบพรบ!FJ70"")"),146383)</f>
        <v>146383</v>
      </c>
      <c r="M70" s="179">
        <f t="shared" ca="1" si="25"/>
        <v>26.175813171682492</v>
      </c>
      <c r="N70" s="179">
        <f t="shared" ca="1" si="26"/>
        <v>34.408245774863083</v>
      </c>
      <c r="O70" s="180">
        <f ca="1">IFERROR(__xludf.DUMMYFUNCTION("IMPORTRANGE(""https://docs.google.com/spreadsheets/d/1-uDff_7J0KD5mKrp0Vvzr7lt3OU09vwQwhkpOPPYv2Y/edit?usp=sharing"",""งบพรบ!FK70"")"),0)</f>
        <v>0</v>
      </c>
      <c r="P70" s="180">
        <f t="shared" ca="1" si="27"/>
        <v>0</v>
      </c>
      <c r="Q70" s="179">
        <f t="shared" ca="1" si="28"/>
        <v>0</v>
      </c>
      <c r="R70" s="344">
        <f ca="1">IFERROR(__xludf.DUMMYFUNCTION("IMPORTRANGE(""https://docs.google.com/spreadsheets/d/1xmPlrr1QbdSIKvl1dWUl9K4PjAfSL9oeMr_37QVzcxc/edit?usp=sharing"",""สระบุรี!I368"")"),565)</f>
        <v>565</v>
      </c>
      <c r="S70" s="177">
        <f ca="1">IFERROR(__xludf.DUMMYFUNCTION("IMPORTRANGE(""https://docs.google.com/spreadsheets/d/1xmPlrr1QbdSIKvl1dWUl9K4PjAfSL9oeMr_37QVzcxc/edit?usp=sharing"",""สระบุรี!J367"")"),48)</f>
        <v>48</v>
      </c>
      <c r="T70" s="345">
        <f ca="1">IFERROR(__xludf.DUMMYFUNCTION("IMPORTRANGE(""https://docs.google.com/spreadsheets/d/1xmPlrr1QbdSIKvl1dWUl9K4PjAfSL9oeMr_37QVzcxc/edit?usp=sharing"",""สระบุรี!J368"")"),537.349999999999)</f>
        <v>537.349999999999</v>
      </c>
      <c r="U70" s="259">
        <f t="shared" ca="1" si="30"/>
        <v>95.106194690265312</v>
      </c>
      <c r="V70" s="344">
        <f ca="1">IFERROR(__xludf.DUMMYFUNCTION("IMPORTRANGE(""https://docs.google.com/spreadsheets/d/1xmPlrr1QbdSIKvl1dWUl9K4PjAfSL9oeMr_37QVzcxc/edit?usp=sharing"",""สระบุรี!I369"")"),103)</f>
        <v>103</v>
      </c>
      <c r="W70" s="177">
        <f ca="1">IFERROR(__xludf.DUMMYFUNCTION("IMPORTRANGE(""https://docs.google.com/spreadsheets/d/1xmPlrr1QbdSIKvl1dWUl9K4PjAfSL9oeMr_37QVzcxc/edit?usp=sharing"",""สระบุรี!J369"")"),20)</f>
        <v>20</v>
      </c>
      <c r="X70" s="345">
        <f ca="1">IFERROR(__xludf.DUMMYFUNCTION("IMPORTRANGE(""https://docs.google.com/spreadsheets/d/1xmPlrr1QbdSIKvl1dWUl9K4PjAfSL9oeMr_37QVzcxc/edit?usp=sharing"",""สระบุรี!J370"")"),394.62)</f>
        <v>394.62</v>
      </c>
      <c r="Y70" s="259">
        <f t="shared" ca="1" si="32"/>
        <v>19.417475728155338</v>
      </c>
      <c r="Z70" s="344">
        <f ca="1">IFERROR(__xludf.DUMMYFUNCTION("IMPORTRANGE(""https://docs.google.com/spreadsheets/d/1xmPlrr1QbdSIKvl1dWUl9K4PjAfSL9oeMr_37QVzcxc/edit?usp=sharing"",""สระบุรี!I371"")"),73)</f>
        <v>73</v>
      </c>
      <c r="AA70" s="177">
        <f ca="1">IFERROR(__xludf.DUMMYFUNCTION("IMPORTRANGE(""https://docs.google.com/spreadsheets/d/1xmPlrr1QbdSIKvl1dWUl9K4PjAfSL9oeMr_37QVzcxc/edit?usp=sharing"",""สระบุรี!J371"")"),20)</f>
        <v>20</v>
      </c>
      <c r="AB70" s="345">
        <f ca="1">IFERROR(__xludf.DUMMYFUNCTION("IMPORTRANGE(""https://docs.google.com/spreadsheets/d/1xmPlrr1QbdSIKvl1dWUl9K4PjAfSL9oeMr_37QVzcxc/edit?usp=sharing"",""สระบุรี!J372"")"),394.62)</f>
        <v>394.62</v>
      </c>
      <c r="AC70" s="259">
        <f t="shared" ca="1" si="34"/>
        <v>27.397260273972602</v>
      </c>
    </row>
    <row r="71" spans="1:29" ht="21" customHeight="1" x14ac:dyDescent="0.3">
      <c r="A71" s="84">
        <v>19</v>
      </c>
      <c r="B71" s="85" t="s">
        <v>93</v>
      </c>
      <c r="C71" s="174">
        <f t="shared" ca="1" si="21"/>
        <v>112985</v>
      </c>
      <c r="D71" s="175">
        <f t="shared" ca="1" si="45"/>
        <v>112985</v>
      </c>
      <c r="E71" s="176">
        <f ca="1">IFERROR(__xludf.DUMMYFUNCTION("IMPORTRANGE(""https://docs.google.com/spreadsheets/d/1-uDff_7J0KD5mKrp0Vvzr7lt3OU09vwQwhkpOPPYv2Y/edit?usp=sharing"",""งบพรบ!FD71"")"),91000)</f>
        <v>91000</v>
      </c>
      <c r="F71" s="176">
        <f ca="1">IFERROR(__xludf.DUMMYFUNCTION("IMPORTRANGE(""https://docs.google.com/spreadsheets/d/1-uDff_7J0KD5mKrp0Vvzr7lt3OU09vwQwhkpOPPYv2Y/edit?usp=sharing"",""งบพรบ!FE71"")"),21985)</f>
        <v>21985</v>
      </c>
      <c r="G71" s="176">
        <f ca="1">IFERROR(__xludf.DUMMYFUNCTION("IMPORTRANGE(""https://docs.google.com/spreadsheets/d/1-uDff_7J0KD5mKrp0Vvzr7lt3OU09vwQwhkpOPPYv2Y/edit?usp=sharing"",""งบพรบ!FF71"")"),0)</f>
        <v>0</v>
      </c>
      <c r="H71" s="176">
        <f ca="1">IFERROR(__xludf.DUMMYFUNCTION("IMPORTRANGE(""https://docs.google.com/spreadsheets/d/1-uDff_7J0KD5mKrp0Vvzr7lt3OU09vwQwhkpOPPYv2Y/edit?usp=sharing"",""งบพรบ!FH71"")"),86985)</f>
        <v>86985</v>
      </c>
      <c r="I71" s="176">
        <f ca="1">IFERROR(__xludf.DUMMYFUNCTION("IMPORTRANGE(""https://docs.google.com/spreadsheets/d/1-uDff_7J0KD5mKrp0Vvzr7lt3OU09vwQwhkpOPPYv2Y/edit?usp=sharing"",""งบพรบ!FI71"")"),0)</f>
        <v>0</v>
      </c>
      <c r="J71" s="176">
        <f t="shared" ca="1" si="23"/>
        <v>26000</v>
      </c>
      <c r="K71" s="181">
        <f t="shared" ca="1" si="24"/>
        <v>23.011904235075452</v>
      </c>
      <c r="L71" s="176">
        <f ca="1">IFERROR(__xludf.DUMMYFUNCTION("IMPORTRANGE(""https://docs.google.com/spreadsheets/d/1-uDff_7J0KD5mKrp0Vvzr7lt3OU09vwQwhkpOPPYv2Y/edit?usp=sharing"",""งบพรบ!FJ71"")"),26000)</f>
        <v>26000</v>
      </c>
      <c r="M71" s="179">
        <f t="shared" ca="1" si="25"/>
        <v>23.011904235075452</v>
      </c>
      <c r="N71" s="179">
        <f t="shared" ca="1" si="26"/>
        <v>29.89021095591194</v>
      </c>
      <c r="O71" s="180">
        <f ca="1">IFERROR(__xludf.DUMMYFUNCTION("IMPORTRANGE(""https://docs.google.com/spreadsheets/d/1-uDff_7J0KD5mKrp0Vvzr7lt3OU09vwQwhkpOPPYv2Y/edit?usp=sharing"",""งบพรบ!FK71"")"),0)</f>
        <v>0</v>
      </c>
      <c r="P71" s="180">
        <f t="shared" ca="1" si="27"/>
        <v>0</v>
      </c>
      <c r="Q71" s="179">
        <f t="shared" ca="1" si="28"/>
        <v>0</v>
      </c>
      <c r="R71" s="344">
        <f ca="1">IFERROR(__xludf.DUMMYFUNCTION("IMPORTRANGE(""https://docs.google.com/spreadsheets/d/1j51vR6CYVGhABJpv6tkstgok82RLpXieLzW1yOY5rHw/edit?usp=sharing"",""สิงห์บุรี!I368"")"),0)</f>
        <v>0</v>
      </c>
      <c r="S71" s="177">
        <f ca="1">IFERROR(__xludf.DUMMYFUNCTION("IMPORTRANGE(""https://docs.google.com/spreadsheets/d/1j51vR6CYVGhABJpv6tkstgok82RLpXieLzW1yOY5rHw/edit?usp=sharing"",""สิงห์บุรี!J367"")"),0)</f>
        <v>0</v>
      </c>
      <c r="T71" s="345">
        <f ca="1">IFERROR(__xludf.DUMMYFUNCTION("IMPORTRANGE(""https://docs.google.com/spreadsheets/d/1j51vR6CYVGhABJpv6tkstgok82RLpXieLzW1yOY5rHw/edit?usp=sharing"",""สิงห์บุรี!J368"")"),0)</f>
        <v>0</v>
      </c>
      <c r="U71" s="259">
        <f t="shared" ca="1" si="30"/>
        <v>0</v>
      </c>
      <c r="V71" s="344">
        <f ca="1">IFERROR(__xludf.DUMMYFUNCTION("IMPORTRANGE(""https://docs.google.com/spreadsheets/d/1j51vR6CYVGhABJpv6tkstgok82RLpXieLzW1yOY5rHw/edit?usp=sharing"",""สิงห์บุรี!I369"")"),0)</f>
        <v>0</v>
      </c>
      <c r="W71" s="177">
        <f ca="1">IFERROR(__xludf.DUMMYFUNCTION("IMPORTRANGE(""https://docs.google.com/spreadsheets/d/1j51vR6CYVGhABJpv6tkstgok82RLpXieLzW1yOY5rHw/edit?usp=sharing"",""สิงห์บุรี!J369"")"),0)</f>
        <v>0</v>
      </c>
      <c r="X71" s="345">
        <f ca="1">IFERROR(__xludf.DUMMYFUNCTION("IMPORTRANGE(""https://docs.google.com/spreadsheets/d/1j51vR6CYVGhABJpv6tkstgok82RLpXieLzW1yOY5rHw/edit?usp=sharing"",""สิงห์บุรี!J370"")"),0)</f>
        <v>0</v>
      </c>
      <c r="Y71" s="259">
        <f t="shared" ca="1" si="32"/>
        <v>0</v>
      </c>
      <c r="Z71" s="344">
        <f ca="1">IFERROR(__xludf.DUMMYFUNCTION("IMPORTRANGE(""https://docs.google.com/spreadsheets/d/1j51vR6CYVGhABJpv6tkstgok82RLpXieLzW1yOY5rHw/edit?usp=sharing"",""สิงห์บุรี!I371"")"),0)</f>
        <v>0</v>
      </c>
      <c r="AA71" s="177">
        <f ca="1">IFERROR(__xludf.DUMMYFUNCTION("IMPORTRANGE(""https://docs.google.com/spreadsheets/d/1j51vR6CYVGhABJpv6tkstgok82RLpXieLzW1yOY5rHw/edit?usp=sharing"",""สิงห์บุรี!J371"")"),0)</f>
        <v>0</v>
      </c>
      <c r="AB71" s="345">
        <f ca="1">IFERROR(__xludf.DUMMYFUNCTION("IMPORTRANGE(""https://docs.google.com/spreadsheets/d/1j51vR6CYVGhABJpv6tkstgok82RLpXieLzW1yOY5rHw/edit?usp=sharing"",""สิงห์บุรี!J372"")"),0)</f>
        <v>0</v>
      </c>
      <c r="AC71" s="259">
        <f t="shared" ca="1" si="34"/>
        <v>0</v>
      </c>
    </row>
    <row r="72" spans="1:29" ht="21" customHeight="1" x14ac:dyDescent="0.3">
      <c r="A72" s="84">
        <v>20</v>
      </c>
      <c r="B72" s="85" t="s">
        <v>94</v>
      </c>
      <c r="C72" s="174">
        <f t="shared" ca="1" si="21"/>
        <v>487565</v>
      </c>
      <c r="D72" s="175">
        <f t="shared" ca="1" si="45"/>
        <v>487565</v>
      </c>
      <c r="E72" s="176">
        <f ca="1">IFERROR(__xludf.DUMMYFUNCTION("IMPORTRANGE(""https://docs.google.com/spreadsheets/d/1-uDff_7J0KD5mKrp0Vvzr7lt3OU09vwQwhkpOPPYv2Y/edit?usp=sharing"",""งบพรบ!FD72"")"),290500)</f>
        <v>290500</v>
      </c>
      <c r="F72" s="176">
        <f ca="1">IFERROR(__xludf.DUMMYFUNCTION("IMPORTRANGE(""https://docs.google.com/spreadsheets/d/1-uDff_7J0KD5mKrp0Vvzr7lt3OU09vwQwhkpOPPYv2Y/edit?usp=sharing"",""งบพรบ!FE72"")"),197065)</f>
        <v>197065</v>
      </c>
      <c r="G72" s="176">
        <f ca="1">IFERROR(__xludf.DUMMYFUNCTION("IMPORTRANGE(""https://docs.google.com/spreadsheets/d/1-uDff_7J0KD5mKrp0Vvzr7lt3OU09vwQwhkpOPPYv2Y/edit?usp=sharing"",""งบพรบ!FF72"")"),0)</f>
        <v>0</v>
      </c>
      <c r="H72" s="176">
        <f ca="1">IFERROR(__xludf.DUMMYFUNCTION("IMPORTRANGE(""https://docs.google.com/spreadsheets/d/1-uDff_7J0KD5mKrp0Vvzr7lt3OU09vwQwhkpOPPYv2Y/edit?usp=sharing"",""งบพรบ!FH72"")"),385885)</f>
        <v>385885</v>
      </c>
      <c r="I72" s="176">
        <f ca="1">IFERROR(__xludf.DUMMYFUNCTION("IMPORTRANGE(""https://docs.google.com/spreadsheets/d/1-uDff_7J0KD5mKrp0Vvzr7lt3OU09vwQwhkpOPPYv2Y/edit?usp=sharing"",""งบพรบ!FI72"")"),0)</f>
        <v>0</v>
      </c>
      <c r="J72" s="176">
        <f t="shared" ca="1" si="23"/>
        <v>124988.84</v>
      </c>
      <c r="K72" s="181">
        <f t="shared" ca="1" si="24"/>
        <v>25.635318367807368</v>
      </c>
      <c r="L72" s="176">
        <f ca="1">IFERROR(__xludf.DUMMYFUNCTION("IMPORTRANGE(""https://docs.google.com/spreadsheets/d/1-uDff_7J0KD5mKrp0Vvzr7lt3OU09vwQwhkpOPPYv2Y/edit?usp=sharing"",""งบพรบ!FJ72"")"),124988.84)</f>
        <v>124988.84</v>
      </c>
      <c r="M72" s="179">
        <f t="shared" ca="1" si="25"/>
        <v>25.635318367807368</v>
      </c>
      <c r="N72" s="179">
        <f t="shared" ca="1" si="26"/>
        <v>32.390178421032175</v>
      </c>
      <c r="O72" s="180">
        <f ca="1">IFERROR(__xludf.DUMMYFUNCTION("IMPORTRANGE(""https://docs.google.com/spreadsheets/d/1-uDff_7J0KD5mKrp0Vvzr7lt3OU09vwQwhkpOPPYv2Y/edit?usp=sharing"",""งบพรบ!FK72"")"),0)</f>
        <v>0</v>
      </c>
      <c r="P72" s="180">
        <f t="shared" ca="1" si="27"/>
        <v>0</v>
      </c>
      <c r="Q72" s="179">
        <f t="shared" ca="1" si="28"/>
        <v>0</v>
      </c>
      <c r="R72" s="344">
        <f ca="1">IFERROR(__xludf.DUMMYFUNCTION("IMPORTRANGE(""https://docs.google.com/spreadsheets/d/1H1EalTWKUSzO4Z1-1CwzoDUaVffgrThEBe2sl74kKG0/edit?usp=sharing"",""สุพรรณบุรี!I368"")"),670)</f>
        <v>670</v>
      </c>
      <c r="S72" s="177">
        <f ca="1">IFERROR(__xludf.DUMMYFUNCTION("IMPORTRANGE(""https://docs.google.com/spreadsheets/d/1H1EalTWKUSzO4Z1-1CwzoDUaVffgrThEBe2sl74kKG0/edit?usp=sharing"",""สุพรรณบุรี!J367"")"),30)</f>
        <v>30</v>
      </c>
      <c r="T72" s="345">
        <f ca="1">IFERROR(__xludf.DUMMYFUNCTION("IMPORTRANGE(""https://docs.google.com/spreadsheets/d/1H1EalTWKUSzO4Z1-1CwzoDUaVffgrThEBe2sl74kKG0/edit?usp=sharing"",""สุพรรณบุรี!J368"")"),167.89)</f>
        <v>167.89</v>
      </c>
      <c r="U72" s="259">
        <f t="shared" ca="1" si="30"/>
        <v>25.058208955223879</v>
      </c>
      <c r="V72" s="344">
        <f ca="1">IFERROR(__xludf.DUMMYFUNCTION("IMPORTRANGE(""https://docs.google.com/spreadsheets/d/1H1EalTWKUSzO4Z1-1CwzoDUaVffgrThEBe2sl74kKG0/edit?usp=sharing"",""สุพรรณบุรี!I369"")"),116)</f>
        <v>116</v>
      </c>
      <c r="W72" s="177">
        <f ca="1">IFERROR(__xludf.DUMMYFUNCTION("IMPORTRANGE(""https://docs.google.com/spreadsheets/d/1H1EalTWKUSzO4Z1-1CwzoDUaVffgrThEBe2sl74kKG0/edit?usp=sharing"",""สุพรรณบุรี!J369"")"),2)</f>
        <v>2</v>
      </c>
      <c r="X72" s="345">
        <f ca="1">IFERROR(__xludf.DUMMYFUNCTION("IMPORTRANGE(""https://docs.google.com/spreadsheets/d/1H1EalTWKUSzO4Z1-1CwzoDUaVffgrThEBe2sl74kKG0/edit?usp=sharing"",""สุพรรณบุรี!J370"")"),6.93)</f>
        <v>6.93</v>
      </c>
      <c r="Y72" s="259">
        <f t="shared" ca="1" si="32"/>
        <v>1.7241379310344827</v>
      </c>
      <c r="Z72" s="344">
        <f ca="1">IFERROR(__xludf.DUMMYFUNCTION("IMPORTRANGE(""https://docs.google.com/spreadsheets/d/1H1EalTWKUSzO4Z1-1CwzoDUaVffgrThEBe2sl74kKG0/edit?usp=sharing"",""สุพรรณบุรี!I371"")"),77)</f>
        <v>77</v>
      </c>
      <c r="AA72" s="177">
        <f ca="1">IFERROR(__xludf.DUMMYFUNCTION("IMPORTRANGE(""https://docs.google.com/spreadsheets/d/1H1EalTWKUSzO4Z1-1CwzoDUaVffgrThEBe2sl74kKG0/edit?usp=sharing"",""สุพรรณบุรี!J371"")"),0)</f>
        <v>0</v>
      </c>
      <c r="AB72" s="345">
        <f ca="1">IFERROR(__xludf.DUMMYFUNCTION("IMPORTRANGE(""https://docs.google.com/spreadsheets/d/1H1EalTWKUSzO4Z1-1CwzoDUaVffgrThEBe2sl74kKG0/edit?usp=sharing"",""สุพรรณบุรี!J372"")"),0)</f>
        <v>0</v>
      </c>
      <c r="AC72" s="259">
        <f t="shared" ca="1" si="34"/>
        <v>0</v>
      </c>
    </row>
    <row r="73" spans="1:29" ht="21" customHeight="1" x14ac:dyDescent="0.3">
      <c r="A73" s="95">
        <v>21</v>
      </c>
      <c r="B73" s="96" t="s">
        <v>95</v>
      </c>
      <c r="C73" s="184">
        <f t="shared" ca="1" si="21"/>
        <v>115055</v>
      </c>
      <c r="D73" s="185">
        <f t="shared" ca="1" si="45"/>
        <v>115055</v>
      </c>
      <c r="E73" s="186">
        <f ca="1">IFERROR(__xludf.DUMMYFUNCTION("IMPORTRANGE(""https://docs.google.com/spreadsheets/d/1-uDff_7J0KD5mKrp0Vvzr7lt3OU09vwQwhkpOPPYv2Y/edit?usp=sharing"",""งบพรบ!FD73"")"),91000)</f>
        <v>91000</v>
      </c>
      <c r="F73" s="186">
        <f ca="1">IFERROR(__xludf.DUMMYFUNCTION("IMPORTRANGE(""https://docs.google.com/spreadsheets/d/1-uDff_7J0KD5mKrp0Vvzr7lt3OU09vwQwhkpOPPYv2Y/edit?usp=sharing"",""งบพรบ!FE73"")"),24055)</f>
        <v>24055</v>
      </c>
      <c r="G73" s="186">
        <f ca="1">IFERROR(__xludf.DUMMYFUNCTION("IMPORTRANGE(""https://docs.google.com/spreadsheets/d/1-uDff_7J0KD5mKrp0Vvzr7lt3OU09vwQwhkpOPPYv2Y/edit?usp=sharing"",""งบพรบ!FF73"")"),0)</f>
        <v>0</v>
      </c>
      <c r="H73" s="186">
        <f ca="1">IFERROR(__xludf.DUMMYFUNCTION("IMPORTRANGE(""https://docs.google.com/spreadsheets/d/1-uDff_7J0KD5mKrp0Vvzr7lt3OU09vwQwhkpOPPYv2Y/edit?usp=sharing"",""งบพรบ!FH73"")"),89055)</f>
        <v>89055</v>
      </c>
      <c r="I73" s="186">
        <f ca="1">IFERROR(__xludf.DUMMYFUNCTION("IMPORTRANGE(""https://docs.google.com/spreadsheets/d/1-uDff_7J0KD5mKrp0Vvzr7lt3OU09vwQwhkpOPPYv2Y/edit?usp=sharing"",""งบพรบ!FI73"")"),0)</f>
        <v>0</v>
      </c>
      <c r="J73" s="186">
        <f t="shared" ca="1" si="23"/>
        <v>19666</v>
      </c>
      <c r="K73" s="187">
        <f t="shared" ca="1" si="24"/>
        <v>17.09269479814002</v>
      </c>
      <c r="L73" s="186">
        <f ca="1">IFERROR(__xludf.DUMMYFUNCTION("IMPORTRANGE(""https://docs.google.com/spreadsheets/d/1-uDff_7J0KD5mKrp0Vvzr7lt3OU09vwQwhkpOPPYv2Y/edit?usp=sharing"",""งบพรบ!FJ73"")"),19666)</f>
        <v>19666</v>
      </c>
      <c r="M73" s="188">
        <f t="shared" ca="1" si="25"/>
        <v>17.09269479814002</v>
      </c>
      <c r="N73" s="188">
        <f t="shared" ca="1" si="26"/>
        <v>22.082982426590309</v>
      </c>
      <c r="O73" s="189">
        <f ca="1">IFERROR(__xludf.DUMMYFUNCTION("IMPORTRANGE(""https://docs.google.com/spreadsheets/d/1-uDff_7J0KD5mKrp0Vvzr7lt3OU09vwQwhkpOPPYv2Y/edit?usp=sharing"",""งบพรบ!FK73"")"),0)</f>
        <v>0</v>
      </c>
      <c r="P73" s="189">
        <f t="shared" ca="1" si="27"/>
        <v>0</v>
      </c>
      <c r="Q73" s="188">
        <f t="shared" ca="1" si="28"/>
        <v>0</v>
      </c>
      <c r="R73" s="347">
        <f ca="1">IFERROR(__xludf.DUMMYFUNCTION("IMPORTRANGE(""https://docs.google.com/spreadsheets/d/1BmIruG_sIrJLYao_Pdr7zVArWsfoBt2692TMi6x_854/edit?usp=sharing"",""อ่างทอง!I368"")"),0)</f>
        <v>0</v>
      </c>
      <c r="S73" s="190">
        <f ca="1">IFERROR(__xludf.DUMMYFUNCTION("IMPORTRANGE(""https://docs.google.com/spreadsheets/d/1BmIruG_sIrJLYao_Pdr7zVArWsfoBt2692TMi6x_854/edit?usp=sharing"",""อ่างทอง!J367"")"),0)</f>
        <v>0</v>
      </c>
      <c r="T73" s="348">
        <f ca="1">IFERROR(__xludf.DUMMYFUNCTION("IMPORTRANGE(""https://docs.google.com/spreadsheets/d/1BmIruG_sIrJLYao_Pdr7zVArWsfoBt2692TMi6x_854/edit?usp=sharing"",""อ่างทอง!J368"")"),0)</f>
        <v>0</v>
      </c>
      <c r="U73" s="261">
        <f t="shared" ca="1" si="30"/>
        <v>0</v>
      </c>
      <c r="V73" s="347">
        <f ca="1">IFERROR(__xludf.DUMMYFUNCTION("IMPORTRANGE(""https://docs.google.com/spreadsheets/d/1BmIruG_sIrJLYao_Pdr7zVArWsfoBt2692TMi6x_854/edit?usp=sharing"",""อ่างทอง!I369"")"),0)</f>
        <v>0</v>
      </c>
      <c r="W73" s="190">
        <f ca="1">IFERROR(__xludf.DUMMYFUNCTION("IMPORTRANGE(""https://docs.google.com/spreadsheets/d/1BmIruG_sIrJLYao_Pdr7zVArWsfoBt2692TMi6x_854/edit?usp=sharing"",""อ่างทอง!J369"")"),0)</f>
        <v>0</v>
      </c>
      <c r="X73" s="348">
        <f ca="1">IFERROR(__xludf.DUMMYFUNCTION("IMPORTRANGE(""https://docs.google.com/spreadsheets/d/1BmIruG_sIrJLYao_Pdr7zVArWsfoBt2692TMi6x_854/edit?usp=sharing"",""อ่างทอง!J370"")"),0)</f>
        <v>0</v>
      </c>
      <c r="Y73" s="261">
        <f t="shared" ca="1" si="32"/>
        <v>0</v>
      </c>
      <c r="Z73" s="347">
        <f ca="1">IFERROR(__xludf.DUMMYFUNCTION("IMPORTRANGE(""https://docs.google.com/spreadsheets/d/1BmIruG_sIrJLYao_Pdr7zVArWsfoBt2692TMi6x_854/edit?usp=sharing"",""อ่างทอง!I371"")"),0)</f>
        <v>0</v>
      </c>
      <c r="AA73" s="190">
        <f ca="1">IFERROR(__xludf.DUMMYFUNCTION("IMPORTRANGE(""https://docs.google.com/spreadsheets/d/1BmIruG_sIrJLYao_Pdr7zVArWsfoBt2692TMi6x_854/edit?usp=sharing"",""อ่างทอง!J371"")"),0)</f>
        <v>0</v>
      </c>
      <c r="AB73" s="348">
        <f ca="1">IFERROR(__xludf.DUMMYFUNCTION("IMPORTRANGE(""https://docs.google.com/spreadsheets/d/1BmIruG_sIrJLYao_Pdr7zVArWsfoBt2692TMi6x_854/edit?usp=sharing"",""อ่างทอง!J372"")"),0)</f>
        <v>0</v>
      </c>
      <c r="AC73" s="261">
        <f t="shared" ca="1" si="34"/>
        <v>0</v>
      </c>
    </row>
    <row r="74" spans="1:29" ht="21" customHeight="1" x14ac:dyDescent="0.3">
      <c r="A74" s="394" t="s">
        <v>96</v>
      </c>
      <c r="B74" s="374"/>
      <c r="C74" s="154">
        <f t="shared" ca="1" si="21"/>
        <v>6318015</v>
      </c>
      <c r="D74" s="154">
        <f t="shared" ref="D74:I74" ca="1" si="46">SUM(D75:D88)</f>
        <v>6318015</v>
      </c>
      <c r="E74" s="154">
        <f t="shared" ca="1" si="46"/>
        <v>2919700</v>
      </c>
      <c r="F74" s="154">
        <f t="shared" ca="1" si="46"/>
        <v>3398315</v>
      </c>
      <c r="G74" s="154">
        <f t="shared" ca="1" si="46"/>
        <v>0</v>
      </c>
      <c r="H74" s="154">
        <f t="shared" ca="1" si="46"/>
        <v>5170415</v>
      </c>
      <c r="I74" s="154">
        <f t="shared" ca="1" si="46"/>
        <v>0</v>
      </c>
      <c r="J74" s="154">
        <f t="shared" ca="1" si="23"/>
        <v>1317162.3700000001</v>
      </c>
      <c r="K74" s="155">
        <f t="shared" ca="1" si="24"/>
        <v>20.847724641362834</v>
      </c>
      <c r="L74" s="154">
        <f ca="1">SUM(L75:L88)</f>
        <v>1317162.3700000001</v>
      </c>
      <c r="M74" s="156">
        <f t="shared" ca="1" si="25"/>
        <v>20.847724641362834</v>
      </c>
      <c r="N74" s="156">
        <f t="shared" ca="1" si="26"/>
        <v>25.474983536137817</v>
      </c>
      <c r="O74" s="157">
        <f ca="1">SUM(O75:O88)</f>
        <v>0</v>
      </c>
      <c r="P74" s="157">
        <f t="shared" ca="1" si="27"/>
        <v>0</v>
      </c>
      <c r="Q74" s="156">
        <f t="shared" ca="1" si="28"/>
        <v>0</v>
      </c>
      <c r="R74" s="339">
        <f t="shared" ref="R74:T74" ca="1" si="47">SUM(R75:R88)</f>
        <v>15810</v>
      </c>
      <c r="S74" s="154">
        <f t="shared" ca="1" si="47"/>
        <v>212</v>
      </c>
      <c r="T74" s="156">
        <f t="shared" ca="1" si="47"/>
        <v>1720.4299999999998</v>
      </c>
      <c r="U74" s="251">
        <f t="shared" ca="1" si="30"/>
        <v>10.881910183428209</v>
      </c>
      <c r="V74" s="339">
        <f t="shared" ref="V74:X74" ca="1" si="48">SUM(V75:V88)</f>
        <v>2675</v>
      </c>
      <c r="W74" s="154">
        <f t="shared" ca="1" si="48"/>
        <v>996</v>
      </c>
      <c r="X74" s="156">
        <f t="shared" ca="1" si="48"/>
        <v>13494.74</v>
      </c>
      <c r="Y74" s="251">
        <f t="shared" ca="1" si="32"/>
        <v>37.233644859813083</v>
      </c>
      <c r="Z74" s="339">
        <f t="shared" ref="Z74:AB74" ca="1" si="49">SUM(Z75:Z88)</f>
        <v>1780</v>
      </c>
      <c r="AA74" s="154">
        <f t="shared" ca="1" si="49"/>
        <v>935</v>
      </c>
      <c r="AB74" s="156">
        <f t="shared" ca="1" si="49"/>
        <v>12874.42</v>
      </c>
      <c r="AC74" s="251">
        <f t="shared" ca="1" si="34"/>
        <v>52.528089887640448</v>
      </c>
    </row>
    <row r="75" spans="1:29" ht="21" customHeight="1" x14ac:dyDescent="0.3">
      <c r="A75" s="74">
        <v>1</v>
      </c>
      <c r="B75" s="75" t="s">
        <v>97</v>
      </c>
      <c r="C75" s="174">
        <f t="shared" ca="1" si="21"/>
        <v>584350</v>
      </c>
      <c r="D75" s="175">
        <f t="shared" ref="D75:D88" ca="1" si="50">+E75+F75</f>
        <v>584350</v>
      </c>
      <c r="E75" s="176">
        <f ca="1">IFERROR(__xludf.DUMMYFUNCTION("IMPORTRANGE(""https://docs.google.com/spreadsheets/d/1-uDff_7J0KD5mKrp0Vvzr7lt3OU09vwQwhkpOPPYv2Y/edit?usp=sharing"",""งบพรบ!FD75"")"),275100)</f>
        <v>275100</v>
      </c>
      <c r="F75" s="176">
        <f ca="1">IFERROR(__xludf.DUMMYFUNCTION("IMPORTRANGE(""https://docs.google.com/spreadsheets/d/1-uDff_7J0KD5mKrp0Vvzr7lt3OU09vwQwhkpOPPYv2Y/edit?usp=sharing"",""งบพรบ!FE75"")"),309250)</f>
        <v>309250</v>
      </c>
      <c r="G75" s="176">
        <f ca="1">IFERROR(__xludf.DUMMYFUNCTION("IMPORTRANGE(""https://docs.google.com/spreadsheets/d/1-uDff_7J0KD5mKrp0Vvzr7lt3OU09vwQwhkpOPPYv2Y/edit?usp=sharing"",""งบพรบ!FF75"")"),0)</f>
        <v>0</v>
      </c>
      <c r="H75" s="176">
        <f ca="1">IFERROR(__xludf.DUMMYFUNCTION("IMPORTRANGE(""https://docs.google.com/spreadsheets/d/1-uDff_7J0KD5mKrp0Vvzr7lt3OU09vwQwhkpOPPYv2Y/edit?usp=sharing"",""งบพรบ!FH75"")"),542550)</f>
        <v>542550</v>
      </c>
      <c r="I75" s="176">
        <f ca="1">IFERROR(__xludf.DUMMYFUNCTION("IMPORTRANGE(""https://docs.google.com/spreadsheets/d/1-uDff_7J0KD5mKrp0Vvzr7lt3OU09vwQwhkpOPPYv2Y/edit?usp=sharing"",""งบพรบ!FI75"")"),0)</f>
        <v>0</v>
      </c>
      <c r="J75" s="176">
        <f t="shared" ca="1" si="23"/>
        <v>164680</v>
      </c>
      <c r="K75" s="181">
        <f t="shared" ca="1" si="24"/>
        <v>28.181740395311028</v>
      </c>
      <c r="L75" s="176">
        <f ca="1">IFERROR(__xludf.DUMMYFUNCTION("IMPORTRANGE(""https://docs.google.com/spreadsheets/d/1-uDff_7J0KD5mKrp0Vvzr7lt3OU09vwQwhkpOPPYv2Y/edit?usp=sharing"",""งบพรบ!FJ75"")"),164680)</f>
        <v>164680</v>
      </c>
      <c r="M75" s="179">
        <f t="shared" ca="1" si="25"/>
        <v>28.181740395311028</v>
      </c>
      <c r="N75" s="179">
        <f t="shared" ca="1" si="26"/>
        <v>30.352962860565846</v>
      </c>
      <c r="O75" s="180">
        <f ca="1">IFERROR(__xludf.DUMMYFUNCTION("IMPORTRANGE(""https://docs.google.com/spreadsheets/d/1-uDff_7J0KD5mKrp0Vvzr7lt3OU09vwQwhkpOPPYv2Y/edit?usp=sharing"",""งบพรบ!FK75"")"),0)</f>
        <v>0</v>
      </c>
      <c r="P75" s="180">
        <f t="shared" ca="1" si="27"/>
        <v>0</v>
      </c>
      <c r="Q75" s="179">
        <f t="shared" ca="1" si="28"/>
        <v>0</v>
      </c>
      <c r="R75" s="344">
        <f ca="1">IFERROR(__xludf.DUMMYFUNCTION("IMPORTRANGE(""https://docs.google.com/spreadsheets/d/1kKUcYdkIfrgTSj8iHHHB2MD2FAtwyyocFgqGQn6ADyI/edit?usp=sharing"",""กระบี่!I368"")"),1750)</f>
        <v>1750</v>
      </c>
      <c r="S75" s="177">
        <f ca="1">IFERROR(__xludf.DUMMYFUNCTION("IMPORTRANGE(""https://docs.google.com/spreadsheets/d/1kKUcYdkIfrgTSj8iHHHB2MD2FAtwyyocFgqGQn6ADyI/edit?usp=sharing"",""กระบี่!J367"")"),6)</f>
        <v>6</v>
      </c>
      <c r="T75" s="345">
        <f ca="1">IFERROR(__xludf.DUMMYFUNCTION("IMPORTRANGE(""https://docs.google.com/spreadsheets/d/1kKUcYdkIfrgTSj8iHHHB2MD2FAtwyyocFgqGQn6ADyI/edit?usp=sharing"",""กระบี่!J368"")"),84.37)</f>
        <v>84.37</v>
      </c>
      <c r="U75" s="259">
        <f t="shared" ca="1" si="30"/>
        <v>4.8211428571428572</v>
      </c>
      <c r="V75" s="344">
        <f ca="1">IFERROR(__xludf.DUMMYFUNCTION("IMPORTRANGE(""https://docs.google.com/spreadsheets/d/1kKUcYdkIfrgTSj8iHHHB2MD2FAtwyyocFgqGQn6ADyI/edit?usp=sharing"",""กระบี่!I369"")"),305)</f>
        <v>305</v>
      </c>
      <c r="W75" s="177">
        <f ca="1">IFERROR(__xludf.DUMMYFUNCTION("IMPORTRANGE(""https://docs.google.com/spreadsheets/d/1kKUcYdkIfrgTSj8iHHHB2MD2FAtwyyocFgqGQn6ADyI/edit?usp=sharing"",""กระบี่!J369"")"),81)</f>
        <v>81</v>
      </c>
      <c r="X75" s="345">
        <f ca="1">IFERROR(__xludf.DUMMYFUNCTION("IMPORTRANGE(""https://docs.google.com/spreadsheets/d/1kKUcYdkIfrgTSj8iHHHB2MD2FAtwyyocFgqGQn6ADyI/edit?usp=sharing"",""กระบี่!J370"")"),1268.84)</f>
        <v>1268.8399999999999</v>
      </c>
      <c r="Y75" s="259">
        <f t="shared" ca="1" si="32"/>
        <v>26.557377049180328</v>
      </c>
      <c r="Z75" s="344">
        <f ca="1">IFERROR(__xludf.DUMMYFUNCTION("IMPORTRANGE(""https://docs.google.com/spreadsheets/d/1kKUcYdkIfrgTSj8iHHHB2MD2FAtwyyocFgqGQn6ADyI/edit?usp=sharing"",""กระบี่!I371"")"),210)</f>
        <v>210</v>
      </c>
      <c r="AA75" s="177">
        <f ca="1">IFERROR(__xludf.DUMMYFUNCTION("IMPORTRANGE(""https://docs.google.com/spreadsheets/d/1kKUcYdkIfrgTSj8iHHHB2MD2FAtwyyocFgqGQn6ADyI/edit?usp=sharing"",""กระบี่!J371"")"),78)</f>
        <v>78</v>
      </c>
      <c r="AB75" s="345">
        <f ca="1">IFERROR(__xludf.DUMMYFUNCTION("IMPORTRANGE(""https://docs.google.com/spreadsheets/d/1kKUcYdkIfrgTSj8iHHHB2MD2FAtwyyocFgqGQn6ADyI/edit?usp=sharing"",""กระบี่!J372"")"),1226.81)</f>
        <v>1226.81</v>
      </c>
      <c r="AC75" s="259">
        <f t="shared" ca="1" si="34"/>
        <v>37.142857142857146</v>
      </c>
    </row>
    <row r="76" spans="1:29" ht="21" customHeight="1" x14ac:dyDescent="0.3">
      <c r="A76" s="84">
        <v>2</v>
      </c>
      <c r="B76" s="85" t="s">
        <v>98</v>
      </c>
      <c r="C76" s="174">
        <f t="shared" ca="1" si="21"/>
        <v>492430</v>
      </c>
      <c r="D76" s="175">
        <f t="shared" ca="1" si="50"/>
        <v>492430</v>
      </c>
      <c r="E76" s="176">
        <f ca="1">IFERROR(__xludf.DUMMYFUNCTION("IMPORTRANGE(""https://docs.google.com/spreadsheets/d/1-uDff_7J0KD5mKrp0Vvzr7lt3OU09vwQwhkpOPPYv2Y/edit?usp=sharing"",""งบพรบ!FD76"")"),208600)</f>
        <v>208600</v>
      </c>
      <c r="F76" s="176">
        <f ca="1">IFERROR(__xludf.DUMMYFUNCTION("IMPORTRANGE(""https://docs.google.com/spreadsheets/d/1-uDff_7J0KD5mKrp0Vvzr7lt3OU09vwQwhkpOPPYv2Y/edit?usp=sharing"",""งบพรบ!FE76"")"),283830)</f>
        <v>283830</v>
      </c>
      <c r="G76" s="176">
        <f ca="1">IFERROR(__xludf.DUMMYFUNCTION("IMPORTRANGE(""https://docs.google.com/spreadsheets/d/1-uDff_7J0KD5mKrp0Vvzr7lt3OU09vwQwhkpOPPYv2Y/edit?usp=sharing"",""งบพรบ!FF76"")"),0)</f>
        <v>0</v>
      </c>
      <c r="H76" s="176">
        <f ca="1">IFERROR(__xludf.DUMMYFUNCTION("IMPORTRANGE(""https://docs.google.com/spreadsheets/d/1-uDff_7J0KD5mKrp0Vvzr7lt3OU09vwQwhkpOPPYv2Y/edit?usp=sharing"",""งบพรบ!FH76"")"),406830)</f>
        <v>406830</v>
      </c>
      <c r="I76" s="176">
        <f ca="1">IFERROR(__xludf.DUMMYFUNCTION("IMPORTRANGE(""https://docs.google.com/spreadsheets/d/1-uDff_7J0KD5mKrp0Vvzr7lt3OU09vwQwhkpOPPYv2Y/edit?usp=sharing"",""งบพรบ!FI76"")"),0)</f>
        <v>0</v>
      </c>
      <c r="J76" s="176">
        <f t="shared" ca="1" si="23"/>
        <v>114447</v>
      </c>
      <c r="K76" s="181">
        <f t="shared" ca="1" si="24"/>
        <v>23.241272871271043</v>
      </c>
      <c r="L76" s="176">
        <f ca="1">IFERROR(__xludf.DUMMYFUNCTION("IMPORTRANGE(""https://docs.google.com/spreadsheets/d/1-uDff_7J0KD5mKrp0Vvzr7lt3OU09vwQwhkpOPPYv2Y/edit?usp=sharing"",""งบพรบ!FJ76"")"),114447)</f>
        <v>114447</v>
      </c>
      <c r="M76" s="179">
        <f t="shared" ca="1" si="25"/>
        <v>23.241272871271043</v>
      </c>
      <c r="N76" s="179">
        <f t="shared" ca="1" si="26"/>
        <v>28.131406238477989</v>
      </c>
      <c r="O76" s="180">
        <f ca="1">IFERROR(__xludf.DUMMYFUNCTION("IMPORTRANGE(""https://docs.google.com/spreadsheets/d/1-uDff_7J0KD5mKrp0Vvzr7lt3OU09vwQwhkpOPPYv2Y/edit?usp=sharing"",""งบพรบ!FK76"")"),0)</f>
        <v>0</v>
      </c>
      <c r="P76" s="180">
        <f t="shared" ca="1" si="27"/>
        <v>0</v>
      </c>
      <c r="Q76" s="179">
        <f t="shared" ca="1" si="28"/>
        <v>0</v>
      </c>
      <c r="R76" s="344">
        <f ca="1">IFERROR(__xludf.DUMMYFUNCTION("IMPORTRANGE(""https://docs.google.com/spreadsheets/d/1GwtLaSlNZkLk7iDqcyZz22giiy40b_usZZBXYciEN1U/edit?usp=sharing"",""ชุมพร!I368"")"),1625)</f>
        <v>1625</v>
      </c>
      <c r="S76" s="177">
        <f ca="1">IFERROR(__xludf.DUMMYFUNCTION("IMPORTRANGE(""https://docs.google.com/spreadsheets/d/1GwtLaSlNZkLk7iDqcyZz22giiy40b_usZZBXYciEN1U/edit?usp=sharing"",""ชุมพร!J367"")"),70)</f>
        <v>70</v>
      </c>
      <c r="T76" s="345">
        <f ca="1">IFERROR(__xludf.DUMMYFUNCTION("IMPORTRANGE(""https://docs.google.com/spreadsheets/d/1GwtLaSlNZkLk7iDqcyZz22giiy40b_usZZBXYciEN1U/edit?usp=sharing"",""ชุมพร!J368"")"),544.47)</f>
        <v>544.47</v>
      </c>
      <c r="U76" s="259">
        <f t="shared" ca="1" si="30"/>
        <v>33.505846153846157</v>
      </c>
      <c r="V76" s="344">
        <f ca="1">IFERROR(__xludf.DUMMYFUNCTION("IMPORTRANGE(""https://docs.google.com/spreadsheets/d/1GwtLaSlNZkLk7iDqcyZz22giiy40b_usZZBXYciEN1U/edit?usp=sharing"",""ชุมพร!I369"")"),280)</f>
        <v>280</v>
      </c>
      <c r="W76" s="177">
        <f ca="1">IFERROR(__xludf.DUMMYFUNCTION("IMPORTRANGE(""https://docs.google.com/spreadsheets/d/1GwtLaSlNZkLk7iDqcyZz22giiy40b_usZZBXYciEN1U/edit?usp=sharing"",""ชุมพร!J369"")"),119)</f>
        <v>119</v>
      </c>
      <c r="X76" s="345">
        <f ca="1">IFERROR(__xludf.DUMMYFUNCTION("IMPORTRANGE(""https://docs.google.com/spreadsheets/d/1GwtLaSlNZkLk7iDqcyZz22giiy40b_usZZBXYciEN1U/edit?usp=sharing"",""ชุมพร!J370"")"),1466.45)</f>
        <v>1466.45</v>
      </c>
      <c r="Y76" s="259">
        <f t="shared" ca="1" si="32"/>
        <v>42.5</v>
      </c>
      <c r="Z76" s="344">
        <f ca="1">IFERROR(__xludf.DUMMYFUNCTION("IMPORTRANGE(""https://docs.google.com/spreadsheets/d/1GwtLaSlNZkLk7iDqcyZz22giiy40b_usZZBXYciEN1U/edit?usp=sharing"",""ชุมพร!I371"")"),179)</f>
        <v>179</v>
      </c>
      <c r="AA76" s="177">
        <f ca="1">IFERROR(__xludf.DUMMYFUNCTION("IMPORTRANGE(""https://docs.google.com/spreadsheets/d/1GwtLaSlNZkLk7iDqcyZz22giiy40b_usZZBXYciEN1U/edit?usp=sharing"",""ชุมพร!J371"")"),80)</f>
        <v>80</v>
      </c>
      <c r="AB76" s="345">
        <f ca="1">IFERROR(__xludf.DUMMYFUNCTION("IMPORTRANGE(""https://docs.google.com/spreadsheets/d/1GwtLaSlNZkLk7iDqcyZz22giiy40b_usZZBXYciEN1U/edit?usp=sharing"",""ชุมพร!J372"")"),1099.7)</f>
        <v>1099.7</v>
      </c>
      <c r="AC76" s="259">
        <f t="shared" ca="1" si="34"/>
        <v>44.692737430167597</v>
      </c>
    </row>
    <row r="77" spans="1:29" ht="21" customHeight="1" x14ac:dyDescent="0.3">
      <c r="A77" s="84">
        <v>3</v>
      </c>
      <c r="B77" s="85" t="s">
        <v>99</v>
      </c>
      <c r="C77" s="174">
        <f t="shared" ca="1" si="21"/>
        <v>498260</v>
      </c>
      <c r="D77" s="175">
        <f t="shared" ca="1" si="50"/>
        <v>498260</v>
      </c>
      <c r="E77" s="176">
        <f ca="1">IFERROR(__xludf.DUMMYFUNCTION("IMPORTRANGE(""https://docs.google.com/spreadsheets/d/1-uDff_7J0KD5mKrp0Vvzr7lt3OU09vwQwhkpOPPYv2Y/edit?usp=sharing"",""งบพรบ!FD77"")"),326200)</f>
        <v>326200</v>
      </c>
      <c r="F77" s="176">
        <f ca="1">IFERROR(__xludf.DUMMYFUNCTION("IMPORTRANGE(""https://docs.google.com/spreadsheets/d/1-uDff_7J0KD5mKrp0Vvzr7lt3OU09vwQwhkpOPPYv2Y/edit?usp=sharing"",""งบพรบ!FE77"")"),172060)</f>
        <v>172060</v>
      </c>
      <c r="G77" s="176">
        <f ca="1">IFERROR(__xludf.DUMMYFUNCTION("IMPORTRANGE(""https://docs.google.com/spreadsheets/d/1-uDff_7J0KD5mKrp0Vvzr7lt3OU09vwQwhkpOPPYv2Y/edit?usp=sharing"",""งบพรบ!FF77"")"),0)</f>
        <v>0</v>
      </c>
      <c r="H77" s="176">
        <f ca="1">IFERROR(__xludf.DUMMYFUNCTION("IMPORTRANGE(""https://docs.google.com/spreadsheets/d/1-uDff_7J0KD5mKrp0Vvzr7lt3OU09vwQwhkpOPPYv2Y/edit?usp=sharing"",""งบพรบ!FH77"")"),379060)</f>
        <v>379060</v>
      </c>
      <c r="I77" s="176">
        <f ca="1">IFERROR(__xludf.DUMMYFUNCTION("IMPORTRANGE(""https://docs.google.com/spreadsheets/d/1-uDff_7J0KD5mKrp0Vvzr7lt3OU09vwQwhkpOPPYv2Y/edit?usp=sharing"",""งบพรบ!FI77"")"),0)</f>
        <v>0</v>
      </c>
      <c r="J77" s="176">
        <f t="shared" ca="1" si="23"/>
        <v>81912.17</v>
      </c>
      <c r="K77" s="181">
        <f t="shared" ca="1" si="24"/>
        <v>16.439643960984224</v>
      </c>
      <c r="L77" s="176">
        <f ca="1">IFERROR(__xludf.DUMMYFUNCTION("IMPORTRANGE(""https://docs.google.com/spreadsheets/d/1-uDff_7J0KD5mKrp0Vvzr7lt3OU09vwQwhkpOPPYv2Y/edit?usp=sharing"",""งบพรบ!FJ77"")"),81912.17)</f>
        <v>81912.17</v>
      </c>
      <c r="M77" s="179">
        <f t="shared" ca="1" si="25"/>
        <v>16.439643960984224</v>
      </c>
      <c r="N77" s="179">
        <f t="shared" ca="1" si="26"/>
        <v>21.609288766949824</v>
      </c>
      <c r="O77" s="180">
        <f ca="1">IFERROR(__xludf.DUMMYFUNCTION("IMPORTRANGE(""https://docs.google.com/spreadsheets/d/1-uDff_7J0KD5mKrp0Vvzr7lt3OU09vwQwhkpOPPYv2Y/edit?usp=sharing"",""งบพรบ!FK77"")"),0)</f>
        <v>0</v>
      </c>
      <c r="P77" s="180">
        <f t="shared" ca="1" si="27"/>
        <v>0</v>
      </c>
      <c r="Q77" s="179">
        <f t="shared" ca="1" si="28"/>
        <v>0</v>
      </c>
      <c r="R77" s="344">
        <f ca="1">IFERROR(__xludf.DUMMYFUNCTION("IMPORTRANGE(""https://docs.google.com/spreadsheets/d/16pAz3pOhQEZBhvFNMa5KGgZS6iKWpsKX0pg6tQmwFpo/edit?usp=sharing"",""ตรัง!I368"")"),490)</f>
        <v>490</v>
      </c>
      <c r="S77" s="177">
        <f ca="1">IFERROR(__xludf.DUMMYFUNCTION("IMPORTRANGE(""https://docs.google.com/spreadsheets/d/16pAz3pOhQEZBhvFNMa5KGgZS6iKWpsKX0pg6tQmwFpo/edit?usp=sharing"",""ตรัง!J367"")"),57)</f>
        <v>57</v>
      </c>
      <c r="T77" s="345">
        <f ca="1">IFERROR(__xludf.DUMMYFUNCTION("IMPORTRANGE(""https://docs.google.com/spreadsheets/d/16pAz3pOhQEZBhvFNMa5KGgZS6iKWpsKX0pg6tQmwFpo/edit?usp=sharing"",""ตรัง!J368"")"),529.61)</f>
        <v>529.61</v>
      </c>
      <c r="U77" s="259">
        <f t="shared" ca="1" si="30"/>
        <v>108.08367346938776</v>
      </c>
      <c r="V77" s="344">
        <f ca="1">IFERROR(__xludf.DUMMYFUNCTION("IMPORTRANGE(""https://docs.google.com/spreadsheets/d/16pAz3pOhQEZBhvFNMa5KGgZS6iKWpsKX0pg6tQmwFpo/edit?usp=sharing"",""ตรัง!I369"")"),88)</f>
        <v>88</v>
      </c>
      <c r="W77" s="177">
        <f ca="1">IFERROR(__xludf.DUMMYFUNCTION("IMPORTRANGE(""https://docs.google.com/spreadsheets/d/16pAz3pOhQEZBhvFNMa5KGgZS6iKWpsKX0pg6tQmwFpo/edit?usp=sharing"",""ตรัง!J369"")"),25)</f>
        <v>25</v>
      </c>
      <c r="X77" s="345">
        <f ca="1">IFERROR(__xludf.DUMMYFUNCTION("IMPORTRANGE(""https://docs.google.com/spreadsheets/d/16pAz3pOhQEZBhvFNMa5KGgZS6iKWpsKX0pg6tQmwFpo/edit?usp=sharing"",""ตรัง!J370"")"),302.1)</f>
        <v>302.10000000000002</v>
      </c>
      <c r="Y77" s="259">
        <f t="shared" ca="1" si="32"/>
        <v>28.40909090909091</v>
      </c>
      <c r="Z77" s="344">
        <f ca="1">IFERROR(__xludf.DUMMYFUNCTION("IMPORTRANGE(""https://docs.google.com/spreadsheets/d/16pAz3pOhQEZBhvFNMa5KGgZS6iKWpsKX0pg6tQmwFpo/edit?usp=sharing"",""ตรัง!I371"")"),63)</f>
        <v>63</v>
      </c>
      <c r="AA77" s="177">
        <f ca="1">IFERROR(__xludf.DUMMYFUNCTION("IMPORTRANGE(""https://docs.google.com/spreadsheets/d/16pAz3pOhQEZBhvFNMa5KGgZS6iKWpsKX0pg6tQmwFpo/edit?usp=sharing"",""ตรัง!J371"")"),25)</f>
        <v>25</v>
      </c>
      <c r="AB77" s="345">
        <f ca="1">IFERROR(__xludf.DUMMYFUNCTION("IMPORTRANGE(""https://docs.google.com/spreadsheets/d/16pAz3pOhQEZBhvFNMa5KGgZS6iKWpsKX0pg6tQmwFpo/edit?usp=sharing"",""ตรัง!J372"")"),302.1)</f>
        <v>302.10000000000002</v>
      </c>
      <c r="AC77" s="259">
        <f t="shared" ca="1" si="34"/>
        <v>39.682539682539684</v>
      </c>
    </row>
    <row r="78" spans="1:29" ht="21" customHeight="1" x14ac:dyDescent="0.3">
      <c r="A78" s="84">
        <v>4</v>
      </c>
      <c r="B78" s="85" t="s">
        <v>100</v>
      </c>
      <c r="C78" s="174">
        <f t="shared" ca="1" si="21"/>
        <v>760985</v>
      </c>
      <c r="D78" s="175">
        <f t="shared" ca="1" si="50"/>
        <v>760985</v>
      </c>
      <c r="E78" s="176">
        <f ca="1">IFERROR(__xludf.DUMMYFUNCTION("IMPORTRANGE(""https://docs.google.com/spreadsheets/d/1-uDff_7J0KD5mKrp0Vvzr7lt3OU09vwQwhkpOPPYv2Y/edit?usp=sharing"",""งบพรบ!FD78"")"),208600)</f>
        <v>208600</v>
      </c>
      <c r="F78" s="176">
        <f ca="1">IFERROR(__xludf.DUMMYFUNCTION("IMPORTRANGE(""https://docs.google.com/spreadsheets/d/1-uDff_7J0KD5mKrp0Vvzr7lt3OU09vwQwhkpOPPYv2Y/edit?usp=sharing"",""งบพรบ!FE78"")"),552385)</f>
        <v>552385</v>
      </c>
      <c r="G78" s="176">
        <f ca="1">IFERROR(__xludf.DUMMYFUNCTION("IMPORTRANGE(""https://docs.google.com/spreadsheets/d/1-uDff_7J0KD5mKrp0Vvzr7lt3OU09vwQwhkpOPPYv2Y/edit?usp=sharing"",""งบพรบ!FF78"")"),0)</f>
        <v>0</v>
      </c>
      <c r="H78" s="176">
        <f ca="1">IFERROR(__xludf.DUMMYFUNCTION("IMPORTRANGE(""https://docs.google.com/spreadsheets/d/1-uDff_7J0KD5mKrp0Vvzr7lt3OU09vwQwhkpOPPYv2Y/edit?usp=sharing"",""งบพรบ!FH78"")"),675385)</f>
        <v>675385</v>
      </c>
      <c r="I78" s="176">
        <f ca="1">IFERROR(__xludf.DUMMYFUNCTION("IMPORTRANGE(""https://docs.google.com/spreadsheets/d/1-uDff_7J0KD5mKrp0Vvzr7lt3OU09vwQwhkpOPPYv2Y/edit?usp=sharing"",""งบพรบ!FI78"")"),0)</f>
        <v>0</v>
      </c>
      <c r="J78" s="176">
        <f t="shared" ca="1" si="23"/>
        <v>88227.32</v>
      </c>
      <c r="K78" s="181">
        <f t="shared" ca="1" si="24"/>
        <v>11.593831678679607</v>
      </c>
      <c r="L78" s="176">
        <f ca="1">IFERROR(__xludf.DUMMYFUNCTION("IMPORTRANGE(""https://docs.google.com/spreadsheets/d/1-uDff_7J0KD5mKrp0Vvzr7lt3OU09vwQwhkpOPPYv2Y/edit?usp=sharing"",""งบพรบ!FJ78"")"),88227.32)</f>
        <v>88227.32</v>
      </c>
      <c r="M78" s="179">
        <f t="shared" ca="1" si="25"/>
        <v>11.593831678679607</v>
      </c>
      <c r="N78" s="179">
        <f t="shared" ca="1" si="26"/>
        <v>13.063263175818237</v>
      </c>
      <c r="O78" s="180">
        <f ca="1">IFERROR(__xludf.DUMMYFUNCTION("IMPORTRANGE(""https://docs.google.com/spreadsheets/d/1-uDff_7J0KD5mKrp0Vvzr7lt3OU09vwQwhkpOPPYv2Y/edit?usp=sharing"",""งบพรบ!FK78"")"),0)</f>
        <v>0</v>
      </c>
      <c r="P78" s="180">
        <f t="shared" ca="1" si="27"/>
        <v>0</v>
      </c>
      <c r="Q78" s="179">
        <f t="shared" ca="1" si="28"/>
        <v>0</v>
      </c>
      <c r="R78" s="344">
        <f ca="1">IFERROR(__xludf.DUMMYFUNCTION("IMPORTRANGE(""https://docs.google.com/spreadsheets/d/1Dj4jcHCTV9JXKCaMoheSXS52JE63kDKyG7bPXnFogHk/edit?usp=sharing"",""นครศรีธรรมราช!I368"")"),4210)</f>
        <v>4210</v>
      </c>
      <c r="S78" s="177">
        <f ca="1">IFERROR(__xludf.DUMMYFUNCTION("IMPORTRANGE(""https://docs.google.com/spreadsheets/d/1Dj4jcHCTV9JXKCaMoheSXS52JE63kDKyG7bPXnFogHk/edit?usp=sharing"",""นครศรีธรรมราช!J367"")"),9)</f>
        <v>9</v>
      </c>
      <c r="T78" s="345">
        <f ca="1">IFERROR(__xludf.DUMMYFUNCTION("IMPORTRANGE(""https://docs.google.com/spreadsheets/d/1Dj4jcHCTV9JXKCaMoheSXS52JE63kDKyG7bPXnFogHk/edit?usp=sharing"",""นครศรีธรรมราช!J368"")"),54.75)</f>
        <v>54.75</v>
      </c>
      <c r="U78" s="259">
        <f t="shared" ca="1" si="30"/>
        <v>1.3004750593824228</v>
      </c>
      <c r="V78" s="344">
        <f ca="1">IFERROR(__xludf.DUMMYFUNCTION("IMPORTRANGE(""https://docs.google.com/spreadsheets/d/1Dj4jcHCTV9JXKCaMoheSXS52JE63kDKyG7bPXnFogHk/edit?usp=sharing"",""นครศรีธรรมราช!I369"")"),717)</f>
        <v>717</v>
      </c>
      <c r="W78" s="177">
        <f ca="1">IFERROR(__xludf.DUMMYFUNCTION("IMPORTRANGE(""https://docs.google.com/spreadsheets/d/1Dj4jcHCTV9JXKCaMoheSXS52JE63kDKyG7bPXnFogHk/edit?usp=sharing"",""นครศรีธรรมราช!J369"")"),47)</f>
        <v>47</v>
      </c>
      <c r="X78" s="345">
        <f ca="1">IFERROR(__xludf.DUMMYFUNCTION("IMPORTRANGE(""https://docs.google.com/spreadsheets/d/1Dj4jcHCTV9JXKCaMoheSXS52JE63kDKyG7bPXnFogHk/edit?usp=sharing"",""นครศรีธรรมราช!J370"")"),595.39)</f>
        <v>595.39</v>
      </c>
      <c r="Y78" s="259">
        <f t="shared" ca="1" si="32"/>
        <v>6.5550906555090656</v>
      </c>
      <c r="Z78" s="344">
        <f ca="1">IFERROR(__xludf.DUMMYFUNCTION("IMPORTRANGE(""https://docs.google.com/spreadsheets/d/1Dj4jcHCTV9JXKCaMoheSXS52JE63kDKyG7bPXnFogHk/edit?usp=sharing"",""นครศรีธรรมราช!I371"")"),468)</f>
        <v>468</v>
      </c>
      <c r="AA78" s="177">
        <f ca="1">IFERROR(__xludf.DUMMYFUNCTION("IMPORTRANGE(""https://docs.google.com/spreadsheets/d/1Dj4jcHCTV9JXKCaMoheSXS52JE63kDKyG7bPXnFogHk/edit?usp=sharing"",""นครศรีธรรมราช!J371"")"),27)</f>
        <v>27</v>
      </c>
      <c r="AB78" s="345">
        <f ca="1">IFERROR(__xludf.DUMMYFUNCTION("IMPORTRANGE(""https://docs.google.com/spreadsheets/d/1Dj4jcHCTV9JXKCaMoheSXS52JE63kDKyG7bPXnFogHk/edit?usp=sharing"",""นครศรีธรรมราช!J372"")"),380.51)</f>
        <v>380.51</v>
      </c>
      <c r="AC78" s="259">
        <f t="shared" ca="1" si="34"/>
        <v>5.7692307692307692</v>
      </c>
    </row>
    <row r="79" spans="1:29" ht="21" customHeight="1" x14ac:dyDescent="0.3">
      <c r="A79" s="84">
        <v>5</v>
      </c>
      <c r="B79" s="85" t="s">
        <v>101</v>
      </c>
      <c r="C79" s="174">
        <f t="shared" ca="1" si="21"/>
        <v>278755</v>
      </c>
      <c r="D79" s="175">
        <f t="shared" ca="1" si="50"/>
        <v>278755</v>
      </c>
      <c r="E79" s="176">
        <f ca="1">IFERROR(__xludf.DUMMYFUNCTION("IMPORTRANGE(""https://docs.google.com/spreadsheets/d/1-uDff_7J0KD5mKrp0Vvzr7lt3OU09vwQwhkpOPPYv2Y/edit?usp=sharing"",""งบพรบ!FD79"")"),142100)</f>
        <v>142100</v>
      </c>
      <c r="F79" s="176">
        <f ca="1">IFERROR(__xludf.DUMMYFUNCTION("IMPORTRANGE(""https://docs.google.com/spreadsheets/d/1-uDff_7J0KD5mKrp0Vvzr7lt3OU09vwQwhkpOPPYv2Y/edit?usp=sharing"",""งบพรบ!FE79"")"),136655)</f>
        <v>136655</v>
      </c>
      <c r="G79" s="176">
        <f ca="1">IFERROR(__xludf.DUMMYFUNCTION("IMPORTRANGE(""https://docs.google.com/spreadsheets/d/1-uDff_7J0KD5mKrp0Vvzr7lt3OU09vwQwhkpOPPYv2Y/edit?usp=sharing"",""งบพรบ!FF79"")"),0)</f>
        <v>0</v>
      </c>
      <c r="H79" s="176">
        <f ca="1">IFERROR(__xludf.DUMMYFUNCTION("IMPORTRANGE(""https://docs.google.com/spreadsheets/d/1-uDff_7J0KD5mKrp0Vvzr7lt3OU09vwQwhkpOPPYv2Y/edit?usp=sharing"",""งบพรบ!FH79"")"),212155)</f>
        <v>212155</v>
      </c>
      <c r="I79" s="176">
        <f ca="1">IFERROR(__xludf.DUMMYFUNCTION("IMPORTRANGE(""https://docs.google.com/spreadsheets/d/1-uDff_7J0KD5mKrp0Vvzr7lt3OU09vwQwhkpOPPYv2Y/edit?usp=sharing"",""งบพรบ!FI79"")"),0)</f>
        <v>0</v>
      </c>
      <c r="J79" s="176">
        <f t="shared" ca="1" si="23"/>
        <v>40480</v>
      </c>
      <c r="K79" s="181">
        <f t="shared" ca="1" si="24"/>
        <v>14.521712615020359</v>
      </c>
      <c r="L79" s="176">
        <f ca="1">IFERROR(__xludf.DUMMYFUNCTION("IMPORTRANGE(""https://docs.google.com/spreadsheets/d/1-uDff_7J0KD5mKrp0Vvzr7lt3OU09vwQwhkpOPPYv2Y/edit?usp=sharing"",""งบพรบ!FJ79"")"),40480)</f>
        <v>40480</v>
      </c>
      <c r="M79" s="179">
        <f t="shared" ca="1" si="25"/>
        <v>14.521712615020359</v>
      </c>
      <c r="N79" s="179">
        <f t="shared" ca="1" si="26"/>
        <v>19.08038933798402</v>
      </c>
      <c r="O79" s="180">
        <f ca="1">IFERROR(__xludf.DUMMYFUNCTION("IMPORTRANGE(""https://docs.google.com/spreadsheets/d/1-uDff_7J0KD5mKrp0Vvzr7lt3OU09vwQwhkpOPPYv2Y/edit?usp=sharing"",""งบพรบ!FK79"")"),0)</f>
        <v>0</v>
      </c>
      <c r="P79" s="180">
        <f t="shared" ca="1" si="27"/>
        <v>0</v>
      </c>
      <c r="Q79" s="179">
        <f t="shared" ca="1" si="28"/>
        <v>0</v>
      </c>
      <c r="R79" s="344">
        <f ca="1">IFERROR(__xludf.DUMMYFUNCTION("IMPORTRANGE(""https://docs.google.com/spreadsheets/d/1iodCdmuK2GR3jzUwk8tpccY2JHQQA-87DLOtJP-ooyU/edit?usp=sharing"",""นราธิวาส!I368"")"),120)</f>
        <v>120</v>
      </c>
      <c r="S79" s="177">
        <f ca="1">IFERROR(__xludf.DUMMYFUNCTION("IMPORTRANGE(""https://docs.google.com/spreadsheets/d/1iodCdmuK2GR3jzUwk8tpccY2JHQQA-87DLOtJP-ooyU/edit?usp=sharing"",""นราธิวาส!J367"")"),0)</f>
        <v>0</v>
      </c>
      <c r="T79" s="345">
        <f ca="1">IFERROR(__xludf.DUMMYFUNCTION("IMPORTRANGE(""https://docs.google.com/spreadsheets/d/1iodCdmuK2GR3jzUwk8tpccY2JHQQA-87DLOtJP-ooyU/edit?usp=sharing"",""นราธิวาส!J368"")"),0)</f>
        <v>0</v>
      </c>
      <c r="U79" s="259">
        <f t="shared" ca="1" si="30"/>
        <v>0</v>
      </c>
      <c r="V79" s="344">
        <f ca="1">IFERROR(__xludf.DUMMYFUNCTION("IMPORTRANGE(""https://docs.google.com/spreadsheets/d/1iodCdmuK2GR3jzUwk8tpccY2JHQQA-87DLOtJP-ooyU/edit?usp=sharing"",""นราธิวาส!I369"")"),31)</f>
        <v>31</v>
      </c>
      <c r="W79" s="177">
        <f ca="1">IFERROR(__xludf.DUMMYFUNCTION("IMPORTRANGE(""https://docs.google.com/spreadsheets/d/1iodCdmuK2GR3jzUwk8tpccY2JHQQA-87DLOtJP-ooyU/edit?usp=sharing"",""นราธิวาส!J369"")"),0)</f>
        <v>0</v>
      </c>
      <c r="X79" s="345">
        <f ca="1">IFERROR(__xludf.DUMMYFUNCTION("IMPORTRANGE(""https://docs.google.com/spreadsheets/d/1iodCdmuK2GR3jzUwk8tpccY2JHQQA-87DLOtJP-ooyU/edit?usp=sharing"",""นราธิวาส!J370"")"),0)</f>
        <v>0</v>
      </c>
      <c r="Y79" s="259">
        <f t="shared" ca="1" si="32"/>
        <v>0</v>
      </c>
      <c r="Z79" s="344">
        <f ca="1">IFERROR(__xludf.DUMMYFUNCTION("IMPORTRANGE(""https://docs.google.com/spreadsheets/d/1iodCdmuK2GR3jzUwk8tpccY2JHQQA-87DLOtJP-ooyU/edit?usp=sharing"",""นราธิวาส!I371"")"),19)</f>
        <v>19</v>
      </c>
      <c r="AA79" s="177">
        <f ca="1">IFERROR(__xludf.DUMMYFUNCTION("IMPORTRANGE(""https://docs.google.com/spreadsheets/d/1iodCdmuK2GR3jzUwk8tpccY2JHQQA-87DLOtJP-ooyU/edit?usp=sharing"",""นราธิวาส!J371"")"),0)</f>
        <v>0</v>
      </c>
      <c r="AB79" s="345">
        <f ca="1">IFERROR(__xludf.DUMMYFUNCTION("IMPORTRANGE(""https://docs.google.com/spreadsheets/d/1iodCdmuK2GR3jzUwk8tpccY2JHQQA-87DLOtJP-ooyU/edit?usp=sharing"",""นราธิวาส!J372"")"),0)</f>
        <v>0</v>
      </c>
      <c r="AC79" s="259">
        <f t="shared" ca="1" si="34"/>
        <v>0</v>
      </c>
    </row>
    <row r="80" spans="1:29" ht="21" customHeight="1" x14ac:dyDescent="0.3">
      <c r="A80" s="84">
        <v>6</v>
      </c>
      <c r="B80" s="85" t="s">
        <v>102</v>
      </c>
      <c r="C80" s="174">
        <f t="shared" ca="1" si="21"/>
        <v>535170</v>
      </c>
      <c r="D80" s="175">
        <f t="shared" ca="1" si="50"/>
        <v>535170</v>
      </c>
      <c r="E80" s="176">
        <f ca="1">IFERROR(__xludf.DUMMYFUNCTION("IMPORTRANGE(""https://docs.google.com/spreadsheets/d/1-uDff_7J0KD5mKrp0Vvzr7lt3OU09vwQwhkpOPPYv2Y/edit?usp=sharing"",""งบพรบ!FD80"")"),392700)</f>
        <v>392700</v>
      </c>
      <c r="F80" s="176">
        <f ca="1">IFERROR(__xludf.DUMMYFUNCTION("IMPORTRANGE(""https://docs.google.com/spreadsheets/d/1-uDff_7J0KD5mKrp0Vvzr7lt3OU09vwQwhkpOPPYv2Y/edit?usp=sharing"",""งบพรบ!FE80"")"),142470)</f>
        <v>142470</v>
      </c>
      <c r="G80" s="176">
        <f ca="1">IFERROR(__xludf.DUMMYFUNCTION("IMPORTRANGE(""https://docs.google.com/spreadsheets/d/1-uDff_7J0KD5mKrp0Vvzr7lt3OU09vwQwhkpOPPYv2Y/edit?usp=sharing"",""งบพรบ!FF80"")"),0)</f>
        <v>0</v>
      </c>
      <c r="H80" s="176">
        <f ca="1">IFERROR(__xludf.DUMMYFUNCTION("IMPORTRANGE(""https://docs.google.com/spreadsheets/d/1-uDff_7J0KD5mKrp0Vvzr7lt3OU09vwQwhkpOPPYv2Y/edit?usp=sharing"",""งบพรบ!FH80"")"),396970)</f>
        <v>396970</v>
      </c>
      <c r="I80" s="176">
        <f ca="1">IFERROR(__xludf.DUMMYFUNCTION("IMPORTRANGE(""https://docs.google.com/spreadsheets/d/1-uDff_7J0KD5mKrp0Vvzr7lt3OU09vwQwhkpOPPYv2Y/edit?usp=sharing"",""งบพรบ!FI80"")"),0)</f>
        <v>0</v>
      </c>
      <c r="J80" s="176">
        <f t="shared" ca="1" si="23"/>
        <v>116006.64</v>
      </c>
      <c r="K80" s="181">
        <f t="shared" ca="1" si="24"/>
        <v>21.676596221761308</v>
      </c>
      <c r="L80" s="176">
        <f ca="1">IFERROR(__xludf.DUMMYFUNCTION("IMPORTRANGE(""https://docs.google.com/spreadsheets/d/1-uDff_7J0KD5mKrp0Vvzr7lt3OU09vwQwhkpOPPYv2Y/edit?usp=sharing"",""งบพรบ!FJ80"")"),116006.64)</f>
        <v>116006.64</v>
      </c>
      <c r="M80" s="179">
        <f t="shared" ca="1" si="25"/>
        <v>21.676596221761308</v>
      </c>
      <c r="N80" s="179">
        <f t="shared" ca="1" si="26"/>
        <v>29.22302440990503</v>
      </c>
      <c r="O80" s="180">
        <f ca="1">IFERROR(__xludf.DUMMYFUNCTION("IMPORTRANGE(""https://docs.google.com/spreadsheets/d/1-uDff_7J0KD5mKrp0Vvzr7lt3OU09vwQwhkpOPPYv2Y/edit?usp=sharing"",""งบพรบ!FK80"")"),0)</f>
        <v>0</v>
      </c>
      <c r="P80" s="180">
        <f t="shared" ca="1" si="27"/>
        <v>0</v>
      </c>
      <c r="Q80" s="179">
        <f t="shared" ca="1" si="28"/>
        <v>0</v>
      </c>
      <c r="R80" s="346">
        <f ca="1">IFERROR(__xludf.DUMMYFUNCTION("IMPORTRANGE(""https://docs.google.com/spreadsheets/d/1SDNX3JhDdYRuIOsj0Wh2M-Qa_eaXl0NbWmhAOTbfQAs/edit?usp=sharing"",""ปัตตานี!I368"")"),230)</f>
        <v>230</v>
      </c>
      <c r="S80" s="177">
        <f ca="1">IFERROR(__xludf.DUMMYFUNCTION("IMPORTRANGE(""https://docs.google.com/spreadsheets/d/1SDNX3JhDdYRuIOsj0Wh2M-Qa_eaXl0NbWmhAOTbfQAs/edit?usp=sharing"",""ปัตตานี!J367"")"),0)</f>
        <v>0</v>
      </c>
      <c r="T80" s="345">
        <f ca="1">IFERROR(__xludf.DUMMYFUNCTION("IMPORTRANGE(""https://docs.google.com/spreadsheets/d/1SDNX3JhDdYRuIOsj0Wh2M-Qa_eaXl0NbWmhAOTbfQAs/edit?usp=sharing"",""ปัตตานี!J368"")"),0)</f>
        <v>0</v>
      </c>
      <c r="U80" s="259">
        <f t="shared" ca="1" si="30"/>
        <v>0</v>
      </c>
      <c r="V80" s="346">
        <f ca="1">IFERROR(__xludf.DUMMYFUNCTION("IMPORTRANGE(""https://docs.google.com/spreadsheets/d/1SDNX3JhDdYRuIOsj0Wh2M-Qa_eaXl0NbWmhAOTbfQAs/edit?usp=sharing"",""ปัตตานี!I369"")"),32)</f>
        <v>32</v>
      </c>
      <c r="W80" s="177">
        <f ca="1">IFERROR(__xludf.DUMMYFUNCTION("IMPORTRANGE(""https://docs.google.com/spreadsheets/d/1SDNX3JhDdYRuIOsj0Wh2M-Qa_eaXl0NbWmhAOTbfQAs/edit?usp=sharing"",""ปัตตานี!J369"")"),0)</f>
        <v>0</v>
      </c>
      <c r="X80" s="345">
        <f ca="1">IFERROR(__xludf.DUMMYFUNCTION("IMPORTRANGE(""https://docs.google.com/spreadsheets/d/1SDNX3JhDdYRuIOsj0Wh2M-Qa_eaXl0NbWmhAOTbfQAs/edit?usp=sharing"",""ปัตตานี!J370"")"),0)</f>
        <v>0</v>
      </c>
      <c r="Y80" s="259">
        <f t="shared" ca="1" si="32"/>
        <v>0</v>
      </c>
      <c r="Z80" s="346">
        <f ca="1">IFERROR(__xludf.DUMMYFUNCTION("IMPORTRANGE(""https://docs.google.com/spreadsheets/d/1SDNX3JhDdYRuIOsj0Wh2M-Qa_eaXl0NbWmhAOTbfQAs/edit?usp=sharing"",""ปัตตานี!I371"")"),25)</f>
        <v>25</v>
      </c>
      <c r="AA80" s="177">
        <f ca="1">IFERROR(__xludf.DUMMYFUNCTION("IMPORTRANGE(""https://docs.google.com/spreadsheets/d/1SDNX3JhDdYRuIOsj0Wh2M-Qa_eaXl0NbWmhAOTbfQAs/edit?usp=sharing"",""ปัตตานี!J371"")"),0)</f>
        <v>0</v>
      </c>
      <c r="AB80" s="345">
        <f ca="1">IFERROR(__xludf.DUMMYFUNCTION("IMPORTRANGE(""https://docs.google.com/spreadsheets/d/1SDNX3JhDdYRuIOsj0Wh2M-Qa_eaXl0NbWmhAOTbfQAs/edit?usp=sharing"",""ปัตตานี!J372"")"),0)</f>
        <v>0</v>
      </c>
      <c r="AC80" s="259">
        <f t="shared" ca="1" si="34"/>
        <v>0</v>
      </c>
    </row>
    <row r="81" spans="1:29" ht="21" customHeight="1" x14ac:dyDescent="0.3">
      <c r="A81" s="84">
        <v>7</v>
      </c>
      <c r="B81" s="85" t="s">
        <v>103</v>
      </c>
      <c r="C81" s="174">
        <f t="shared" ca="1" si="21"/>
        <v>427090</v>
      </c>
      <c r="D81" s="175">
        <f t="shared" ca="1" si="50"/>
        <v>427090</v>
      </c>
      <c r="E81" s="176">
        <f ca="1">IFERROR(__xludf.DUMMYFUNCTION("IMPORTRANGE(""https://docs.google.com/spreadsheets/d/1-uDff_7J0KD5mKrp0Vvzr7lt3OU09vwQwhkpOPPYv2Y/edit?usp=sharing"",""งบพรบ!FD81"")"),275100)</f>
        <v>275100</v>
      </c>
      <c r="F81" s="176">
        <f ca="1">IFERROR(__xludf.DUMMYFUNCTION("IMPORTRANGE(""https://docs.google.com/spreadsheets/d/1-uDff_7J0KD5mKrp0Vvzr7lt3OU09vwQwhkpOPPYv2Y/edit?usp=sharing"",""งบพรบ!FE81"")"),151990)</f>
        <v>151990</v>
      </c>
      <c r="G81" s="176">
        <f ca="1">IFERROR(__xludf.DUMMYFUNCTION("IMPORTRANGE(""https://docs.google.com/spreadsheets/d/1-uDff_7J0KD5mKrp0Vvzr7lt3OU09vwQwhkpOPPYv2Y/edit?usp=sharing"",""งบพรบ!FF81"")"),0)</f>
        <v>0</v>
      </c>
      <c r="H81" s="176">
        <f ca="1">IFERROR(__xludf.DUMMYFUNCTION("IMPORTRANGE(""https://docs.google.com/spreadsheets/d/1-uDff_7J0KD5mKrp0Vvzr7lt3OU09vwQwhkpOPPYv2Y/edit?usp=sharing"",""งบพรบ!FH81"")"),322490)</f>
        <v>322490</v>
      </c>
      <c r="I81" s="176">
        <f ca="1">IFERROR(__xludf.DUMMYFUNCTION("IMPORTRANGE(""https://docs.google.com/spreadsheets/d/1-uDff_7J0KD5mKrp0Vvzr7lt3OU09vwQwhkpOPPYv2Y/edit?usp=sharing"",""งบพรบ!FI81"")"),0)</f>
        <v>0</v>
      </c>
      <c r="J81" s="176">
        <f t="shared" ca="1" si="23"/>
        <v>51266.67</v>
      </c>
      <c r="K81" s="181">
        <f t="shared" ca="1" si="24"/>
        <v>12.003715844435598</v>
      </c>
      <c r="L81" s="176">
        <f ca="1">IFERROR(__xludf.DUMMYFUNCTION("IMPORTRANGE(""https://docs.google.com/spreadsheets/d/1-uDff_7J0KD5mKrp0Vvzr7lt3OU09vwQwhkpOPPYv2Y/edit?usp=sharing"",""งบพรบ!FJ81"")"),51266.67)</f>
        <v>51266.67</v>
      </c>
      <c r="M81" s="179">
        <f t="shared" ca="1" si="25"/>
        <v>12.003715844435598</v>
      </c>
      <c r="N81" s="179">
        <f t="shared" ca="1" si="26"/>
        <v>15.89713479487736</v>
      </c>
      <c r="O81" s="180">
        <f ca="1">IFERROR(__xludf.DUMMYFUNCTION("IMPORTRANGE(""https://docs.google.com/spreadsheets/d/1-uDff_7J0KD5mKrp0Vvzr7lt3OU09vwQwhkpOPPYv2Y/edit?usp=sharing"",""งบพรบ!FK81"")"),0)</f>
        <v>0</v>
      </c>
      <c r="P81" s="180">
        <f t="shared" ca="1" si="27"/>
        <v>0</v>
      </c>
      <c r="Q81" s="179">
        <f t="shared" ca="1" si="28"/>
        <v>0</v>
      </c>
      <c r="R81" s="344">
        <f ca="1">IFERROR(__xludf.DUMMYFUNCTION("IMPORTRANGE(""https://docs.google.com/spreadsheets/d/16JDLGguT8s5DsGCND1KcwHP_AWR_zDMTqLHPLJUKhaU/edit?usp=sharing"",""พังงา!I368"")"),310)</f>
        <v>310</v>
      </c>
      <c r="S81" s="177">
        <f ca="1">IFERROR(__xludf.DUMMYFUNCTION("IMPORTRANGE(""https://docs.google.com/spreadsheets/d/16JDLGguT8s5DsGCND1KcwHP_AWR_zDMTqLHPLJUKhaU/edit?usp=sharing"",""พังงา!J367"")"),0)</f>
        <v>0</v>
      </c>
      <c r="T81" s="345">
        <f ca="1">IFERROR(__xludf.DUMMYFUNCTION("IMPORTRANGE(""https://docs.google.com/spreadsheets/d/16JDLGguT8s5DsGCND1KcwHP_AWR_zDMTqLHPLJUKhaU/edit?usp=sharing"",""พังงา!J368"")"),0)</f>
        <v>0</v>
      </c>
      <c r="U81" s="259">
        <f t="shared" ca="1" si="30"/>
        <v>0</v>
      </c>
      <c r="V81" s="344">
        <f ca="1">IFERROR(__xludf.DUMMYFUNCTION("IMPORTRANGE(""https://docs.google.com/spreadsheets/d/16JDLGguT8s5DsGCND1KcwHP_AWR_zDMTqLHPLJUKhaU/edit?usp=sharing"",""พังงา!I369"")"),58)</f>
        <v>58</v>
      </c>
      <c r="W81" s="177">
        <f ca="1">IFERROR(__xludf.DUMMYFUNCTION("IMPORTRANGE(""https://docs.google.com/spreadsheets/d/16JDLGguT8s5DsGCND1KcwHP_AWR_zDMTqLHPLJUKhaU/edit?usp=sharing"",""พังงา!J369"")"),3)</f>
        <v>3</v>
      </c>
      <c r="X81" s="345">
        <f ca="1">IFERROR(__xludf.DUMMYFUNCTION("IMPORTRANGE(""https://docs.google.com/spreadsheets/d/16JDLGguT8s5DsGCND1KcwHP_AWR_zDMTqLHPLJUKhaU/edit?usp=sharing"",""พังงา!J370"")"),41.28)</f>
        <v>41.28</v>
      </c>
      <c r="Y81" s="259">
        <f t="shared" ca="1" si="32"/>
        <v>5.1724137931034484</v>
      </c>
      <c r="Z81" s="344">
        <f ca="1">IFERROR(__xludf.DUMMYFUNCTION("IMPORTRANGE(""https://docs.google.com/spreadsheets/d/16JDLGguT8s5DsGCND1KcwHP_AWR_zDMTqLHPLJUKhaU/edit?usp=sharing"",""พังงา!I371"")"),43)</f>
        <v>43</v>
      </c>
      <c r="AA81" s="177">
        <f ca="1">IFERROR(__xludf.DUMMYFUNCTION("IMPORTRANGE(""https://docs.google.com/spreadsheets/d/16JDLGguT8s5DsGCND1KcwHP_AWR_zDMTqLHPLJUKhaU/edit?usp=sharing"",""พังงา!J371"")"),3)</f>
        <v>3</v>
      </c>
      <c r="AB81" s="345">
        <f ca="1">IFERROR(__xludf.DUMMYFUNCTION("IMPORTRANGE(""https://docs.google.com/spreadsheets/d/16JDLGguT8s5DsGCND1KcwHP_AWR_zDMTqLHPLJUKhaU/edit?usp=sharing"",""พังงา!J372"")"),41.28)</f>
        <v>41.28</v>
      </c>
      <c r="AC81" s="259">
        <f t="shared" ca="1" si="34"/>
        <v>6.9767441860465116</v>
      </c>
    </row>
    <row r="82" spans="1:29" ht="21" customHeight="1" x14ac:dyDescent="0.3">
      <c r="A82" s="84">
        <v>8</v>
      </c>
      <c r="B82" s="85" t="s">
        <v>104</v>
      </c>
      <c r="C82" s="174">
        <f t="shared" ca="1" si="21"/>
        <v>241735</v>
      </c>
      <c r="D82" s="175">
        <f t="shared" ca="1" si="50"/>
        <v>241735</v>
      </c>
      <c r="E82" s="176">
        <f ca="1">IFERROR(__xludf.DUMMYFUNCTION("IMPORTRANGE(""https://docs.google.com/spreadsheets/d/1-uDff_7J0KD5mKrp0Vvzr7lt3OU09vwQwhkpOPPYv2Y/edit?usp=sharing"",""งบพรบ!FD82"")"),0)</f>
        <v>0</v>
      </c>
      <c r="F82" s="176">
        <f ca="1">IFERROR(__xludf.DUMMYFUNCTION("IMPORTRANGE(""https://docs.google.com/spreadsheets/d/1-uDff_7J0KD5mKrp0Vvzr7lt3OU09vwQwhkpOPPYv2Y/edit?usp=sharing"",""งบพรบ!FE82"")"),241735)</f>
        <v>241735</v>
      </c>
      <c r="G82" s="176">
        <f ca="1">IFERROR(__xludf.DUMMYFUNCTION("IMPORTRANGE(""https://docs.google.com/spreadsheets/d/1-uDff_7J0KD5mKrp0Vvzr7lt3OU09vwQwhkpOPPYv2Y/edit?usp=sharing"",""งบพรบ!FF82"")"),0)</f>
        <v>0</v>
      </c>
      <c r="H82" s="176">
        <f ca="1">IFERROR(__xludf.DUMMYFUNCTION("IMPORTRANGE(""https://docs.google.com/spreadsheets/d/1-uDff_7J0KD5mKrp0Vvzr7lt3OU09vwQwhkpOPPYv2Y/edit?usp=sharing"",""งบพรบ!FH82"")"),215735)</f>
        <v>215735</v>
      </c>
      <c r="I82" s="176">
        <f ca="1">IFERROR(__xludf.DUMMYFUNCTION("IMPORTRANGE(""https://docs.google.com/spreadsheets/d/1-uDff_7J0KD5mKrp0Vvzr7lt3OU09vwQwhkpOPPYv2Y/edit?usp=sharing"",""งบพรบ!FI82"")"),0)</f>
        <v>0</v>
      </c>
      <c r="J82" s="176">
        <f t="shared" ca="1" si="23"/>
        <v>41556.57</v>
      </c>
      <c r="K82" s="181">
        <f t="shared" ca="1" si="24"/>
        <v>17.190961176494923</v>
      </c>
      <c r="L82" s="176">
        <f ca="1">IFERROR(__xludf.DUMMYFUNCTION("IMPORTRANGE(""https://docs.google.com/spreadsheets/d/1-uDff_7J0KD5mKrp0Vvzr7lt3OU09vwQwhkpOPPYv2Y/edit?usp=sharing"",""งบพรบ!FJ82"")"),41556.57)</f>
        <v>41556.57</v>
      </c>
      <c r="M82" s="179">
        <f t="shared" ca="1" si="25"/>
        <v>17.190961176494923</v>
      </c>
      <c r="N82" s="179">
        <f t="shared" ca="1" si="26"/>
        <v>19.262785361670566</v>
      </c>
      <c r="O82" s="180">
        <f ca="1">IFERROR(__xludf.DUMMYFUNCTION("IMPORTRANGE(""https://docs.google.com/spreadsheets/d/1-uDff_7J0KD5mKrp0Vvzr7lt3OU09vwQwhkpOPPYv2Y/edit?usp=sharing"",""งบพรบ!FK82"")"),0)</f>
        <v>0</v>
      </c>
      <c r="P82" s="180">
        <f t="shared" ca="1" si="27"/>
        <v>0</v>
      </c>
      <c r="Q82" s="179">
        <f t="shared" ca="1" si="28"/>
        <v>0</v>
      </c>
      <c r="R82" s="344">
        <f ca="1">IFERROR(__xludf.DUMMYFUNCTION("IMPORTRANGE(""https://docs.google.com/spreadsheets/d/17ht0gPKzzT3PObBL1XJkeRmntBXI7wGjpLV7QorqlTk/edit?usp=sharing"",""พัทลุง!I368"")"),1150)</f>
        <v>1150</v>
      </c>
      <c r="S82" s="177">
        <f ca="1">IFERROR(__xludf.DUMMYFUNCTION("IMPORTRANGE(""https://docs.google.com/spreadsheets/d/17ht0gPKzzT3PObBL1XJkeRmntBXI7wGjpLV7QorqlTk/edit?usp=sharing"",""พัทลุง!J367"")"),4)</f>
        <v>4</v>
      </c>
      <c r="T82" s="345">
        <f ca="1">IFERROR(__xludf.DUMMYFUNCTION("IMPORTRANGE(""https://docs.google.com/spreadsheets/d/17ht0gPKzzT3PObBL1XJkeRmntBXI7wGjpLV7QorqlTk/edit?usp=sharing"",""พัทลุง!J368"")"),16.62)</f>
        <v>16.62</v>
      </c>
      <c r="U82" s="259">
        <f t="shared" ca="1" si="30"/>
        <v>1.4452173913043478</v>
      </c>
      <c r="V82" s="344">
        <f ca="1">IFERROR(__xludf.DUMMYFUNCTION("IMPORTRANGE(""https://docs.google.com/spreadsheets/d/17ht0gPKzzT3PObBL1XJkeRmntBXI7wGjpLV7QorqlTk/edit?usp=sharing"",""พัทลุง!I369"")"),220)</f>
        <v>220</v>
      </c>
      <c r="W82" s="177">
        <f ca="1">IFERROR(__xludf.DUMMYFUNCTION("IMPORTRANGE(""https://docs.google.com/spreadsheets/d/17ht0gPKzzT3PObBL1XJkeRmntBXI7wGjpLV7QorqlTk/edit?usp=sharing"",""พัทลุง!J369"")"),23)</f>
        <v>23</v>
      </c>
      <c r="X82" s="345">
        <f ca="1">IFERROR(__xludf.DUMMYFUNCTION("IMPORTRANGE(""https://docs.google.com/spreadsheets/d/17ht0gPKzzT3PObBL1XJkeRmntBXI7wGjpLV7QorqlTk/edit?usp=sharing"",""พัทลุง!J370"")"),177.36)</f>
        <v>177.36</v>
      </c>
      <c r="Y82" s="259">
        <f t="shared" ca="1" si="32"/>
        <v>10.454545454545455</v>
      </c>
      <c r="Z82" s="344">
        <f ca="1">IFERROR(__xludf.DUMMYFUNCTION("IMPORTRANGE(""https://docs.google.com/spreadsheets/d/17ht0gPKzzT3PObBL1XJkeRmntBXI7wGjpLV7QorqlTk/edit?usp=sharing"",""พัทลุง!I371"")"),148)</f>
        <v>148</v>
      </c>
      <c r="AA82" s="177">
        <f ca="1">IFERROR(__xludf.DUMMYFUNCTION("IMPORTRANGE(""https://docs.google.com/spreadsheets/d/17ht0gPKzzT3PObBL1XJkeRmntBXI7wGjpLV7QorqlTk/edit?usp=sharing"",""พัทลุง!J371"")"),25)</f>
        <v>25</v>
      </c>
      <c r="AB82" s="345">
        <f ca="1">IFERROR(__xludf.DUMMYFUNCTION("IMPORTRANGE(""https://docs.google.com/spreadsheets/d/17ht0gPKzzT3PObBL1XJkeRmntBXI7wGjpLV7QorqlTk/edit?usp=sharing"",""พัทลุง!J372"")"),186.93)</f>
        <v>186.93</v>
      </c>
      <c r="AC82" s="259">
        <f t="shared" ca="1" si="34"/>
        <v>16.891891891891891</v>
      </c>
    </row>
    <row r="83" spans="1:29" ht="21" customHeight="1" x14ac:dyDescent="0.3">
      <c r="A83" s="84">
        <v>9</v>
      </c>
      <c r="B83" s="85" t="s">
        <v>105</v>
      </c>
      <c r="C83" s="174">
        <f t="shared" ca="1" si="21"/>
        <v>225445</v>
      </c>
      <c r="D83" s="175">
        <f t="shared" ca="1" si="50"/>
        <v>225445</v>
      </c>
      <c r="E83" s="176">
        <f ca="1">IFERROR(__xludf.DUMMYFUNCTION("IMPORTRANGE(""https://docs.google.com/spreadsheets/d/1-uDff_7J0KD5mKrp0Vvzr7lt3OU09vwQwhkpOPPYv2Y/edit?usp=sharing"",""งบพรบ!FD83"")"),91000)</f>
        <v>91000</v>
      </c>
      <c r="F83" s="176">
        <f ca="1">IFERROR(__xludf.DUMMYFUNCTION("IMPORTRANGE(""https://docs.google.com/spreadsheets/d/1-uDff_7J0KD5mKrp0Vvzr7lt3OU09vwQwhkpOPPYv2Y/edit?usp=sharing"",""งบพรบ!FE83"")"),134445)</f>
        <v>134445</v>
      </c>
      <c r="G83" s="176">
        <f ca="1">IFERROR(__xludf.DUMMYFUNCTION("IMPORTRANGE(""https://docs.google.com/spreadsheets/d/1-uDff_7J0KD5mKrp0Vvzr7lt3OU09vwQwhkpOPPYv2Y/edit?usp=sharing"",""งบพรบ!FF83"")"),0)</f>
        <v>0</v>
      </c>
      <c r="H83" s="176">
        <f ca="1">IFERROR(__xludf.DUMMYFUNCTION("IMPORTRANGE(""https://docs.google.com/spreadsheets/d/1-uDff_7J0KD5mKrp0Vvzr7lt3OU09vwQwhkpOPPYv2Y/edit?usp=sharing"",""งบพรบ!FH83"")"),173445)</f>
        <v>173445</v>
      </c>
      <c r="I83" s="176">
        <f ca="1">IFERROR(__xludf.DUMMYFUNCTION("IMPORTRANGE(""https://docs.google.com/spreadsheets/d/1-uDff_7J0KD5mKrp0Vvzr7lt3OU09vwQwhkpOPPYv2Y/edit?usp=sharing"",""งบพรบ!FI83"")"),0)</f>
        <v>0</v>
      </c>
      <c r="J83" s="176">
        <f t="shared" ca="1" si="23"/>
        <v>53880</v>
      </c>
      <c r="K83" s="181">
        <f t="shared" ca="1" si="24"/>
        <v>23.899398966488501</v>
      </c>
      <c r="L83" s="176">
        <f ca="1">IFERROR(__xludf.DUMMYFUNCTION("IMPORTRANGE(""https://docs.google.com/spreadsheets/d/1-uDff_7J0KD5mKrp0Vvzr7lt3OU09vwQwhkpOPPYv2Y/edit?usp=sharing"",""งบพรบ!FJ83"")"),53880)</f>
        <v>53880</v>
      </c>
      <c r="M83" s="179">
        <f t="shared" ca="1" si="25"/>
        <v>23.899398966488501</v>
      </c>
      <c r="N83" s="179">
        <f t="shared" ca="1" si="26"/>
        <v>31.064602611778952</v>
      </c>
      <c r="O83" s="180">
        <f ca="1">IFERROR(__xludf.DUMMYFUNCTION("IMPORTRANGE(""https://docs.google.com/spreadsheets/d/1-uDff_7J0KD5mKrp0Vvzr7lt3OU09vwQwhkpOPPYv2Y/edit?usp=sharing"",""งบพรบ!FK83"")"),0)</f>
        <v>0</v>
      </c>
      <c r="P83" s="180">
        <f t="shared" ca="1" si="27"/>
        <v>0</v>
      </c>
      <c r="Q83" s="179">
        <f t="shared" ca="1" si="28"/>
        <v>0</v>
      </c>
      <c r="R83" s="344">
        <f ca="1">IFERROR(__xludf.DUMMYFUNCTION("IMPORTRANGE(""https://docs.google.com/spreadsheets/d/1rd4qoM1q_hsgaolqNGfrim9gbsoLxQsda4-vOz5x_BM/edit?usp=sharing"",""ภูเก็ต!I368"")"),170)</f>
        <v>170</v>
      </c>
      <c r="S83" s="177">
        <f ca="1">IFERROR(__xludf.DUMMYFUNCTION("IMPORTRANGE(""https://docs.google.com/spreadsheets/d/1rd4qoM1q_hsgaolqNGfrim9gbsoLxQsda4-vOz5x_BM/edit?usp=sharing"",""ภูเก็ต!J367"")"),12)</f>
        <v>12</v>
      </c>
      <c r="T83" s="345">
        <f ca="1">IFERROR(__xludf.DUMMYFUNCTION("IMPORTRANGE(""https://docs.google.com/spreadsheets/d/1rd4qoM1q_hsgaolqNGfrim9gbsoLxQsda4-vOz5x_BM/edit?usp=sharing"",""ภูเก็ต!J368"")"),42.75)</f>
        <v>42.75</v>
      </c>
      <c r="U83" s="259">
        <f t="shared" ca="1" si="30"/>
        <v>25.147058823529413</v>
      </c>
      <c r="V83" s="344">
        <f ca="1">IFERROR(__xludf.DUMMYFUNCTION("IMPORTRANGE(""https://docs.google.com/spreadsheets/d/1rd4qoM1q_hsgaolqNGfrim9gbsoLxQsda4-vOz5x_BM/edit?usp=sharing"",""ภูเก็ต!I369"")"),31)</f>
        <v>31</v>
      </c>
      <c r="W83" s="177">
        <f ca="1">IFERROR(__xludf.DUMMYFUNCTION("IMPORTRANGE(""https://docs.google.com/spreadsheets/d/1rd4qoM1q_hsgaolqNGfrim9gbsoLxQsda4-vOz5x_BM/edit?usp=sharing"",""ภูเก็ต!J369"")"),14)</f>
        <v>14</v>
      </c>
      <c r="X83" s="345">
        <f ca="1">IFERROR(__xludf.DUMMYFUNCTION("IMPORTRANGE(""https://docs.google.com/spreadsheets/d/1rd4qoM1q_hsgaolqNGfrim9gbsoLxQsda4-vOz5x_BM/edit?usp=sharing"",""ภูเก็ต!J370"")"),59.5399999999999)</f>
        <v>59.5399999999999</v>
      </c>
      <c r="Y83" s="259">
        <f t="shared" ca="1" si="32"/>
        <v>45.161290322580648</v>
      </c>
      <c r="Z83" s="344">
        <f ca="1">IFERROR(__xludf.DUMMYFUNCTION("IMPORTRANGE(""https://docs.google.com/spreadsheets/d/1rd4qoM1q_hsgaolqNGfrim9gbsoLxQsda4-vOz5x_BM/edit?usp=sharing"",""ภูเก็ต!I371"")"),26)</f>
        <v>26</v>
      </c>
      <c r="AA83" s="177">
        <f ca="1">IFERROR(__xludf.DUMMYFUNCTION("IMPORTRANGE(""https://docs.google.com/spreadsheets/d/1rd4qoM1q_hsgaolqNGfrim9gbsoLxQsda4-vOz5x_BM/edit?usp=sharing"",""ภูเก็ต!J371"")"),14)</f>
        <v>14</v>
      </c>
      <c r="AB83" s="345">
        <f ca="1">IFERROR(__xludf.DUMMYFUNCTION("IMPORTRANGE(""https://docs.google.com/spreadsheets/d/1rd4qoM1q_hsgaolqNGfrim9gbsoLxQsda4-vOz5x_BM/edit?usp=sharing"",""ภูเก็ต!J372"")"),59.5399999999999)</f>
        <v>59.5399999999999</v>
      </c>
      <c r="AC83" s="259">
        <f t="shared" ca="1" si="34"/>
        <v>53.846153846153847</v>
      </c>
    </row>
    <row r="84" spans="1:29" ht="21" customHeight="1" x14ac:dyDescent="0.3">
      <c r="A84" s="84">
        <v>10</v>
      </c>
      <c r="B84" s="85" t="s">
        <v>106</v>
      </c>
      <c r="C84" s="174">
        <f t="shared" ca="1" si="21"/>
        <v>436105</v>
      </c>
      <c r="D84" s="175">
        <f t="shared" ca="1" si="50"/>
        <v>436105</v>
      </c>
      <c r="E84" s="176">
        <f ca="1">IFERROR(__xludf.DUMMYFUNCTION("IMPORTRANGE(""https://docs.google.com/spreadsheets/d/1-uDff_7J0KD5mKrp0Vvzr7lt3OU09vwQwhkpOPPYv2Y/edit?usp=sharing"",""งบพรบ!FD84"")"),275100)</f>
        <v>275100</v>
      </c>
      <c r="F84" s="176">
        <f ca="1">IFERROR(__xludf.DUMMYFUNCTION("IMPORTRANGE(""https://docs.google.com/spreadsheets/d/1-uDff_7J0KD5mKrp0Vvzr7lt3OU09vwQwhkpOPPYv2Y/edit?usp=sharing"",""งบพรบ!FE84"")"),161005)</f>
        <v>161005</v>
      </c>
      <c r="G84" s="176">
        <f ca="1">IFERROR(__xludf.DUMMYFUNCTION("IMPORTRANGE(""https://docs.google.com/spreadsheets/d/1-uDff_7J0KD5mKrp0Vvzr7lt3OU09vwQwhkpOPPYv2Y/edit?usp=sharing"",""งบพรบ!FF84"")"),0)</f>
        <v>0</v>
      </c>
      <c r="H84" s="176">
        <f ca="1">IFERROR(__xludf.DUMMYFUNCTION("IMPORTRANGE(""https://docs.google.com/spreadsheets/d/1-uDff_7J0KD5mKrp0Vvzr7lt3OU09vwQwhkpOPPYv2Y/edit?usp=sharing"",""งบพรบ!FH84"")"),331505)</f>
        <v>331505</v>
      </c>
      <c r="I84" s="176">
        <f ca="1">IFERROR(__xludf.DUMMYFUNCTION("IMPORTRANGE(""https://docs.google.com/spreadsheets/d/1-uDff_7J0KD5mKrp0Vvzr7lt3OU09vwQwhkpOPPYv2Y/edit?usp=sharing"",""งบพรบ!FI84"")"),0)</f>
        <v>0</v>
      </c>
      <c r="J84" s="176">
        <f t="shared" ca="1" si="23"/>
        <v>97180.64</v>
      </c>
      <c r="K84" s="181">
        <f t="shared" ca="1" si="24"/>
        <v>22.283771110168423</v>
      </c>
      <c r="L84" s="176">
        <f ca="1">IFERROR(__xludf.DUMMYFUNCTION("IMPORTRANGE(""https://docs.google.com/spreadsheets/d/1-uDff_7J0KD5mKrp0Vvzr7lt3OU09vwQwhkpOPPYv2Y/edit?usp=sharing"",""งบพรบ!FJ84"")"),97180.64)</f>
        <v>97180.64</v>
      </c>
      <c r="M84" s="179">
        <f t="shared" ca="1" si="25"/>
        <v>22.283771110168423</v>
      </c>
      <c r="N84" s="179">
        <f t="shared" ca="1" si="26"/>
        <v>29.3149846910303</v>
      </c>
      <c r="O84" s="180">
        <f ca="1">IFERROR(__xludf.DUMMYFUNCTION("IMPORTRANGE(""https://docs.google.com/spreadsheets/d/1-uDff_7J0KD5mKrp0Vvzr7lt3OU09vwQwhkpOPPYv2Y/edit?usp=sharing"",""งบพรบ!FK84"")"),0)</f>
        <v>0</v>
      </c>
      <c r="P84" s="180">
        <f t="shared" ca="1" si="27"/>
        <v>0</v>
      </c>
      <c r="Q84" s="179">
        <f t="shared" ca="1" si="28"/>
        <v>0</v>
      </c>
      <c r="R84" s="344">
        <f ca="1">IFERROR(__xludf.DUMMYFUNCTION("IMPORTRANGE(""https://docs.google.com/spreadsheets/d/1woKwKjgoLssDvPcPeVyezB5izizAn4X1JDrys69n6xI/edit?usp=sharing"",""ยะลา!I368"")"),460)</f>
        <v>460</v>
      </c>
      <c r="S84" s="177">
        <f ca="1">IFERROR(__xludf.DUMMYFUNCTION("IMPORTRANGE(""https://docs.google.com/spreadsheets/d/1woKwKjgoLssDvPcPeVyezB5izizAn4X1JDrys69n6xI/edit?usp=sharing"",""ยะลา!J367"")"),0)</f>
        <v>0</v>
      </c>
      <c r="T84" s="345">
        <f ca="1">IFERROR(__xludf.DUMMYFUNCTION("IMPORTRANGE(""https://docs.google.com/spreadsheets/d/1woKwKjgoLssDvPcPeVyezB5izizAn4X1JDrys69n6xI/edit?usp=sharing"",""ยะลา!J368"")"),0)</f>
        <v>0</v>
      </c>
      <c r="U84" s="259">
        <f t="shared" ca="1" si="30"/>
        <v>0</v>
      </c>
      <c r="V84" s="344">
        <f ca="1">IFERROR(__xludf.DUMMYFUNCTION("IMPORTRANGE(""https://docs.google.com/spreadsheets/d/1woKwKjgoLssDvPcPeVyezB5izizAn4X1JDrys69n6xI/edit?usp=sharing"",""ยะลา!I369"")"),59)</f>
        <v>59</v>
      </c>
      <c r="W84" s="177">
        <f ca="1">IFERROR(__xludf.DUMMYFUNCTION("IMPORTRANGE(""https://docs.google.com/spreadsheets/d/1woKwKjgoLssDvPcPeVyezB5izizAn4X1JDrys69n6xI/edit?usp=sharing"",""ยะลา!J369"")"),0)</f>
        <v>0</v>
      </c>
      <c r="X84" s="345">
        <f ca="1">IFERROR(__xludf.DUMMYFUNCTION("IMPORTRANGE(""https://docs.google.com/spreadsheets/d/1woKwKjgoLssDvPcPeVyezB5izizAn4X1JDrys69n6xI/edit?usp=sharing"",""ยะลา!J370"")"),0)</f>
        <v>0</v>
      </c>
      <c r="Y84" s="259">
        <f t="shared" ca="1" si="32"/>
        <v>0</v>
      </c>
      <c r="Z84" s="344">
        <f ca="1">IFERROR(__xludf.DUMMYFUNCTION("IMPORTRANGE(""https://docs.google.com/spreadsheets/d/1woKwKjgoLssDvPcPeVyezB5izizAn4X1JDrys69n6xI/edit?usp=sharing"",""ยะลา!I371"")"),42)</f>
        <v>42</v>
      </c>
      <c r="AA84" s="177">
        <f ca="1">IFERROR(__xludf.DUMMYFUNCTION("IMPORTRANGE(""https://docs.google.com/spreadsheets/d/1woKwKjgoLssDvPcPeVyezB5izizAn4X1JDrys69n6xI/edit?usp=sharing"",""ยะลา!J371"")"),0)</f>
        <v>0</v>
      </c>
      <c r="AB84" s="345">
        <f ca="1">IFERROR(__xludf.DUMMYFUNCTION("IMPORTRANGE(""https://docs.google.com/spreadsheets/d/1woKwKjgoLssDvPcPeVyezB5izizAn4X1JDrys69n6xI/edit?usp=sharing"",""ยะลา!J372"")"),0)</f>
        <v>0</v>
      </c>
      <c r="AC84" s="259">
        <f t="shared" ca="1" si="34"/>
        <v>0</v>
      </c>
    </row>
    <row r="85" spans="1:29" ht="21" customHeight="1" x14ac:dyDescent="0.3">
      <c r="A85" s="84">
        <v>11</v>
      </c>
      <c r="B85" s="85" t="s">
        <v>107</v>
      </c>
      <c r="C85" s="174">
        <f t="shared" ca="1" si="21"/>
        <v>341160</v>
      </c>
      <c r="D85" s="175">
        <f t="shared" ca="1" si="50"/>
        <v>341160</v>
      </c>
      <c r="E85" s="176">
        <f ca="1">IFERROR(__xludf.DUMMYFUNCTION("IMPORTRANGE(""https://docs.google.com/spreadsheets/d/1-uDff_7J0KD5mKrp0Vvzr7lt3OU09vwQwhkpOPPYv2Y/edit?usp=sharing"",""งบพรบ!FD85"")"),184100)</f>
        <v>184100</v>
      </c>
      <c r="F85" s="176">
        <f ca="1">IFERROR(__xludf.DUMMYFUNCTION("IMPORTRANGE(""https://docs.google.com/spreadsheets/d/1-uDff_7J0KD5mKrp0Vvzr7lt3OU09vwQwhkpOPPYv2Y/edit?usp=sharing"",""งบพรบ!FE85"")"),157060)</f>
        <v>157060</v>
      </c>
      <c r="G85" s="176">
        <f ca="1">IFERROR(__xludf.DUMMYFUNCTION("IMPORTRANGE(""https://docs.google.com/spreadsheets/d/1-uDff_7J0KD5mKrp0Vvzr7lt3OU09vwQwhkpOPPYv2Y/edit?usp=sharing"",""งบพรบ!FF85"")"),0)</f>
        <v>0</v>
      </c>
      <c r="H85" s="176">
        <f ca="1">IFERROR(__xludf.DUMMYFUNCTION("IMPORTRANGE(""https://docs.google.com/spreadsheets/d/1-uDff_7J0KD5mKrp0Vvzr7lt3OU09vwQwhkpOPPYv2Y/edit?usp=sharing"",""งบพรบ!FH85"")"),262560)</f>
        <v>262560</v>
      </c>
      <c r="I85" s="176">
        <f ca="1">IFERROR(__xludf.DUMMYFUNCTION("IMPORTRANGE(""https://docs.google.com/spreadsheets/d/1-uDff_7J0KD5mKrp0Vvzr7lt3OU09vwQwhkpOPPYv2Y/edit?usp=sharing"",""งบพรบ!FI85"")"),0)</f>
        <v>0</v>
      </c>
      <c r="J85" s="176">
        <f t="shared" ca="1" si="23"/>
        <v>44456.67</v>
      </c>
      <c r="K85" s="181">
        <f t="shared" ca="1" si="24"/>
        <v>13.031032360182905</v>
      </c>
      <c r="L85" s="176">
        <f ca="1">IFERROR(__xludf.DUMMYFUNCTION("IMPORTRANGE(""https://docs.google.com/spreadsheets/d/1-uDff_7J0KD5mKrp0Vvzr7lt3OU09vwQwhkpOPPYv2Y/edit?usp=sharing"",""งบพรบ!FJ85"")"),44456.67)</f>
        <v>44456.67</v>
      </c>
      <c r="M85" s="179">
        <f t="shared" ca="1" si="25"/>
        <v>13.031032360182905</v>
      </c>
      <c r="N85" s="179">
        <f t="shared" ca="1" si="26"/>
        <v>16.932004113345521</v>
      </c>
      <c r="O85" s="180">
        <f ca="1">IFERROR(__xludf.DUMMYFUNCTION("IMPORTRANGE(""https://docs.google.com/spreadsheets/d/1-uDff_7J0KD5mKrp0Vvzr7lt3OU09vwQwhkpOPPYv2Y/edit?usp=sharing"",""งบพรบ!FK85"")"),0)</f>
        <v>0</v>
      </c>
      <c r="P85" s="180">
        <f t="shared" ca="1" si="27"/>
        <v>0</v>
      </c>
      <c r="Q85" s="179">
        <f t="shared" ca="1" si="28"/>
        <v>0</v>
      </c>
      <c r="R85" s="344">
        <f ca="1">IFERROR(__xludf.DUMMYFUNCTION("IMPORTRANGE(""https://docs.google.com/spreadsheets/d/1qfrKjzMhm2HJfxQ-qVlJlJQ25Hne1d0khsySbZyGtPA/edit?usp=sharing"",""ระนอง!I368"")"),355)</f>
        <v>355</v>
      </c>
      <c r="S85" s="177">
        <f ca="1">IFERROR(__xludf.DUMMYFUNCTION("IMPORTRANGE(""https://docs.google.com/spreadsheets/d/1qfrKjzMhm2HJfxQ-qVlJlJQ25Hne1d0khsySbZyGtPA/edit?usp=sharing"",""ระนอง!J367"")"),9)</f>
        <v>9</v>
      </c>
      <c r="T85" s="345">
        <f ca="1">IFERROR(__xludf.DUMMYFUNCTION("IMPORTRANGE(""https://docs.google.com/spreadsheets/d/1qfrKjzMhm2HJfxQ-qVlJlJQ25Hne1d0khsySbZyGtPA/edit?usp=sharing"",""ระนอง!J368"")"),52.56)</f>
        <v>52.56</v>
      </c>
      <c r="U85" s="259">
        <f t="shared" ca="1" si="30"/>
        <v>14.805633802816901</v>
      </c>
      <c r="V85" s="344">
        <f ca="1">IFERROR(__xludf.DUMMYFUNCTION("IMPORTRANGE(""https://docs.google.com/spreadsheets/d/1qfrKjzMhm2HJfxQ-qVlJlJQ25Hne1d0khsySbZyGtPA/edit?usp=sharing"",""ระนอง!I369"")"),53)</f>
        <v>53</v>
      </c>
      <c r="W85" s="177">
        <f ca="1">IFERROR(__xludf.DUMMYFUNCTION("IMPORTRANGE(""https://docs.google.com/spreadsheets/d/1qfrKjzMhm2HJfxQ-qVlJlJQ25Hne1d0khsySbZyGtPA/edit?usp=sharing"",""ระนอง!J369"")"),25)</f>
        <v>25</v>
      </c>
      <c r="X85" s="345">
        <f ca="1">IFERROR(__xludf.DUMMYFUNCTION("IMPORTRANGE(""https://docs.google.com/spreadsheets/d/1qfrKjzMhm2HJfxQ-qVlJlJQ25Hne1d0khsySbZyGtPA/edit?usp=sharing"",""ระนอง!J370"")"),392.69)</f>
        <v>392.69</v>
      </c>
      <c r="Y85" s="259">
        <f t="shared" ca="1" si="32"/>
        <v>47.169811320754718</v>
      </c>
      <c r="Z85" s="344">
        <f ca="1">IFERROR(__xludf.DUMMYFUNCTION("IMPORTRANGE(""https://docs.google.com/spreadsheets/d/1qfrKjzMhm2HJfxQ-qVlJlJQ25Hne1d0khsySbZyGtPA/edit?usp=sharing"",""ระนอง!I371"")"),34)</f>
        <v>34</v>
      </c>
      <c r="AA85" s="177">
        <f ca="1">IFERROR(__xludf.DUMMYFUNCTION("IMPORTRANGE(""https://docs.google.com/spreadsheets/d/1qfrKjzMhm2HJfxQ-qVlJlJQ25Hne1d0khsySbZyGtPA/edit?usp=sharing"",""ระนอง!J371"")"),25)</f>
        <v>25</v>
      </c>
      <c r="AB85" s="345">
        <f ca="1">IFERROR(__xludf.DUMMYFUNCTION("IMPORTRANGE(""https://docs.google.com/spreadsheets/d/1qfrKjzMhm2HJfxQ-qVlJlJQ25Hne1d0khsySbZyGtPA/edit?usp=sharing"",""ระนอง!J372"")"),392.69)</f>
        <v>392.69</v>
      </c>
      <c r="AC85" s="259">
        <f t="shared" ca="1" si="34"/>
        <v>73.529411764705884</v>
      </c>
    </row>
    <row r="86" spans="1:29" ht="24" customHeight="1" x14ac:dyDescent="0.3">
      <c r="A86" s="84">
        <v>12</v>
      </c>
      <c r="B86" s="85" t="s">
        <v>108</v>
      </c>
      <c r="C86" s="174">
        <f t="shared" ca="1" si="21"/>
        <v>607245</v>
      </c>
      <c r="D86" s="175">
        <f t="shared" ca="1" si="50"/>
        <v>607245</v>
      </c>
      <c r="E86" s="176">
        <f ca="1">IFERROR(__xludf.DUMMYFUNCTION("IMPORTRANGE(""https://docs.google.com/spreadsheets/d/1-uDff_7J0KD5mKrp0Vvzr7lt3OU09vwQwhkpOPPYv2Y/edit?usp=sharing"",""งบพรบ!FD86"")"),341600)</f>
        <v>341600</v>
      </c>
      <c r="F86" s="176">
        <f ca="1">IFERROR(__xludf.DUMMYFUNCTION("IMPORTRANGE(""https://docs.google.com/spreadsheets/d/1-uDff_7J0KD5mKrp0Vvzr7lt3OU09vwQwhkpOPPYv2Y/edit?usp=sharing"",""งบพรบ!FE86"")"),265645)</f>
        <v>265645</v>
      </c>
      <c r="G86" s="176">
        <f ca="1">IFERROR(__xludf.DUMMYFUNCTION("IMPORTRANGE(""https://docs.google.com/spreadsheets/d/1-uDff_7J0KD5mKrp0Vvzr7lt3OU09vwQwhkpOPPYv2Y/edit?usp=sharing"",""งบพรบ!FF86"")"),0)</f>
        <v>0</v>
      </c>
      <c r="H86" s="176">
        <f ca="1">IFERROR(__xludf.DUMMYFUNCTION("IMPORTRANGE(""https://docs.google.com/spreadsheets/d/1-uDff_7J0KD5mKrp0Vvzr7lt3OU09vwQwhkpOPPYv2Y/edit?usp=sharing"",""งบพรบ!FH86"")"),497445)</f>
        <v>497445</v>
      </c>
      <c r="I86" s="176">
        <f ca="1">IFERROR(__xludf.DUMMYFUNCTION("IMPORTRANGE(""https://docs.google.com/spreadsheets/d/1-uDff_7J0KD5mKrp0Vvzr7lt3OU09vwQwhkpOPPYv2Y/edit?usp=sharing"",""งบพรบ!FI86"")"),0)</f>
        <v>0</v>
      </c>
      <c r="J86" s="176">
        <f t="shared" ca="1" si="23"/>
        <v>195342</v>
      </c>
      <c r="K86" s="181">
        <f t="shared" ca="1" si="24"/>
        <v>32.168564582664331</v>
      </c>
      <c r="L86" s="176">
        <f ca="1">IFERROR(__xludf.DUMMYFUNCTION("IMPORTRANGE(""https://docs.google.com/spreadsheets/d/1-uDff_7J0KD5mKrp0Vvzr7lt3OU09vwQwhkpOPPYv2Y/edit?usp=sharing"",""งบพรบ!FJ86"")"),195342)</f>
        <v>195342</v>
      </c>
      <c r="M86" s="179">
        <f t="shared" ca="1" si="25"/>
        <v>32.168564582664331</v>
      </c>
      <c r="N86" s="179">
        <f t="shared" ca="1" si="26"/>
        <v>39.269064921750143</v>
      </c>
      <c r="O86" s="180">
        <f ca="1">IFERROR(__xludf.DUMMYFUNCTION("IMPORTRANGE(""https://docs.google.com/spreadsheets/d/1-uDff_7J0KD5mKrp0Vvzr7lt3OU09vwQwhkpOPPYv2Y/edit?usp=sharing"",""งบพรบ!FK86"")"),0)</f>
        <v>0</v>
      </c>
      <c r="P86" s="180">
        <f t="shared" ca="1" si="27"/>
        <v>0</v>
      </c>
      <c r="Q86" s="179">
        <f t="shared" ca="1" si="28"/>
        <v>0</v>
      </c>
      <c r="R86" s="344">
        <f ca="1">IFERROR(__xludf.DUMMYFUNCTION("IMPORTRANGE(""https://docs.google.com/spreadsheets/d/1IbSCnFOKpZsnFogBHJnL_isstZVaOMnFiIN0fGTPZZw/edit?usp=sharing"",""สงขลา!I368"")"),1390)</f>
        <v>1390</v>
      </c>
      <c r="S86" s="177">
        <f ca="1">IFERROR(__xludf.DUMMYFUNCTION("IMPORTRANGE(""https://docs.google.com/spreadsheets/d/1IbSCnFOKpZsnFogBHJnL_isstZVaOMnFiIN0fGTPZZw/edit?usp=sharing"",""สงขลา!J367"")"),36)</f>
        <v>36</v>
      </c>
      <c r="T86" s="345">
        <f ca="1">IFERROR(__xludf.DUMMYFUNCTION("IMPORTRANGE(""https://docs.google.com/spreadsheets/d/1IbSCnFOKpZsnFogBHJnL_isstZVaOMnFiIN0fGTPZZw/edit?usp=sharing"",""สงขลา!J368"")"),315.17)</f>
        <v>315.17</v>
      </c>
      <c r="U86" s="259">
        <f t="shared" ca="1" si="30"/>
        <v>22.674100719424459</v>
      </c>
      <c r="V86" s="344">
        <f ca="1">IFERROR(__xludf.DUMMYFUNCTION("IMPORTRANGE(""https://docs.google.com/spreadsheets/d/1IbSCnFOKpZsnFogBHJnL_isstZVaOMnFiIN0fGTPZZw/edit?usp=sharing"",""สงขลา!I369"")"),242)</f>
        <v>242</v>
      </c>
      <c r="W86" s="177">
        <f ca="1">IFERROR(__xludf.DUMMYFUNCTION("IMPORTRANGE(""https://docs.google.com/spreadsheets/d/1IbSCnFOKpZsnFogBHJnL_isstZVaOMnFiIN0fGTPZZw/edit?usp=sharing"",""สงขลา!J369"")"),56)</f>
        <v>56</v>
      </c>
      <c r="X86" s="345">
        <f ca="1">IFERROR(__xludf.DUMMYFUNCTION("IMPORTRANGE(""https://docs.google.com/spreadsheets/d/1IbSCnFOKpZsnFogBHJnL_isstZVaOMnFiIN0fGTPZZw/edit?usp=sharing"",""สงขลา!J370"")"),618.22)</f>
        <v>618.22</v>
      </c>
      <c r="Y86" s="259">
        <f t="shared" ca="1" si="32"/>
        <v>23.140495867768596</v>
      </c>
      <c r="Z86" s="344">
        <f ca="1">IFERROR(__xludf.DUMMYFUNCTION("IMPORTRANGE(""https://docs.google.com/spreadsheets/d/1IbSCnFOKpZsnFogBHJnL_isstZVaOMnFiIN0fGTPZZw/edit?usp=sharing"",""สงขลา!I371"")"),154)</f>
        <v>154</v>
      </c>
      <c r="AA86" s="177">
        <f ca="1">IFERROR(__xludf.DUMMYFUNCTION("IMPORTRANGE(""https://docs.google.com/spreadsheets/d/1IbSCnFOKpZsnFogBHJnL_isstZVaOMnFiIN0fGTPZZw/edit?usp=sharing"",""สงขลา!J371"")"),56)</f>
        <v>56</v>
      </c>
      <c r="AB86" s="345">
        <f ca="1">IFERROR(__xludf.DUMMYFUNCTION("IMPORTRANGE(""https://docs.google.com/spreadsheets/d/1IbSCnFOKpZsnFogBHJnL_isstZVaOMnFiIN0fGTPZZw/edit?usp=sharing"",""สงขลา!J372"")"),618.22)</f>
        <v>618.22</v>
      </c>
      <c r="AC86" s="259">
        <f t="shared" ca="1" si="34"/>
        <v>36.363636363636367</v>
      </c>
    </row>
    <row r="87" spans="1:29" ht="24" customHeight="1" x14ac:dyDescent="0.3">
      <c r="A87" s="84">
        <v>13</v>
      </c>
      <c r="B87" s="85" t="s">
        <v>109</v>
      </c>
      <c r="C87" s="174">
        <f t="shared" ca="1" si="21"/>
        <v>142885</v>
      </c>
      <c r="D87" s="175">
        <f t="shared" ca="1" si="50"/>
        <v>142885</v>
      </c>
      <c r="E87" s="176">
        <f ca="1">IFERROR(__xludf.DUMMYFUNCTION("IMPORTRANGE(""https://docs.google.com/spreadsheets/d/1-uDff_7J0KD5mKrp0Vvzr7lt3OU09vwQwhkpOPPYv2Y/edit?usp=sharing"",""งบพรบ!FD87"")"),0)</f>
        <v>0</v>
      </c>
      <c r="F87" s="176">
        <f ca="1">IFERROR(__xludf.DUMMYFUNCTION("IMPORTRANGE(""https://docs.google.com/spreadsheets/d/1-uDff_7J0KD5mKrp0Vvzr7lt3OU09vwQwhkpOPPYv2Y/edit?usp=sharing"",""งบพรบ!FE87"")"),142885)</f>
        <v>142885</v>
      </c>
      <c r="G87" s="176">
        <f ca="1">IFERROR(__xludf.DUMMYFUNCTION("IMPORTRANGE(""https://docs.google.com/spreadsheets/d/1-uDff_7J0KD5mKrp0Vvzr7lt3OU09vwQwhkpOPPYv2Y/edit?usp=sharing"",""งบพรบ!FF87"")"),0)</f>
        <v>0</v>
      </c>
      <c r="H87" s="176">
        <f ca="1">IFERROR(__xludf.DUMMYFUNCTION("IMPORTRANGE(""https://docs.google.com/spreadsheets/d/1-uDff_7J0KD5mKrp0Vvzr7lt3OU09vwQwhkpOPPYv2Y/edit?usp=sharing"",""งบพรบ!FH87"")"),116885)</f>
        <v>116885</v>
      </c>
      <c r="I87" s="176">
        <f ca="1">IFERROR(__xludf.DUMMYFUNCTION("IMPORTRANGE(""https://docs.google.com/spreadsheets/d/1-uDff_7J0KD5mKrp0Vvzr7lt3OU09vwQwhkpOPPYv2Y/edit?usp=sharing"",""งบพรบ!FI87"")"),0)</f>
        <v>0</v>
      </c>
      <c r="J87" s="176">
        <f t="shared" ca="1" si="23"/>
        <v>10880</v>
      </c>
      <c r="K87" s="181">
        <f t="shared" ca="1" si="24"/>
        <v>7.6145151695419395</v>
      </c>
      <c r="L87" s="176">
        <f ca="1">IFERROR(__xludf.DUMMYFUNCTION("IMPORTRANGE(""https://docs.google.com/spreadsheets/d/1-uDff_7J0KD5mKrp0Vvzr7lt3OU09vwQwhkpOPPYv2Y/edit?usp=sharing"",""งบพรบ!FJ87"")"),10880)</f>
        <v>10880</v>
      </c>
      <c r="M87" s="179">
        <f t="shared" ca="1" si="25"/>
        <v>7.6145151695419395</v>
      </c>
      <c r="N87" s="179">
        <f t="shared" ca="1" si="26"/>
        <v>9.3082944774778635</v>
      </c>
      <c r="O87" s="180">
        <f ca="1">IFERROR(__xludf.DUMMYFUNCTION("IMPORTRANGE(""https://docs.google.com/spreadsheets/d/1-uDff_7J0KD5mKrp0Vvzr7lt3OU09vwQwhkpOPPYv2Y/edit?usp=sharing"",""งบพรบ!FK87"")"),0)</f>
        <v>0</v>
      </c>
      <c r="P87" s="180">
        <f t="shared" ca="1" si="27"/>
        <v>0</v>
      </c>
      <c r="Q87" s="179">
        <f t="shared" ca="1" si="28"/>
        <v>0</v>
      </c>
      <c r="R87" s="344">
        <f ca="1">IFERROR(__xludf.DUMMYFUNCTION("IMPORTRANGE(""https://docs.google.com/spreadsheets/d/1q9nWasZJ-K8bFGvbE9n0qSRuKGA4Toe3Y89cKCiVtCU/edit?usp=sharing"",""สตูล!I368"")"),265)</f>
        <v>265</v>
      </c>
      <c r="S87" s="177">
        <f ca="1">IFERROR(__xludf.DUMMYFUNCTION("IMPORTRANGE(""https://docs.google.com/spreadsheets/d/1q9nWasZJ-K8bFGvbE9n0qSRuKGA4Toe3Y89cKCiVtCU/edit?usp=sharing"",""สตูล!J367"")"),0)</f>
        <v>0</v>
      </c>
      <c r="T87" s="345">
        <f ca="1">IFERROR(__xludf.DUMMYFUNCTION("IMPORTRANGE(""https://docs.google.com/spreadsheets/d/1q9nWasZJ-K8bFGvbE9n0qSRuKGA4Toe3Y89cKCiVtCU/edit?usp=sharing"",""สตูล!J368"")"),0)</f>
        <v>0</v>
      </c>
      <c r="U87" s="259">
        <f t="shared" ca="1" si="30"/>
        <v>0</v>
      </c>
      <c r="V87" s="344">
        <f ca="1">IFERROR(__xludf.DUMMYFUNCTION("IMPORTRANGE(""https://docs.google.com/spreadsheets/d/1q9nWasZJ-K8bFGvbE9n0qSRuKGA4Toe3Y89cKCiVtCU/edit?usp=sharing"",""สตูล!I369"")"),38)</f>
        <v>38</v>
      </c>
      <c r="W87" s="177">
        <f ca="1">IFERROR(__xludf.DUMMYFUNCTION("IMPORTRANGE(""https://docs.google.com/spreadsheets/d/1q9nWasZJ-K8bFGvbE9n0qSRuKGA4Toe3Y89cKCiVtCU/edit?usp=sharing"",""สตูล!J369"")"),19)</f>
        <v>19</v>
      </c>
      <c r="X87" s="345">
        <f ca="1">IFERROR(__xludf.DUMMYFUNCTION("IMPORTRANGE(""https://docs.google.com/spreadsheets/d/1q9nWasZJ-K8bFGvbE9n0qSRuKGA4Toe3Y89cKCiVtCU/edit?usp=sharing"",""สตูล!J370"")"),95.19)</f>
        <v>95.19</v>
      </c>
      <c r="Y87" s="259">
        <f t="shared" ca="1" si="32"/>
        <v>50</v>
      </c>
      <c r="Z87" s="344">
        <f ca="1">IFERROR(__xludf.DUMMYFUNCTION("IMPORTRANGE(""https://docs.google.com/spreadsheets/d/1q9nWasZJ-K8bFGvbE9n0qSRuKGA4Toe3Y89cKCiVtCU/edit?usp=sharing"",""สตูล!I371"")"),28)</f>
        <v>28</v>
      </c>
      <c r="AA87" s="177">
        <f ca="1">IFERROR(__xludf.DUMMYFUNCTION("IMPORTRANGE(""https://docs.google.com/spreadsheets/d/1q9nWasZJ-K8bFGvbE9n0qSRuKGA4Toe3Y89cKCiVtCU/edit?usp=sharing"",""สตูล!J371"")"),19)</f>
        <v>19</v>
      </c>
      <c r="AB87" s="345">
        <f ca="1">IFERROR(__xludf.DUMMYFUNCTION("IMPORTRANGE(""https://docs.google.com/spreadsheets/d/1q9nWasZJ-K8bFGvbE9n0qSRuKGA4Toe3Y89cKCiVtCU/edit?usp=sharing"",""สตูล!J372"")"),95.19)</f>
        <v>95.19</v>
      </c>
      <c r="AC87" s="259">
        <f t="shared" ca="1" si="34"/>
        <v>67.857142857142861</v>
      </c>
    </row>
    <row r="88" spans="1:29" ht="24" customHeight="1" x14ac:dyDescent="0.3">
      <c r="A88" s="95">
        <v>14</v>
      </c>
      <c r="B88" s="96" t="s">
        <v>110</v>
      </c>
      <c r="C88" s="184">
        <f t="shared" ca="1" si="21"/>
        <v>746400</v>
      </c>
      <c r="D88" s="185">
        <f t="shared" ca="1" si="50"/>
        <v>746400</v>
      </c>
      <c r="E88" s="186">
        <f ca="1">IFERROR(__xludf.DUMMYFUNCTION("IMPORTRANGE(""https://docs.google.com/spreadsheets/d/1-uDff_7J0KD5mKrp0Vvzr7lt3OU09vwQwhkpOPPYv2Y/edit?usp=sharing"",""งบพรบ!FD88"")"),199500)</f>
        <v>199500</v>
      </c>
      <c r="F88" s="186">
        <f ca="1">IFERROR(__xludf.DUMMYFUNCTION("IMPORTRANGE(""https://docs.google.com/spreadsheets/d/1-uDff_7J0KD5mKrp0Vvzr7lt3OU09vwQwhkpOPPYv2Y/edit?usp=sharing"",""งบพรบ!FE88"")"),546900)</f>
        <v>546900</v>
      </c>
      <c r="G88" s="186">
        <f ca="1">IFERROR(__xludf.DUMMYFUNCTION("IMPORTRANGE(""https://docs.google.com/spreadsheets/d/1-uDff_7J0KD5mKrp0Vvzr7lt3OU09vwQwhkpOPPYv2Y/edit?usp=sharing"",""งบพรบ!FF88"")"),0)</f>
        <v>0</v>
      </c>
      <c r="H88" s="186">
        <f ca="1">IFERROR(__xludf.DUMMYFUNCTION("IMPORTRANGE(""https://docs.google.com/spreadsheets/d/1-uDff_7J0KD5mKrp0Vvzr7lt3OU09vwQwhkpOPPYv2Y/edit?usp=sharing"",""งบพรบ!FH88"")"),637400)</f>
        <v>637400</v>
      </c>
      <c r="I88" s="186">
        <f ca="1">IFERROR(__xludf.DUMMYFUNCTION("IMPORTRANGE(""https://docs.google.com/spreadsheets/d/1-uDff_7J0KD5mKrp0Vvzr7lt3OU09vwQwhkpOPPYv2Y/edit?usp=sharing"",""งบพรบ!FI88"")"),0)</f>
        <v>0</v>
      </c>
      <c r="J88" s="186">
        <f t="shared" ca="1" si="23"/>
        <v>216846.69</v>
      </c>
      <c r="K88" s="187">
        <f t="shared" ca="1" si="24"/>
        <v>29.052343247588425</v>
      </c>
      <c r="L88" s="186">
        <f ca="1">IFERROR(__xludf.DUMMYFUNCTION("IMPORTRANGE(""https://docs.google.com/spreadsheets/d/1-uDff_7J0KD5mKrp0Vvzr7lt3OU09vwQwhkpOPPYv2Y/edit?usp=sharing"",""งบพรบ!FJ88"")"),216846.69)</f>
        <v>216846.69</v>
      </c>
      <c r="M88" s="188">
        <f t="shared" ca="1" si="25"/>
        <v>29.052343247588425</v>
      </c>
      <c r="N88" s="188">
        <f t="shared" ca="1" si="26"/>
        <v>34.020503608409165</v>
      </c>
      <c r="O88" s="189">
        <f ca="1">IFERROR(__xludf.DUMMYFUNCTION("IMPORTRANGE(""https://docs.google.com/spreadsheets/d/1-uDff_7J0KD5mKrp0Vvzr7lt3OU09vwQwhkpOPPYv2Y/edit?usp=sharing"",""งบพรบ!FK88"")"),0)</f>
        <v>0</v>
      </c>
      <c r="P88" s="189">
        <f t="shared" ca="1" si="27"/>
        <v>0</v>
      </c>
      <c r="Q88" s="188">
        <f t="shared" ca="1" si="28"/>
        <v>0</v>
      </c>
      <c r="R88" s="347">
        <f ca="1">IFERROR(__xludf.DUMMYFUNCTION("IMPORTRANGE(""https://docs.google.com/spreadsheets/d/18T20gbkS_WBjdscyTOV05cvq_JqvqQ17C81mpxf7Ncs/edit?usp=sharing"",""สุราษฎร์ธานี!I368"")"),3285)</f>
        <v>3285</v>
      </c>
      <c r="S88" s="190">
        <f ca="1">IFERROR(__xludf.DUMMYFUNCTION("IMPORTRANGE(""https://docs.google.com/spreadsheets/d/18T20gbkS_WBjdscyTOV05cvq_JqvqQ17C81mpxf7Ncs/edit?usp=sharing"",""สุราษฎร์ธานี!J367"")"),9)</f>
        <v>9</v>
      </c>
      <c r="T88" s="348">
        <f ca="1">IFERROR(__xludf.DUMMYFUNCTION("IMPORTRANGE(""https://docs.google.com/spreadsheets/d/18T20gbkS_WBjdscyTOV05cvq_JqvqQ17C81mpxf7Ncs/edit?usp=sharing"",""สุราษฎร์ธานี!J368"")"),80.13)</f>
        <v>80.13</v>
      </c>
      <c r="U88" s="261">
        <f t="shared" ca="1" si="30"/>
        <v>2.4392694063926941</v>
      </c>
      <c r="V88" s="347">
        <f ca="1">IFERROR(__xludf.DUMMYFUNCTION("IMPORTRANGE(""https://docs.google.com/spreadsheets/d/18T20gbkS_WBjdscyTOV05cvq_JqvqQ17C81mpxf7Ncs/edit?usp=sharing"",""สุราษฎร์ธานี!I369"")"),521)</f>
        <v>521</v>
      </c>
      <c r="W88" s="190">
        <f ca="1">IFERROR(__xludf.DUMMYFUNCTION("IMPORTRANGE(""https://docs.google.com/spreadsheets/d/18T20gbkS_WBjdscyTOV05cvq_JqvqQ17C81mpxf7Ncs/edit?usp=sharing"",""สุราษฎร์ธานี!J369"")"),584)</f>
        <v>584</v>
      </c>
      <c r="X88" s="348">
        <f ca="1">IFERROR(__xludf.DUMMYFUNCTION("IMPORTRANGE(""https://docs.google.com/spreadsheets/d/18T20gbkS_WBjdscyTOV05cvq_JqvqQ17C81mpxf7Ncs/edit?usp=sharing"",""สุราษฎร์ธานี!J370"")"),8477.68)</f>
        <v>8477.68</v>
      </c>
      <c r="Y88" s="261">
        <f t="shared" ca="1" si="32"/>
        <v>112.09213051823417</v>
      </c>
      <c r="Z88" s="347">
        <f ca="1">IFERROR(__xludf.DUMMYFUNCTION("IMPORTRANGE(""https://docs.google.com/spreadsheets/d/18T20gbkS_WBjdscyTOV05cvq_JqvqQ17C81mpxf7Ncs/edit?usp=sharing"",""สุราษฎร์ธานี!I371"")"),341)</f>
        <v>341</v>
      </c>
      <c r="AA88" s="190">
        <f ca="1">IFERROR(__xludf.DUMMYFUNCTION("IMPORTRANGE(""https://docs.google.com/spreadsheets/d/18T20gbkS_WBjdscyTOV05cvq_JqvqQ17C81mpxf7Ncs/edit?usp=sharing"",""สุราษฎร์ธานี!J371"")"),583)</f>
        <v>583</v>
      </c>
      <c r="AB88" s="348">
        <f ca="1">IFERROR(__xludf.DUMMYFUNCTION("IMPORTRANGE(""https://docs.google.com/spreadsheets/d/18T20gbkS_WBjdscyTOV05cvq_JqvqQ17C81mpxf7Ncs/edit?usp=sharing"",""สุราษฎร์ธานี!J372"")"),8471.45)</f>
        <v>8471.4500000000007</v>
      </c>
      <c r="AC88" s="261">
        <f t="shared" ca="1" si="34"/>
        <v>170.96774193548387</v>
      </c>
    </row>
    <row r="89" spans="1:29" ht="21" customHeight="1" x14ac:dyDescent="0.3">
      <c r="A89" s="424" t="s">
        <v>111</v>
      </c>
      <c r="B89" s="422"/>
      <c r="C89" s="47">
        <f t="shared" ref="C89:Q89" ca="1" si="51">SUM(C90:C106)</f>
        <v>25043055</v>
      </c>
      <c r="D89" s="46">
        <f t="shared" ca="1" si="51"/>
        <v>25043055</v>
      </c>
      <c r="E89" s="46">
        <f t="shared" ca="1" si="51"/>
        <v>15344200</v>
      </c>
      <c r="F89" s="46">
        <f t="shared" ca="1" si="51"/>
        <v>9698855</v>
      </c>
      <c r="G89" s="46">
        <f t="shared" ca="1" si="51"/>
        <v>0</v>
      </c>
      <c r="H89" s="46">
        <f t="shared" ca="1" si="51"/>
        <v>18237235</v>
      </c>
      <c r="I89" s="46">
        <f t="shared" ca="1" si="51"/>
        <v>0</v>
      </c>
      <c r="J89" s="46">
        <f t="shared" ca="1" si="51"/>
        <v>5304211.93</v>
      </c>
      <c r="K89" s="48">
        <f t="shared" ca="1" si="51"/>
        <v>679.75828958587817</v>
      </c>
      <c r="L89" s="46">
        <f t="shared" ca="1" si="51"/>
        <v>5304211.93</v>
      </c>
      <c r="M89" s="48">
        <f t="shared" ca="1" si="51"/>
        <v>679.75828958587817</v>
      </c>
      <c r="N89" s="48">
        <f t="shared" ca="1" si="51"/>
        <v>414.30980604797571</v>
      </c>
      <c r="O89" s="46">
        <f t="shared" ca="1" si="51"/>
        <v>0</v>
      </c>
      <c r="P89" s="46">
        <f t="shared" ca="1" si="51"/>
        <v>0</v>
      </c>
      <c r="Q89" s="46">
        <f t="shared" ca="1" si="51"/>
        <v>0</v>
      </c>
      <c r="R89" s="254"/>
      <c r="S89" s="254"/>
      <c r="T89" s="254"/>
      <c r="U89" s="253"/>
      <c r="V89" s="254"/>
      <c r="W89" s="254"/>
      <c r="X89" s="254"/>
      <c r="Y89" s="253"/>
      <c r="Z89" s="253"/>
      <c r="AA89" s="253"/>
      <c r="AB89" s="253"/>
      <c r="AC89" s="253"/>
    </row>
    <row r="90" spans="1:29" ht="24" customHeight="1" x14ac:dyDescent="0.3">
      <c r="A90" s="192"/>
      <c r="B90" s="114" t="s">
        <v>112</v>
      </c>
      <c r="C90" s="193">
        <f t="shared" ref="C90:C106" ca="1" si="52">D90+G90</f>
        <v>91000</v>
      </c>
      <c r="D90" s="194">
        <f t="shared" ref="D90:D106" ca="1" si="53">+E90+F90</f>
        <v>91000</v>
      </c>
      <c r="E90" s="78">
        <f ca="1">IFERROR(__xludf.DUMMYFUNCTION("IMPORTRANGE(""https://docs.google.com/spreadsheets/d/1-uDff_7J0KD5mKrp0Vvzr7lt3OU09vwQwhkpOPPYv2Y/edit?usp=sharing"",""งบพรบ!FD90"")"),91000)</f>
        <v>91000</v>
      </c>
      <c r="F90" s="78">
        <f ca="1">IFERROR(__xludf.DUMMYFUNCTION("IMPORTRANGE(""https://docs.google.com/spreadsheets/d/1-uDff_7J0KD5mKrp0Vvzr7lt3OU09vwQwhkpOPPYv2Y/edit?usp=sharing"",""งบพรบ!FE90"")"),0)</f>
        <v>0</v>
      </c>
      <c r="G90" s="78">
        <f ca="1">IFERROR(__xludf.DUMMYFUNCTION("IMPORTRANGE(""https://docs.google.com/spreadsheets/d/1-uDff_7J0KD5mKrp0Vvzr7lt3OU09vwQwhkpOPPYv2Y/edit?usp=sharing"",""งบพรบ!FF90"")"),0)</f>
        <v>0</v>
      </c>
      <c r="H90" s="78">
        <f ca="1">IFERROR(__xludf.DUMMYFUNCTION("IMPORTRANGE(""https://docs.google.com/spreadsheets/d/1-uDff_7J0KD5mKrp0Vvzr7lt3OU09vwQwhkpOPPYv2Y/edit?usp=sharing"",""งบพรบ!FH90"")"),65000)</f>
        <v>65000</v>
      </c>
      <c r="I90" s="78">
        <f ca="1">IFERROR(__xludf.DUMMYFUNCTION("IMPORTRANGE(""https://docs.google.com/spreadsheets/d/1-uDff_7J0KD5mKrp0Vvzr7lt3OU09vwQwhkpOPPYv2Y/edit?usp=sharing"",""งบพรบ!FI90"")"),0)</f>
        <v>0</v>
      </c>
      <c r="J90" s="78">
        <f t="shared" ref="J90:J106" ca="1" si="54">L90+O90</f>
        <v>12000</v>
      </c>
      <c r="K90" s="115">
        <f t="shared" ref="K90:K106" ca="1" si="55">IF(C90&gt;0,J90*100/C90,0)</f>
        <v>13.186813186813186</v>
      </c>
      <c r="L90" s="78">
        <f ca="1">IFERROR(__xludf.DUMMYFUNCTION("IMPORTRANGE(""https://docs.google.com/spreadsheets/d/1-uDff_7J0KD5mKrp0Vvzr7lt3OU09vwQwhkpOPPYv2Y/edit?usp=sharing"",""งบพรบ!FJ90"")"),12000)</f>
        <v>12000</v>
      </c>
      <c r="M90" s="81">
        <f t="shared" ref="M90:M106" ca="1" si="56">IF(D90&gt;0,L90*100/D90,0)</f>
        <v>13.186813186813186</v>
      </c>
      <c r="N90" s="81">
        <f t="shared" ref="N90:N106" ca="1" si="57">IF(H90&gt;0,L90*100/H90,0)</f>
        <v>18.46153846153846</v>
      </c>
      <c r="O90" s="82">
        <f ca="1">IFERROR(__xludf.DUMMYFUNCTION("IMPORTRANGE(""https://docs.google.com/spreadsheets/d/1-uDff_7J0KD5mKrp0Vvzr7lt3OU09vwQwhkpOPPYv2Y/edit?usp=sharing"",""งบพรบ!FK90"")"),0)</f>
        <v>0</v>
      </c>
      <c r="P90" s="82">
        <f t="shared" ref="P90:P106" ca="1" si="58">IF(G90&gt;0,O90*100/G90,0)</f>
        <v>0</v>
      </c>
      <c r="Q90" s="81">
        <f t="shared" ref="Q90:Q106" ca="1" si="59">IF(I90&gt;0,O90*100/I90,0)</f>
        <v>0</v>
      </c>
      <c r="R90" s="262"/>
      <c r="S90" s="262"/>
      <c r="T90" s="262"/>
      <c r="U90" s="263"/>
      <c r="V90" s="262"/>
      <c r="W90" s="262"/>
      <c r="X90" s="262"/>
      <c r="Y90" s="263"/>
      <c r="Z90" s="263"/>
      <c r="AA90" s="263"/>
      <c r="AB90" s="263"/>
      <c r="AC90" s="263"/>
    </row>
    <row r="91" spans="1:29" ht="24" customHeight="1" x14ac:dyDescent="0.3">
      <c r="A91" s="196"/>
      <c r="B91" s="117" t="s">
        <v>113</v>
      </c>
      <c r="C91" s="197">
        <f t="shared" ca="1" si="52"/>
        <v>91000</v>
      </c>
      <c r="D91" s="198">
        <f t="shared" ca="1" si="53"/>
        <v>91000</v>
      </c>
      <c r="E91" s="88">
        <f ca="1">IFERROR(__xludf.DUMMYFUNCTION("IMPORTRANGE(""https://docs.google.com/spreadsheets/d/1-uDff_7J0KD5mKrp0Vvzr7lt3OU09vwQwhkpOPPYv2Y/edit?usp=sharing"",""งบพรบ!FD91"")"),91000)</f>
        <v>91000</v>
      </c>
      <c r="F91" s="88">
        <f ca="1">IFERROR(__xludf.DUMMYFUNCTION("IMPORTRANGE(""https://docs.google.com/spreadsheets/d/1-uDff_7J0KD5mKrp0Vvzr7lt3OU09vwQwhkpOPPYv2Y/edit?usp=sharing"",""งบพรบ!FE91"")"),0)</f>
        <v>0</v>
      </c>
      <c r="G91" s="88">
        <f ca="1">IFERROR(__xludf.DUMMYFUNCTION("IMPORTRANGE(""https://docs.google.com/spreadsheets/d/1-uDff_7J0KD5mKrp0Vvzr7lt3OU09vwQwhkpOPPYv2Y/edit?usp=sharing"",""งบพรบ!FF91"")"),0)</f>
        <v>0</v>
      </c>
      <c r="H91" s="88">
        <f ca="1">IFERROR(__xludf.DUMMYFUNCTION("IMPORTRANGE(""https://docs.google.com/spreadsheets/d/1-uDff_7J0KD5mKrp0Vvzr7lt3OU09vwQwhkpOPPYv2Y/edit?usp=sharing"",""งบพรบ!FH91"")"),65000)</f>
        <v>65000</v>
      </c>
      <c r="I91" s="88">
        <f ca="1">IFERROR(__xludf.DUMMYFUNCTION("IMPORTRANGE(""https://docs.google.com/spreadsheets/d/1-uDff_7J0KD5mKrp0Vvzr7lt3OU09vwQwhkpOPPYv2Y/edit?usp=sharing"",""งบพรบ!FI91"")"),0)</f>
        <v>0</v>
      </c>
      <c r="J91" s="88">
        <f t="shared" ca="1" si="54"/>
        <v>22000</v>
      </c>
      <c r="K91" s="89">
        <f t="shared" ca="1" si="55"/>
        <v>24.175824175824175</v>
      </c>
      <c r="L91" s="88">
        <f ca="1">IFERROR(__xludf.DUMMYFUNCTION("IMPORTRANGE(""https://docs.google.com/spreadsheets/d/1-uDff_7J0KD5mKrp0Vvzr7lt3OU09vwQwhkpOPPYv2Y/edit?usp=sharing"",""งบพรบ!FJ91"")"),22000)</f>
        <v>22000</v>
      </c>
      <c r="M91" s="90">
        <f t="shared" ca="1" si="56"/>
        <v>24.175824175824175</v>
      </c>
      <c r="N91" s="90">
        <f t="shared" ca="1" si="57"/>
        <v>33.846153846153847</v>
      </c>
      <c r="O91" s="91">
        <f ca="1">IFERROR(__xludf.DUMMYFUNCTION("IMPORTRANGE(""https://docs.google.com/spreadsheets/d/1-uDff_7J0KD5mKrp0Vvzr7lt3OU09vwQwhkpOPPYv2Y/edit?usp=sharing"",""งบพรบ!FK91"")"),0)</f>
        <v>0</v>
      </c>
      <c r="P91" s="91">
        <f t="shared" ca="1" si="58"/>
        <v>0</v>
      </c>
      <c r="Q91" s="90">
        <f t="shared" ca="1" si="59"/>
        <v>0</v>
      </c>
      <c r="R91" s="262"/>
      <c r="S91" s="262"/>
      <c r="T91" s="262"/>
      <c r="U91" s="263"/>
      <c r="V91" s="262"/>
      <c r="W91" s="262"/>
      <c r="X91" s="262"/>
      <c r="Y91" s="263"/>
      <c r="Z91" s="263"/>
      <c r="AA91" s="263"/>
      <c r="AB91" s="263"/>
      <c r="AC91" s="263"/>
    </row>
    <row r="92" spans="1:29" ht="24" customHeight="1" x14ac:dyDescent="0.3">
      <c r="A92" s="196"/>
      <c r="B92" s="117" t="s">
        <v>114</v>
      </c>
      <c r="C92" s="197">
        <f t="shared" ca="1" si="52"/>
        <v>833600</v>
      </c>
      <c r="D92" s="198">
        <f t="shared" ca="1" si="53"/>
        <v>833600</v>
      </c>
      <c r="E92" s="88">
        <f ca="1">IFERROR(__xludf.DUMMYFUNCTION("IMPORTRANGE(""https://docs.google.com/spreadsheets/d/1-uDff_7J0KD5mKrp0Vvzr7lt3OU09vwQwhkpOPPYv2Y/edit?usp=sharing"",""งบพรบ!FD92"")"),833600)</f>
        <v>833600</v>
      </c>
      <c r="F92" s="88">
        <f ca="1">IFERROR(__xludf.DUMMYFUNCTION("IMPORTRANGE(""https://docs.google.com/spreadsheets/d/1-uDff_7J0KD5mKrp0Vvzr7lt3OU09vwQwhkpOPPYv2Y/edit?usp=sharing"",""งบพรบ!FE92"")"),0)</f>
        <v>0</v>
      </c>
      <c r="G92" s="88">
        <f ca="1">IFERROR(__xludf.DUMMYFUNCTION("IMPORTRANGE(""https://docs.google.com/spreadsheets/d/1-uDff_7J0KD5mKrp0Vvzr7lt3OU09vwQwhkpOPPYv2Y/edit?usp=sharing"",""งบพรบ!FF92"")"),0)</f>
        <v>0</v>
      </c>
      <c r="H92" s="88">
        <f ca="1">IFERROR(__xludf.DUMMYFUNCTION("IMPORTRANGE(""https://docs.google.com/spreadsheets/d/1-uDff_7J0KD5mKrp0Vvzr7lt3OU09vwQwhkpOPPYv2Y/edit?usp=sharing"",""งบพรบ!FH92"")"),595500)</f>
        <v>595500</v>
      </c>
      <c r="I92" s="88">
        <f ca="1">IFERROR(__xludf.DUMMYFUNCTION("IMPORTRANGE(""https://docs.google.com/spreadsheets/d/1-uDff_7J0KD5mKrp0Vvzr7lt3OU09vwQwhkpOPPYv2Y/edit?usp=sharing"",""งบพรบ!FI92"")"),0)</f>
        <v>0</v>
      </c>
      <c r="J92" s="88">
        <f t="shared" ca="1" si="54"/>
        <v>210070.99</v>
      </c>
      <c r="K92" s="89">
        <f t="shared" ca="1" si="55"/>
        <v>25.200454654510558</v>
      </c>
      <c r="L92" s="88">
        <f ca="1">IFERROR(__xludf.DUMMYFUNCTION("IMPORTRANGE(""https://docs.google.com/spreadsheets/d/1-uDff_7J0KD5mKrp0Vvzr7lt3OU09vwQwhkpOPPYv2Y/edit?usp=sharing"",""งบพรบ!FJ92"")"),210070.99)</f>
        <v>210070.99</v>
      </c>
      <c r="M92" s="90">
        <f t="shared" ca="1" si="56"/>
        <v>25.200454654510558</v>
      </c>
      <c r="N92" s="90">
        <f t="shared" ca="1" si="57"/>
        <v>35.276404701931149</v>
      </c>
      <c r="O92" s="91">
        <f ca="1">IFERROR(__xludf.DUMMYFUNCTION("IMPORTRANGE(""https://docs.google.com/spreadsheets/d/1-uDff_7J0KD5mKrp0Vvzr7lt3OU09vwQwhkpOPPYv2Y/edit?usp=sharing"",""งบพรบ!FK92"")"),0)</f>
        <v>0</v>
      </c>
      <c r="P92" s="91">
        <f t="shared" ca="1" si="58"/>
        <v>0</v>
      </c>
      <c r="Q92" s="90">
        <f t="shared" ca="1" si="59"/>
        <v>0</v>
      </c>
      <c r="R92" s="262"/>
      <c r="S92" s="262"/>
      <c r="T92" s="262"/>
      <c r="U92" s="263"/>
      <c r="V92" s="262"/>
      <c r="W92" s="262"/>
      <c r="X92" s="262"/>
      <c r="Y92" s="263"/>
      <c r="Z92" s="263"/>
      <c r="AA92" s="263"/>
      <c r="AB92" s="263"/>
      <c r="AC92" s="263"/>
    </row>
    <row r="93" spans="1:29" ht="24" customHeight="1" x14ac:dyDescent="0.3">
      <c r="A93" s="196"/>
      <c r="B93" s="117" t="s">
        <v>115</v>
      </c>
      <c r="C93" s="197">
        <f t="shared" ca="1" si="52"/>
        <v>4916700</v>
      </c>
      <c r="D93" s="198">
        <f t="shared" ca="1" si="53"/>
        <v>4916700</v>
      </c>
      <c r="E93" s="88">
        <f ca="1">IFERROR(__xludf.DUMMYFUNCTION("IMPORTRANGE(""https://docs.google.com/spreadsheets/d/1-uDff_7J0KD5mKrp0Vvzr7lt3OU09vwQwhkpOPPYv2Y/edit?usp=sharing"",""งบพรบ!FD93"")"),4916700)</f>
        <v>4916700</v>
      </c>
      <c r="F93" s="88">
        <f ca="1">IFERROR(__xludf.DUMMYFUNCTION("IMPORTRANGE(""https://docs.google.com/spreadsheets/d/1-uDff_7J0KD5mKrp0Vvzr7lt3OU09vwQwhkpOPPYv2Y/edit?usp=sharing"",""งบพรบ!FE93"")"),0)</f>
        <v>0</v>
      </c>
      <c r="G93" s="88">
        <f ca="1">IFERROR(__xludf.DUMMYFUNCTION("IMPORTRANGE(""https://docs.google.com/spreadsheets/d/1-uDff_7J0KD5mKrp0Vvzr7lt3OU09vwQwhkpOPPYv2Y/edit?usp=sharing"",""งบพรบ!FF93"")"),0)</f>
        <v>0</v>
      </c>
      <c r="H93" s="88">
        <f ca="1">IFERROR(__xludf.DUMMYFUNCTION("IMPORTRANGE(""https://docs.google.com/spreadsheets/d/1-uDff_7J0KD5mKrp0Vvzr7lt3OU09vwQwhkpOPPYv2Y/edit?usp=sharing"",""งบพรบ!FH93"")"),2361000)</f>
        <v>2361000</v>
      </c>
      <c r="I93" s="88">
        <f ca="1">IFERROR(__xludf.DUMMYFUNCTION("IMPORTRANGE(""https://docs.google.com/spreadsheets/d/1-uDff_7J0KD5mKrp0Vvzr7lt3OU09vwQwhkpOPPYv2Y/edit?usp=sharing"",""งบพรบ!FI93"")"),0)</f>
        <v>0</v>
      </c>
      <c r="J93" s="88">
        <f t="shared" ca="1" si="54"/>
        <v>1175885.19</v>
      </c>
      <c r="K93" s="89">
        <f t="shared" ca="1" si="55"/>
        <v>23.916146805784368</v>
      </c>
      <c r="L93" s="88">
        <f ca="1">IFERROR(__xludf.DUMMYFUNCTION("IMPORTRANGE(""https://docs.google.com/spreadsheets/d/1-uDff_7J0KD5mKrp0Vvzr7lt3OU09vwQwhkpOPPYv2Y/edit?usp=sharing"",""งบพรบ!FJ93"")"),1175885.19)</f>
        <v>1175885.19</v>
      </c>
      <c r="M93" s="90">
        <f t="shared" ca="1" si="56"/>
        <v>23.916146805784368</v>
      </c>
      <c r="N93" s="90">
        <f t="shared" ca="1" si="57"/>
        <v>49.804540025412962</v>
      </c>
      <c r="O93" s="91">
        <f ca="1">IFERROR(__xludf.DUMMYFUNCTION("IMPORTRANGE(""https://docs.google.com/spreadsheets/d/1-uDff_7J0KD5mKrp0Vvzr7lt3OU09vwQwhkpOPPYv2Y/edit?usp=sharing"",""งบพรบ!FK93"")"),0)</f>
        <v>0</v>
      </c>
      <c r="P93" s="91">
        <f t="shared" ca="1" si="58"/>
        <v>0</v>
      </c>
      <c r="Q93" s="90">
        <f t="shared" ca="1" si="59"/>
        <v>0</v>
      </c>
      <c r="R93" s="262"/>
      <c r="S93" s="262"/>
      <c r="T93" s="262"/>
      <c r="U93" s="263"/>
      <c r="V93" s="262"/>
      <c r="W93" s="262"/>
      <c r="X93" s="262"/>
      <c r="Y93" s="263"/>
      <c r="Z93" s="263"/>
      <c r="AA93" s="263"/>
      <c r="AB93" s="263"/>
      <c r="AC93" s="263"/>
    </row>
    <row r="94" spans="1:29" ht="24" customHeight="1" x14ac:dyDescent="0.3">
      <c r="A94" s="196"/>
      <c r="B94" s="117" t="s">
        <v>116</v>
      </c>
      <c r="C94" s="197">
        <f t="shared" ca="1" si="52"/>
        <v>1021100</v>
      </c>
      <c r="D94" s="198">
        <f t="shared" ca="1" si="53"/>
        <v>1021100</v>
      </c>
      <c r="E94" s="88">
        <f ca="1">IFERROR(__xludf.DUMMYFUNCTION("IMPORTRANGE(""https://docs.google.com/spreadsheets/d/1-uDff_7J0KD5mKrp0Vvzr7lt3OU09vwQwhkpOPPYv2Y/edit?usp=sharing"",""งบพรบ!FD94"")"),1021100)</f>
        <v>1021100</v>
      </c>
      <c r="F94" s="88">
        <f ca="1">IFERROR(__xludf.DUMMYFUNCTION("IMPORTRANGE(""https://docs.google.com/spreadsheets/d/1-uDff_7J0KD5mKrp0Vvzr7lt3OU09vwQwhkpOPPYv2Y/edit?usp=sharing"",""งบพรบ!FE94"")"),0)</f>
        <v>0</v>
      </c>
      <c r="G94" s="88">
        <f ca="1">IFERROR(__xludf.DUMMYFUNCTION("IMPORTRANGE(""https://docs.google.com/spreadsheets/d/1-uDff_7J0KD5mKrp0Vvzr7lt3OU09vwQwhkpOPPYv2Y/edit?usp=sharing"",""งบพรบ!FF94"")"),0)</f>
        <v>0</v>
      </c>
      <c r="H94" s="88">
        <f ca="1">IFERROR(__xludf.DUMMYFUNCTION("IMPORTRANGE(""https://docs.google.com/spreadsheets/d/1-uDff_7J0KD5mKrp0Vvzr7lt3OU09vwQwhkpOPPYv2Y/edit?usp=sharing"",""งบพรบ!FH94"")"),729500)</f>
        <v>729500</v>
      </c>
      <c r="I94" s="88">
        <f ca="1">IFERROR(__xludf.DUMMYFUNCTION("IMPORTRANGE(""https://docs.google.com/spreadsheets/d/1-uDff_7J0KD5mKrp0Vvzr7lt3OU09vwQwhkpOPPYv2Y/edit?usp=sharing"",""งบพรบ!FI94"")"),0)</f>
        <v>0</v>
      </c>
      <c r="J94" s="88">
        <f t="shared" ca="1" si="54"/>
        <v>404161.54</v>
      </c>
      <c r="K94" s="89">
        <f t="shared" ca="1" si="55"/>
        <v>39.580995005386349</v>
      </c>
      <c r="L94" s="88">
        <f ca="1">IFERROR(__xludf.DUMMYFUNCTION("IMPORTRANGE(""https://docs.google.com/spreadsheets/d/1-uDff_7J0KD5mKrp0Vvzr7lt3OU09vwQwhkpOPPYv2Y/edit?usp=sharing"",""งบพรบ!FJ94"")"),404161.54)</f>
        <v>404161.54</v>
      </c>
      <c r="M94" s="90">
        <f t="shared" ca="1" si="56"/>
        <v>39.580995005386349</v>
      </c>
      <c r="N94" s="90">
        <f t="shared" ca="1" si="57"/>
        <v>55.402541466758052</v>
      </c>
      <c r="O94" s="91">
        <f ca="1">IFERROR(__xludf.DUMMYFUNCTION("IMPORTRANGE(""https://docs.google.com/spreadsheets/d/1-uDff_7J0KD5mKrp0Vvzr7lt3OU09vwQwhkpOPPYv2Y/edit?usp=sharing"",""งบพรบ!FK94"")"),0)</f>
        <v>0</v>
      </c>
      <c r="P94" s="91">
        <f t="shared" ca="1" si="58"/>
        <v>0</v>
      </c>
      <c r="Q94" s="90">
        <f t="shared" ca="1" si="59"/>
        <v>0</v>
      </c>
      <c r="R94" s="262"/>
      <c r="S94" s="262"/>
      <c r="T94" s="262"/>
      <c r="U94" s="263"/>
      <c r="V94" s="262"/>
      <c r="W94" s="262"/>
      <c r="X94" s="262"/>
      <c r="Y94" s="263"/>
      <c r="Z94" s="263"/>
      <c r="AA94" s="263"/>
      <c r="AB94" s="263"/>
      <c r="AC94" s="263"/>
    </row>
    <row r="95" spans="1:29" ht="24" customHeight="1" x14ac:dyDescent="0.3">
      <c r="A95" s="196"/>
      <c r="B95" s="117" t="s">
        <v>117</v>
      </c>
      <c r="C95" s="197">
        <f t="shared" ca="1" si="52"/>
        <v>2968600</v>
      </c>
      <c r="D95" s="198">
        <f t="shared" ca="1" si="53"/>
        <v>2968600</v>
      </c>
      <c r="E95" s="88">
        <f ca="1">IFERROR(__xludf.DUMMYFUNCTION("IMPORTRANGE(""https://docs.google.com/spreadsheets/d/1-uDff_7J0KD5mKrp0Vvzr7lt3OU09vwQwhkpOPPYv2Y/edit?usp=sharing"",""งบพรบ!FD95"")"),2968600)</f>
        <v>2968600</v>
      </c>
      <c r="F95" s="88">
        <f ca="1">IFERROR(__xludf.DUMMYFUNCTION("IMPORTRANGE(""https://docs.google.com/spreadsheets/d/1-uDff_7J0KD5mKrp0Vvzr7lt3OU09vwQwhkpOPPYv2Y/edit?usp=sharing"",""งบพรบ!FE95"")"),0)</f>
        <v>0</v>
      </c>
      <c r="G95" s="88">
        <f ca="1">IFERROR(__xludf.DUMMYFUNCTION("IMPORTRANGE(""https://docs.google.com/spreadsheets/d/1-uDff_7J0KD5mKrp0Vvzr7lt3OU09vwQwhkpOPPYv2Y/edit?usp=sharing"",""งบพรบ!FF95"")"),0)</f>
        <v>0</v>
      </c>
      <c r="H95" s="88">
        <f ca="1">IFERROR(__xludf.DUMMYFUNCTION("IMPORTRANGE(""https://docs.google.com/spreadsheets/d/1-uDff_7J0KD5mKrp0Vvzr7lt3OU09vwQwhkpOPPYv2Y/edit?usp=sharing"",""งบพรบ!FH95"")"),2120700)</f>
        <v>2120700</v>
      </c>
      <c r="I95" s="88">
        <f ca="1">IFERROR(__xludf.DUMMYFUNCTION("IMPORTRANGE(""https://docs.google.com/spreadsheets/d/1-uDff_7J0KD5mKrp0Vvzr7lt3OU09vwQwhkpOPPYv2Y/edit?usp=sharing"",""งบพรบ!FI95"")"),0)</f>
        <v>0</v>
      </c>
      <c r="J95" s="88">
        <f t="shared" ca="1" si="54"/>
        <v>478092.6</v>
      </c>
      <c r="K95" s="89">
        <f t="shared" ca="1" si="55"/>
        <v>16.104985515057603</v>
      </c>
      <c r="L95" s="88">
        <f ca="1">IFERROR(__xludf.DUMMYFUNCTION("IMPORTRANGE(""https://docs.google.com/spreadsheets/d/1-uDff_7J0KD5mKrp0Vvzr7lt3OU09vwQwhkpOPPYv2Y/edit?usp=sharing"",""งบพรบ!FJ95"")"),478092.6)</f>
        <v>478092.6</v>
      </c>
      <c r="M95" s="90">
        <f t="shared" ca="1" si="56"/>
        <v>16.104985515057603</v>
      </c>
      <c r="N95" s="90">
        <f t="shared" ca="1" si="57"/>
        <v>22.544093931249115</v>
      </c>
      <c r="O95" s="91">
        <f ca="1">IFERROR(__xludf.DUMMYFUNCTION("IMPORTRANGE(""https://docs.google.com/spreadsheets/d/1-uDff_7J0KD5mKrp0Vvzr7lt3OU09vwQwhkpOPPYv2Y/edit?usp=sharing"",""งบพรบ!FK95"")"),0)</f>
        <v>0</v>
      </c>
      <c r="P95" s="91">
        <f t="shared" ca="1" si="58"/>
        <v>0</v>
      </c>
      <c r="Q95" s="90">
        <f t="shared" ca="1" si="59"/>
        <v>0</v>
      </c>
      <c r="R95" s="262"/>
      <c r="S95" s="262"/>
      <c r="T95" s="262"/>
      <c r="U95" s="263"/>
      <c r="V95" s="262"/>
      <c r="W95" s="262"/>
      <c r="X95" s="262"/>
      <c r="Y95" s="263"/>
      <c r="Z95" s="263"/>
      <c r="AA95" s="263"/>
      <c r="AB95" s="263"/>
      <c r="AC95" s="263"/>
    </row>
    <row r="96" spans="1:29" ht="24" customHeight="1" x14ac:dyDescent="0.3">
      <c r="A96" s="196"/>
      <c r="B96" s="117" t="s">
        <v>118</v>
      </c>
      <c r="C96" s="197">
        <f t="shared" ca="1" si="52"/>
        <v>8136955</v>
      </c>
      <c r="D96" s="198">
        <f t="shared" ca="1" si="53"/>
        <v>8136955</v>
      </c>
      <c r="E96" s="88">
        <f ca="1">IFERROR(__xludf.DUMMYFUNCTION("IMPORTRANGE(""https://docs.google.com/spreadsheets/d/1-uDff_7J0KD5mKrp0Vvzr7lt3OU09vwQwhkpOPPYv2Y/edit?usp=sharing"",""งบพรบ!FD96"")"),992900)</f>
        <v>992900</v>
      </c>
      <c r="F96" s="88">
        <f ca="1">IFERROR(__xludf.DUMMYFUNCTION("IMPORTRANGE(""https://docs.google.com/spreadsheets/d/1-uDff_7J0KD5mKrp0Vvzr7lt3OU09vwQwhkpOPPYv2Y/edit?usp=sharing"",""งบพรบ!FE96"")"),7144055)</f>
        <v>7144055</v>
      </c>
      <c r="G96" s="88">
        <f ca="1">IFERROR(__xludf.DUMMYFUNCTION("IMPORTRANGE(""https://docs.google.com/spreadsheets/d/1-uDff_7J0KD5mKrp0Vvzr7lt3OU09vwQwhkpOPPYv2Y/edit?usp=sharing"",""งบพรบ!FF96"")"),0)</f>
        <v>0</v>
      </c>
      <c r="H96" s="88">
        <f ca="1">IFERROR(__xludf.DUMMYFUNCTION("IMPORTRANGE(""https://docs.google.com/spreadsheets/d/1-uDff_7J0KD5mKrp0Vvzr7lt3OU09vwQwhkpOPPYv2Y/edit?usp=sharing"",""งบพรบ!FH96"")"),3759935)</f>
        <v>3759935</v>
      </c>
      <c r="I96" s="88">
        <f ca="1">IFERROR(__xludf.DUMMYFUNCTION("IMPORTRANGE(""https://docs.google.com/spreadsheets/d/1-uDff_7J0KD5mKrp0Vvzr7lt3OU09vwQwhkpOPPYv2Y/edit?usp=sharing"",""งบพรบ!FI96"")"),0)</f>
        <v>0</v>
      </c>
      <c r="J96" s="88">
        <f t="shared" ca="1" si="54"/>
        <v>498052.53</v>
      </c>
      <c r="K96" s="89">
        <f t="shared" ca="1" si="55"/>
        <v>6.1208711366844231</v>
      </c>
      <c r="L96" s="88">
        <f ca="1">IFERROR(__xludf.DUMMYFUNCTION("IMPORTRANGE(""https://docs.google.com/spreadsheets/d/1-uDff_7J0KD5mKrp0Vvzr7lt3OU09vwQwhkpOPPYv2Y/edit?usp=sharing"",""งบพรบ!FJ96"")"),498052.53)</f>
        <v>498052.53</v>
      </c>
      <c r="M96" s="90">
        <f t="shared" ca="1" si="56"/>
        <v>6.1208711366844231</v>
      </c>
      <c r="N96" s="90">
        <f t="shared" ca="1" si="57"/>
        <v>13.246306917539798</v>
      </c>
      <c r="O96" s="91">
        <f ca="1">IFERROR(__xludf.DUMMYFUNCTION("IMPORTRANGE(""https://docs.google.com/spreadsheets/d/1-uDff_7J0KD5mKrp0Vvzr7lt3OU09vwQwhkpOPPYv2Y/edit?usp=sharing"",""งบพรบ!FK96"")"),0)</f>
        <v>0</v>
      </c>
      <c r="P96" s="91">
        <f t="shared" ca="1" si="58"/>
        <v>0</v>
      </c>
      <c r="Q96" s="90">
        <f t="shared" ca="1" si="59"/>
        <v>0</v>
      </c>
      <c r="R96" s="262"/>
      <c r="S96" s="262"/>
      <c r="T96" s="262"/>
      <c r="U96" s="263"/>
      <c r="V96" s="262"/>
      <c r="W96" s="262"/>
      <c r="X96" s="262"/>
      <c r="Y96" s="263"/>
      <c r="Z96" s="263"/>
      <c r="AA96" s="263"/>
      <c r="AB96" s="263"/>
      <c r="AC96" s="263"/>
    </row>
    <row r="97" spans="1:29" ht="24" customHeight="1" x14ac:dyDescent="0.3">
      <c r="A97" s="196"/>
      <c r="B97" s="117" t="s">
        <v>119</v>
      </c>
      <c r="C97" s="197">
        <f t="shared" ca="1" si="52"/>
        <v>853000</v>
      </c>
      <c r="D97" s="198">
        <f t="shared" ca="1" si="53"/>
        <v>853000</v>
      </c>
      <c r="E97" s="88">
        <f ca="1">IFERROR(__xludf.DUMMYFUNCTION("IMPORTRANGE(""https://docs.google.com/spreadsheets/d/1-uDff_7J0KD5mKrp0Vvzr7lt3OU09vwQwhkpOPPYv2Y/edit?usp=sharing"",""งบพรบ!FD97"")"),853000)</f>
        <v>853000</v>
      </c>
      <c r="F97" s="88">
        <f ca="1">IFERROR(__xludf.DUMMYFUNCTION("IMPORTRANGE(""https://docs.google.com/spreadsheets/d/1-uDff_7J0KD5mKrp0Vvzr7lt3OU09vwQwhkpOPPYv2Y/edit?usp=sharing"",""งบพรบ!FE97"")"),0)</f>
        <v>0</v>
      </c>
      <c r="G97" s="88">
        <f ca="1">IFERROR(__xludf.DUMMYFUNCTION("IMPORTRANGE(""https://docs.google.com/spreadsheets/d/1-uDff_7J0KD5mKrp0Vvzr7lt3OU09vwQwhkpOPPYv2Y/edit?usp=sharing"",""งบพรบ!FF97"")"),0)</f>
        <v>0</v>
      </c>
      <c r="H97" s="88">
        <f ca="1">IFERROR(__xludf.DUMMYFUNCTION("IMPORTRANGE(""https://docs.google.com/spreadsheets/d/1-uDff_7J0KD5mKrp0Vvzr7lt3OU09vwQwhkpOPPYv2Y/edit?usp=sharing"",""งบพรบ!FH97"")"),609500)</f>
        <v>609500</v>
      </c>
      <c r="I97" s="88">
        <f ca="1">IFERROR(__xludf.DUMMYFUNCTION("IMPORTRANGE(""https://docs.google.com/spreadsheets/d/1-uDff_7J0KD5mKrp0Vvzr7lt3OU09vwQwhkpOPPYv2Y/edit?usp=sharing"",""งบพรบ!FI97"")"),0)</f>
        <v>0</v>
      </c>
      <c r="J97" s="88">
        <f t="shared" ca="1" si="54"/>
        <v>260454.11</v>
      </c>
      <c r="K97" s="89">
        <f t="shared" ca="1" si="55"/>
        <v>30.533893317702226</v>
      </c>
      <c r="L97" s="88">
        <f ca="1">IFERROR(__xludf.DUMMYFUNCTION("IMPORTRANGE(""https://docs.google.com/spreadsheets/d/1-uDff_7J0KD5mKrp0Vvzr7lt3OU09vwQwhkpOPPYv2Y/edit?usp=sharing"",""งบพรบ!FJ97"")"),260454.11)</f>
        <v>260454.11</v>
      </c>
      <c r="M97" s="90">
        <f t="shared" ca="1" si="56"/>
        <v>30.533893317702226</v>
      </c>
      <c r="N97" s="90">
        <f t="shared" ca="1" si="57"/>
        <v>42.732421657095983</v>
      </c>
      <c r="O97" s="91">
        <f ca="1">IFERROR(__xludf.DUMMYFUNCTION("IMPORTRANGE(""https://docs.google.com/spreadsheets/d/1-uDff_7J0KD5mKrp0Vvzr7lt3OU09vwQwhkpOPPYv2Y/edit?usp=sharing"",""งบพรบ!FK97"")"),0)</f>
        <v>0</v>
      </c>
      <c r="P97" s="91">
        <f t="shared" ca="1" si="58"/>
        <v>0</v>
      </c>
      <c r="Q97" s="90">
        <f t="shared" ca="1" si="59"/>
        <v>0</v>
      </c>
      <c r="R97" s="262"/>
      <c r="S97" s="262"/>
      <c r="T97" s="262"/>
      <c r="U97" s="263"/>
      <c r="V97" s="262"/>
      <c r="W97" s="262"/>
      <c r="X97" s="262"/>
      <c r="Y97" s="263"/>
      <c r="Z97" s="263"/>
      <c r="AA97" s="263"/>
      <c r="AB97" s="263"/>
      <c r="AC97" s="263"/>
    </row>
    <row r="98" spans="1:29" ht="24" customHeight="1" x14ac:dyDescent="0.3">
      <c r="A98" s="196"/>
      <c r="B98" s="117" t="s">
        <v>120</v>
      </c>
      <c r="C98" s="197">
        <f t="shared" ca="1" si="52"/>
        <v>1289700</v>
      </c>
      <c r="D98" s="198">
        <f t="shared" ca="1" si="53"/>
        <v>1289700</v>
      </c>
      <c r="E98" s="88">
        <f ca="1">IFERROR(__xludf.DUMMYFUNCTION("IMPORTRANGE(""https://docs.google.com/spreadsheets/d/1-uDff_7J0KD5mKrp0Vvzr7lt3OU09vwQwhkpOPPYv2Y/edit?usp=sharing"",""งบพรบ!FD98"")"),1289700)</f>
        <v>1289700</v>
      </c>
      <c r="F98" s="88">
        <f ca="1">IFERROR(__xludf.DUMMYFUNCTION("IMPORTRANGE(""https://docs.google.com/spreadsheets/d/1-uDff_7J0KD5mKrp0Vvzr7lt3OU09vwQwhkpOPPYv2Y/edit?usp=sharing"",""งบพรบ!FE98"")"),0)</f>
        <v>0</v>
      </c>
      <c r="G98" s="88">
        <f ca="1">IFERROR(__xludf.DUMMYFUNCTION("IMPORTRANGE(""https://docs.google.com/spreadsheets/d/1-uDff_7J0KD5mKrp0Vvzr7lt3OU09vwQwhkpOPPYv2Y/edit?usp=sharing"",""งบพรบ!FF98"")"),0)</f>
        <v>0</v>
      </c>
      <c r="H98" s="88">
        <f ca="1">IFERROR(__xludf.DUMMYFUNCTION("IMPORTRANGE(""https://docs.google.com/spreadsheets/d/1-uDff_7J0KD5mKrp0Vvzr7lt3OU09vwQwhkpOPPYv2Y/edit?usp=sharing"",""งบพรบ!FH98"")"),921100)</f>
        <v>921100</v>
      </c>
      <c r="I98" s="88">
        <f ca="1">IFERROR(__xludf.DUMMYFUNCTION("IMPORTRANGE(""https://docs.google.com/spreadsheets/d/1-uDff_7J0KD5mKrp0Vvzr7lt3OU09vwQwhkpOPPYv2Y/edit?usp=sharing"",""งบพรบ!FI98"")"),0)</f>
        <v>0</v>
      </c>
      <c r="J98" s="88">
        <f t="shared" ca="1" si="54"/>
        <v>343727.08</v>
      </c>
      <c r="K98" s="89">
        <f t="shared" ca="1" si="55"/>
        <v>26.651708149181982</v>
      </c>
      <c r="L98" s="88">
        <f ca="1">IFERROR(__xludf.DUMMYFUNCTION("IMPORTRANGE(""https://docs.google.com/spreadsheets/d/1-uDff_7J0KD5mKrp0Vvzr7lt3OU09vwQwhkpOPPYv2Y/edit?usp=sharing"",""งบพรบ!FJ98"")"),343727.08)</f>
        <v>343727.08</v>
      </c>
      <c r="M98" s="90">
        <f t="shared" ca="1" si="56"/>
        <v>26.651708149181982</v>
      </c>
      <c r="N98" s="90">
        <f t="shared" ca="1" si="57"/>
        <v>37.317020953208122</v>
      </c>
      <c r="O98" s="91">
        <f ca="1">IFERROR(__xludf.DUMMYFUNCTION("IMPORTRANGE(""https://docs.google.com/spreadsheets/d/1-uDff_7J0KD5mKrp0Vvzr7lt3OU09vwQwhkpOPPYv2Y/edit?usp=sharing"",""งบพรบ!FK98"")"),0)</f>
        <v>0</v>
      </c>
      <c r="P98" s="91">
        <f t="shared" ca="1" si="58"/>
        <v>0</v>
      </c>
      <c r="Q98" s="90">
        <f t="shared" ca="1" si="59"/>
        <v>0</v>
      </c>
      <c r="R98" s="262"/>
      <c r="S98" s="262"/>
      <c r="T98" s="262"/>
      <c r="U98" s="263"/>
      <c r="V98" s="262"/>
      <c r="W98" s="262"/>
      <c r="X98" s="262"/>
      <c r="Y98" s="263"/>
      <c r="Z98" s="263"/>
      <c r="AA98" s="263"/>
      <c r="AB98" s="263"/>
      <c r="AC98" s="263"/>
    </row>
    <row r="99" spans="1:29" ht="24" customHeight="1" x14ac:dyDescent="0.3">
      <c r="A99" s="196"/>
      <c r="B99" s="117" t="s">
        <v>121</v>
      </c>
      <c r="C99" s="197">
        <f t="shared" ca="1" si="52"/>
        <v>3018300</v>
      </c>
      <c r="D99" s="198">
        <f t="shared" ca="1" si="53"/>
        <v>3018300</v>
      </c>
      <c r="E99" s="88">
        <f ca="1">IFERROR(__xludf.DUMMYFUNCTION("IMPORTRANGE(""https://docs.google.com/spreadsheets/d/1-uDff_7J0KD5mKrp0Vvzr7lt3OU09vwQwhkpOPPYv2Y/edit?usp=sharing"",""งบพรบ!FD99"")"),771700)</f>
        <v>771700</v>
      </c>
      <c r="F99" s="88">
        <f ca="1">IFERROR(__xludf.DUMMYFUNCTION("IMPORTRANGE(""https://docs.google.com/spreadsheets/d/1-uDff_7J0KD5mKrp0Vvzr7lt3OU09vwQwhkpOPPYv2Y/edit?usp=sharing"",""งบพรบ!FE99"")"),2246600)</f>
        <v>2246600</v>
      </c>
      <c r="G99" s="88">
        <f ca="1">IFERROR(__xludf.DUMMYFUNCTION("IMPORTRANGE(""https://docs.google.com/spreadsheets/d/1-uDff_7J0KD5mKrp0Vvzr7lt3OU09vwQwhkpOPPYv2Y/edit?usp=sharing"",""งบพรบ!FF99"")"),0)</f>
        <v>0</v>
      </c>
      <c r="H99" s="88">
        <f ca="1">IFERROR(__xludf.DUMMYFUNCTION("IMPORTRANGE(""https://docs.google.com/spreadsheets/d/1-uDff_7J0KD5mKrp0Vvzr7lt3OU09vwQwhkpOPPYv2Y/edit?usp=sharing"",""งบพรบ!FH99"")"),2348300)</f>
        <v>2348300</v>
      </c>
      <c r="I99" s="88">
        <f ca="1">IFERROR(__xludf.DUMMYFUNCTION("IMPORTRANGE(""https://docs.google.com/spreadsheets/d/1-uDff_7J0KD5mKrp0Vvzr7lt3OU09vwQwhkpOPPYv2Y/edit?usp=sharing"",""งบพรบ!FI99"")"),0)</f>
        <v>0</v>
      </c>
      <c r="J99" s="88">
        <f t="shared" ca="1" si="54"/>
        <v>766018.06</v>
      </c>
      <c r="K99" s="89">
        <f t="shared" ca="1" si="55"/>
        <v>25.379122684955107</v>
      </c>
      <c r="L99" s="88">
        <f ca="1">IFERROR(__xludf.DUMMYFUNCTION("IMPORTRANGE(""https://docs.google.com/spreadsheets/d/1-uDff_7J0KD5mKrp0Vvzr7lt3OU09vwQwhkpOPPYv2Y/edit?usp=sharing"",""งบพรบ!FJ99"")"),766018.06)</f>
        <v>766018.06</v>
      </c>
      <c r="M99" s="90">
        <f t="shared" ca="1" si="56"/>
        <v>25.379122684955107</v>
      </c>
      <c r="N99" s="90">
        <f t="shared" ca="1" si="57"/>
        <v>32.620110718392027</v>
      </c>
      <c r="O99" s="91">
        <f ca="1">IFERROR(__xludf.DUMMYFUNCTION("IMPORTRANGE(""https://docs.google.com/spreadsheets/d/1-uDff_7J0KD5mKrp0Vvzr7lt3OU09vwQwhkpOPPYv2Y/edit?usp=sharing"",""งบพรบ!FK99"")"),0)</f>
        <v>0</v>
      </c>
      <c r="P99" s="91">
        <f t="shared" ca="1" si="58"/>
        <v>0</v>
      </c>
      <c r="Q99" s="90">
        <f t="shared" ca="1" si="59"/>
        <v>0</v>
      </c>
      <c r="R99" s="262"/>
      <c r="S99" s="262"/>
      <c r="T99" s="262"/>
      <c r="U99" s="263"/>
      <c r="V99" s="262"/>
      <c r="W99" s="262"/>
      <c r="X99" s="262"/>
      <c r="Y99" s="263"/>
      <c r="Z99" s="263"/>
      <c r="AA99" s="263"/>
      <c r="AB99" s="263"/>
      <c r="AC99" s="263"/>
    </row>
    <row r="100" spans="1:29" ht="24" customHeight="1" x14ac:dyDescent="0.3">
      <c r="A100" s="196"/>
      <c r="B100" s="117" t="s">
        <v>122</v>
      </c>
      <c r="C100" s="197">
        <f t="shared" ca="1" si="52"/>
        <v>1741500</v>
      </c>
      <c r="D100" s="198">
        <f t="shared" ca="1" si="53"/>
        <v>1741500</v>
      </c>
      <c r="E100" s="88">
        <f ca="1">IFERROR(__xludf.DUMMYFUNCTION("IMPORTRANGE(""https://docs.google.com/spreadsheets/d/1-uDff_7J0KD5mKrp0Vvzr7lt3OU09vwQwhkpOPPYv2Y/edit?usp=sharing"",""งบพรบ!FD100"")"),1433300)</f>
        <v>1433300</v>
      </c>
      <c r="F100" s="88">
        <f ca="1">IFERROR(__xludf.DUMMYFUNCTION("IMPORTRANGE(""https://docs.google.com/spreadsheets/d/1-uDff_7J0KD5mKrp0Vvzr7lt3OU09vwQwhkpOPPYv2Y/edit?usp=sharing"",""งบพรบ!FE100"")"),308200)</f>
        <v>308200</v>
      </c>
      <c r="G100" s="88">
        <f ca="1">IFERROR(__xludf.DUMMYFUNCTION("IMPORTRANGE(""https://docs.google.com/spreadsheets/d/1-uDff_7J0KD5mKrp0Vvzr7lt3OU09vwQwhkpOPPYv2Y/edit?usp=sharing"",""งบพรบ!FF100"")"),0)</f>
        <v>0</v>
      </c>
      <c r="H100" s="88">
        <f ca="1">IFERROR(__xludf.DUMMYFUNCTION("IMPORTRANGE(""https://docs.google.com/spreadsheets/d/1-uDff_7J0KD5mKrp0Vvzr7lt3OU09vwQwhkpOPPYv2Y/edit?usp=sharing"",""งบพรบ!FH100"")"),1270600)</f>
        <v>1270600</v>
      </c>
      <c r="I100" s="88">
        <f ca="1">IFERROR(__xludf.DUMMYFUNCTION("IMPORTRANGE(""https://docs.google.com/spreadsheets/d/1-uDff_7J0KD5mKrp0Vvzr7lt3OU09vwQwhkpOPPYv2Y/edit?usp=sharing"",""งบพรบ!FI100"")"),0)</f>
        <v>0</v>
      </c>
      <c r="J100" s="88">
        <f t="shared" ca="1" si="54"/>
        <v>805168.43</v>
      </c>
      <c r="K100" s="89">
        <f t="shared" ca="1" si="55"/>
        <v>46.234190640252656</v>
      </c>
      <c r="L100" s="88">
        <f ca="1">IFERROR(__xludf.DUMMYFUNCTION("IMPORTRANGE(""https://docs.google.com/spreadsheets/d/1-uDff_7J0KD5mKrp0Vvzr7lt3OU09vwQwhkpOPPYv2Y/edit?usp=sharing"",""งบพรบ!FJ100"")"),805168.43)</f>
        <v>805168.43</v>
      </c>
      <c r="M100" s="90">
        <f t="shared" ca="1" si="56"/>
        <v>46.234190640252656</v>
      </c>
      <c r="N100" s="90">
        <f t="shared" ca="1" si="57"/>
        <v>63.369150794900044</v>
      </c>
      <c r="O100" s="91">
        <f ca="1">IFERROR(__xludf.DUMMYFUNCTION("IMPORTRANGE(""https://docs.google.com/spreadsheets/d/1-uDff_7J0KD5mKrp0Vvzr7lt3OU09vwQwhkpOPPYv2Y/edit?usp=sharing"",""งบพรบ!FK100"")"),0)</f>
        <v>0</v>
      </c>
      <c r="P100" s="91">
        <f t="shared" ca="1" si="58"/>
        <v>0</v>
      </c>
      <c r="Q100" s="90">
        <f t="shared" ca="1" si="59"/>
        <v>0</v>
      </c>
      <c r="R100" s="262"/>
      <c r="S100" s="262"/>
      <c r="T100" s="262"/>
      <c r="U100" s="263"/>
      <c r="V100" s="262"/>
      <c r="W100" s="262"/>
      <c r="X100" s="262"/>
      <c r="Y100" s="263"/>
      <c r="Z100" s="263"/>
      <c r="AA100" s="263"/>
      <c r="AB100" s="263"/>
      <c r="AC100" s="263"/>
    </row>
    <row r="101" spans="1:29" ht="24" customHeight="1" x14ac:dyDescent="0.3">
      <c r="A101" s="196"/>
      <c r="B101" s="117" t="s">
        <v>123</v>
      </c>
      <c r="C101" s="197">
        <f t="shared" ca="1" si="52"/>
        <v>0</v>
      </c>
      <c r="D101" s="198">
        <f t="shared" ca="1" si="53"/>
        <v>0</v>
      </c>
      <c r="E101" s="88">
        <f ca="1">IFERROR(__xludf.DUMMYFUNCTION("IMPORTRANGE(""https://docs.google.com/spreadsheets/d/1-uDff_7J0KD5mKrp0Vvzr7lt3OU09vwQwhkpOPPYv2Y/edit?usp=sharing"",""งบพรบ!FD101"")"),0)</f>
        <v>0</v>
      </c>
      <c r="F101" s="88">
        <f ca="1">IFERROR(__xludf.DUMMYFUNCTION("IMPORTRANGE(""https://docs.google.com/spreadsheets/d/1-uDff_7J0KD5mKrp0Vvzr7lt3OU09vwQwhkpOPPYv2Y/edit?usp=sharing"",""งบพรบ!FE101"")"),0)</f>
        <v>0</v>
      </c>
      <c r="G101" s="88">
        <f ca="1">IFERROR(__xludf.DUMMYFUNCTION("IMPORTRANGE(""https://docs.google.com/spreadsheets/d/1-uDff_7J0KD5mKrp0Vvzr7lt3OU09vwQwhkpOPPYv2Y/edit?usp=sharing"",""งบพรบ!FF101"")"),0)</f>
        <v>0</v>
      </c>
      <c r="H101" s="88">
        <f ca="1">IFERROR(__xludf.DUMMYFUNCTION("IMPORTRANGE(""https://docs.google.com/spreadsheets/d/1-uDff_7J0KD5mKrp0Vvzr7lt3OU09vwQwhkpOPPYv2Y/edit?usp=sharing"",""งบพรบ!FH101"")"),0)</f>
        <v>0</v>
      </c>
      <c r="I101" s="88">
        <f ca="1">IFERROR(__xludf.DUMMYFUNCTION("IMPORTRANGE(""https://docs.google.com/spreadsheets/d/1-uDff_7J0KD5mKrp0Vvzr7lt3OU09vwQwhkpOPPYv2Y/edit?usp=sharing"",""งบพรบ!FI101"")"),0)</f>
        <v>0</v>
      </c>
      <c r="J101" s="88">
        <f t="shared" ca="1" si="54"/>
        <v>0</v>
      </c>
      <c r="K101" s="89">
        <f t="shared" ca="1" si="55"/>
        <v>0</v>
      </c>
      <c r="L101" s="88">
        <f ca="1">IFERROR(__xludf.DUMMYFUNCTION("IMPORTRANGE(""https://docs.google.com/spreadsheets/d/1-uDff_7J0KD5mKrp0Vvzr7lt3OU09vwQwhkpOPPYv2Y/edit?usp=sharing"",""งบพรบ!FJ101"")"),0)</f>
        <v>0</v>
      </c>
      <c r="M101" s="90">
        <f t="shared" ca="1" si="56"/>
        <v>0</v>
      </c>
      <c r="N101" s="90">
        <f t="shared" ca="1" si="57"/>
        <v>0</v>
      </c>
      <c r="O101" s="91">
        <f ca="1">IFERROR(__xludf.DUMMYFUNCTION("IMPORTRANGE(""https://docs.google.com/spreadsheets/d/1-uDff_7J0KD5mKrp0Vvzr7lt3OU09vwQwhkpOPPYv2Y/edit?usp=sharing"",""งบพรบ!FK101"")"),0)</f>
        <v>0</v>
      </c>
      <c r="P101" s="91">
        <f t="shared" ca="1" si="58"/>
        <v>0</v>
      </c>
      <c r="Q101" s="90">
        <f t="shared" ca="1" si="59"/>
        <v>0</v>
      </c>
      <c r="R101" s="262"/>
      <c r="S101" s="262"/>
      <c r="T101" s="262"/>
      <c r="U101" s="263"/>
      <c r="V101" s="262"/>
      <c r="W101" s="262"/>
      <c r="X101" s="262"/>
      <c r="Y101" s="263"/>
      <c r="Z101" s="263"/>
      <c r="AA101" s="263"/>
      <c r="AB101" s="263"/>
      <c r="AC101" s="263"/>
    </row>
    <row r="102" spans="1:29" ht="24" customHeight="1" x14ac:dyDescent="0.3">
      <c r="A102" s="196"/>
      <c r="B102" s="117" t="s">
        <v>124</v>
      </c>
      <c r="C102" s="197">
        <f t="shared" ca="1" si="52"/>
        <v>0</v>
      </c>
      <c r="D102" s="198">
        <f t="shared" ca="1" si="53"/>
        <v>0</v>
      </c>
      <c r="E102" s="88">
        <f ca="1">IFERROR(__xludf.DUMMYFUNCTION("IMPORTRANGE(""https://docs.google.com/spreadsheets/d/1-uDff_7J0KD5mKrp0Vvzr7lt3OU09vwQwhkpOPPYv2Y/edit?usp=sharing"",""งบพรบ!FD102"")"),0)</f>
        <v>0</v>
      </c>
      <c r="F102" s="88">
        <f ca="1">IFERROR(__xludf.DUMMYFUNCTION("IMPORTRANGE(""https://docs.google.com/spreadsheets/d/1-uDff_7J0KD5mKrp0Vvzr7lt3OU09vwQwhkpOPPYv2Y/edit?usp=sharing"",""งบพรบ!FE102"")"),0)</f>
        <v>0</v>
      </c>
      <c r="G102" s="88">
        <f ca="1">IFERROR(__xludf.DUMMYFUNCTION("IMPORTRANGE(""https://docs.google.com/spreadsheets/d/1-uDff_7J0KD5mKrp0Vvzr7lt3OU09vwQwhkpOPPYv2Y/edit?usp=sharing"",""งบพรบ!FF102"")"),0)</f>
        <v>0</v>
      </c>
      <c r="H102" s="88">
        <f ca="1">IFERROR(__xludf.DUMMYFUNCTION("IMPORTRANGE(""https://docs.google.com/spreadsheets/d/1-uDff_7J0KD5mKrp0Vvzr7lt3OU09vwQwhkpOPPYv2Y/edit?usp=sharing"",""งบพรบ!FH102"")"),0)</f>
        <v>0</v>
      </c>
      <c r="I102" s="88">
        <f ca="1">IFERROR(__xludf.DUMMYFUNCTION("IMPORTRANGE(""https://docs.google.com/spreadsheets/d/1-uDff_7J0KD5mKrp0Vvzr7lt3OU09vwQwhkpOPPYv2Y/edit?usp=sharing"",""งบพรบ!FI102"")"),0)</f>
        <v>0</v>
      </c>
      <c r="J102" s="88">
        <f t="shared" ca="1" si="54"/>
        <v>0</v>
      </c>
      <c r="K102" s="89">
        <f t="shared" ca="1" si="55"/>
        <v>0</v>
      </c>
      <c r="L102" s="88">
        <f ca="1">IFERROR(__xludf.DUMMYFUNCTION("IMPORTRANGE(""https://docs.google.com/spreadsheets/d/1-uDff_7J0KD5mKrp0Vvzr7lt3OU09vwQwhkpOPPYv2Y/edit?usp=sharing"",""งบพรบ!FJ102"")"),0)</f>
        <v>0</v>
      </c>
      <c r="M102" s="90">
        <f t="shared" ca="1" si="56"/>
        <v>0</v>
      </c>
      <c r="N102" s="90">
        <f t="shared" ca="1" si="57"/>
        <v>0</v>
      </c>
      <c r="O102" s="91">
        <f ca="1">IFERROR(__xludf.DUMMYFUNCTION("IMPORTRANGE(""https://docs.google.com/spreadsheets/d/1-uDff_7J0KD5mKrp0Vvzr7lt3OU09vwQwhkpOPPYv2Y/edit?usp=sharing"",""งบพรบ!FK102"")"),0)</f>
        <v>0</v>
      </c>
      <c r="P102" s="91">
        <f t="shared" ca="1" si="58"/>
        <v>0</v>
      </c>
      <c r="Q102" s="90">
        <f t="shared" ca="1" si="59"/>
        <v>0</v>
      </c>
      <c r="R102" s="262"/>
      <c r="S102" s="262"/>
      <c r="T102" s="262"/>
      <c r="U102" s="263"/>
      <c r="V102" s="262"/>
      <c r="W102" s="262"/>
      <c r="X102" s="262"/>
      <c r="Y102" s="263"/>
      <c r="Z102" s="263"/>
      <c r="AA102" s="263"/>
      <c r="AB102" s="263"/>
      <c r="AC102" s="263"/>
    </row>
    <row r="103" spans="1:29" ht="24" customHeight="1" x14ac:dyDescent="0.3">
      <c r="A103" s="196"/>
      <c r="B103" s="117" t="s">
        <v>125</v>
      </c>
      <c r="C103" s="197">
        <f t="shared" ca="1" si="52"/>
        <v>0</v>
      </c>
      <c r="D103" s="198">
        <f t="shared" ca="1" si="53"/>
        <v>0</v>
      </c>
      <c r="E103" s="88">
        <f ca="1">IFERROR(__xludf.DUMMYFUNCTION("IMPORTRANGE(""https://docs.google.com/spreadsheets/d/1-uDff_7J0KD5mKrp0Vvzr7lt3OU09vwQwhkpOPPYv2Y/edit?usp=sharing"",""งบพรบ!FD103"")"),0)</f>
        <v>0</v>
      </c>
      <c r="F103" s="88">
        <f ca="1">IFERROR(__xludf.DUMMYFUNCTION("IMPORTRANGE(""https://docs.google.com/spreadsheets/d/1-uDff_7J0KD5mKrp0Vvzr7lt3OU09vwQwhkpOPPYv2Y/edit?usp=sharing"",""งบพรบ!FE103"")"),0)</f>
        <v>0</v>
      </c>
      <c r="G103" s="88">
        <f ca="1">IFERROR(__xludf.DUMMYFUNCTION("IMPORTRANGE(""https://docs.google.com/spreadsheets/d/1-uDff_7J0KD5mKrp0Vvzr7lt3OU09vwQwhkpOPPYv2Y/edit?usp=sharing"",""งบพรบ!FF103"")"),0)</f>
        <v>0</v>
      </c>
      <c r="H103" s="88">
        <f ca="1">IFERROR(__xludf.DUMMYFUNCTION("IMPORTRANGE(""https://docs.google.com/spreadsheets/d/1-uDff_7J0KD5mKrp0Vvzr7lt3OU09vwQwhkpOPPYv2Y/edit?usp=sharing"",""งบพรบ!FH103"")"),0)</f>
        <v>0</v>
      </c>
      <c r="I103" s="88">
        <f ca="1">IFERROR(__xludf.DUMMYFUNCTION("IMPORTRANGE(""https://docs.google.com/spreadsheets/d/1-uDff_7J0KD5mKrp0Vvzr7lt3OU09vwQwhkpOPPYv2Y/edit?usp=sharing"",""งบพรบ!FI103"")"),0)</f>
        <v>0</v>
      </c>
      <c r="J103" s="88">
        <f t="shared" ca="1" si="54"/>
        <v>0</v>
      </c>
      <c r="K103" s="89">
        <f t="shared" ca="1" si="55"/>
        <v>0</v>
      </c>
      <c r="L103" s="88">
        <f ca="1">IFERROR(__xludf.DUMMYFUNCTION("IMPORTRANGE(""https://docs.google.com/spreadsheets/d/1-uDff_7J0KD5mKrp0Vvzr7lt3OU09vwQwhkpOPPYv2Y/edit?usp=sharing"",""งบพรบ!FJ103"")"),0)</f>
        <v>0</v>
      </c>
      <c r="M103" s="90">
        <f t="shared" ca="1" si="56"/>
        <v>0</v>
      </c>
      <c r="N103" s="90">
        <f t="shared" ca="1" si="57"/>
        <v>0</v>
      </c>
      <c r="O103" s="91">
        <f ca="1">IFERROR(__xludf.DUMMYFUNCTION("IMPORTRANGE(""https://docs.google.com/spreadsheets/d/1-uDff_7J0KD5mKrp0Vvzr7lt3OU09vwQwhkpOPPYv2Y/edit?usp=sharing"",""งบพรบ!FK103"")"),0)</f>
        <v>0</v>
      </c>
      <c r="P103" s="91">
        <f t="shared" ca="1" si="58"/>
        <v>0</v>
      </c>
      <c r="Q103" s="90">
        <f t="shared" ca="1" si="59"/>
        <v>0</v>
      </c>
      <c r="R103" s="264"/>
      <c r="S103" s="264"/>
      <c r="T103" s="264"/>
      <c r="U103" s="265"/>
      <c r="V103" s="264"/>
      <c r="W103" s="264"/>
      <c r="X103" s="264"/>
      <c r="Y103" s="265"/>
      <c r="Z103" s="265"/>
      <c r="AA103" s="265"/>
      <c r="AB103" s="265"/>
      <c r="AC103" s="265"/>
    </row>
    <row r="104" spans="1:29" ht="21" customHeight="1" x14ac:dyDescent="0.3">
      <c r="A104" s="358"/>
      <c r="B104" s="359" t="s">
        <v>126</v>
      </c>
      <c r="C104" s="364">
        <f t="shared" ca="1" si="52"/>
        <v>81600</v>
      </c>
      <c r="D104" s="364">
        <f t="shared" ca="1" si="53"/>
        <v>81600</v>
      </c>
      <c r="E104" s="353">
        <f ca="1">IFERROR(__xludf.DUMMYFUNCTION("IMPORTRANGE(""https://docs.google.com/spreadsheets/d/1-uDff_7J0KD5mKrp0Vvzr7lt3OU09vwQwhkpOPPYv2Y/edit?usp=sharing"",""งบพรบ!FD104"")"),81600)</f>
        <v>81600</v>
      </c>
      <c r="F104" s="353">
        <f ca="1">IFERROR(__xludf.DUMMYFUNCTION("IMPORTRANGE(""https://docs.google.com/spreadsheets/d/1-uDff_7J0KD5mKrp0Vvzr7lt3OU09vwQwhkpOPPYv2Y/edit?usp=sharing"",""งบพรบ!FE104"")"),0)</f>
        <v>0</v>
      </c>
      <c r="G104" s="353">
        <f ca="1">IFERROR(__xludf.DUMMYFUNCTION("IMPORTRANGE(""https://docs.google.com/spreadsheets/d/1-uDff_7J0KD5mKrp0Vvzr7lt3OU09vwQwhkpOPPYv2Y/edit?usp=sharing"",""งบพรบ!FF104"")"),0)</f>
        <v>0</v>
      </c>
      <c r="H104" s="353">
        <f ca="1">IFERROR(__xludf.DUMMYFUNCTION("IMPORTRANGE(""https://docs.google.com/spreadsheets/d/1-uDff_7J0KD5mKrp0Vvzr7lt3OU09vwQwhkpOPPYv2Y/edit?usp=sharing"",""งบพรบ!FH104"")"),3391100)</f>
        <v>3391100</v>
      </c>
      <c r="I104" s="353">
        <f ca="1">IFERROR(__xludf.DUMMYFUNCTION("IMPORTRANGE(""https://docs.google.com/spreadsheets/d/1-uDff_7J0KD5mKrp0Vvzr7lt3OU09vwQwhkpOPPYv2Y/edit?usp=sharing"",""งบพรบ!FI104"")"),0)</f>
        <v>0</v>
      </c>
      <c r="J104" s="353">
        <f t="shared" ca="1" si="54"/>
        <v>328581.40000000002</v>
      </c>
      <c r="K104" s="360">
        <f t="shared" ca="1" si="55"/>
        <v>402.67328431372556</v>
      </c>
      <c r="L104" s="353">
        <f ca="1">IFERROR(__xludf.DUMMYFUNCTION("IMPORTRANGE(""https://docs.google.com/spreadsheets/d/1-uDff_7J0KD5mKrp0Vvzr7lt3OU09vwQwhkpOPPYv2Y/edit?usp=sharing"",""งบพรบ!FJ104"")"),328581.4)</f>
        <v>328581.40000000002</v>
      </c>
      <c r="M104" s="361">
        <f t="shared" ca="1" si="56"/>
        <v>402.67328431372556</v>
      </c>
      <c r="N104" s="361">
        <f t="shared" ca="1" si="57"/>
        <v>9.6895225737961148</v>
      </c>
      <c r="O104" s="362">
        <f ca="1">IFERROR(__xludf.DUMMYFUNCTION("IMPORTRANGE(""https://docs.google.com/spreadsheets/d/1-uDff_7J0KD5mKrp0Vvzr7lt3OU09vwQwhkpOPPYv2Y/edit?usp=sharing"",""งบพรบ!FK104"")"),0)</f>
        <v>0</v>
      </c>
      <c r="P104" s="362">
        <f t="shared" ca="1" si="58"/>
        <v>0</v>
      </c>
      <c r="Q104" s="361">
        <f t="shared" ca="1" si="59"/>
        <v>0</v>
      </c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</row>
    <row r="105" spans="1:29" ht="24" customHeight="1" x14ac:dyDescent="0.3">
      <c r="A105" s="196"/>
      <c r="B105" s="118" t="s">
        <v>127</v>
      </c>
      <c r="C105" s="197">
        <f t="shared" ca="1" si="52"/>
        <v>0</v>
      </c>
      <c r="D105" s="198">
        <f t="shared" ca="1" si="53"/>
        <v>0</v>
      </c>
      <c r="E105" s="88">
        <f ca="1">IFERROR(__xludf.DUMMYFUNCTION("IMPORTRANGE(""https://docs.google.com/spreadsheets/d/1-uDff_7J0KD5mKrp0Vvzr7lt3OU09vwQwhkpOPPYv2Y/edit?usp=sharing"",""งบพรบ!FD105"")"),0)</f>
        <v>0</v>
      </c>
      <c r="F105" s="88">
        <f ca="1">IFERROR(__xludf.DUMMYFUNCTION("IMPORTRANGE(""https://docs.google.com/spreadsheets/d/1-uDff_7J0KD5mKrp0Vvzr7lt3OU09vwQwhkpOPPYv2Y/edit?usp=sharing"",""งบพรบ!FE105"")"),0)</f>
        <v>0</v>
      </c>
      <c r="G105" s="88">
        <f ca="1">IFERROR(__xludf.DUMMYFUNCTION("IMPORTRANGE(""https://docs.google.com/spreadsheets/d/1-uDff_7J0KD5mKrp0Vvzr7lt3OU09vwQwhkpOPPYv2Y/edit?usp=sharing"",""งบพรบ!FF105"")"),0)</f>
        <v>0</v>
      </c>
      <c r="H105" s="88">
        <f ca="1">IFERROR(__xludf.DUMMYFUNCTION("IMPORTRANGE(""https://docs.google.com/spreadsheets/d/1-uDff_7J0KD5mKrp0Vvzr7lt3OU09vwQwhkpOPPYv2Y/edit?usp=sharing"",""งบพรบ!FH105"")"),0)</f>
        <v>0</v>
      </c>
      <c r="I105" s="88">
        <f ca="1">IFERROR(__xludf.DUMMYFUNCTION("IMPORTRANGE(""https://docs.google.com/spreadsheets/d/1-uDff_7J0KD5mKrp0Vvzr7lt3OU09vwQwhkpOPPYv2Y/edit?usp=sharing"",""งบพรบ!FI105"")"),0)</f>
        <v>0</v>
      </c>
      <c r="J105" s="88">
        <f t="shared" ca="1" si="54"/>
        <v>0</v>
      </c>
      <c r="K105" s="89">
        <f t="shared" ca="1" si="55"/>
        <v>0</v>
      </c>
      <c r="L105" s="88">
        <f ca="1">IFERROR(__xludf.DUMMYFUNCTION("IMPORTRANGE(""https://docs.google.com/spreadsheets/d/1-uDff_7J0KD5mKrp0Vvzr7lt3OU09vwQwhkpOPPYv2Y/edit?usp=sharing"",""งบพรบ!FJ105"")"),0)</f>
        <v>0</v>
      </c>
      <c r="M105" s="90">
        <f t="shared" ca="1" si="56"/>
        <v>0</v>
      </c>
      <c r="N105" s="90">
        <f t="shared" ca="1" si="57"/>
        <v>0</v>
      </c>
      <c r="O105" s="91">
        <f ca="1">IFERROR(__xludf.DUMMYFUNCTION("IMPORTRANGE(""https://docs.google.com/spreadsheets/d/1-uDff_7J0KD5mKrp0Vvzr7lt3OU09vwQwhkpOPPYv2Y/edit?usp=sharing"",""งบพรบ!FK105"")"),0)</f>
        <v>0</v>
      </c>
      <c r="P105" s="91">
        <f t="shared" ca="1" si="58"/>
        <v>0</v>
      </c>
      <c r="Q105" s="90">
        <f t="shared" ca="1" si="59"/>
        <v>0</v>
      </c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</row>
    <row r="106" spans="1:29" ht="24" customHeight="1" x14ac:dyDescent="0.3">
      <c r="A106" s="200"/>
      <c r="B106" s="120" t="s">
        <v>128</v>
      </c>
      <c r="C106" s="201">
        <f t="shared" ca="1" si="52"/>
        <v>0</v>
      </c>
      <c r="D106" s="202">
        <f t="shared" ca="1" si="53"/>
        <v>0</v>
      </c>
      <c r="E106" s="99">
        <f ca="1">IFERROR(__xludf.DUMMYFUNCTION("IMPORTRANGE(""https://docs.google.com/spreadsheets/d/1-uDff_7J0KD5mKrp0Vvzr7lt3OU09vwQwhkpOPPYv2Y/edit?usp=sharing"",""งบพรบ!FD106"")"),0)</f>
        <v>0</v>
      </c>
      <c r="F106" s="99">
        <f ca="1">IFERROR(__xludf.DUMMYFUNCTION("IMPORTRANGE(""https://docs.google.com/spreadsheets/d/1-uDff_7J0KD5mKrp0Vvzr7lt3OU09vwQwhkpOPPYv2Y/edit?usp=sharing"",""งบพรบ!FE106"")"),0)</f>
        <v>0</v>
      </c>
      <c r="G106" s="99">
        <f ca="1">IFERROR(__xludf.DUMMYFUNCTION("IMPORTRANGE(""https://docs.google.com/spreadsheets/d/1-uDff_7J0KD5mKrp0Vvzr7lt3OU09vwQwhkpOPPYv2Y/edit?usp=sharing"",""งบพรบ!FF106"")"),0)</f>
        <v>0</v>
      </c>
      <c r="H106" s="99">
        <f ca="1">IFERROR(__xludf.DUMMYFUNCTION("IMPORTRANGE(""https://docs.google.com/spreadsheets/d/1-uDff_7J0KD5mKrp0Vvzr7lt3OU09vwQwhkpOPPYv2Y/edit?usp=sharing"",""งบพรบ!FH106"")"),0)</f>
        <v>0</v>
      </c>
      <c r="I106" s="99">
        <f ca="1">IFERROR(__xludf.DUMMYFUNCTION("IMPORTRANGE(""https://docs.google.com/spreadsheets/d/1-uDff_7J0KD5mKrp0Vvzr7lt3OU09vwQwhkpOPPYv2Y/edit?usp=sharing"",""งบพรบ!FI106"")"),0)</f>
        <v>0</v>
      </c>
      <c r="J106" s="99">
        <f t="shared" ca="1" si="54"/>
        <v>0</v>
      </c>
      <c r="K106" s="100">
        <f t="shared" ca="1" si="55"/>
        <v>0</v>
      </c>
      <c r="L106" s="99">
        <f ca="1">IFERROR(__xludf.DUMMYFUNCTION("IMPORTRANGE(""https://docs.google.com/spreadsheets/d/1-uDff_7J0KD5mKrp0Vvzr7lt3OU09vwQwhkpOPPYv2Y/edit?usp=sharing"",""งบพรบ!FJ106"")"),0)</f>
        <v>0</v>
      </c>
      <c r="M106" s="101">
        <f t="shared" ca="1" si="56"/>
        <v>0</v>
      </c>
      <c r="N106" s="101">
        <f t="shared" ca="1" si="57"/>
        <v>0</v>
      </c>
      <c r="O106" s="102">
        <f ca="1">IFERROR(__xludf.DUMMYFUNCTION("IMPORTRANGE(""https://docs.google.com/spreadsheets/d/1-uDff_7J0KD5mKrp0Vvzr7lt3OU09vwQwhkpOPPYv2Y/edit?usp=sharing"",""งบพรบ!FK106"")"),0)</f>
        <v>0</v>
      </c>
      <c r="P106" s="102">
        <f t="shared" ca="1" si="58"/>
        <v>0</v>
      </c>
      <c r="Q106" s="101">
        <f t="shared" ca="1" si="59"/>
        <v>0</v>
      </c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</row>
    <row r="107" spans="1:29" ht="24" customHeight="1" x14ac:dyDescent="0.2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69"/>
      <c r="N107" s="269"/>
      <c r="O107" s="270"/>
      <c r="P107" s="270"/>
      <c r="Q107" s="270"/>
      <c r="R107" s="203"/>
      <c r="S107" s="203"/>
      <c r="T107" s="203"/>
      <c r="U107" s="269"/>
      <c r="V107" s="269"/>
      <c r="W107" s="269"/>
      <c r="X107" s="269"/>
      <c r="Y107" s="269"/>
      <c r="Z107" s="269"/>
      <c r="AA107" s="269"/>
      <c r="AB107" s="269"/>
      <c r="AC107" s="269"/>
    </row>
    <row r="108" spans="1:29" ht="24" customHeight="1" x14ac:dyDescent="0.2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69"/>
      <c r="N108" s="269"/>
      <c r="O108" s="270"/>
      <c r="P108" s="270"/>
      <c r="Q108" s="270"/>
      <c r="R108" s="203"/>
      <c r="S108" s="203"/>
      <c r="T108" s="203"/>
      <c r="U108" s="269"/>
      <c r="V108" s="269"/>
      <c r="W108" s="269"/>
      <c r="X108" s="269"/>
      <c r="Y108" s="269"/>
      <c r="Z108" s="269"/>
      <c r="AA108" s="269"/>
      <c r="AB108" s="269"/>
      <c r="AC108" s="269"/>
    </row>
    <row r="109" spans="1:29" ht="24" customHeight="1" x14ac:dyDescent="0.2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69"/>
      <c r="N109" s="269"/>
      <c r="O109" s="270"/>
      <c r="P109" s="270"/>
      <c r="Q109" s="270"/>
      <c r="R109" s="203"/>
      <c r="S109" s="203"/>
      <c r="T109" s="203"/>
      <c r="U109" s="269"/>
      <c r="V109" s="269"/>
      <c r="W109" s="269"/>
      <c r="X109" s="269"/>
      <c r="Y109" s="269"/>
      <c r="Z109" s="269"/>
      <c r="AA109" s="269"/>
      <c r="AB109" s="269"/>
      <c r="AC109" s="269"/>
    </row>
    <row r="110" spans="1:29" ht="24" customHeight="1" x14ac:dyDescent="0.2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69"/>
      <c r="N110" s="269"/>
      <c r="O110" s="270"/>
      <c r="P110" s="270"/>
      <c r="Q110" s="270"/>
      <c r="R110" s="203"/>
      <c r="S110" s="203"/>
      <c r="T110" s="203"/>
      <c r="U110" s="269"/>
      <c r="V110" s="269"/>
      <c r="W110" s="269"/>
      <c r="X110" s="269"/>
      <c r="Y110" s="269"/>
      <c r="Z110" s="269"/>
      <c r="AA110" s="269"/>
      <c r="AB110" s="269"/>
      <c r="AC110" s="269"/>
    </row>
    <row r="111" spans="1:29" ht="24" customHeight="1" x14ac:dyDescent="0.2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69"/>
      <c r="N111" s="269"/>
      <c r="O111" s="270"/>
      <c r="P111" s="270"/>
      <c r="Q111" s="270"/>
      <c r="R111" s="203"/>
      <c r="S111" s="203"/>
      <c r="T111" s="203"/>
      <c r="U111" s="269"/>
      <c r="V111" s="269"/>
      <c r="W111" s="269"/>
      <c r="X111" s="269"/>
      <c r="Y111" s="269"/>
      <c r="Z111" s="269"/>
      <c r="AA111" s="269"/>
      <c r="AB111" s="269"/>
      <c r="AC111" s="269"/>
    </row>
    <row r="112" spans="1:29" ht="24" customHeight="1" x14ac:dyDescent="0.2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69"/>
      <c r="N112" s="269"/>
      <c r="O112" s="270"/>
      <c r="P112" s="270"/>
      <c r="Q112" s="270"/>
      <c r="R112" s="203"/>
      <c r="S112" s="203"/>
      <c r="T112" s="203"/>
      <c r="U112" s="269"/>
      <c r="V112" s="269"/>
      <c r="W112" s="269"/>
      <c r="X112" s="269"/>
      <c r="Y112" s="269"/>
      <c r="Z112" s="269"/>
      <c r="AA112" s="269"/>
      <c r="AB112" s="269"/>
      <c r="AC112" s="269"/>
    </row>
    <row r="113" spans="1:29" ht="24" customHeight="1" x14ac:dyDescent="0.2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69"/>
      <c r="N113" s="269"/>
      <c r="O113" s="270"/>
      <c r="P113" s="270"/>
      <c r="Q113" s="270"/>
      <c r="R113" s="203"/>
      <c r="S113" s="203"/>
      <c r="T113" s="203"/>
      <c r="U113" s="269"/>
      <c r="V113" s="269"/>
      <c r="W113" s="269"/>
      <c r="X113" s="269"/>
      <c r="Y113" s="269"/>
      <c r="Z113" s="269"/>
      <c r="AA113" s="269"/>
      <c r="AB113" s="269"/>
      <c r="AC113" s="269"/>
    </row>
    <row r="114" spans="1:29" ht="24" customHeight="1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69"/>
      <c r="N114" s="269"/>
      <c r="O114" s="270"/>
      <c r="P114" s="270"/>
      <c r="Q114" s="270"/>
      <c r="R114" s="203"/>
      <c r="S114" s="203"/>
      <c r="T114" s="203"/>
      <c r="U114" s="269"/>
      <c r="V114" s="269"/>
      <c r="W114" s="269"/>
      <c r="X114" s="269"/>
      <c r="Y114" s="269"/>
      <c r="Z114" s="269"/>
      <c r="AA114" s="269"/>
      <c r="AB114" s="269"/>
      <c r="AC114" s="269"/>
    </row>
    <row r="115" spans="1:29" ht="24" customHeight="1" x14ac:dyDescent="0.2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69"/>
      <c r="N115" s="269"/>
      <c r="O115" s="270"/>
      <c r="P115" s="270"/>
      <c r="Q115" s="270"/>
      <c r="R115" s="203"/>
      <c r="S115" s="203"/>
      <c r="T115" s="203"/>
      <c r="U115" s="269"/>
      <c r="V115" s="269"/>
      <c r="W115" s="269"/>
      <c r="X115" s="269"/>
      <c r="Y115" s="269"/>
      <c r="Z115" s="269"/>
      <c r="AA115" s="269"/>
      <c r="AB115" s="269"/>
      <c r="AC115" s="269"/>
    </row>
    <row r="116" spans="1:29" ht="24" customHeight="1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69"/>
      <c r="N116" s="269"/>
      <c r="O116" s="270"/>
      <c r="P116" s="270"/>
      <c r="Q116" s="270"/>
      <c r="R116" s="203"/>
      <c r="S116" s="203"/>
      <c r="T116" s="203"/>
      <c r="U116" s="269"/>
      <c r="V116" s="269"/>
      <c r="W116" s="269"/>
      <c r="X116" s="269"/>
      <c r="Y116" s="269"/>
      <c r="Z116" s="269"/>
      <c r="AA116" s="269"/>
      <c r="AB116" s="269"/>
      <c r="AC116" s="269"/>
    </row>
    <row r="117" spans="1:29" ht="24" customHeight="1" x14ac:dyDescent="0.2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69"/>
      <c r="N117" s="269"/>
      <c r="O117" s="270"/>
      <c r="P117" s="270"/>
      <c r="Q117" s="270"/>
      <c r="R117" s="203"/>
      <c r="S117" s="203"/>
      <c r="T117" s="203"/>
      <c r="U117" s="269"/>
      <c r="V117" s="269"/>
      <c r="W117" s="269"/>
      <c r="X117" s="269"/>
      <c r="Y117" s="269"/>
      <c r="Z117" s="269"/>
      <c r="AA117" s="269"/>
      <c r="AB117" s="269"/>
      <c r="AC117" s="269"/>
    </row>
    <row r="118" spans="1:29" ht="24" customHeight="1" x14ac:dyDescent="0.2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69"/>
      <c r="N118" s="269"/>
      <c r="O118" s="270"/>
      <c r="P118" s="270"/>
      <c r="Q118" s="270"/>
      <c r="R118" s="203"/>
      <c r="S118" s="203"/>
      <c r="T118" s="203"/>
      <c r="U118" s="269"/>
      <c r="V118" s="269"/>
      <c r="W118" s="269"/>
      <c r="X118" s="269"/>
      <c r="Y118" s="269"/>
      <c r="Z118" s="269"/>
      <c r="AA118" s="269"/>
      <c r="AB118" s="269"/>
      <c r="AC118" s="269"/>
    </row>
    <row r="119" spans="1:29" ht="24" customHeight="1" x14ac:dyDescent="0.2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69"/>
      <c r="N119" s="269"/>
      <c r="O119" s="270"/>
      <c r="P119" s="270"/>
      <c r="Q119" s="270"/>
      <c r="R119" s="203"/>
      <c r="S119" s="203"/>
      <c r="T119" s="203"/>
      <c r="U119" s="269"/>
      <c r="V119" s="269"/>
      <c r="W119" s="269"/>
      <c r="X119" s="269"/>
      <c r="Y119" s="269"/>
      <c r="Z119" s="269"/>
      <c r="AA119" s="269"/>
      <c r="AB119" s="269"/>
      <c r="AC119" s="269"/>
    </row>
    <row r="120" spans="1:29" ht="24" customHeight="1" x14ac:dyDescent="0.2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69"/>
      <c r="N120" s="269"/>
      <c r="O120" s="270"/>
      <c r="P120" s="270"/>
      <c r="Q120" s="270"/>
      <c r="R120" s="203"/>
      <c r="S120" s="203"/>
      <c r="T120" s="203"/>
      <c r="U120" s="269"/>
      <c r="V120" s="269"/>
      <c r="W120" s="269"/>
      <c r="X120" s="269"/>
      <c r="Y120" s="269"/>
      <c r="Z120" s="269"/>
      <c r="AA120" s="269"/>
      <c r="AB120" s="269"/>
      <c r="AC120" s="269"/>
    </row>
    <row r="121" spans="1:29" ht="24" customHeight="1" x14ac:dyDescent="0.2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69"/>
      <c r="N121" s="269"/>
      <c r="O121" s="270"/>
      <c r="P121" s="270"/>
      <c r="Q121" s="270"/>
      <c r="R121" s="203"/>
      <c r="S121" s="203"/>
      <c r="T121" s="203"/>
      <c r="U121" s="269"/>
      <c r="V121" s="269"/>
      <c r="W121" s="269"/>
      <c r="X121" s="269"/>
      <c r="Y121" s="269"/>
      <c r="Z121" s="269"/>
      <c r="AA121" s="269"/>
      <c r="AB121" s="269"/>
      <c r="AC121" s="269"/>
    </row>
    <row r="122" spans="1:29" ht="24" customHeight="1" x14ac:dyDescent="0.2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69"/>
      <c r="N122" s="269"/>
      <c r="O122" s="270"/>
      <c r="P122" s="270"/>
      <c r="Q122" s="270"/>
      <c r="R122" s="203"/>
      <c r="S122" s="203"/>
      <c r="T122" s="203"/>
      <c r="U122" s="269"/>
      <c r="V122" s="269"/>
      <c r="W122" s="269"/>
      <c r="X122" s="269"/>
      <c r="Y122" s="269"/>
      <c r="Z122" s="269"/>
      <c r="AA122" s="269"/>
      <c r="AB122" s="269"/>
      <c r="AC122" s="269"/>
    </row>
    <row r="123" spans="1:29" ht="24" customHeight="1" x14ac:dyDescent="0.2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69"/>
      <c r="N123" s="269"/>
      <c r="O123" s="270"/>
      <c r="P123" s="270"/>
      <c r="Q123" s="270"/>
      <c r="R123" s="203"/>
      <c r="S123" s="203"/>
      <c r="T123" s="203"/>
      <c r="U123" s="269"/>
      <c r="V123" s="269"/>
      <c r="W123" s="269"/>
      <c r="X123" s="269"/>
      <c r="Y123" s="269"/>
      <c r="Z123" s="269"/>
      <c r="AA123" s="269"/>
      <c r="AB123" s="269"/>
      <c r="AC123" s="269"/>
    </row>
    <row r="124" spans="1:29" ht="24" customHeight="1" x14ac:dyDescent="0.2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69"/>
      <c r="N124" s="269"/>
      <c r="O124" s="270"/>
      <c r="P124" s="270"/>
      <c r="Q124" s="270"/>
      <c r="R124" s="203"/>
      <c r="S124" s="203"/>
      <c r="T124" s="203"/>
      <c r="U124" s="269"/>
      <c r="V124" s="269"/>
      <c r="W124" s="269"/>
      <c r="X124" s="269"/>
      <c r="Y124" s="269"/>
      <c r="Z124" s="269"/>
      <c r="AA124" s="269"/>
      <c r="AB124" s="269"/>
      <c r="AC124" s="269"/>
    </row>
    <row r="125" spans="1:29" ht="24" customHeight="1" x14ac:dyDescent="0.2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69"/>
      <c r="N125" s="269"/>
      <c r="O125" s="270"/>
      <c r="P125" s="270"/>
      <c r="Q125" s="270"/>
      <c r="R125" s="203"/>
      <c r="S125" s="203"/>
      <c r="T125" s="203"/>
      <c r="U125" s="269"/>
      <c r="V125" s="269"/>
      <c r="W125" s="269"/>
      <c r="X125" s="269"/>
      <c r="Y125" s="269"/>
      <c r="Z125" s="269"/>
      <c r="AA125" s="269"/>
      <c r="AB125" s="269"/>
      <c r="AC125" s="269"/>
    </row>
    <row r="126" spans="1:29" ht="24" customHeight="1" x14ac:dyDescent="0.2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69"/>
      <c r="N126" s="269"/>
      <c r="O126" s="270"/>
      <c r="P126" s="270"/>
      <c r="Q126" s="270"/>
      <c r="R126" s="203"/>
      <c r="S126" s="203"/>
      <c r="T126" s="203"/>
      <c r="U126" s="269"/>
      <c r="V126" s="269"/>
      <c r="W126" s="269"/>
      <c r="X126" s="269"/>
      <c r="Y126" s="269"/>
      <c r="Z126" s="269"/>
      <c r="AA126" s="269"/>
      <c r="AB126" s="269"/>
      <c r="AC126" s="269"/>
    </row>
    <row r="127" spans="1:29" ht="24" customHeight="1" x14ac:dyDescent="0.2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69"/>
      <c r="N127" s="269"/>
      <c r="O127" s="270"/>
      <c r="P127" s="270"/>
      <c r="Q127" s="270"/>
      <c r="R127" s="203"/>
      <c r="S127" s="203"/>
      <c r="T127" s="203"/>
      <c r="U127" s="269"/>
      <c r="V127" s="269"/>
      <c r="W127" s="269"/>
      <c r="X127" s="269"/>
      <c r="Y127" s="269"/>
      <c r="Z127" s="269"/>
      <c r="AA127" s="269"/>
      <c r="AB127" s="269"/>
      <c r="AC127" s="269"/>
    </row>
    <row r="128" spans="1:29" ht="24" customHeight="1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69"/>
      <c r="N128" s="269"/>
      <c r="O128" s="270"/>
      <c r="P128" s="270"/>
      <c r="Q128" s="270"/>
      <c r="R128" s="203"/>
      <c r="S128" s="203"/>
      <c r="T128" s="203"/>
      <c r="U128" s="269"/>
      <c r="V128" s="269"/>
      <c r="W128" s="269"/>
      <c r="X128" s="269"/>
      <c r="Y128" s="269"/>
      <c r="Z128" s="269"/>
      <c r="AA128" s="269"/>
      <c r="AB128" s="269"/>
      <c r="AC128" s="269"/>
    </row>
    <row r="129" spans="1:29" ht="24" customHeight="1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69"/>
      <c r="N129" s="269"/>
      <c r="O129" s="270"/>
      <c r="P129" s="270"/>
      <c r="Q129" s="270"/>
      <c r="R129" s="203"/>
      <c r="S129" s="203"/>
      <c r="T129" s="203"/>
      <c r="U129" s="269"/>
      <c r="V129" s="269"/>
      <c r="W129" s="269"/>
      <c r="X129" s="269"/>
      <c r="Y129" s="269"/>
      <c r="Z129" s="269"/>
      <c r="AA129" s="269"/>
      <c r="AB129" s="269"/>
      <c r="AC129" s="269"/>
    </row>
    <row r="130" spans="1:29" ht="24" customHeight="1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69"/>
      <c r="N130" s="269"/>
      <c r="O130" s="270"/>
      <c r="P130" s="270"/>
      <c r="Q130" s="270"/>
      <c r="R130" s="203"/>
      <c r="S130" s="203"/>
      <c r="T130" s="203"/>
      <c r="U130" s="269"/>
      <c r="V130" s="269"/>
      <c r="W130" s="269"/>
      <c r="X130" s="269"/>
      <c r="Y130" s="269"/>
      <c r="Z130" s="269"/>
      <c r="AA130" s="269"/>
      <c r="AB130" s="269"/>
      <c r="AC130" s="269"/>
    </row>
    <row r="131" spans="1:29" ht="24" customHeight="1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69"/>
      <c r="N131" s="269"/>
      <c r="O131" s="270"/>
      <c r="P131" s="270"/>
      <c r="Q131" s="270"/>
      <c r="R131" s="203"/>
      <c r="S131" s="203"/>
      <c r="T131" s="203"/>
      <c r="U131" s="269"/>
      <c r="V131" s="269"/>
      <c r="W131" s="269"/>
      <c r="X131" s="269"/>
      <c r="Y131" s="269"/>
      <c r="Z131" s="269"/>
      <c r="AA131" s="269"/>
      <c r="AB131" s="269"/>
      <c r="AC131" s="269"/>
    </row>
    <row r="132" spans="1:29" ht="24" customHeight="1" x14ac:dyDescent="0.2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69"/>
      <c r="N132" s="269"/>
      <c r="O132" s="270"/>
      <c r="P132" s="270"/>
      <c r="Q132" s="270"/>
      <c r="R132" s="203"/>
      <c r="S132" s="203"/>
      <c r="T132" s="203"/>
      <c r="U132" s="269"/>
      <c r="V132" s="269"/>
      <c r="W132" s="269"/>
      <c r="X132" s="269"/>
      <c r="Y132" s="269"/>
      <c r="Z132" s="269"/>
      <c r="AA132" s="269"/>
      <c r="AB132" s="269"/>
      <c r="AC132" s="269"/>
    </row>
    <row r="133" spans="1:29" ht="24" customHeight="1" x14ac:dyDescent="0.2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69"/>
      <c r="N133" s="269"/>
      <c r="O133" s="270"/>
      <c r="P133" s="270"/>
      <c r="Q133" s="270"/>
      <c r="R133" s="203"/>
      <c r="S133" s="203"/>
      <c r="T133" s="203"/>
      <c r="U133" s="269"/>
      <c r="V133" s="269"/>
      <c r="W133" s="269"/>
      <c r="X133" s="269"/>
      <c r="Y133" s="269"/>
      <c r="Z133" s="269"/>
      <c r="AA133" s="269"/>
      <c r="AB133" s="269"/>
      <c r="AC133" s="269"/>
    </row>
    <row r="134" spans="1:29" ht="24" customHeight="1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69"/>
      <c r="N134" s="269"/>
      <c r="O134" s="270"/>
      <c r="P134" s="270"/>
      <c r="Q134" s="270"/>
      <c r="R134" s="203"/>
      <c r="S134" s="203"/>
      <c r="T134" s="203"/>
      <c r="U134" s="269"/>
      <c r="V134" s="269"/>
      <c r="W134" s="269"/>
      <c r="X134" s="269"/>
      <c r="Y134" s="269"/>
      <c r="Z134" s="269"/>
      <c r="AA134" s="269"/>
      <c r="AB134" s="269"/>
      <c r="AC134" s="269"/>
    </row>
    <row r="135" spans="1:29" ht="24" customHeight="1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69"/>
      <c r="N135" s="269"/>
      <c r="O135" s="270"/>
      <c r="P135" s="270"/>
      <c r="Q135" s="270"/>
      <c r="R135" s="203"/>
      <c r="S135" s="203"/>
      <c r="T135" s="203"/>
      <c r="U135" s="269"/>
      <c r="V135" s="269"/>
      <c r="W135" s="269"/>
      <c r="X135" s="269"/>
      <c r="Y135" s="269"/>
      <c r="Z135" s="269"/>
      <c r="AA135" s="269"/>
      <c r="AB135" s="269"/>
      <c r="AC135" s="269"/>
    </row>
    <row r="136" spans="1:29" ht="24" customHeight="1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69"/>
      <c r="N136" s="269"/>
      <c r="O136" s="270"/>
      <c r="P136" s="270"/>
      <c r="Q136" s="270"/>
      <c r="R136" s="203"/>
      <c r="S136" s="203"/>
      <c r="T136" s="203"/>
      <c r="U136" s="269"/>
      <c r="V136" s="269"/>
      <c r="W136" s="269"/>
      <c r="X136" s="269"/>
      <c r="Y136" s="269"/>
      <c r="Z136" s="269"/>
      <c r="AA136" s="269"/>
      <c r="AB136" s="269"/>
      <c r="AC136" s="269"/>
    </row>
    <row r="137" spans="1:29" ht="24" customHeight="1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69"/>
      <c r="N137" s="269"/>
      <c r="O137" s="270"/>
      <c r="P137" s="270"/>
      <c r="Q137" s="270"/>
      <c r="R137" s="203"/>
      <c r="S137" s="203"/>
      <c r="T137" s="203"/>
      <c r="U137" s="269"/>
      <c r="V137" s="269"/>
      <c r="W137" s="269"/>
      <c r="X137" s="269"/>
      <c r="Y137" s="269"/>
      <c r="Z137" s="269"/>
      <c r="AA137" s="269"/>
      <c r="AB137" s="269"/>
      <c r="AC137" s="269"/>
    </row>
    <row r="138" spans="1:29" ht="24" customHeight="1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69"/>
      <c r="N138" s="269"/>
      <c r="O138" s="270"/>
      <c r="P138" s="270"/>
      <c r="Q138" s="270"/>
      <c r="R138" s="203"/>
      <c r="S138" s="203"/>
      <c r="T138" s="203"/>
      <c r="U138" s="269"/>
      <c r="V138" s="269"/>
      <c r="W138" s="269"/>
      <c r="X138" s="269"/>
      <c r="Y138" s="269"/>
      <c r="Z138" s="269"/>
      <c r="AA138" s="269"/>
      <c r="AB138" s="269"/>
      <c r="AC138" s="269"/>
    </row>
    <row r="139" spans="1:29" ht="24" customHeight="1" x14ac:dyDescent="0.2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69"/>
      <c r="N139" s="269"/>
      <c r="O139" s="270"/>
      <c r="P139" s="270"/>
      <c r="Q139" s="270"/>
      <c r="R139" s="203"/>
      <c r="S139" s="203"/>
      <c r="T139" s="203"/>
      <c r="U139" s="269"/>
      <c r="V139" s="269"/>
      <c r="W139" s="269"/>
      <c r="X139" s="269"/>
      <c r="Y139" s="269"/>
      <c r="Z139" s="269"/>
      <c r="AA139" s="269"/>
      <c r="AB139" s="269"/>
      <c r="AC139" s="269"/>
    </row>
    <row r="140" spans="1:29" ht="24" customHeight="1" x14ac:dyDescent="0.2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69"/>
      <c r="N140" s="269"/>
      <c r="O140" s="270"/>
      <c r="P140" s="270"/>
      <c r="Q140" s="270"/>
      <c r="R140" s="203"/>
      <c r="S140" s="203"/>
      <c r="T140" s="203"/>
      <c r="U140" s="269"/>
      <c r="V140" s="269"/>
      <c r="W140" s="269"/>
      <c r="X140" s="269"/>
      <c r="Y140" s="269"/>
      <c r="Z140" s="269"/>
      <c r="AA140" s="269"/>
      <c r="AB140" s="269"/>
      <c r="AC140" s="269"/>
    </row>
    <row r="141" spans="1:29" ht="24" customHeight="1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69"/>
      <c r="N141" s="269"/>
      <c r="O141" s="270"/>
      <c r="P141" s="270"/>
      <c r="Q141" s="270"/>
      <c r="R141" s="203"/>
      <c r="S141" s="203"/>
      <c r="T141" s="203"/>
      <c r="U141" s="269"/>
      <c r="V141" s="269"/>
      <c r="W141" s="269"/>
      <c r="X141" s="269"/>
      <c r="Y141" s="269"/>
      <c r="Z141" s="269"/>
      <c r="AA141" s="269"/>
      <c r="AB141" s="269"/>
      <c r="AC141" s="269"/>
    </row>
    <row r="142" spans="1:29" ht="24" customHeight="1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69"/>
      <c r="N142" s="269"/>
      <c r="O142" s="270"/>
      <c r="P142" s="270"/>
      <c r="Q142" s="270"/>
      <c r="R142" s="203"/>
      <c r="S142" s="203"/>
      <c r="T142" s="203"/>
      <c r="U142" s="269"/>
      <c r="V142" s="269"/>
      <c r="W142" s="269"/>
      <c r="X142" s="269"/>
      <c r="Y142" s="269"/>
      <c r="Z142" s="269"/>
      <c r="AA142" s="269"/>
      <c r="AB142" s="269"/>
      <c r="AC142" s="269"/>
    </row>
    <row r="143" spans="1:29" ht="24" customHeight="1" x14ac:dyDescent="0.2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69"/>
      <c r="N143" s="269"/>
      <c r="O143" s="270"/>
      <c r="P143" s="270"/>
      <c r="Q143" s="270"/>
      <c r="R143" s="203"/>
      <c r="S143" s="203"/>
      <c r="T143" s="203"/>
      <c r="U143" s="269"/>
      <c r="V143" s="269"/>
      <c r="W143" s="269"/>
      <c r="X143" s="269"/>
      <c r="Y143" s="269"/>
      <c r="Z143" s="269"/>
      <c r="AA143" s="269"/>
      <c r="AB143" s="269"/>
      <c r="AC143" s="269"/>
    </row>
    <row r="144" spans="1:29" ht="24" customHeight="1" x14ac:dyDescent="0.2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69"/>
      <c r="N144" s="269"/>
      <c r="O144" s="270"/>
      <c r="P144" s="270"/>
      <c r="Q144" s="270"/>
      <c r="R144" s="203"/>
      <c r="S144" s="203"/>
      <c r="T144" s="203"/>
      <c r="U144" s="269"/>
      <c r="V144" s="269"/>
      <c r="W144" s="269"/>
      <c r="X144" s="269"/>
      <c r="Y144" s="269"/>
      <c r="Z144" s="269"/>
      <c r="AA144" s="269"/>
      <c r="AB144" s="269"/>
      <c r="AC144" s="269"/>
    </row>
    <row r="145" spans="1:29" ht="24" customHeight="1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69"/>
      <c r="N145" s="269"/>
      <c r="O145" s="270"/>
      <c r="P145" s="270"/>
      <c r="Q145" s="270"/>
      <c r="R145" s="203"/>
      <c r="S145" s="203"/>
      <c r="T145" s="203"/>
      <c r="U145" s="269"/>
      <c r="V145" s="269"/>
      <c r="W145" s="269"/>
      <c r="X145" s="269"/>
      <c r="Y145" s="269"/>
      <c r="Z145" s="269"/>
      <c r="AA145" s="269"/>
      <c r="AB145" s="269"/>
      <c r="AC145" s="269"/>
    </row>
    <row r="146" spans="1:29" ht="24" customHeight="1" x14ac:dyDescent="0.2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69"/>
      <c r="N146" s="269"/>
      <c r="O146" s="270"/>
      <c r="P146" s="270"/>
      <c r="Q146" s="270"/>
      <c r="R146" s="203"/>
      <c r="S146" s="203"/>
      <c r="T146" s="203"/>
      <c r="U146" s="269"/>
      <c r="V146" s="269"/>
      <c r="W146" s="269"/>
      <c r="X146" s="269"/>
      <c r="Y146" s="269"/>
      <c r="Z146" s="269"/>
      <c r="AA146" s="269"/>
      <c r="AB146" s="269"/>
      <c r="AC146" s="269"/>
    </row>
    <row r="147" spans="1:29" ht="24" customHeight="1" x14ac:dyDescent="0.2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69"/>
      <c r="N147" s="269"/>
      <c r="O147" s="270"/>
      <c r="P147" s="270"/>
      <c r="Q147" s="270"/>
      <c r="R147" s="203"/>
      <c r="S147" s="203"/>
      <c r="T147" s="203"/>
      <c r="U147" s="269"/>
      <c r="V147" s="269"/>
      <c r="W147" s="269"/>
      <c r="X147" s="269"/>
      <c r="Y147" s="269"/>
      <c r="Z147" s="269"/>
      <c r="AA147" s="269"/>
      <c r="AB147" s="269"/>
      <c r="AC147" s="269"/>
    </row>
    <row r="148" spans="1:29" ht="24" customHeight="1" x14ac:dyDescent="0.2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69"/>
      <c r="N148" s="269"/>
      <c r="O148" s="270"/>
      <c r="P148" s="270"/>
      <c r="Q148" s="270"/>
      <c r="R148" s="203"/>
      <c r="S148" s="203"/>
      <c r="T148" s="203"/>
      <c r="U148" s="269"/>
      <c r="V148" s="269"/>
      <c r="W148" s="269"/>
      <c r="X148" s="269"/>
      <c r="Y148" s="269"/>
      <c r="Z148" s="269"/>
      <c r="AA148" s="269"/>
      <c r="AB148" s="269"/>
      <c r="AC148" s="269"/>
    </row>
    <row r="149" spans="1:29" ht="24" customHeight="1" x14ac:dyDescent="0.2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69"/>
      <c r="N149" s="269"/>
      <c r="O149" s="270"/>
      <c r="P149" s="270"/>
      <c r="Q149" s="270"/>
      <c r="R149" s="203"/>
      <c r="S149" s="203"/>
      <c r="T149" s="203"/>
      <c r="U149" s="269"/>
      <c r="V149" s="269"/>
      <c r="W149" s="269"/>
      <c r="X149" s="269"/>
      <c r="Y149" s="269"/>
      <c r="Z149" s="269"/>
      <c r="AA149" s="269"/>
      <c r="AB149" s="269"/>
      <c r="AC149" s="269"/>
    </row>
    <row r="150" spans="1:29" ht="24" customHeight="1" x14ac:dyDescent="0.2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69"/>
      <c r="N150" s="269"/>
      <c r="O150" s="270"/>
      <c r="P150" s="270"/>
      <c r="Q150" s="270"/>
      <c r="R150" s="203"/>
      <c r="S150" s="203"/>
      <c r="T150" s="203"/>
      <c r="U150" s="269"/>
      <c r="V150" s="269"/>
      <c r="W150" s="269"/>
      <c r="X150" s="269"/>
      <c r="Y150" s="269"/>
      <c r="Z150" s="269"/>
      <c r="AA150" s="269"/>
      <c r="AB150" s="269"/>
      <c r="AC150" s="269"/>
    </row>
    <row r="151" spans="1:29" ht="24" customHeight="1" x14ac:dyDescent="0.2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69"/>
      <c r="N151" s="269"/>
      <c r="O151" s="270"/>
      <c r="P151" s="270"/>
      <c r="Q151" s="270"/>
      <c r="R151" s="203"/>
      <c r="S151" s="203"/>
      <c r="T151" s="203"/>
      <c r="U151" s="269"/>
      <c r="V151" s="269"/>
      <c r="W151" s="269"/>
      <c r="X151" s="269"/>
      <c r="Y151" s="269"/>
      <c r="Z151" s="269"/>
      <c r="AA151" s="269"/>
      <c r="AB151" s="269"/>
      <c r="AC151" s="269"/>
    </row>
    <row r="152" spans="1:29" ht="24" customHeight="1" x14ac:dyDescent="0.2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69"/>
      <c r="N152" s="269"/>
      <c r="O152" s="270"/>
      <c r="P152" s="270"/>
      <c r="Q152" s="270"/>
      <c r="R152" s="203"/>
      <c r="S152" s="203"/>
      <c r="T152" s="203"/>
      <c r="U152" s="269"/>
      <c r="V152" s="269"/>
      <c r="W152" s="269"/>
      <c r="X152" s="269"/>
      <c r="Y152" s="269"/>
      <c r="Z152" s="269"/>
      <c r="AA152" s="269"/>
      <c r="AB152" s="269"/>
      <c r="AC152" s="269"/>
    </row>
    <row r="153" spans="1:29" ht="24" customHeight="1" x14ac:dyDescent="0.2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69"/>
      <c r="N153" s="269"/>
      <c r="O153" s="270"/>
      <c r="P153" s="270"/>
      <c r="Q153" s="270"/>
      <c r="R153" s="203"/>
      <c r="S153" s="203"/>
      <c r="T153" s="203"/>
      <c r="U153" s="269"/>
      <c r="V153" s="269"/>
      <c r="W153" s="269"/>
      <c r="X153" s="269"/>
      <c r="Y153" s="269"/>
      <c r="Z153" s="269"/>
      <c r="AA153" s="269"/>
      <c r="AB153" s="269"/>
      <c r="AC153" s="269"/>
    </row>
    <row r="154" spans="1:29" ht="24" customHeight="1" x14ac:dyDescent="0.2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69"/>
      <c r="N154" s="269"/>
      <c r="O154" s="270"/>
      <c r="P154" s="270"/>
      <c r="Q154" s="270"/>
      <c r="R154" s="203"/>
      <c r="S154" s="203"/>
      <c r="T154" s="203"/>
      <c r="U154" s="269"/>
      <c r="V154" s="269"/>
      <c r="W154" s="269"/>
      <c r="X154" s="269"/>
      <c r="Y154" s="269"/>
      <c r="Z154" s="269"/>
      <c r="AA154" s="269"/>
      <c r="AB154" s="269"/>
      <c r="AC154" s="269"/>
    </row>
    <row r="155" spans="1:29" ht="24" customHeight="1" x14ac:dyDescent="0.2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69"/>
      <c r="N155" s="269"/>
      <c r="O155" s="270"/>
      <c r="P155" s="270"/>
      <c r="Q155" s="270"/>
      <c r="R155" s="203"/>
      <c r="S155" s="203"/>
      <c r="T155" s="203"/>
      <c r="U155" s="269"/>
      <c r="V155" s="269"/>
      <c r="W155" s="269"/>
      <c r="X155" s="269"/>
      <c r="Y155" s="269"/>
      <c r="Z155" s="269"/>
      <c r="AA155" s="269"/>
      <c r="AB155" s="269"/>
      <c r="AC155" s="269"/>
    </row>
    <row r="156" spans="1:29" ht="24" customHeight="1" x14ac:dyDescent="0.2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69"/>
      <c r="N156" s="269"/>
      <c r="O156" s="270"/>
      <c r="P156" s="270"/>
      <c r="Q156" s="270"/>
      <c r="R156" s="203"/>
      <c r="S156" s="203"/>
      <c r="T156" s="203"/>
      <c r="U156" s="269"/>
      <c r="V156" s="269"/>
      <c r="W156" s="269"/>
      <c r="X156" s="269"/>
      <c r="Y156" s="269"/>
      <c r="Z156" s="269"/>
      <c r="AA156" s="269"/>
      <c r="AB156" s="269"/>
      <c r="AC156" s="269"/>
    </row>
    <row r="157" spans="1:29" ht="24" customHeight="1" x14ac:dyDescent="0.2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69"/>
      <c r="N157" s="269"/>
      <c r="O157" s="270"/>
      <c r="P157" s="270"/>
      <c r="Q157" s="270"/>
      <c r="R157" s="203"/>
      <c r="S157" s="203"/>
      <c r="T157" s="203"/>
      <c r="U157" s="269"/>
      <c r="V157" s="269"/>
      <c r="W157" s="269"/>
      <c r="X157" s="269"/>
      <c r="Y157" s="269"/>
      <c r="Z157" s="269"/>
      <c r="AA157" s="269"/>
      <c r="AB157" s="269"/>
      <c r="AC157" s="269"/>
    </row>
    <row r="158" spans="1:29" ht="24" customHeight="1" x14ac:dyDescent="0.2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69"/>
      <c r="N158" s="269"/>
      <c r="O158" s="270"/>
      <c r="P158" s="270"/>
      <c r="Q158" s="270"/>
      <c r="R158" s="203"/>
      <c r="S158" s="203"/>
      <c r="T158" s="203"/>
      <c r="U158" s="269"/>
      <c r="V158" s="269"/>
      <c r="W158" s="269"/>
      <c r="X158" s="269"/>
      <c r="Y158" s="269"/>
      <c r="Z158" s="269"/>
      <c r="AA158" s="269"/>
      <c r="AB158" s="269"/>
      <c r="AC158" s="269"/>
    </row>
    <row r="159" spans="1:29" ht="24" customHeight="1" x14ac:dyDescent="0.2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69"/>
      <c r="N159" s="269"/>
      <c r="O159" s="270"/>
      <c r="P159" s="270"/>
      <c r="Q159" s="270"/>
      <c r="R159" s="203"/>
      <c r="S159" s="203"/>
      <c r="T159" s="203"/>
      <c r="U159" s="269"/>
      <c r="V159" s="269"/>
      <c r="W159" s="269"/>
      <c r="X159" s="269"/>
      <c r="Y159" s="269"/>
      <c r="Z159" s="269"/>
      <c r="AA159" s="269"/>
      <c r="AB159" s="269"/>
      <c r="AC159" s="269"/>
    </row>
    <row r="160" spans="1:29" ht="24" customHeight="1" x14ac:dyDescent="0.2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69"/>
      <c r="N160" s="269"/>
      <c r="O160" s="270"/>
      <c r="P160" s="270"/>
      <c r="Q160" s="270"/>
      <c r="R160" s="203"/>
      <c r="S160" s="203"/>
      <c r="T160" s="203"/>
      <c r="U160" s="269"/>
      <c r="V160" s="269"/>
      <c r="W160" s="269"/>
      <c r="X160" s="269"/>
      <c r="Y160" s="269"/>
      <c r="Z160" s="269"/>
      <c r="AA160" s="269"/>
      <c r="AB160" s="269"/>
      <c r="AC160" s="269"/>
    </row>
    <row r="161" spans="1:29" ht="24" customHeight="1" x14ac:dyDescent="0.2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69"/>
      <c r="N161" s="269"/>
      <c r="O161" s="270"/>
      <c r="P161" s="270"/>
      <c r="Q161" s="270"/>
      <c r="R161" s="203"/>
      <c r="S161" s="203"/>
      <c r="T161" s="203"/>
      <c r="U161" s="269"/>
      <c r="V161" s="269"/>
      <c r="W161" s="269"/>
      <c r="X161" s="269"/>
      <c r="Y161" s="269"/>
      <c r="Z161" s="269"/>
      <c r="AA161" s="269"/>
      <c r="AB161" s="269"/>
      <c r="AC161" s="269"/>
    </row>
    <row r="162" spans="1:29" ht="24" customHeight="1" x14ac:dyDescent="0.2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69"/>
      <c r="N162" s="269"/>
      <c r="O162" s="270"/>
      <c r="P162" s="270"/>
      <c r="Q162" s="270"/>
      <c r="R162" s="203"/>
      <c r="S162" s="203"/>
      <c r="T162" s="203"/>
      <c r="U162" s="269"/>
      <c r="V162" s="269"/>
      <c r="W162" s="269"/>
      <c r="X162" s="269"/>
      <c r="Y162" s="269"/>
      <c r="Z162" s="269"/>
      <c r="AA162" s="269"/>
      <c r="AB162" s="269"/>
      <c r="AC162" s="269"/>
    </row>
    <row r="163" spans="1:29" ht="24" customHeight="1" x14ac:dyDescent="0.2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69"/>
      <c r="N163" s="269"/>
      <c r="O163" s="270"/>
      <c r="P163" s="270"/>
      <c r="Q163" s="270"/>
      <c r="R163" s="203"/>
      <c r="S163" s="203"/>
      <c r="T163" s="203"/>
      <c r="U163" s="269"/>
      <c r="V163" s="269"/>
      <c r="W163" s="269"/>
      <c r="X163" s="269"/>
      <c r="Y163" s="269"/>
      <c r="Z163" s="269"/>
      <c r="AA163" s="269"/>
      <c r="AB163" s="269"/>
      <c r="AC163" s="269"/>
    </row>
    <row r="164" spans="1:29" ht="24" customHeight="1" x14ac:dyDescent="0.2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69"/>
      <c r="N164" s="269"/>
      <c r="O164" s="270"/>
      <c r="P164" s="270"/>
      <c r="Q164" s="270"/>
      <c r="R164" s="203"/>
      <c r="S164" s="203"/>
      <c r="T164" s="203"/>
      <c r="U164" s="269"/>
      <c r="V164" s="269"/>
      <c r="W164" s="269"/>
      <c r="X164" s="269"/>
      <c r="Y164" s="269"/>
      <c r="Z164" s="269"/>
      <c r="AA164" s="269"/>
      <c r="AB164" s="269"/>
      <c r="AC164" s="269"/>
    </row>
    <row r="165" spans="1:29" ht="24" customHeight="1" x14ac:dyDescent="0.2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69"/>
      <c r="N165" s="269"/>
      <c r="O165" s="270"/>
      <c r="P165" s="270"/>
      <c r="Q165" s="270"/>
      <c r="R165" s="203"/>
      <c r="S165" s="203"/>
      <c r="T165" s="203"/>
      <c r="U165" s="269"/>
      <c r="V165" s="269"/>
      <c r="W165" s="269"/>
      <c r="X165" s="269"/>
      <c r="Y165" s="269"/>
      <c r="Z165" s="269"/>
      <c r="AA165" s="269"/>
      <c r="AB165" s="269"/>
      <c r="AC165" s="269"/>
    </row>
    <row r="166" spans="1:29" ht="24" customHeight="1" x14ac:dyDescent="0.2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69"/>
      <c r="N166" s="269"/>
      <c r="O166" s="270"/>
      <c r="P166" s="270"/>
      <c r="Q166" s="270"/>
      <c r="R166" s="203"/>
      <c r="S166" s="203"/>
      <c r="T166" s="203"/>
      <c r="U166" s="269"/>
      <c r="V166" s="269"/>
      <c r="W166" s="269"/>
      <c r="X166" s="269"/>
      <c r="Y166" s="269"/>
      <c r="Z166" s="269"/>
      <c r="AA166" s="269"/>
      <c r="AB166" s="269"/>
      <c r="AC166" s="269"/>
    </row>
    <row r="167" spans="1:29" ht="24" customHeight="1" x14ac:dyDescent="0.2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69"/>
      <c r="N167" s="269"/>
      <c r="O167" s="270"/>
      <c r="P167" s="270"/>
      <c r="Q167" s="270"/>
      <c r="R167" s="203"/>
      <c r="S167" s="203"/>
      <c r="T167" s="203"/>
      <c r="U167" s="269"/>
      <c r="V167" s="269"/>
      <c r="W167" s="269"/>
      <c r="X167" s="269"/>
      <c r="Y167" s="269"/>
      <c r="Z167" s="269"/>
      <c r="AA167" s="269"/>
      <c r="AB167" s="269"/>
      <c r="AC167" s="269"/>
    </row>
    <row r="168" spans="1:29" ht="24" customHeight="1" x14ac:dyDescent="0.2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69"/>
      <c r="N168" s="269"/>
      <c r="O168" s="270"/>
      <c r="P168" s="270"/>
      <c r="Q168" s="270"/>
      <c r="R168" s="203"/>
      <c r="S168" s="203"/>
      <c r="T168" s="203"/>
      <c r="U168" s="269"/>
      <c r="V168" s="269"/>
      <c r="W168" s="269"/>
      <c r="X168" s="269"/>
      <c r="Y168" s="269"/>
      <c r="Z168" s="269"/>
      <c r="AA168" s="269"/>
      <c r="AB168" s="269"/>
      <c r="AC168" s="269"/>
    </row>
    <row r="169" spans="1:29" ht="24" customHeight="1" x14ac:dyDescent="0.2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69"/>
      <c r="N169" s="269"/>
      <c r="O169" s="270"/>
      <c r="P169" s="270"/>
      <c r="Q169" s="270"/>
      <c r="R169" s="203"/>
      <c r="S169" s="203"/>
      <c r="T169" s="203"/>
      <c r="U169" s="269"/>
      <c r="V169" s="269"/>
      <c r="W169" s="269"/>
      <c r="X169" s="269"/>
      <c r="Y169" s="269"/>
      <c r="Z169" s="269"/>
      <c r="AA169" s="269"/>
      <c r="AB169" s="269"/>
      <c r="AC169" s="269"/>
    </row>
    <row r="170" spans="1:29" ht="24" customHeight="1" x14ac:dyDescent="0.2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69"/>
      <c r="N170" s="269"/>
      <c r="O170" s="270"/>
      <c r="P170" s="270"/>
      <c r="Q170" s="270"/>
      <c r="R170" s="203"/>
      <c r="S170" s="203"/>
      <c r="T170" s="203"/>
      <c r="U170" s="269"/>
      <c r="V170" s="269"/>
      <c r="W170" s="269"/>
      <c r="X170" s="269"/>
      <c r="Y170" s="269"/>
      <c r="Z170" s="269"/>
      <c r="AA170" s="269"/>
      <c r="AB170" s="269"/>
      <c r="AC170" s="269"/>
    </row>
    <row r="171" spans="1:29" ht="24" customHeight="1" x14ac:dyDescent="0.2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69"/>
      <c r="N171" s="269"/>
      <c r="O171" s="270"/>
      <c r="P171" s="270"/>
      <c r="Q171" s="270"/>
      <c r="R171" s="203"/>
      <c r="S171" s="203"/>
      <c r="T171" s="203"/>
      <c r="U171" s="269"/>
      <c r="V171" s="269"/>
      <c r="W171" s="269"/>
      <c r="X171" s="269"/>
      <c r="Y171" s="269"/>
      <c r="Z171" s="269"/>
      <c r="AA171" s="269"/>
      <c r="AB171" s="269"/>
      <c r="AC171" s="269"/>
    </row>
    <row r="172" spans="1:29" ht="24" customHeight="1" x14ac:dyDescent="0.2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69"/>
      <c r="N172" s="269"/>
      <c r="O172" s="270"/>
      <c r="P172" s="270"/>
      <c r="Q172" s="270"/>
      <c r="R172" s="203"/>
      <c r="S172" s="203"/>
      <c r="T172" s="203"/>
      <c r="U172" s="269"/>
      <c r="V172" s="269"/>
      <c r="W172" s="269"/>
      <c r="X172" s="269"/>
      <c r="Y172" s="269"/>
      <c r="Z172" s="269"/>
      <c r="AA172" s="269"/>
      <c r="AB172" s="269"/>
      <c r="AC172" s="269"/>
    </row>
    <row r="173" spans="1:29" ht="24" customHeight="1" x14ac:dyDescent="0.2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69"/>
      <c r="N173" s="269"/>
      <c r="O173" s="270"/>
      <c r="P173" s="270"/>
      <c r="Q173" s="270"/>
      <c r="R173" s="203"/>
      <c r="S173" s="203"/>
      <c r="T173" s="203"/>
      <c r="U173" s="269"/>
      <c r="V173" s="269"/>
      <c r="W173" s="269"/>
      <c r="X173" s="269"/>
      <c r="Y173" s="269"/>
      <c r="Z173" s="269"/>
      <c r="AA173" s="269"/>
      <c r="AB173" s="269"/>
      <c r="AC173" s="269"/>
    </row>
    <row r="174" spans="1:29" ht="24" customHeight="1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69"/>
      <c r="N174" s="269"/>
      <c r="O174" s="270"/>
      <c r="P174" s="270"/>
      <c r="Q174" s="270"/>
      <c r="R174" s="203"/>
      <c r="S174" s="203"/>
      <c r="T174" s="203"/>
      <c r="U174" s="269"/>
      <c r="V174" s="269"/>
      <c r="W174" s="269"/>
      <c r="X174" s="269"/>
      <c r="Y174" s="269"/>
      <c r="Z174" s="269"/>
      <c r="AA174" s="269"/>
      <c r="AB174" s="269"/>
      <c r="AC174" s="269"/>
    </row>
    <row r="175" spans="1:29" ht="24" customHeight="1" x14ac:dyDescent="0.2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69"/>
      <c r="N175" s="269"/>
      <c r="O175" s="270"/>
      <c r="P175" s="270"/>
      <c r="Q175" s="270"/>
      <c r="R175" s="203"/>
      <c r="S175" s="203"/>
      <c r="T175" s="203"/>
      <c r="U175" s="269"/>
      <c r="V175" s="269"/>
      <c r="W175" s="269"/>
      <c r="X175" s="269"/>
      <c r="Y175" s="269"/>
      <c r="Z175" s="269"/>
      <c r="AA175" s="269"/>
      <c r="AB175" s="269"/>
      <c r="AC175" s="269"/>
    </row>
    <row r="176" spans="1:29" ht="24" customHeight="1" x14ac:dyDescent="0.2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69"/>
      <c r="N176" s="269"/>
      <c r="O176" s="270"/>
      <c r="P176" s="270"/>
      <c r="Q176" s="270"/>
      <c r="R176" s="203"/>
      <c r="S176" s="203"/>
      <c r="T176" s="203"/>
      <c r="U176" s="269"/>
      <c r="V176" s="269"/>
      <c r="W176" s="269"/>
      <c r="X176" s="269"/>
      <c r="Y176" s="269"/>
      <c r="Z176" s="269"/>
      <c r="AA176" s="269"/>
      <c r="AB176" s="269"/>
      <c r="AC176" s="269"/>
    </row>
    <row r="177" spans="1:29" ht="24" customHeight="1" x14ac:dyDescent="0.2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69"/>
      <c r="N177" s="269"/>
      <c r="O177" s="270"/>
      <c r="P177" s="270"/>
      <c r="Q177" s="270"/>
      <c r="R177" s="203"/>
      <c r="S177" s="203"/>
      <c r="T177" s="203"/>
      <c r="U177" s="269"/>
      <c r="V177" s="269"/>
      <c r="W177" s="269"/>
      <c r="X177" s="269"/>
      <c r="Y177" s="269"/>
      <c r="Z177" s="269"/>
      <c r="AA177" s="269"/>
      <c r="AB177" s="269"/>
      <c r="AC177" s="269"/>
    </row>
    <row r="178" spans="1:29" ht="24" customHeight="1" x14ac:dyDescent="0.2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69"/>
      <c r="N178" s="269"/>
      <c r="O178" s="270"/>
      <c r="P178" s="270"/>
      <c r="Q178" s="270"/>
      <c r="R178" s="203"/>
      <c r="S178" s="203"/>
      <c r="T178" s="203"/>
      <c r="U178" s="269"/>
      <c r="V178" s="269"/>
      <c r="W178" s="269"/>
      <c r="X178" s="269"/>
      <c r="Y178" s="269"/>
      <c r="Z178" s="269"/>
      <c r="AA178" s="269"/>
      <c r="AB178" s="269"/>
      <c r="AC178" s="269"/>
    </row>
    <row r="179" spans="1:29" ht="24" customHeight="1" x14ac:dyDescent="0.2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69"/>
      <c r="N179" s="269"/>
      <c r="O179" s="270"/>
      <c r="P179" s="270"/>
      <c r="Q179" s="270"/>
      <c r="R179" s="203"/>
      <c r="S179" s="203"/>
      <c r="T179" s="203"/>
      <c r="U179" s="269"/>
      <c r="V179" s="269"/>
      <c r="W179" s="269"/>
      <c r="X179" s="269"/>
      <c r="Y179" s="269"/>
      <c r="Z179" s="269"/>
      <c r="AA179" s="269"/>
      <c r="AB179" s="269"/>
      <c r="AC179" s="269"/>
    </row>
    <row r="180" spans="1:29" ht="24" customHeight="1" x14ac:dyDescent="0.2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69"/>
      <c r="N180" s="269"/>
      <c r="O180" s="270"/>
      <c r="P180" s="270"/>
      <c r="Q180" s="270"/>
      <c r="R180" s="203"/>
      <c r="S180" s="203"/>
      <c r="T180" s="203"/>
      <c r="U180" s="269"/>
      <c r="V180" s="269"/>
      <c r="W180" s="269"/>
      <c r="X180" s="269"/>
      <c r="Y180" s="269"/>
      <c r="Z180" s="269"/>
      <c r="AA180" s="269"/>
      <c r="AB180" s="269"/>
      <c r="AC180" s="269"/>
    </row>
    <row r="181" spans="1:29" ht="24" customHeight="1" x14ac:dyDescent="0.2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69"/>
      <c r="N181" s="269"/>
      <c r="O181" s="270"/>
      <c r="P181" s="270"/>
      <c r="Q181" s="270"/>
      <c r="R181" s="203"/>
      <c r="S181" s="203"/>
      <c r="T181" s="203"/>
      <c r="U181" s="269"/>
      <c r="V181" s="269"/>
      <c r="W181" s="269"/>
      <c r="X181" s="269"/>
      <c r="Y181" s="269"/>
      <c r="Z181" s="269"/>
      <c r="AA181" s="269"/>
      <c r="AB181" s="269"/>
      <c r="AC181" s="269"/>
    </row>
    <row r="182" spans="1:29" ht="24" customHeight="1" x14ac:dyDescent="0.2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69"/>
      <c r="N182" s="269"/>
      <c r="O182" s="270"/>
      <c r="P182" s="270"/>
      <c r="Q182" s="270"/>
      <c r="R182" s="203"/>
      <c r="S182" s="203"/>
      <c r="T182" s="203"/>
      <c r="U182" s="269"/>
      <c r="V182" s="269"/>
      <c r="W182" s="269"/>
      <c r="X182" s="269"/>
      <c r="Y182" s="269"/>
      <c r="Z182" s="269"/>
      <c r="AA182" s="269"/>
      <c r="AB182" s="269"/>
      <c r="AC182" s="269"/>
    </row>
    <row r="183" spans="1:29" ht="24" customHeight="1" x14ac:dyDescent="0.2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69"/>
      <c r="N183" s="269"/>
      <c r="O183" s="270"/>
      <c r="P183" s="270"/>
      <c r="Q183" s="270"/>
      <c r="R183" s="203"/>
      <c r="S183" s="203"/>
      <c r="T183" s="203"/>
      <c r="U183" s="269"/>
      <c r="V183" s="269"/>
      <c r="W183" s="269"/>
      <c r="X183" s="269"/>
      <c r="Y183" s="269"/>
      <c r="Z183" s="269"/>
      <c r="AA183" s="269"/>
      <c r="AB183" s="269"/>
      <c r="AC183" s="269"/>
    </row>
    <row r="184" spans="1:29" ht="24" customHeight="1" x14ac:dyDescent="0.2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69"/>
      <c r="N184" s="269"/>
      <c r="O184" s="270"/>
      <c r="P184" s="270"/>
      <c r="Q184" s="270"/>
      <c r="R184" s="203"/>
      <c r="S184" s="203"/>
      <c r="T184" s="203"/>
      <c r="U184" s="269"/>
      <c r="V184" s="269"/>
      <c r="W184" s="269"/>
      <c r="X184" s="269"/>
      <c r="Y184" s="269"/>
      <c r="Z184" s="269"/>
      <c r="AA184" s="269"/>
      <c r="AB184" s="269"/>
      <c r="AC184" s="269"/>
    </row>
    <row r="185" spans="1:29" ht="24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69"/>
      <c r="N185" s="269"/>
      <c r="O185" s="270"/>
      <c r="P185" s="270"/>
      <c r="Q185" s="270"/>
      <c r="R185" s="203"/>
      <c r="S185" s="203"/>
      <c r="T185" s="203"/>
      <c r="U185" s="269"/>
      <c r="V185" s="269"/>
      <c r="W185" s="269"/>
      <c r="X185" s="269"/>
      <c r="Y185" s="269"/>
      <c r="Z185" s="269"/>
      <c r="AA185" s="269"/>
      <c r="AB185" s="269"/>
      <c r="AC185" s="269"/>
    </row>
    <row r="186" spans="1:29" ht="24" customHeight="1" x14ac:dyDescent="0.2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69"/>
      <c r="N186" s="269"/>
      <c r="O186" s="270"/>
      <c r="P186" s="270"/>
      <c r="Q186" s="270"/>
      <c r="R186" s="203"/>
      <c r="S186" s="203"/>
      <c r="T186" s="203"/>
      <c r="U186" s="269"/>
      <c r="V186" s="269"/>
      <c r="W186" s="269"/>
      <c r="X186" s="269"/>
      <c r="Y186" s="269"/>
      <c r="Z186" s="269"/>
      <c r="AA186" s="269"/>
      <c r="AB186" s="269"/>
      <c r="AC186" s="269"/>
    </row>
    <row r="187" spans="1:29" ht="24" customHeight="1" x14ac:dyDescent="0.2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69"/>
      <c r="N187" s="269"/>
      <c r="O187" s="270"/>
      <c r="P187" s="270"/>
      <c r="Q187" s="270"/>
      <c r="R187" s="203"/>
      <c r="S187" s="203"/>
      <c r="T187" s="203"/>
      <c r="U187" s="269"/>
      <c r="V187" s="269"/>
      <c r="W187" s="269"/>
      <c r="X187" s="269"/>
      <c r="Y187" s="269"/>
      <c r="Z187" s="269"/>
      <c r="AA187" s="269"/>
      <c r="AB187" s="269"/>
      <c r="AC187" s="269"/>
    </row>
    <row r="188" spans="1:29" ht="24" customHeight="1" x14ac:dyDescent="0.2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69"/>
      <c r="N188" s="269"/>
      <c r="O188" s="270"/>
      <c r="P188" s="270"/>
      <c r="Q188" s="270"/>
      <c r="R188" s="203"/>
      <c r="S188" s="203"/>
      <c r="T188" s="203"/>
      <c r="U188" s="269"/>
      <c r="V188" s="269"/>
      <c r="W188" s="269"/>
      <c r="X188" s="269"/>
      <c r="Y188" s="269"/>
      <c r="Z188" s="269"/>
      <c r="AA188" s="269"/>
      <c r="AB188" s="269"/>
      <c r="AC188" s="269"/>
    </row>
    <row r="189" spans="1:29" ht="24" customHeight="1" x14ac:dyDescent="0.2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69"/>
      <c r="N189" s="269"/>
      <c r="O189" s="270"/>
      <c r="P189" s="270"/>
      <c r="Q189" s="270"/>
      <c r="R189" s="203"/>
      <c r="S189" s="203"/>
      <c r="T189" s="203"/>
      <c r="U189" s="269"/>
      <c r="V189" s="269"/>
      <c r="W189" s="269"/>
      <c r="X189" s="269"/>
      <c r="Y189" s="269"/>
      <c r="Z189" s="269"/>
      <c r="AA189" s="269"/>
      <c r="AB189" s="269"/>
      <c r="AC189" s="269"/>
    </row>
    <row r="190" spans="1:29" ht="24" customHeight="1" x14ac:dyDescent="0.2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69"/>
      <c r="N190" s="269"/>
      <c r="O190" s="270"/>
      <c r="P190" s="270"/>
      <c r="Q190" s="270"/>
      <c r="R190" s="203"/>
      <c r="S190" s="203"/>
      <c r="T190" s="203"/>
      <c r="U190" s="269"/>
      <c r="V190" s="269"/>
      <c r="W190" s="269"/>
      <c r="X190" s="269"/>
      <c r="Y190" s="269"/>
      <c r="Z190" s="269"/>
      <c r="AA190" s="269"/>
      <c r="AB190" s="269"/>
      <c r="AC190" s="269"/>
    </row>
    <row r="191" spans="1:29" ht="24" customHeight="1" x14ac:dyDescent="0.2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69"/>
      <c r="N191" s="269"/>
      <c r="O191" s="270"/>
      <c r="P191" s="270"/>
      <c r="Q191" s="270"/>
      <c r="R191" s="203"/>
      <c r="S191" s="203"/>
      <c r="T191" s="203"/>
      <c r="U191" s="269"/>
      <c r="V191" s="269"/>
      <c r="W191" s="269"/>
      <c r="X191" s="269"/>
      <c r="Y191" s="269"/>
      <c r="Z191" s="269"/>
      <c r="AA191" s="269"/>
      <c r="AB191" s="269"/>
      <c r="AC191" s="269"/>
    </row>
    <row r="192" spans="1:29" ht="24" customHeight="1" x14ac:dyDescent="0.2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69"/>
      <c r="N192" s="269"/>
      <c r="O192" s="270"/>
      <c r="P192" s="270"/>
      <c r="Q192" s="270"/>
      <c r="R192" s="203"/>
      <c r="S192" s="203"/>
      <c r="T192" s="203"/>
      <c r="U192" s="269"/>
      <c r="V192" s="269"/>
      <c r="W192" s="269"/>
      <c r="X192" s="269"/>
      <c r="Y192" s="269"/>
      <c r="Z192" s="269"/>
      <c r="AA192" s="269"/>
      <c r="AB192" s="269"/>
      <c r="AC192" s="269"/>
    </row>
    <row r="193" spans="1:29" ht="24" customHeight="1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69"/>
      <c r="N193" s="269"/>
      <c r="O193" s="270"/>
      <c r="P193" s="270"/>
      <c r="Q193" s="270"/>
      <c r="R193" s="203"/>
      <c r="S193" s="203"/>
      <c r="T193" s="203"/>
      <c r="U193" s="269"/>
      <c r="V193" s="269"/>
      <c r="W193" s="269"/>
      <c r="X193" s="269"/>
      <c r="Y193" s="269"/>
      <c r="Z193" s="269"/>
      <c r="AA193" s="269"/>
      <c r="AB193" s="269"/>
      <c r="AC193" s="269"/>
    </row>
    <row r="194" spans="1:29" ht="24" customHeight="1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69"/>
      <c r="N194" s="269"/>
      <c r="O194" s="270"/>
      <c r="P194" s="270"/>
      <c r="Q194" s="270"/>
      <c r="R194" s="203"/>
      <c r="S194" s="203"/>
      <c r="T194" s="203"/>
      <c r="U194" s="269"/>
      <c r="V194" s="269"/>
      <c r="W194" s="269"/>
      <c r="X194" s="269"/>
      <c r="Y194" s="269"/>
      <c r="Z194" s="269"/>
      <c r="AA194" s="269"/>
      <c r="AB194" s="269"/>
      <c r="AC194" s="269"/>
    </row>
    <row r="195" spans="1:29" ht="24" customHeight="1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69"/>
      <c r="N195" s="269"/>
      <c r="O195" s="270"/>
      <c r="P195" s="270"/>
      <c r="Q195" s="270"/>
      <c r="R195" s="203"/>
      <c r="S195" s="203"/>
      <c r="T195" s="203"/>
      <c r="U195" s="269"/>
      <c r="V195" s="269"/>
      <c r="W195" s="269"/>
      <c r="X195" s="269"/>
      <c r="Y195" s="269"/>
      <c r="Z195" s="269"/>
      <c r="AA195" s="269"/>
      <c r="AB195" s="269"/>
      <c r="AC195" s="269"/>
    </row>
    <row r="196" spans="1:29" ht="24" customHeight="1" x14ac:dyDescent="0.2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69"/>
      <c r="N196" s="269"/>
      <c r="O196" s="270"/>
      <c r="P196" s="270"/>
      <c r="Q196" s="270"/>
      <c r="R196" s="203"/>
      <c r="S196" s="203"/>
      <c r="T196" s="203"/>
      <c r="U196" s="269"/>
      <c r="V196" s="269"/>
      <c r="W196" s="269"/>
      <c r="X196" s="269"/>
      <c r="Y196" s="269"/>
      <c r="Z196" s="269"/>
      <c r="AA196" s="269"/>
      <c r="AB196" s="269"/>
      <c r="AC196" s="269"/>
    </row>
    <row r="197" spans="1:29" ht="24" customHeight="1" x14ac:dyDescent="0.2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69"/>
      <c r="N197" s="269"/>
      <c r="O197" s="270"/>
      <c r="P197" s="270"/>
      <c r="Q197" s="270"/>
      <c r="R197" s="203"/>
      <c r="S197" s="203"/>
      <c r="T197" s="203"/>
      <c r="U197" s="269"/>
      <c r="V197" s="269"/>
      <c r="W197" s="269"/>
      <c r="X197" s="269"/>
      <c r="Y197" s="269"/>
      <c r="Z197" s="269"/>
      <c r="AA197" s="269"/>
      <c r="AB197" s="269"/>
      <c r="AC197" s="269"/>
    </row>
    <row r="198" spans="1:29" ht="24" customHeight="1" x14ac:dyDescent="0.2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69"/>
      <c r="N198" s="269"/>
      <c r="O198" s="270"/>
      <c r="P198" s="270"/>
      <c r="Q198" s="270"/>
      <c r="R198" s="203"/>
      <c r="S198" s="203"/>
      <c r="T198" s="203"/>
      <c r="U198" s="269"/>
      <c r="V198" s="269"/>
      <c r="W198" s="269"/>
      <c r="X198" s="269"/>
      <c r="Y198" s="269"/>
      <c r="Z198" s="269"/>
      <c r="AA198" s="269"/>
      <c r="AB198" s="269"/>
      <c r="AC198" s="269"/>
    </row>
    <row r="199" spans="1:29" ht="24" customHeight="1" x14ac:dyDescent="0.2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69"/>
      <c r="N199" s="269"/>
      <c r="O199" s="270"/>
      <c r="P199" s="270"/>
      <c r="Q199" s="270"/>
      <c r="R199" s="203"/>
      <c r="S199" s="203"/>
      <c r="T199" s="203"/>
      <c r="U199" s="269"/>
      <c r="V199" s="269"/>
      <c r="W199" s="269"/>
      <c r="X199" s="269"/>
      <c r="Y199" s="269"/>
      <c r="Z199" s="269"/>
      <c r="AA199" s="269"/>
      <c r="AB199" s="269"/>
      <c r="AC199" s="269"/>
    </row>
    <row r="200" spans="1:29" ht="24" customHeight="1" x14ac:dyDescent="0.2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69"/>
      <c r="N200" s="269"/>
      <c r="O200" s="270"/>
      <c r="P200" s="270"/>
      <c r="Q200" s="270"/>
      <c r="R200" s="203"/>
      <c r="S200" s="203"/>
      <c r="T200" s="203"/>
      <c r="U200" s="269"/>
      <c r="V200" s="269"/>
      <c r="W200" s="269"/>
      <c r="X200" s="269"/>
      <c r="Y200" s="269"/>
      <c r="Z200" s="269"/>
      <c r="AA200" s="269"/>
      <c r="AB200" s="269"/>
      <c r="AC200" s="269"/>
    </row>
    <row r="201" spans="1:29" ht="24" customHeight="1" x14ac:dyDescent="0.2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69"/>
      <c r="N201" s="269"/>
      <c r="O201" s="270"/>
      <c r="P201" s="270"/>
      <c r="Q201" s="270"/>
      <c r="R201" s="203"/>
      <c r="S201" s="203"/>
      <c r="T201" s="203"/>
      <c r="U201" s="269"/>
      <c r="V201" s="269"/>
      <c r="W201" s="269"/>
      <c r="X201" s="269"/>
      <c r="Y201" s="269"/>
      <c r="Z201" s="269"/>
      <c r="AA201" s="269"/>
      <c r="AB201" s="269"/>
      <c r="AC201" s="269"/>
    </row>
    <row r="202" spans="1:29" ht="24" customHeight="1" x14ac:dyDescent="0.2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69"/>
      <c r="N202" s="269"/>
      <c r="O202" s="270"/>
      <c r="P202" s="270"/>
      <c r="Q202" s="270"/>
      <c r="R202" s="203"/>
      <c r="S202" s="203"/>
      <c r="T202" s="203"/>
      <c r="U202" s="269"/>
      <c r="V202" s="269"/>
      <c r="W202" s="269"/>
      <c r="X202" s="269"/>
      <c r="Y202" s="269"/>
      <c r="Z202" s="269"/>
      <c r="AA202" s="269"/>
      <c r="AB202" s="269"/>
      <c r="AC202" s="269"/>
    </row>
    <row r="203" spans="1:29" ht="24" customHeight="1" x14ac:dyDescent="0.2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69"/>
      <c r="N203" s="269"/>
      <c r="O203" s="270"/>
      <c r="P203" s="270"/>
      <c r="Q203" s="270"/>
      <c r="R203" s="203"/>
      <c r="S203" s="203"/>
      <c r="T203" s="203"/>
      <c r="U203" s="269"/>
      <c r="V203" s="269"/>
      <c r="W203" s="269"/>
      <c r="X203" s="269"/>
      <c r="Y203" s="269"/>
      <c r="Z203" s="269"/>
      <c r="AA203" s="269"/>
      <c r="AB203" s="269"/>
      <c r="AC203" s="269"/>
    </row>
    <row r="204" spans="1:29" ht="24" customHeight="1" x14ac:dyDescent="0.2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69"/>
      <c r="N204" s="269"/>
      <c r="O204" s="270"/>
      <c r="P204" s="270"/>
      <c r="Q204" s="270"/>
      <c r="R204" s="203"/>
      <c r="S204" s="203"/>
      <c r="T204" s="203"/>
      <c r="U204" s="269"/>
      <c r="V204" s="269"/>
      <c r="W204" s="269"/>
      <c r="X204" s="269"/>
      <c r="Y204" s="269"/>
      <c r="Z204" s="269"/>
      <c r="AA204" s="269"/>
      <c r="AB204" s="269"/>
      <c r="AC204" s="269"/>
    </row>
    <row r="205" spans="1:29" ht="24" customHeight="1" x14ac:dyDescent="0.2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69"/>
      <c r="N205" s="269"/>
      <c r="O205" s="270"/>
      <c r="P205" s="270"/>
      <c r="Q205" s="270"/>
      <c r="R205" s="203"/>
      <c r="S205" s="203"/>
      <c r="T205" s="203"/>
      <c r="U205" s="269"/>
      <c r="V205" s="269"/>
      <c r="W205" s="269"/>
      <c r="X205" s="269"/>
      <c r="Y205" s="269"/>
      <c r="Z205" s="269"/>
      <c r="AA205" s="269"/>
      <c r="AB205" s="269"/>
      <c r="AC205" s="269"/>
    </row>
    <row r="206" spans="1:29" ht="24" customHeight="1" x14ac:dyDescent="0.2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69"/>
      <c r="N206" s="269"/>
      <c r="O206" s="270"/>
      <c r="P206" s="270"/>
      <c r="Q206" s="270"/>
      <c r="R206" s="203"/>
      <c r="S206" s="203"/>
      <c r="T206" s="203"/>
      <c r="U206" s="269"/>
      <c r="V206" s="269"/>
      <c r="W206" s="269"/>
      <c r="X206" s="269"/>
      <c r="Y206" s="269"/>
      <c r="Z206" s="269"/>
      <c r="AA206" s="269"/>
      <c r="AB206" s="269"/>
      <c r="AC206" s="269"/>
    </row>
    <row r="207" spans="1:29" ht="24" customHeight="1" x14ac:dyDescent="0.2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69"/>
      <c r="N207" s="269"/>
      <c r="O207" s="270"/>
      <c r="P207" s="270"/>
      <c r="Q207" s="270"/>
      <c r="R207" s="203"/>
      <c r="S207" s="203"/>
      <c r="T207" s="203"/>
      <c r="U207" s="269"/>
      <c r="V207" s="269"/>
      <c r="W207" s="269"/>
      <c r="X207" s="269"/>
      <c r="Y207" s="269"/>
      <c r="Z207" s="269"/>
      <c r="AA207" s="269"/>
      <c r="AB207" s="269"/>
      <c r="AC207" s="269"/>
    </row>
    <row r="208" spans="1:29" ht="24" customHeight="1" x14ac:dyDescent="0.2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69"/>
      <c r="N208" s="269"/>
      <c r="O208" s="270"/>
      <c r="P208" s="270"/>
      <c r="Q208" s="270"/>
      <c r="R208" s="203"/>
      <c r="S208" s="203"/>
      <c r="T208" s="203"/>
      <c r="U208" s="269"/>
      <c r="V208" s="269"/>
      <c r="W208" s="269"/>
      <c r="X208" s="269"/>
      <c r="Y208" s="269"/>
      <c r="Z208" s="269"/>
      <c r="AA208" s="269"/>
      <c r="AB208" s="269"/>
      <c r="AC208" s="269"/>
    </row>
    <row r="209" spans="1:29" ht="24" customHeight="1" x14ac:dyDescent="0.2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69"/>
      <c r="N209" s="269"/>
      <c r="O209" s="270"/>
      <c r="P209" s="270"/>
      <c r="Q209" s="270"/>
      <c r="R209" s="203"/>
      <c r="S209" s="203"/>
      <c r="T209" s="203"/>
      <c r="U209" s="269"/>
      <c r="V209" s="269"/>
      <c r="W209" s="269"/>
      <c r="X209" s="269"/>
      <c r="Y209" s="269"/>
      <c r="Z209" s="269"/>
      <c r="AA209" s="269"/>
      <c r="AB209" s="269"/>
      <c r="AC209" s="269"/>
    </row>
    <row r="210" spans="1:29" ht="24" customHeight="1" x14ac:dyDescent="0.2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69"/>
      <c r="N210" s="269"/>
      <c r="O210" s="270"/>
      <c r="P210" s="270"/>
      <c r="Q210" s="270"/>
      <c r="R210" s="203"/>
      <c r="S210" s="203"/>
      <c r="T210" s="203"/>
      <c r="U210" s="269"/>
      <c r="V210" s="269"/>
      <c r="W210" s="269"/>
      <c r="X210" s="269"/>
      <c r="Y210" s="269"/>
      <c r="Z210" s="269"/>
      <c r="AA210" s="269"/>
      <c r="AB210" s="269"/>
      <c r="AC210" s="269"/>
    </row>
    <row r="211" spans="1:29" ht="24" customHeight="1" x14ac:dyDescent="0.2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69"/>
      <c r="N211" s="269"/>
      <c r="O211" s="270"/>
      <c r="P211" s="270"/>
      <c r="Q211" s="270"/>
      <c r="R211" s="203"/>
      <c r="S211" s="203"/>
      <c r="T211" s="203"/>
      <c r="U211" s="269"/>
      <c r="V211" s="269"/>
      <c r="W211" s="269"/>
      <c r="X211" s="269"/>
      <c r="Y211" s="269"/>
      <c r="Z211" s="269"/>
      <c r="AA211" s="269"/>
      <c r="AB211" s="269"/>
      <c r="AC211" s="269"/>
    </row>
    <row r="212" spans="1:29" ht="24" customHeight="1" x14ac:dyDescent="0.2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69"/>
      <c r="N212" s="269"/>
      <c r="O212" s="270"/>
      <c r="P212" s="270"/>
      <c r="Q212" s="270"/>
      <c r="R212" s="203"/>
      <c r="S212" s="203"/>
      <c r="T212" s="203"/>
      <c r="U212" s="269"/>
      <c r="V212" s="269"/>
      <c r="W212" s="269"/>
      <c r="X212" s="269"/>
      <c r="Y212" s="269"/>
      <c r="Z212" s="269"/>
      <c r="AA212" s="269"/>
      <c r="AB212" s="269"/>
      <c r="AC212" s="269"/>
    </row>
    <row r="213" spans="1:29" ht="24" customHeight="1" x14ac:dyDescent="0.2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69"/>
      <c r="N213" s="269"/>
      <c r="O213" s="270"/>
      <c r="P213" s="270"/>
      <c r="Q213" s="270"/>
      <c r="R213" s="203"/>
      <c r="S213" s="203"/>
      <c r="T213" s="203"/>
      <c r="U213" s="269"/>
      <c r="V213" s="269"/>
      <c r="W213" s="269"/>
      <c r="X213" s="269"/>
      <c r="Y213" s="269"/>
      <c r="Z213" s="269"/>
      <c r="AA213" s="269"/>
      <c r="AB213" s="269"/>
      <c r="AC213" s="269"/>
    </row>
    <row r="214" spans="1:29" ht="24" customHeight="1" x14ac:dyDescent="0.2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69"/>
      <c r="N214" s="269"/>
      <c r="O214" s="270"/>
      <c r="P214" s="270"/>
      <c r="Q214" s="270"/>
      <c r="R214" s="203"/>
      <c r="S214" s="203"/>
      <c r="T214" s="203"/>
      <c r="U214" s="269"/>
      <c r="V214" s="269"/>
      <c r="W214" s="269"/>
      <c r="X214" s="269"/>
      <c r="Y214" s="269"/>
      <c r="Z214" s="269"/>
      <c r="AA214" s="269"/>
      <c r="AB214" s="269"/>
      <c r="AC214" s="269"/>
    </row>
    <row r="215" spans="1:29" ht="24" customHeight="1" x14ac:dyDescent="0.2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69"/>
      <c r="N215" s="269"/>
      <c r="O215" s="270"/>
      <c r="P215" s="270"/>
      <c r="Q215" s="270"/>
      <c r="R215" s="203"/>
      <c r="S215" s="203"/>
      <c r="T215" s="203"/>
      <c r="U215" s="269"/>
      <c r="V215" s="269"/>
      <c r="W215" s="269"/>
      <c r="X215" s="269"/>
      <c r="Y215" s="269"/>
      <c r="Z215" s="269"/>
      <c r="AA215" s="269"/>
      <c r="AB215" s="269"/>
      <c r="AC215" s="269"/>
    </row>
    <row r="216" spans="1:29" ht="24" customHeight="1" x14ac:dyDescent="0.2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69"/>
      <c r="N216" s="269"/>
      <c r="O216" s="270"/>
      <c r="P216" s="270"/>
      <c r="Q216" s="270"/>
      <c r="R216" s="203"/>
      <c r="S216" s="203"/>
      <c r="T216" s="203"/>
      <c r="U216" s="269"/>
      <c r="V216" s="269"/>
      <c r="W216" s="269"/>
      <c r="X216" s="269"/>
      <c r="Y216" s="269"/>
      <c r="Z216" s="269"/>
      <c r="AA216" s="269"/>
      <c r="AB216" s="269"/>
      <c r="AC216" s="269"/>
    </row>
    <row r="217" spans="1:29" ht="24" customHeight="1" x14ac:dyDescent="0.2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69"/>
      <c r="N217" s="269"/>
      <c r="O217" s="270"/>
      <c r="P217" s="270"/>
      <c r="Q217" s="270"/>
      <c r="R217" s="203"/>
      <c r="S217" s="203"/>
      <c r="T217" s="203"/>
      <c r="U217" s="269"/>
      <c r="V217" s="269"/>
      <c r="W217" s="269"/>
      <c r="X217" s="269"/>
      <c r="Y217" s="269"/>
      <c r="Z217" s="269"/>
      <c r="AA217" s="269"/>
      <c r="AB217" s="269"/>
      <c r="AC217" s="269"/>
    </row>
    <row r="218" spans="1:29" ht="24" customHeight="1" x14ac:dyDescent="0.2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69"/>
      <c r="N218" s="269"/>
      <c r="O218" s="270"/>
      <c r="P218" s="270"/>
      <c r="Q218" s="270"/>
      <c r="R218" s="203"/>
      <c r="S218" s="203"/>
      <c r="T218" s="203"/>
      <c r="U218" s="269"/>
      <c r="V218" s="269"/>
      <c r="W218" s="269"/>
      <c r="X218" s="269"/>
      <c r="Y218" s="269"/>
      <c r="Z218" s="269"/>
      <c r="AA218" s="269"/>
      <c r="AB218" s="269"/>
      <c r="AC218" s="269"/>
    </row>
    <row r="219" spans="1:29" ht="24" customHeight="1" x14ac:dyDescent="0.2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69"/>
      <c r="N219" s="269"/>
      <c r="O219" s="270"/>
      <c r="P219" s="270"/>
      <c r="Q219" s="270"/>
      <c r="R219" s="203"/>
      <c r="S219" s="203"/>
      <c r="T219" s="203"/>
      <c r="U219" s="269"/>
      <c r="V219" s="269"/>
      <c r="W219" s="269"/>
      <c r="X219" s="269"/>
      <c r="Y219" s="269"/>
      <c r="Z219" s="269"/>
      <c r="AA219" s="269"/>
      <c r="AB219" s="269"/>
      <c r="AC219" s="269"/>
    </row>
    <row r="220" spans="1:29" ht="24" customHeight="1" x14ac:dyDescent="0.2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69"/>
      <c r="N220" s="269"/>
      <c r="O220" s="270"/>
      <c r="P220" s="270"/>
      <c r="Q220" s="270"/>
      <c r="R220" s="203"/>
      <c r="S220" s="203"/>
      <c r="T220" s="203"/>
      <c r="U220" s="269"/>
      <c r="V220" s="269"/>
      <c r="W220" s="269"/>
      <c r="X220" s="269"/>
      <c r="Y220" s="269"/>
      <c r="Z220" s="269"/>
      <c r="AA220" s="269"/>
      <c r="AB220" s="269"/>
      <c r="AC220" s="269"/>
    </row>
    <row r="221" spans="1:29" ht="24" customHeight="1" x14ac:dyDescent="0.2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69"/>
      <c r="N221" s="269"/>
      <c r="O221" s="270"/>
      <c r="P221" s="270"/>
      <c r="Q221" s="270"/>
      <c r="R221" s="203"/>
      <c r="S221" s="203"/>
      <c r="T221" s="203"/>
      <c r="U221" s="269"/>
      <c r="V221" s="269"/>
      <c r="W221" s="269"/>
      <c r="X221" s="269"/>
      <c r="Y221" s="269"/>
      <c r="Z221" s="269"/>
      <c r="AA221" s="269"/>
      <c r="AB221" s="269"/>
      <c r="AC221" s="269"/>
    </row>
    <row r="222" spans="1:29" ht="24" customHeight="1" x14ac:dyDescent="0.2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69"/>
      <c r="N222" s="269"/>
      <c r="O222" s="270"/>
      <c r="P222" s="270"/>
      <c r="Q222" s="270"/>
      <c r="R222" s="203"/>
      <c r="S222" s="203"/>
      <c r="T222" s="203"/>
      <c r="U222" s="269"/>
      <c r="V222" s="269"/>
      <c r="W222" s="269"/>
      <c r="X222" s="269"/>
      <c r="Y222" s="269"/>
      <c r="Z222" s="269"/>
      <c r="AA222" s="269"/>
      <c r="AB222" s="269"/>
      <c r="AC222" s="269"/>
    </row>
    <row r="223" spans="1:29" ht="24" customHeight="1" x14ac:dyDescent="0.2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69"/>
      <c r="N223" s="269"/>
      <c r="O223" s="270"/>
      <c r="P223" s="270"/>
      <c r="Q223" s="270"/>
      <c r="R223" s="203"/>
      <c r="S223" s="203"/>
      <c r="T223" s="203"/>
      <c r="U223" s="269"/>
      <c r="V223" s="269"/>
      <c r="W223" s="269"/>
      <c r="X223" s="269"/>
      <c r="Y223" s="269"/>
      <c r="Z223" s="269"/>
      <c r="AA223" s="269"/>
      <c r="AB223" s="269"/>
      <c r="AC223" s="269"/>
    </row>
    <row r="224" spans="1:29" ht="24" customHeight="1" x14ac:dyDescent="0.2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69"/>
      <c r="N224" s="269"/>
      <c r="O224" s="270"/>
      <c r="P224" s="270"/>
      <c r="Q224" s="270"/>
      <c r="R224" s="203"/>
      <c r="S224" s="203"/>
      <c r="T224" s="203"/>
      <c r="U224" s="269"/>
      <c r="V224" s="269"/>
      <c r="W224" s="269"/>
      <c r="X224" s="269"/>
      <c r="Y224" s="269"/>
      <c r="Z224" s="269"/>
      <c r="AA224" s="269"/>
      <c r="AB224" s="269"/>
      <c r="AC224" s="269"/>
    </row>
    <row r="225" spans="1:29" ht="24" customHeight="1" x14ac:dyDescent="0.2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69"/>
      <c r="N225" s="269"/>
      <c r="O225" s="270"/>
      <c r="P225" s="270"/>
      <c r="Q225" s="270"/>
      <c r="R225" s="203"/>
      <c r="S225" s="203"/>
      <c r="T225" s="203"/>
      <c r="U225" s="269"/>
      <c r="V225" s="269"/>
      <c r="W225" s="269"/>
      <c r="X225" s="269"/>
      <c r="Y225" s="269"/>
      <c r="Z225" s="269"/>
      <c r="AA225" s="269"/>
      <c r="AB225" s="269"/>
      <c r="AC225" s="269"/>
    </row>
    <row r="226" spans="1:29" ht="24" customHeight="1" x14ac:dyDescent="0.2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69"/>
      <c r="N226" s="269"/>
      <c r="O226" s="270"/>
      <c r="P226" s="270"/>
      <c r="Q226" s="270"/>
      <c r="R226" s="203"/>
      <c r="S226" s="203"/>
      <c r="T226" s="203"/>
      <c r="U226" s="269"/>
      <c r="V226" s="269"/>
      <c r="W226" s="269"/>
      <c r="X226" s="269"/>
      <c r="Y226" s="269"/>
      <c r="Z226" s="269"/>
      <c r="AA226" s="269"/>
      <c r="AB226" s="269"/>
      <c r="AC226" s="269"/>
    </row>
    <row r="227" spans="1:29" ht="24" customHeight="1" x14ac:dyDescent="0.2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69"/>
      <c r="N227" s="269"/>
      <c r="O227" s="270"/>
      <c r="P227" s="270"/>
      <c r="Q227" s="270"/>
      <c r="R227" s="203"/>
      <c r="S227" s="203"/>
      <c r="T227" s="203"/>
      <c r="U227" s="269"/>
      <c r="V227" s="269"/>
      <c r="W227" s="269"/>
      <c r="X227" s="269"/>
      <c r="Y227" s="269"/>
      <c r="Z227" s="269"/>
      <c r="AA227" s="269"/>
      <c r="AB227" s="269"/>
      <c r="AC227" s="269"/>
    </row>
    <row r="228" spans="1:29" ht="24" customHeight="1" x14ac:dyDescent="0.2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69"/>
      <c r="N228" s="269"/>
      <c r="O228" s="270"/>
      <c r="P228" s="270"/>
      <c r="Q228" s="270"/>
      <c r="R228" s="203"/>
      <c r="S228" s="203"/>
      <c r="T228" s="203"/>
      <c r="U228" s="269"/>
      <c r="V228" s="269"/>
      <c r="W228" s="269"/>
      <c r="X228" s="269"/>
      <c r="Y228" s="269"/>
      <c r="Z228" s="269"/>
      <c r="AA228" s="269"/>
      <c r="AB228" s="269"/>
      <c r="AC228" s="269"/>
    </row>
    <row r="229" spans="1:29" ht="24" customHeight="1" x14ac:dyDescent="0.2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69"/>
      <c r="N229" s="269"/>
      <c r="O229" s="270"/>
      <c r="P229" s="270"/>
      <c r="Q229" s="270"/>
      <c r="R229" s="203"/>
      <c r="S229" s="203"/>
      <c r="T229" s="203"/>
      <c r="U229" s="269"/>
      <c r="V229" s="269"/>
      <c r="W229" s="269"/>
      <c r="X229" s="269"/>
      <c r="Y229" s="269"/>
      <c r="Z229" s="269"/>
      <c r="AA229" s="269"/>
      <c r="AB229" s="269"/>
      <c r="AC229" s="269"/>
    </row>
    <row r="230" spans="1:29" ht="24" customHeight="1" x14ac:dyDescent="0.2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69"/>
      <c r="N230" s="269"/>
      <c r="O230" s="270"/>
      <c r="P230" s="270"/>
      <c r="Q230" s="270"/>
      <c r="R230" s="203"/>
      <c r="S230" s="203"/>
      <c r="T230" s="203"/>
      <c r="U230" s="269"/>
      <c r="V230" s="269"/>
      <c r="W230" s="269"/>
      <c r="X230" s="269"/>
      <c r="Y230" s="269"/>
      <c r="Z230" s="269"/>
      <c r="AA230" s="269"/>
      <c r="AB230" s="269"/>
      <c r="AC230" s="269"/>
    </row>
    <row r="231" spans="1:29" ht="24" customHeight="1" x14ac:dyDescent="0.2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69"/>
      <c r="N231" s="269"/>
      <c r="O231" s="270"/>
      <c r="P231" s="270"/>
      <c r="Q231" s="270"/>
      <c r="R231" s="203"/>
      <c r="S231" s="203"/>
      <c r="T231" s="203"/>
      <c r="U231" s="269"/>
      <c r="V231" s="269"/>
      <c r="W231" s="269"/>
      <c r="X231" s="269"/>
      <c r="Y231" s="269"/>
      <c r="Z231" s="269"/>
      <c r="AA231" s="269"/>
      <c r="AB231" s="269"/>
      <c r="AC231" s="269"/>
    </row>
    <row r="232" spans="1:29" ht="24" customHeight="1" x14ac:dyDescent="0.2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69"/>
      <c r="N232" s="269"/>
      <c r="O232" s="270"/>
      <c r="P232" s="270"/>
      <c r="Q232" s="270"/>
      <c r="R232" s="203"/>
      <c r="S232" s="203"/>
      <c r="T232" s="203"/>
      <c r="U232" s="269"/>
      <c r="V232" s="269"/>
      <c r="W232" s="269"/>
      <c r="X232" s="269"/>
      <c r="Y232" s="269"/>
      <c r="Z232" s="269"/>
      <c r="AA232" s="269"/>
      <c r="AB232" s="269"/>
      <c r="AC232" s="269"/>
    </row>
    <row r="233" spans="1:29" ht="24" customHeight="1" x14ac:dyDescent="0.2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69"/>
      <c r="N233" s="269"/>
      <c r="O233" s="270"/>
      <c r="P233" s="270"/>
      <c r="Q233" s="270"/>
      <c r="R233" s="203"/>
      <c r="S233" s="203"/>
      <c r="T233" s="203"/>
      <c r="U233" s="269"/>
      <c r="V233" s="269"/>
      <c r="W233" s="269"/>
      <c r="X233" s="269"/>
      <c r="Y233" s="269"/>
      <c r="Z233" s="269"/>
      <c r="AA233" s="269"/>
      <c r="AB233" s="269"/>
      <c r="AC233" s="269"/>
    </row>
    <row r="234" spans="1:29" ht="24" customHeight="1" x14ac:dyDescent="0.2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69"/>
      <c r="N234" s="269"/>
      <c r="O234" s="270"/>
      <c r="P234" s="270"/>
      <c r="Q234" s="270"/>
      <c r="R234" s="203"/>
      <c r="S234" s="203"/>
      <c r="T234" s="203"/>
      <c r="U234" s="269"/>
      <c r="V234" s="269"/>
      <c r="W234" s="269"/>
      <c r="X234" s="269"/>
      <c r="Y234" s="269"/>
      <c r="Z234" s="269"/>
      <c r="AA234" s="269"/>
      <c r="AB234" s="269"/>
      <c r="AC234" s="269"/>
    </row>
    <row r="235" spans="1:29" ht="24" customHeight="1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69"/>
      <c r="N235" s="269"/>
      <c r="O235" s="270"/>
      <c r="P235" s="270"/>
      <c r="Q235" s="270"/>
      <c r="R235" s="203"/>
      <c r="S235" s="203"/>
      <c r="T235" s="203"/>
      <c r="U235" s="269"/>
      <c r="V235" s="269"/>
      <c r="W235" s="269"/>
      <c r="X235" s="269"/>
      <c r="Y235" s="269"/>
      <c r="Z235" s="269"/>
      <c r="AA235" s="269"/>
      <c r="AB235" s="269"/>
      <c r="AC235" s="269"/>
    </row>
    <row r="236" spans="1:29" ht="24" customHeight="1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69"/>
      <c r="N236" s="269"/>
      <c r="O236" s="270"/>
      <c r="P236" s="270"/>
      <c r="Q236" s="270"/>
      <c r="R236" s="203"/>
      <c r="S236" s="203"/>
      <c r="T236" s="203"/>
      <c r="U236" s="269"/>
      <c r="V236" s="269"/>
      <c r="W236" s="269"/>
      <c r="X236" s="269"/>
      <c r="Y236" s="269"/>
      <c r="Z236" s="269"/>
      <c r="AA236" s="269"/>
      <c r="AB236" s="269"/>
      <c r="AC236" s="269"/>
    </row>
    <row r="237" spans="1:29" ht="24" customHeight="1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69"/>
      <c r="N237" s="269"/>
      <c r="O237" s="270"/>
      <c r="P237" s="270"/>
      <c r="Q237" s="270"/>
      <c r="R237" s="203"/>
      <c r="S237" s="203"/>
      <c r="T237" s="203"/>
      <c r="U237" s="269"/>
      <c r="V237" s="269"/>
      <c r="W237" s="269"/>
      <c r="X237" s="269"/>
      <c r="Y237" s="269"/>
      <c r="Z237" s="269"/>
      <c r="AA237" s="269"/>
      <c r="AB237" s="269"/>
      <c r="AC237" s="269"/>
    </row>
    <row r="238" spans="1:29" ht="24" customHeight="1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69"/>
      <c r="N238" s="269"/>
      <c r="O238" s="270"/>
      <c r="P238" s="270"/>
      <c r="Q238" s="270"/>
      <c r="R238" s="203"/>
      <c r="S238" s="203"/>
      <c r="T238" s="203"/>
      <c r="U238" s="269"/>
      <c r="V238" s="269"/>
      <c r="W238" s="269"/>
      <c r="X238" s="269"/>
      <c r="Y238" s="269"/>
      <c r="Z238" s="269"/>
      <c r="AA238" s="269"/>
      <c r="AB238" s="269"/>
      <c r="AC238" s="269"/>
    </row>
    <row r="239" spans="1:29" ht="24" customHeight="1" x14ac:dyDescent="0.2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69"/>
      <c r="N239" s="269"/>
      <c r="O239" s="270"/>
      <c r="P239" s="270"/>
      <c r="Q239" s="270"/>
      <c r="R239" s="203"/>
      <c r="S239" s="203"/>
      <c r="T239" s="203"/>
      <c r="U239" s="269"/>
      <c r="V239" s="269"/>
      <c r="W239" s="269"/>
      <c r="X239" s="269"/>
      <c r="Y239" s="269"/>
      <c r="Z239" s="269"/>
      <c r="AA239" s="269"/>
      <c r="AB239" s="269"/>
      <c r="AC239" s="269"/>
    </row>
    <row r="240" spans="1:29" ht="24" customHeight="1" x14ac:dyDescent="0.2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69"/>
      <c r="N240" s="269"/>
      <c r="O240" s="270"/>
      <c r="P240" s="270"/>
      <c r="Q240" s="270"/>
      <c r="R240" s="203"/>
      <c r="S240" s="203"/>
      <c r="T240" s="203"/>
      <c r="U240" s="269"/>
      <c r="V240" s="269"/>
      <c r="W240" s="269"/>
      <c r="X240" s="269"/>
      <c r="Y240" s="269"/>
      <c r="Z240" s="269"/>
      <c r="AA240" s="269"/>
      <c r="AB240" s="269"/>
      <c r="AC240" s="269"/>
    </row>
    <row r="241" spans="1:29" ht="24" customHeight="1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69"/>
      <c r="N241" s="269"/>
      <c r="O241" s="270"/>
      <c r="P241" s="270"/>
      <c r="Q241" s="270"/>
      <c r="R241" s="203"/>
      <c r="S241" s="203"/>
      <c r="T241" s="203"/>
      <c r="U241" s="269"/>
      <c r="V241" s="269"/>
      <c r="W241" s="269"/>
      <c r="X241" s="269"/>
      <c r="Y241" s="269"/>
      <c r="Z241" s="269"/>
      <c r="AA241" s="269"/>
      <c r="AB241" s="269"/>
      <c r="AC241" s="269"/>
    </row>
    <row r="242" spans="1:29" ht="24" customHeight="1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69"/>
      <c r="N242" s="269"/>
      <c r="O242" s="270"/>
      <c r="P242" s="270"/>
      <c r="Q242" s="270"/>
      <c r="R242" s="203"/>
      <c r="S242" s="203"/>
      <c r="T242" s="203"/>
      <c r="U242" s="269"/>
      <c r="V242" s="269"/>
      <c r="W242" s="269"/>
      <c r="X242" s="269"/>
      <c r="Y242" s="269"/>
      <c r="Z242" s="269"/>
      <c r="AA242" s="269"/>
      <c r="AB242" s="269"/>
      <c r="AC242" s="269"/>
    </row>
    <row r="243" spans="1:29" ht="24" customHeight="1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69"/>
      <c r="N243" s="269"/>
      <c r="O243" s="270"/>
      <c r="P243" s="270"/>
      <c r="Q243" s="270"/>
      <c r="R243" s="203"/>
      <c r="S243" s="203"/>
      <c r="T243" s="203"/>
      <c r="U243" s="269"/>
      <c r="V243" s="269"/>
      <c r="W243" s="269"/>
      <c r="X243" s="269"/>
      <c r="Y243" s="269"/>
      <c r="Z243" s="269"/>
      <c r="AA243" s="269"/>
      <c r="AB243" s="269"/>
      <c r="AC243" s="269"/>
    </row>
    <row r="244" spans="1:29" ht="24" customHeight="1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69"/>
      <c r="N244" s="269"/>
      <c r="O244" s="270"/>
      <c r="P244" s="270"/>
      <c r="Q244" s="270"/>
      <c r="R244" s="203"/>
      <c r="S244" s="203"/>
      <c r="T244" s="203"/>
      <c r="U244" s="269"/>
      <c r="V244" s="269"/>
      <c r="W244" s="269"/>
      <c r="X244" s="269"/>
      <c r="Y244" s="269"/>
      <c r="Z244" s="269"/>
      <c r="AA244" s="269"/>
      <c r="AB244" s="269"/>
      <c r="AC244" s="269"/>
    </row>
    <row r="245" spans="1:29" ht="24" customHeight="1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69"/>
      <c r="N245" s="269"/>
      <c r="O245" s="270"/>
      <c r="P245" s="270"/>
      <c r="Q245" s="270"/>
      <c r="R245" s="203"/>
      <c r="S245" s="203"/>
      <c r="T245" s="203"/>
      <c r="U245" s="269"/>
      <c r="V245" s="269"/>
      <c r="W245" s="269"/>
      <c r="X245" s="269"/>
      <c r="Y245" s="269"/>
      <c r="Z245" s="269"/>
      <c r="AA245" s="269"/>
      <c r="AB245" s="269"/>
      <c r="AC245" s="269"/>
    </row>
    <row r="246" spans="1:29" ht="24" customHeight="1" x14ac:dyDescent="0.2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69"/>
      <c r="N246" s="269"/>
      <c r="O246" s="270"/>
      <c r="P246" s="270"/>
      <c r="Q246" s="270"/>
      <c r="R246" s="203"/>
      <c r="S246" s="203"/>
      <c r="T246" s="203"/>
      <c r="U246" s="269"/>
      <c r="V246" s="269"/>
      <c r="W246" s="269"/>
      <c r="X246" s="269"/>
      <c r="Y246" s="269"/>
      <c r="Z246" s="269"/>
      <c r="AA246" s="269"/>
      <c r="AB246" s="269"/>
      <c r="AC246" s="269"/>
    </row>
    <row r="247" spans="1:29" ht="24" customHeight="1" x14ac:dyDescent="0.2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69"/>
      <c r="N247" s="269"/>
      <c r="O247" s="270"/>
      <c r="P247" s="270"/>
      <c r="Q247" s="270"/>
      <c r="R247" s="203"/>
      <c r="S247" s="203"/>
      <c r="T247" s="203"/>
      <c r="U247" s="269"/>
      <c r="V247" s="269"/>
      <c r="W247" s="269"/>
      <c r="X247" s="269"/>
      <c r="Y247" s="269"/>
      <c r="Z247" s="269"/>
      <c r="AA247" s="269"/>
      <c r="AB247" s="269"/>
      <c r="AC247" s="269"/>
    </row>
    <row r="248" spans="1:29" ht="24" customHeight="1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69"/>
      <c r="N248" s="269"/>
      <c r="O248" s="270"/>
      <c r="P248" s="270"/>
      <c r="Q248" s="270"/>
      <c r="R248" s="203"/>
      <c r="S248" s="203"/>
      <c r="T248" s="203"/>
      <c r="U248" s="269"/>
      <c r="V248" s="269"/>
      <c r="W248" s="269"/>
      <c r="X248" s="269"/>
      <c r="Y248" s="269"/>
      <c r="Z248" s="269"/>
      <c r="AA248" s="269"/>
      <c r="AB248" s="269"/>
      <c r="AC248" s="269"/>
    </row>
    <row r="249" spans="1:29" ht="24" customHeight="1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69"/>
      <c r="N249" s="269"/>
      <c r="O249" s="270"/>
      <c r="P249" s="270"/>
      <c r="Q249" s="270"/>
      <c r="R249" s="203"/>
      <c r="S249" s="203"/>
      <c r="T249" s="203"/>
      <c r="U249" s="269"/>
      <c r="V249" s="269"/>
      <c r="W249" s="269"/>
      <c r="X249" s="269"/>
      <c r="Y249" s="269"/>
      <c r="Z249" s="269"/>
      <c r="AA249" s="269"/>
      <c r="AB249" s="269"/>
      <c r="AC249" s="269"/>
    </row>
    <row r="250" spans="1:29" ht="24" customHeight="1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69"/>
      <c r="N250" s="269"/>
      <c r="O250" s="270"/>
      <c r="P250" s="270"/>
      <c r="Q250" s="270"/>
      <c r="R250" s="203"/>
      <c r="S250" s="203"/>
      <c r="T250" s="203"/>
      <c r="U250" s="269"/>
      <c r="V250" s="269"/>
      <c r="W250" s="269"/>
      <c r="X250" s="269"/>
      <c r="Y250" s="269"/>
      <c r="Z250" s="269"/>
      <c r="AA250" s="269"/>
      <c r="AB250" s="269"/>
      <c r="AC250" s="269"/>
    </row>
    <row r="251" spans="1:29" ht="24" customHeight="1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69"/>
      <c r="N251" s="269"/>
      <c r="O251" s="270"/>
      <c r="P251" s="270"/>
      <c r="Q251" s="270"/>
      <c r="R251" s="203"/>
      <c r="S251" s="203"/>
      <c r="T251" s="203"/>
      <c r="U251" s="269"/>
      <c r="V251" s="269"/>
      <c r="W251" s="269"/>
      <c r="X251" s="269"/>
      <c r="Y251" s="269"/>
      <c r="Z251" s="269"/>
      <c r="AA251" s="269"/>
      <c r="AB251" s="269"/>
      <c r="AC251" s="269"/>
    </row>
    <row r="252" spans="1:29" ht="24" customHeight="1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69"/>
      <c r="N252" s="269"/>
      <c r="O252" s="270"/>
      <c r="P252" s="270"/>
      <c r="Q252" s="270"/>
      <c r="R252" s="203"/>
      <c r="S252" s="203"/>
      <c r="T252" s="203"/>
      <c r="U252" s="269"/>
      <c r="V252" s="269"/>
      <c r="W252" s="269"/>
      <c r="X252" s="269"/>
      <c r="Y252" s="269"/>
      <c r="Z252" s="269"/>
      <c r="AA252" s="269"/>
      <c r="AB252" s="269"/>
      <c r="AC252" s="269"/>
    </row>
    <row r="253" spans="1:29" ht="24" customHeight="1" x14ac:dyDescent="0.2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69"/>
      <c r="N253" s="269"/>
      <c r="O253" s="270"/>
      <c r="P253" s="270"/>
      <c r="Q253" s="270"/>
      <c r="R253" s="203"/>
      <c r="S253" s="203"/>
      <c r="T253" s="203"/>
      <c r="U253" s="269"/>
      <c r="V253" s="269"/>
      <c r="W253" s="269"/>
      <c r="X253" s="269"/>
      <c r="Y253" s="269"/>
      <c r="Z253" s="269"/>
      <c r="AA253" s="269"/>
      <c r="AB253" s="269"/>
      <c r="AC253" s="269"/>
    </row>
    <row r="254" spans="1:29" ht="24" customHeight="1" x14ac:dyDescent="0.2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69"/>
      <c r="N254" s="269"/>
      <c r="O254" s="270"/>
      <c r="P254" s="270"/>
      <c r="Q254" s="270"/>
      <c r="R254" s="203"/>
      <c r="S254" s="203"/>
      <c r="T254" s="203"/>
      <c r="U254" s="269"/>
      <c r="V254" s="269"/>
      <c r="W254" s="269"/>
      <c r="X254" s="269"/>
      <c r="Y254" s="269"/>
      <c r="Z254" s="269"/>
      <c r="AA254" s="269"/>
      <c r="AB254" s="269"/>
      <c r="AC254" s="269"/>
    </row>
    <row r="255" spans="1:29" ht="24" customHeight="1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69"/>
      <c r="N255" s="269"/>
      <c r="O255" s="270"/>
      <c r="P255" s="270"/>
      <c r="Q255" s="270"/>
      <c r="R255" s="203"/>
      <c r="S255" s="203"/>
      <c r="T255" s="203"/>
      <c r="U255" s="269"/>
      <c r="V255" s="269"/>
      <c r="W255" s="269"/>
      <c r="X255" s="269"/>
      <c r="Y255" s="269"/>
      <c r="Z255" s="269"/>
      <c r="AA255" s="269"/>
      <c r="AB255" s="269"/>
      <c r="AC255" s="269"/>
    </row>
    <row r="256" spans="1:29" ht="24" customHeight="1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69"/>
      <c r="N256" s="269"/>
      <c r="O256" s="270"/>
      <c r="P256" s="270"/>
      <c r="Q256" s="270"/>
      <c r="R256" s="203"/>
      <c r="S256" s="203"/>
      <c r="T256" s="203"/>
      <c r="U256" s="269"/>
      <c r="V256" s="269"/>
      <c r="W256" s="269"/>
      <c r="X256" s="269"/>
      <c r="Y256" s="269"/>
      <c r="Z256" s="269"/>
      <c r="AA256" s="269"/>
      <c r="AB256" s="269"/>
      <c r="AC256" s="269"/>
    </row>
    <row r="257" spans="1:29" ht="24" customHeight="1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69"/>
      <c r="N257" s="269"/>
      <c r="O257" s="270"/>
      <c r="P257" s="270"/>
      <c r="Q257" s="270"/>
      <c r="R257" s="203"/>
      <c r="S257" s="203"/>
      <c r="T257" s="203"/>
      <c r="U257" s="269"/>
      <c r="V257" s="269"/>
      <c r="W257" s="269"/>
      <c r="X257" s="269"/>
      <c r="Y257" s="269"/>
      <c r="Z257" s="269"/>
      <c r="AA257" s="269"/>
      <c r="AB257" s="269"/>
      <c r="AC257" s="269"/>
    </row>
    <row r="258" spans="1:29" ht="24" customHeight="1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69"/>
      <c r="N258" s="269"/>
      <c r="O258" s="270"/>
      <c r="P258" s="270"/>
      <c r="Q258" s="270"/>
      <c r="R258" s="203"/>
      <c r="S258" s="203"/>
      <c r="T258" s="203"/>
      <c r="U258" s="269"/>
      <c r="V258" s="269"/>
      <c r="W258" s="269"/>
      <c r="X258" s="269"/>
      <c r="Y258" s="269"/>
      <c r="Z258" s="269"/>
      <c r="AA258" s="269"/>
      <c r="AB258" s="269"/>
      <c r="AC258" s="269"/>
    </row>
    <row r="259" spans="1:29" ht="24" customHeight="1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69"/>
      <c r="N259" s="269"/>
      <c r="O259" s="270"/>
      <c r="P259" s="270"/>
      <c r="Q259" s="270"/>
      <c r="R259" s="203"/>
      <c r="S259" s="203"/>
      <c r="T259" s="203"/>
      <c r="U259" s="269"/>
      <c r="V259" s="269"/>
      <c r="W259" s="269"/>
      <c r="X259" s="269"/>
      <c r="Y259" s="269"/>
      <c r="Z259" s="269"/>
      <c r="AA259" s="269"/>
      <c r="AB259" s="269"/>
      <c r="AC259" s="269"/>
    </row>
    <row r="260" spans="1:29" ht="24" customHeight="1" x14ac:dyDescent="0.2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69"/>
      <c r="N260" s="269"/>
      <c r="O260" s="270"/>
      <c r="P260" s="270"/>
      <c r="Q260" s="270"/>
      <c r="R260" s="203"/>
      <c r="S260" s="203"/>
      <c r="T260" s="203"/>
      <c r="U260" s="269"/>
      <c r="V260" s="269"/>
      <c r="W260" s="269"/>
      <c r="X260" s="269"/>
      <c r="Y260" s="269"/>
      <c r="Z260" s="269"/>
      <c r="AA260" s="269"/>
      <c r="AB260" s="269"/>
      <c r="AC260" s="269"/>
    </row>
    <row r="261" spans="1:29" ht="24" customHeight="1" x14ac:dyDescent="0.2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69"/>
      <c r="N261" s="269"/>
      <c r="O261" s="270"/>
      <c r="P261" s="270"/>
      <c r="Q261" s="270"/>
      <c r="R261" s="203"/>
      <c r="S261" s="203"/>
      <c r="T261" s="203"/>
      <c r="U261" s="269"/>
      <c r="V261" s="269"/>
      <c r="W261" s="269"/>
      <c r="X261" s="269"/>
      <c r="Y261" s="269"/>
      <c r="Z261" s="269"/>
      <c r="AA261" s="269"/>
      <c r="AB261" s="269"/>
      <c r="AC261" s="269"/>
    </row>
    <row r="262" spans="1:29" ht="24" customHeight="1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69"/>
      <c r="N262" s="269"/>
      <c r="O262" s="270"/>
      <c r="P262" s="270"/>
      <c r="Q262" s="270"/>
      <c r="R262" s="203"/>
      <c r="S262" s="203"/>
      <c r="T262" s="203"/>
      <c r="U262" s="269"/>
      <c r="V262" s="269"/>
      <c r="W262" s="269"/>
      <c r="X262" s="269"/>
      <c r="Y262" s="269"/>
      <c r="Z262" s="269"/>
      <c r="AA262" s="269"/>
      <c r="AB262" s="269"/>
      <c r="AC262" s="269"/>
    </row>
    <row r="263" spans="1:29" ht="24" customHeight="1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69"/>
      <c r="N263" s="269"/>
      <c r="O263" s="270"/>
      <c r="P263" s="270"/>
      <c r="Q263" s="270"/>
      <c r="R263" s="203"/>
      <c r="S263" s="203"/>
      <c r="T263" s="203"/>
      <c r="U263" s="269"/>
      <c r="V263" s="269"/>
      <c r="W263" s="269"/>
      <c r="X263" s="269"/>
      <c r="Y263" s="269"/>
      <c r="Z263" s="269"/>
      <c r="AA263" s="269"/>
      <c r="AB263" s="269"/>
      <c r="AC263" s="269"/>
    </row>
    <row r="264" spans="1:29" ht="24" customHeight="1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69"/>
      <c r="N264" s="269"/>
      <c r="O264" s="270"/>
      <c r="P264" s="270"/>
      <c r="Q264" s="270"/>
      <c r="R264" s="203"/>
      <c r="S264" s="203"/>
      <c r="T264" s="203"/>
      <c r="U264" s="269"/>
      <c r="V264" s="269"/>
      <c r="W264" s="269"/>
      <c r="X264" s="269"/>
      <c r="Y264" s="269"/>
      <c r="Z264" s="269"/>
      <c r="AA264" s="269"/>
      <c r="AB264" s="269"/>
      <c r="AC264" s="269"/>
    </row>
    <row r="265" spans="1:29" ht="24" customHeight="1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69"/>
      <c r="N265" s="269"/>
      <c r="O265" s="270"/>
      <c r="P265" s="270"/>
      <c r="Q265" s="270"/>
      <c r="R265" s="203"/>
      <c r="S265" s="203"/>
      <c r="T265" s="203"/>
      <c r="U265" s="269"/>
      <c r="V265" s="269"/>
      <c r="W265" s="269"/>
      <c r="X265" s="269"/>
      <c r="Y265" s="269"/>
      <c r="Z265" s="269"/>
      <c r="AA265" s="269"/>
      <c r="AB265" s="269"/>
      <c r="AC265" s="269"/>
    </row>
    <row r="266" spans="1:29" ht="24" customHeight="1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69"/>
      <c r="N266" s="269"/>
      <c r="O266" s="270"/>
      <c r="P266" s="270"/>
      <c r="Q266" s="270"/>
      <c r="R266" s="203"/>
      <c r="S266" s="203"/>
      <c r="T266" s="203"/>
      <c r="U266" s="269"/>
      <c r="V266" s="269"/>
      <c r="W266" s="269"/>
      <c r="X266" s="269"/>
      <c r="Y266" s="269"/>
      <c r="Z266" s="269"/>
      <c r="AA266" s="269"/>
      <c r="AB266" s="269"/>
      <c r="AC266" s="269"/>
    </row>
    <row r="267" spans="1:29" ht="24" customHeight="1" x14ac:dyDescent="0.2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69"/>
      <c r="N267" s="269"/>
      <c r="O267" s="270"/>
      <c r="P267" s="270"/>
      <c r="Q267" s="270"/>
      <c r="R267" s="203"/>
      <c r="S267" s="203"/>
      <c r="T267" s="203"/>
      <c r="U267" s="269"/>
      <c r="V267" s="269"/>
      <c r="W267" s="269"/>
      <c r="X267" s="269"/>
      <c r="Y267" s="269"/>
      <c r="Z267" s="269"/>
      <c r="AA267" s="269"/>
      <c r="AB267" s="269"/>
      <c r="AC267" s="269"/>
    </row>
    <row r="268" spans="1:29" ht="24" customHeight="1" x14ac:dyDescent="0.2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69"/>
      <c r="N268" s="269"/>
      <c r="O268" s="270"/>
      <c r="P268" s="270"/>
      <c r="Q268" s="270"/>
      <c r="R268" s="203"/>
      <c r="S268" s="203"/>
      <c r="T268" s="203"/>
      <c r="U268" s="269"/>
      <c r="V268" s="269"/>
      <c r="W268" s="269"/>
      <c r="X268" s="269"/>
      <c r="Y268" s="269"/>
      <c r="Z268" s="269"/>
      <c r="AA268" s="269"/>
      <c r="AB268" s="269"/>
      <c r="AC268" s="269"/>
    </row>
    <row r="269" spans="1:29" ht="24" customHeight="1" x14ac:dyDescent="0.2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69"/>
      <c r="N269" s="269"/>
      <c r="O269" s="270"/>
      <c r="P269" s="270"/>
      <c r="Q269" s="270"/>
      <c r="R269" s="203"/>
      <c r="S269" s="203"/>
      <c r="T269" s="203"/>
      <c r="U269" s="269"/>
      <c r="V269" s="269"/>
      <c r="W269" s="269"/>
      <c r="X269" s="269"/>
      <c r="Y269" s="269"/>
      <c r="Z269" s="269"/>
      <c r="AA269" s="269"/>
      <c r="AB269" s="269"/>
      <c r="AC269" s="269"/>
    </row>
    <row r="270" spans="1:29" ht="24" customHeight="1" x14ac:dyDescent="0.2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69"/>
      <c r="N270" s="269"/>
      <c r="O270" s="270"/>
      <c r="P270" s="270"/>
      <c r="Q270" s="270"/>
      <c r="R270" s="203"/>
      <c r="S270" s="203"/>
      <c r="T270" s="203"/>
      <c r="U270" s="269"/>
      <c r="V270" s="269"/>
      <c r="W270" s="269"/>
      <c r="X270" s="269"/>
      <c r="Y270" s="269"/>
      <c r="Z270" s="269"/>
      <c r="AA270" s="269"/>
      <c r="AB270" s="269"/>
      <c r="AC270" s="269"/>
    </row>
    <row r="271" spans="1:29" ht="24" customHeight="1" x14ac:dyDescent="0.2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69"/>
      <c r="N271" s="269"/>
      <c r="O271" s="270"/>
      <c r="P271" s="270"/>
      <c r="Q271" s="270"/>
      <c r="R271" s="203"/>
      <c r="S271" s="203"/>
      <c r="T271" s="203"/>
      <c r="U271" s="269"/>
      <c r="V271" s="269"/>
      <c r="W271" s="269"/>
      <c r="X271" s="269"/>
      <c r="Y271" s="269"/>
      <c r="Z271" s="269"/>
      <c r="AA271" s="269"/>
      <c r="AB271" s="269"/>
      <c r="AC271" s="269"/>
    </row>
    <row r="272" spans="1:29" ht="24" customHeight="1" x14ac:dyDescent="0.2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69"/>
      <c r="N272" s="269"/>
      <c r="O272" s="270"/>
      <c r="P272" s="270"/>
      <c r="Q272" s="270"/>
      <c r="R272" s="203"/>
      <c r="S272" s="203"/>
      <c r="T272" s="203"/>
      <c r="U272" s="269"/>
      <c r="V272" s="269"/>
      <c r="W272" s="269"/>
      <c r="X272" s="269"/>
      <c r="Y272" s="269"/>
      <c r="Z272" s="269"/>
      <c r="AA272" s="269"/>
      <c r="AB272" s="269"/>
      <c r="AC272" s="269"/>
    </row>
    <row r="273" spans="1:29" ht="24" customHeight="1" x14ac:dyDescent="0.2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69"/>
      <c r="N273" s="269"/>
      <c r="O273" s="270"/>
      <c r="P273" s="270"/>
      <c r="Q273" s="270"/>
      <c r="R273" s="203"/>
      <c r="S273" s="203"/>
      <c r="T273" s="203"/>
      <c r="U273" s="269"/>
      <c r="V273" s="269"/>
      <c r="W273" s="269"/>
      <c r="X273" s="269"/>
      <c r="Y273" s="269"/>
      <c r="Z273" s="269"/>
      <c r="AA273" s="269"/>
      <c r="AB273" s="269"/>
      <c r="AC273" s="269"/>
    </row>
    <row r="274" spans="1:29" ht="24" customHeight="1" x14ac:dyDescent="0.2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69"/>
      <c r="N274" s="269"/>
      <c r="O274" s="270"/>
      <c r="P274" s="270"/>
      <c r="Q274" s="270"/>
      <c r="R274" s="203"/>
      <c r="S274" s="203"/>
      <c r="T274" s="203"/>
      <c r="U274" s="269"/>
      <c r="V274" s="269"/>
      <c r="W274" s="269"/>
      <c r="X274" s="269"/>
      <c r="Y274" s="269"/>
      <c r="Z274" s="269"/>
      <c r="AA274" s="269"/>
      <c r="AB274" s="269"/>
      <c r="AC274" s="269"/>
    </row>
    <row r="275" spans="1:29" ht="24" customHeight="1" x14ac:dyDescent="0.2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69"/>
      <c r="N275" s="269"/>
      <c r="O275" s="270"/>
      <c r="P275" s="270"/>
      <c r="Q275" s="270"/>
      <c r="R275" s="203"/>
      <c r="S275" s="203"/>
      <c r="T275" s="203"/>
      <c r="U275" s="269"/>
      <c r="V275" s="269"/>
      <c r="W275" s="269"/>
      <c r="X275" s="269"/>
      <c r="Y275" s="269"/>
      <c r="Z275" s="269"/>
      <c r="AA275" s="269"/>
      <c r="AB275" s="269"/>
      <c r="AC275" s="269"/>
    </row>
    <row r="276" spans="1:29" ht="24" customHeight="1" x14ac:dyDescent="0.2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69"/>
      <c r="N276" s="269"/>
      <c r="O276" s="270"/>
      <c r="P276" s="270"/>
      <c r="Q276" s="270"/>
      <c r="R276" s="203"/>
      <c r="S276" s="203"/>
      <c r="T276" s="203"/>
      <c r="U276" s="269"/>
      <c r="V276" s="269"/>
      <c r="W276" s="269"/>
      <c r="X276" s="269"/>
      <c r="Y276" s="269"/>
      <c r="Z276" s="269"/>
      <c r="AA276" s="269"/>
      <c r="AB276" s="269"/>
      <c r="AC276" s="269"/>
    </row>
    <row r="277" spans="1:29" ht="24" customHeight="1" x14ac:dyDescent="0.2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69"/>
      <c r="N277" s="269"/>
      <c r="O277" s="270"/>
      <c r="P277" s="270"/>
      <c r="Q277" s="270"/>
      <c r="R277" s="203"/>
      <c r="S277" s="203"/>
      <c r="T277" s="203"/>
      <c r="U277" s="269"/>
      <c r="V277" s="269"/>
      <c r="W277" s="269"/>
      <c r="X277" s="269"/>
      <c r="Y277" s="269"/>
      <c r="Z277" s="269"/>
      <c r="AA277" s="269"/>
      <c r="AB277" s="269"/>
      <c r="AC277" s="269"/>
    </row>
    <row r="278" spans="1:29" ht="24" customHeight="1" x14ac:dyDescent="0.2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69"/>
      <c r="N278" s="269"/>
      <c r="O278" s="270"/>
      <c r="P278" s="270"/>
      <c r="Q278" s="270"/>
      <c r="R278" s="203"/>
      <c r="S278" s="203"/>
      <c r="T278" s="203"/>
      <c r="U278" s="269"/>
      <c r="V278" s="269"/>
      <c r="W278" s="269"/>
      <c r="X278" s="269"/>
      <c r="Y278" s="269"/>
      <c r="Z278" s="269"/>
      <c r="AA278" s="269"/>
      <c r="AB278" s="269"/>
      <c r="AC278" s="269"/>
    </row>
    <row r="279" spans="1:29" ht="24" customHeight="1" x14ac:dyDescent="0.2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69"/>
      <c r="N279" s="269"/>
      <c r="O279" s="270"/>
      <c r="P279" s="270"/>
      <c r="Q279" s="270"/>
      <c r="R279" s="203"/>
      <c r="S279" s="203"/>
      <c r="T279" s="203"/>
      <c r="U279" s="269"/>
      <c r="V279" s="269"/>
      <c r="W279" s="269"/>
      <c r="X279" s="269"/>
      <c r="Y279" s="269"/>
      <c r="Z279" s="269"/>
      <c r="AA279" s="269"/>
      <c r="AB279" s="269"/>
      <c r="AC279" s="269"/>
    </row>
    <row r="280" spans="1:29" ht="24" customHeight="1" x14ac:dyDescent="0.2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69"/>
      <c r="N280" s="269"/>
      <c r="O280" s="270"/>
      <c r="P280" s="270"/>
      <c r="Q280" s="270"/>
      <c r="R280" s="203"/>
      <c r="S280" s="203"/>
      <c r="T280" s="203"/>
      <c r="U280" s="269"/>
      <c r="V280" s="269"/>
      <c r="W280" s="269"/>
      <c r="X280" s="269"/>
      <c r="Y280" s="269"/>
      <c r="Z280" s="269"/>
      <c r="AA280" s="269"/>
      <c r="AB280" s="269"/>
      <c r="AC280" s="269"/>
    </row>
    <row r="281" spans="1:29" ht="24" customHeight="1" x14ac:dyDescent="0.2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69"/>
      <c r="N281" s="269"/>
      <c r="O281" s="270"/>
      <c r="P281" s="270"/>
      <c r="Q281" s="270"/>
      <c r="R281" s="203"/>
      <c r="S281" s="203"/>
      <c r="T281" s="203"/>
      <c r="U281" s="269"/>
      <c r="V281" s="269"/>
      <c r="W281" s="269"/>
      <c r="X281" s="269"/>
      <c r="Y281" s="269"/>
      <c r="Z281" s="269"/>
      <c r="AA281" s="269"/>
      <c r="AB281" s="269"/>
      <c r="AC281" s="269"/>
    </row>
    <row r="282" spans="1:29" ht="24" customHeight="1" x14ac:dyDescent="0.2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69"/>
      <c r="N282" s="269"/>
      <c r="O282" s="270"/>
      <c r="P282" s="270"/>
      <c r="Q282" s="270"/>
      <c r="R282" s="203"/>
      <c r="S282" s="203"/>
      <c r="T282" s="203"/>
      <c r="U282" s="269"/>
      <c r="V282" s="269"/>
      <c r="W282" s="269"/>
      <c r="X282" s="269"/>
      <c r="Y282" s="269"/>
      <c r="Z282" s="269"/>
      <c r="AA282" s="269"/>
      <c r="AB282" s="269"/>
      <c r="AC282" s="269"/>
    </row>
    <row r="283" spans="1:29" ht="24" customHeight="1" x14ac:dyDescent="0.2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69"/>
      <c r="N283" s="269"/>
      <c r="O283" s="270"/>
      <c r="P283" s="270"/>
      <c r="Q283" s="270"/>
      <c r="R283" s="203"/>
      <c r="S283" s="203"/>
      <c r="T283" s="203"/>
      <c r="U283" s="269"/>
      <c r="V283" s="269"/>
      <c r="W283" s="269"/>
      <c r="X283" s="269"/>
      <c r="Y283" s="269"/>
      <c r="Z283" s="269"/>
      <c r="AA283" s="269"/>
      <c r="AB283" s="269"/>
      <c r="AC283" s="269"/>
    </row>
    <row r="284" spans="1:29" ht="24" customHeight="1" x14ac:dyDescent="0.2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69"/>
      <c r="N284" s="269"/>
      <c r="O284" s="270"/>
      <c r="P284" s="270"/>
      <c r="Q284" s="270"/>
      <c r="R284" s="203"/>
      <c r="S284" s="203"/>
      <c r="T284" s="203"/>
      <c r="U284" s="269"/>
      <c r="V284" s="269"/>
      <c r="W284" s="269"/>
      <c r="X284" s="269"/>
      <c r="Y284" s="269"/>
      <c r="Z284" s="269"/>
      <c r="AA284" s="269"/>
      <c r="AB284" s="269"/>
      <c r="AC284" s="269"/>
    </row>
    <row r="285" spans="1:29" ht="24" customHeight="1" x14ac:dyDescent="0.2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69"/>
      <c r="N285" s="269"/>
      <c r="O285" s="270"/>
      <c r="P285" s="270"/>
      <c r="Q285" s="270"/>
      <c r="R285" s="203"/>
      <c r="S285" s="203"/>
      <c r="T285" s="203"/>
      <c r="U285" s="269"/>
      <c r="V285" s="269"/>
      <c r="W285" s="269"/>
      <c r="X285" s="269"/>
      <c r="Y285" s="269"/>
      <c r="Z285" s="269"/>
      <c r="AA285" s="269"/>
      <c r="AB285" s="269"/>
      <c r="AC285" s="269"/>
    </row>
    <row r="286" spans="1:29" ht="24" customHeight="1" x14ac:dyDescent="0.2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69"/>
      <c r="N286" s="269"/>
      <c r="O286" s="270"/>
      <c r="P286" s="270"/>
      <c r="Q286" s="270"/>
      <c r="R286" s="203"/>
      <c r="S286" s="203"/>
      <c r="T286" s="203"/>
      <c r="U286" s="269"/>
      <c r="V286" s="269"/>
      <c r="W286" s="269"/>
      <c r="X286" s="269"/>
      <c r="Y286" s="269"/>
      <c r="Z286" s="269"/>
      <c r="AA286" s="269"/>
      <c r="AB286" s="269"/>
      <c r="AC286" s="269"/>
    </row>
    <row r="287" spans="1:29" ht="24" customHeight="1" x14ac:dyDescent="0.2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69"/>
      <c r="N287" s="269"/>
      <c r="O287" s="270"/>
      <c r="P287" s="270"/>
      <c r="Q287" s="270"/>
      <c r="R287" s="203"/>
      <c r="S287" s="203"/>
      <c r="T287" s="203"/>
      <c r="U287" s="269"/>
      <c r="V287" s="269"/>
      <c r="W287" s="269"/>
      <c r="X287" s="269"/>
      <c r="Y287" s="269"/>
      <c r="Z287" s="269"/>
      <c r="AA287" s="269"/>
      <c r="AB287" s="269"/>
      <c r="AC287" s="269"/>
    </row>
    <row r="288" spans="1:29" ht="24" customHeight="1" x14ac:dyDescent="0.2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69"/>
      <c r="N288" s="269"/>
      <c r="O288" s="270"/>
      <c r="P288" s="270"/>
      <c r="Q288" s="270"/>
      <c r="R288" s="203"/>
      <c r="S288" s="203"/>
      <c r="T288" s="203"/>
      <c r="U288" s="269"/>
      <c r="V288" s="269"/>
      <c r="W288" s="269"/>
      <c r="X288" s="269"/>
      <c r="Y288" s="269"/>
      <c r="Z288" s="269"/>
      <c r="AA288" s="269"/>
      <c r="AB288" s="269"/>
      <c r="AC288" s="269"/>
    </row>
    <row r="289" spans="1:29" ht="24" customHeight="1" x14ac:dyDescent="0.2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69"/>
      <c r="N289" s="269"/>
      <c r="O289" s="270"/>
      <c r="P289" s="270"/>
      <c r="Q289" s="270"/>
      <c r="R289" s="203"/>
      <c r="S289" s="203"/>
      <c r="T289" s="203"/>
      <c r="U289" s="269"/>
      <c r="V289" s="269"/>
      <c r="W289" s="269"/>
      <c r="X289" s="269"/>
      <c r="Y289" s="269"/>
      <c r="Z289" s="269"/>
      <c r="AA289" s="269"/>
      <c r="AB289" s="269"/>
      <c r="AC289" s="269"/>
    </row>
    <row r="290" spans="1:29" ht="24" customHeight="1" x14ac:dyDescent="0.2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69"/>
      <c r="N290" s="269"/>
      <c r="O290" s="270"/>
      <c r="P290" s="270"/>
      <c r="Q290" s="270"/>
      <c r="R290" s="203"/>
      <c r="S290" s="203"/>
      <c r="T290" s="203"/>
      <c r="U290" s="269"/>
      <c r="V290" s="269"/>
      <c r="W290" s="269"/>
      <c r="X290" s="269"/>
      <c r="Y290" s="269"/>
      <c r="Z290" s="269"/>
      <c r="AA290" s="269"/>
      <c r="AB290" s="269"/>
      <c r="AC290" s="269"/>
    </row>
    <row r="291" spans="1:29" ht="24" customHeight="1" x14ac:dyDescent="0.2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69"/>
      <c r="N291" s="269"/>
      <c r="O291" s="270"/>
      <c r="P291" s="270"/>
      <c r="Q291" s="270"/>
      <c r="R291" s="203"/>
      <c r="S291" s="203"/>
      <c r="T291" s="203"/>
      <c r="U291" s="269"/>
      <c r="V291" s="269"/>
      <c r="W291" s="269"/>
      <c r="X291" s="269"/>
      <c r="Y291" s="269"/>
      <c r="Z291" s="269"/>
      <c r="AA291" s="269"/>
      <c r="AB291" s="269"/>
      <c r="AC291" s="269"/>
    </row>
    <row r="292" spans="1:29" ht="24" customHeight="1" x14ac:dyDescent="0.2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69"/>
      <c r="N292" s="269"/>
      <c r="O292" s="270"/>
      <c r="P292" s="270"/>
      <c r="Q292" s="270"/>
      <c r="R292" s="203"/>
      <c r="S292" s="203"/>
      <c r="T292" s="203"/>
      <c r="U292" s="269"/>
      <c r="V292" s="269"/>
      <c r="W292" s="269"/>
      <c r="X292" s="269"/>
      <c r="Y292" s="269"/>
      <c r="Z292" s="269"/>
      <c r="AA292" s="269"/>
      <c r="AB292" s="269"/>
      <c r="AC292" s="269"/>
    </row>
    <row r="293" spans="1:29" ht="24" customHeight="1" x14ac:dyDescent="0.2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69"/>
      <c r="N293" s="269"/>
      <c r="O293" s="270"/>
      <c r="P293" s="270"/>
      <c r="Q293" s="270"/>
      <c r="R293" s="203"/>
      <c r="S293" s="203"/>
      <c r="T293" s="203"/>
      <c r="U293" s="269"/>
      <c r="V293" s="269"/>
      <c r="W293" s="269"/>
      <c r="X293" s="269"/>
      <c r="Y293" s="269"/>
      <c r="Z293" s="269"/>
      <c r="AA293" s="269"/>
      <c r="AB293" s="269"/>
      <c r="AC293" s="269"/>
    </row>
    <row r="294" spans="1:29" ht="24" customHeight="1" x14ac:dyDescent="0.2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69"/>
      <c r="N294" s="269"/>
      <c r="O294" s="270"/>
      <c r="P294" s="270"/>
      <c r="Q294" s="270"/>
      <c r="R294" s="203"/>
      <c r="S294" s="203"/>
      <c r="T294" s="203"/>
      <c r="U294" s="269"/>
      <c r="V294" s="269"/>
      <c r="W294" s="269"/>
      <c r="X294" s="269"/>
      <c r="Y294" s="269"/>
      <c r="Z294" s="269"/>
      <c r="AA294" s="269"/>
      <c r="AB294" s="269"/>
      <c r="AC294" s="269"/>
    </row>
    <row r="295" spans="1:29" ht="24" customHeight="1" x14ac:dyDescent="0.2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69"/>
      <c r="N295" s="269"/>
      <c r="O295" s="270"/>
      <c r="P295" s="270"/>
      <c r="Q295" s="270"/>
      <c r="R295" s="203"/>
      <c r="S295" s="203"/>
      <c r="T295" s="203"/>
      <c r="U295" s="269"/>
      <c r="V295" s="269"/>
      <c r="W295" s="269"/>
      <c r="X295" s="269"/>
      <c r="Y295" s="269"/>
      <c r="Z295" s="269"/>
      <c r="AA295" s="269"/>
      <c r="AB295" s="269"/>
      <c r="AC295" s="269"/>
    </row>
    <row r="296" spans="1:29" ht="24" customHeight="1" x14ac:dyDescent="0.2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69"/>
      <c r="N296" s="269"/>
      <c r="O296" s="270"/>
      <c r="P296" s="270"/>
      <c r="Q296" s="270"/>
      <c r="R296" s="203"/>
      <c r="S296" s="203"/>
      <c r="T296" s="203"/>
      <c r="U296" s="269"/>
      <c r="V296" s="269"/>
      <c r="W296" s="269"/>
      <c r="X296" s="269"/>
      <c r="Y296" s="269"/>
      <c r="Z296" s="269"/>
      <c r="AA296" s="269"/>
      <c r="AB296" s="269"/>
      <c r="AC296" s="269"/>
    </row>
    <row r="297" spans="1:29" ht="24" customHeight="1" x14ac:dyDescent="0.2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69"/>
      <c r="N297" s="269"/>
      <c r="O297" s="270"/>
      <c r="P297" s="270"/>
      <c r="Q297" s="270"/>
      <c r="R297" s="203"/>
      <c r="S297" s="203"/>
      <c r="T297" s="203"/>
      <c r="U297" s="269"/>
      <c r="V297" s="269"/>
      <c r="W297" s="269"/>
      <c r="X297" s="269"/>
      <c r="Y297" s="269"/>
      <c r="Z297" s="269"/>
      <c r="AA297" s="269"/>
      <c r="AB297" s="269"/>
      <c r="AC297" s="269"/>
    </row>
    <row r="298" spans="1:29" ht="24" customHeight="1" x14ac:dyDescent="0.2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69"/>
      <c r="N298" s="269"/>
      <c r="O298" s="270"/>
      <c r="P298" s="270"/>
      <c r="Q298" s="270"/>
      <c r="R298" s="203"/>
      <c r="S298" s="203"/>
      <c r="T298" s="203"/>
      <c r="U298" s="269"/>
      <c r="V298" s="269"/>
      <c r="W298" s="269"/>
      <c r="X298" s="269"/>
      <c r="Y298" s="269"/>
      <c r="Z298" s="269"/>
      <c r="AA298" s="269"/>
      <c r="AB298" s="269"/>
      <c r="AC298" s="269"/>
    </row>
    <row r="299" spans="1:29" ht="24" customHeight="1" x14ac:dyDescent="0.2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69"/>
      <c r="N299" s="269"/>
      <c r="O299" s="270"/>
      <c r="P299" s="270"/>
      <c r="Q299" s="270"/>
      <c r="R299" s="203"/>
      <c r="S299" s="203"/>
      <c r="T299" s="203"/>
      <c r="U299" s="269"/>
      <c r="V299" s="269"/>
      <c r="W299" s="269"/>
      <c r="X299" s="269"/>
      <c r="Y299" s="269"/>
      <c r="Z299" s="269"/>
      <c r="AA299" s="269"/>
      <c r="AB299" s="269"/>
      <c r="AC299" s="269"/>
    </row>
    <row r="300" spans="1:29" ht="24" customHeight="1" x14ac:dyDescent="0.2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69"/>
      <c r="N300" s="269"/>
      <c r="O300" s="270"/>
      <c r="P300" s="270"/>
      <c r="Q300" s="270"/>
      <c r="R300" s="203"/>
      <c r="S300" s="203"/>
      <c r="T300" s="203"/>
      <c r="U300" s="269"/>
      <c r="V300" s="269"/>
      <c r="W300" s="269"/>
      <c r="X300" s="269"/>
      <c r="Y300" s="269"/>
      <c r="Z300" s="269"/>
      <c r="AA300" s="269"/>
      <c r="AB300" s="269"/>
      <c r="AC300" s="269"/>
    </row>
    <row r="301" spans="1:29" ht="24" customHeight="1" x14ac:dyDescent="0.2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69"/>
      <c r="N301" s="269"/>
      <c r="O301" s="270"/>
      <c r="P301" s="270"/>
      <c r="Q301" s="270"/>
      <c r="R301" s="203"/>
      <c r="S301" s="203"/>
      <c r="T301" s="203"/>
      <c r="U301" s="269"/>
      <c r="V301" s="269"/>
      <c r="W301" s="269"/>
      <c r="X301" s="269"/>
      <c r="Y301" s="269"/>
      <c r="Z301" s="269"/>
      <c r="AA301" s="269"/>
      <c r="AB301" s="269"/>
      <c r="AC301" s="269"/>
    </row>
    <row r="302" spans="1:29" ht="24" customHeight="1" x14ac:dyDescent="0.2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69"/>
      <c r="N302" s="269"/>
      <c r="O302" s="270"/>
      <c r="P302" s="270"/>
      <c r="Q302" s="270"/>
      <c r="R302" s="203"/>
      <c r="S302" s="203"/>
      <c r="T302" s="203"/>
      <c r="U302" s="269"/>
      <c r="V302" s="269"/>
      <c r="W302" s="269"/>
      <c r="X302" s="269"/>
      <c r="Y302" s="269"/>
      <c r="Z302" s="269"/>
      <c r="AA302" s="269"/>
      <c r="AB302" s="269"/>
      <c r="AC302" s="269"/>
    </row>
    <row r="303" spans="1:29" ht="24" customHeight="1" x14ac:dyDescent="0.2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69"/>
      <c r="N303" s="269"/>
      <c r="O303" s="270"/>
      <c r="P303" s="270"/>
      <c r="Q303" s="270"/>
      <c r="R303" s="203"/>
      <c r="S303" s="203"/>
      <c r="T303" s="203"/>
      <c r="U303" s="269"/>
      <c r="V303" s="269"/>
      <c r="W303" s="269"/>
      <c r="X303" s="269"/>
      <c r="Y303" s="269"/>
      <c r="Z303" s="269"/>
      <c r="AA303" s="269"/>
      <c r="AB303" s="269"/>
      <c r="AC303" s="269"/>
    </row>
    <row r="304" spans="1:29" ht="12.75" x14ac:dyDescent="0.2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69"/>
      <c r="N304" s="269"/>
      <c r="O304" s="270"/>
      <c r="P304" s="270"/>
      <c r="Q304" s="270"/>
      <c r="R304" s="203"/>
      <c r="S304" s="203"/>
      <c r="T304" s="203"/>
      <c r="U304" s="269"/>
      <c r="V304" s="269"/>
      <c r="W304" s="269"/>
      <c r="X304" s="269"/>
      <c r="Y304" s="269"/>
      <c r="Z304" s="269"/>
      <c r="AA304" s="269"/>
      <c r="AB304" s="269"/>
      <c r="AC304" s="269"/>
    </row>
    <row r="305" spans="1:29" ht="12.75" x14ac:dyDescent="0.2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69"/>
      <c r="N305" s="269"/>
      <c r="O305" s="270"/>
      <c r="P305" s="270"/>
      <c r="Q305" s="270"/>
      <c r="R305" s="203"/>
      <c r="S305" s="203"/>
      <c r="T305" s="203"/>
      <c r="U305" s="269"/>
      <c r="V305" s="269"/>
      <c r="W305" s="269"/>
      <c r="X305" s="269"/>
      <c r="Y305" s="269"/>
      <c r="Z305" s="269"/>
      <c r="AA305" s="269"/>
      <c r="AB305" s="269"/>
      <c r="AC305" s="269"/>
    </row>
    <row r="306" spans="1:29" ht="12.75" x14ac:dyDescent="0.2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69"/>
      <c r="N306" s="269"/>
      <c r="O306" s="270"/>
      <c r="P306" s="270"/>
      <c r="Q306" s="270"/>
      <c r="R306" s="203"/>
      <c r="S306" s="203"/>
      <c r="T306" s="203"/>
      <c r="U306" s="269"/>
      <c r="V306" s="269"/>
      <c r="W306" s="269"/>
      <c r="X306" s="269"/>
      <c r="Y306" s="269"/>
      <c r="Z306" s="269"/>
      <c r="AA306" s="269"/>
      <c r="AB306" s="269"/>
      <c r="AC306" s="269"/>
    </row>
    <row r="307" spans="1:29" ht="12.75" x14ac:dyDescent="0.2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69"/>
      <c r="N307" s="269"/>
      <c r="O307" s="270"/>
      <c r="P307" s="270"/>
      <c r="Q307" s="270"/>
      <c r="R307" s="203"/>
      <c r="S307" s="203"/>
      <c r="T307" s="203"/>
      <c r="U307" s="269"/>
      <c r="V307" s="269"/>
      <c r="W307" s="269"/>
      <c r="X307" s="269"/>
      <c r="Y307" s="269"/>
      <c r="Z307" s="269"/>
      <c r="AA307" s="269"/>
      <c r="AB307" s="269"/>
      <c r="AC307" s="269"/>
    </row>
    <row r="308" spans="1:29" ht="12.75" x14ac:dyDescent="0.2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69"/>
      <c r="N308" s="269"/>
      <c r="O308" s="270"/>
      <c r="P308" s="270"/>
      <c r="Q308" s="270"/>
      <c r="R308" s="203"/>
      <c r="S308" s="203"/>
      <c r="T308" s="203"/>
      <c r="U308" s="269"/>
      <c r="V308" s="269"/>
      <c r="W308" s="269"/>
      <c r="X308" s="269"/>
      <c r="Y308" s="269"/>
      <c r="Z308" s="269"/>
      <c r="AA308" s="269"/>
      <c r="AB308" s="269"/>
      <c r="AC308" s="269"/>
    </row>
    <row r="309" spans="1:29" ht="12.75" x14ac:dyDescent="0.2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69"/>
      <c r="N309" s="269"/>
      <c r="O309" s="270"/>
      <c r="P309" s="270"/>
      <c r="Q309" s="270"/>
      <c r="R309" s="203"/>
      <c r="S309" s="203"/>
      <c r="T309" s="203"/>
      <c r="U309" s="269"/>
      <c r="V309" s="269"/>
      <c r="W309" s="269"/>
      <c r="X309" s="269"/>
      <c r="Y309" s="269"/>
      <c r="Z309" s="269"/>
      <c r="AA309" s="269"/>
      <c r="AB309" s="269"/>
      <c r="AC309" s="269"/>
    </row>
    <row r="310" spans="1:29" ht="12.75" x14ac:dyDescent="0.2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69"/>
      <c r="N310" s="269"/>
      <c r="O310" s="270"/>
      <c r="P310" s="270"/>
      <c r="Q310" s="270"/>
      <c r="R310" s="203"/>
      <c r="S310" s="203"/>
      <c r="T310" s="203"/>
      <c r="U310" s="269"/>
      <c r="V310" s="269"/>
      <c r="W310" s="269"/>
      <c r="X310" s="269"/>
      <c r="Y310" s="269"/>
      <c r="Z310" s="269"/>
      <c r="AA310" s="269"/>
      <c r="AB310" s="269"/>
      <c r="AC310" s="269"/>
    </row>
    <row r="311" spans="1:29" ht="12.75" x14ac:dyDescent="0.2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69"/>
      <c r="N311" s="269"/>
      <c r="O311" s="270"/>
      <c r="P311" s="270"/>
      <c r="Q311" s="270"/>
      <c r="R311" s="203"/>
      <c r="S311" s="203"/>
      <c r="T311" s="203"/>
      <c r="U311" s="269"/>
      <c r="V311" s="269"/>
      <c r="W311" s="269"/>
      <c r="X311" s="269"/>
      <c r="Y311" s="269"/>
      <c r="Z311" s="269"/>
      <c r="AA311" s="269"/>
      <c r="AB311" s="269"/>
      <c r="AC311" s="269"/>
    </row>
    <row r="312" spans="1:29" ht="12.75" x14ac:dyDescent="0.2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69"/>
      <c r="N312" s="269"/>
      <c r="O312" s="270"/>
      <c r="P312" s="270"/>
      <c r="Q312" s="270"/>
      <c r="R312" s="203"/>
      <c r="S312" s="203"/>
      <c r="T312" s="203"/>
      <c r="U312" s="269"/>
      <c r="V312" s="269"/>
      <c r="W312" s="269"/>
      <c r="X312" s="269"/>
      <c r="Y312" s="269"/>
      <c r="Z312" s="269"/>
      <c r="AA312" s="269"/>
      <c r="AB312" s="269"/>
      <c r="AC312" s="269"/>
    </row>
    <row r="313" spans="1:29" ht="12.75" x14ac:dyDescent="0.2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69"/>
      <c r="N313" s="269"/>
      <c r="O313" s="270"/>
      <c r="P313" s="270"/>
      <c r="Q313" s="270"/>
      <c r="R313" s="203"/>
      <c r="S313" s="203"/>
      <c r="T313" s="203"/>
      <c r="U313" s="269"/>
      <c r="V313" s="269"/>
      <c r="W313" s="269"/>
      <c r="X313" s="269"/>
      <c r="Y313" s="269"/>
      <c r="Z313" s="269"/>
      <c r="AA313" s="269"/>
      <c r="AB313" s="269"/>
      <c r="AC313" s="269"/>
    </row>
    <row r="314" spans="1:29" ht="12.75" x14ac:dyDescent="0.2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69"/>
      <c r="N314" s="269"/>
      <c r="O314" s="270"/>
      <c r="P314" s="270"/>
      <c r="Q314" s="270"/>
      <c r="R314" s="203"/>
      <c r="S314" s="203"/>
      <c r="T314" s="203"/>
      <c r="U314" s="269"/>
      <c r="V314" s="269"/>
      <c r="W314" s="269"/>
      <c r="X314" s="269"/>
      <c r="Y314" s="269"/>
      <c r="Z314" s="269"/>
      <c r="AA314" s="269"/>
      <c r="AB314" s="269"/>
      <c r="AC314" s="269"/>
    </row>
    <row r="315" spans="1:29" ht="12.75" x14ac:dyDescent="0.2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69"/>
      <c r="N315" s="269"/>
      <c r="O315" s="270"/>
      <c r="P315" s="270"/>
      <c r="Q315" s="270"/>
      <c r="R315" s="203"/>
      <c r="S315" s="203"/>
      <c r="T315" s="203"/>
      <c r="U315" s="269"/>
      <c r="V315" s="269"/>
      <c r="W315" s="269"/>
      <c r="X315" s="269"/>
      <c r="Y315" s="269"/>
      <c r="Z315" s="269"/>
      <c r="AA315" s="269"/>
      <c r="AB315" s="269"/>
      <c r="AC315" s="269"/>
    </row>
    <row r="316" spans="1:29" ht="12.75" x14ac:dyDescent="0.2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69"/>
      <c r="N316" s="269"/>
      <c r="O316" s="270"/>
      <c r="P316" s="270"/>
      <c r="Q316" s="270"/>
      <c r="R316" s="203"/>
      <c r="S316" s="203"/>
      <c r="T316" s="203"/>
      <c r="U316" s="269"/>
      <c r="V316" s="269"/>
      <c r="W316" s="269"/>
      <c r="X316" s="269"/>
      <c r="Y316" s="269"/>
      <c r="Z316" s="269"/>
      <c r="AA316" s="269"/>
      <c r="AB316" s="269"/>
      <c r="AC316" s="269"/>
    </row>
    <row r="317" spans="1:29" ht="12.75" x14ac:dyDescent="0.2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69"/>
      <c r="N317" s="269"/>
      <c r="O317" s="270"/>
      <c r="P317" s="270"/>
      <c r="Q317" s="270"/>
      <c r="R317" s="203"/>
      <c r="S317" s="203"/>
      <c r="T317" s="203"/>
      <c r="U317" s="269"/>
      <c r="V317" s="269"/>
      <c r="W317" s="269"/>
      <c r="X317" s="269"/>
      <c r="Y317" s="269"/>
      <c r="Z317" s="269"/>
      <c r="AA317" s="269"/>
      <c r="AB317" s="269"/>
      <c r="AC317" s="269"/>
    </row>
    <row r="318" spans="1:29" ht="12.75" x14ac:dyDescent="0.2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69"/>
      <c r="N318" s="269"/>
      <c r="O318" s="270"/>
      <c r="P318" s="270"/>
      <c r="Q318" s="270"/>
      <c r="R318" s="203"/>
      <c r="S318" s="203"/>
      <c r="T318" s="203"/>
      <c r="U318" s="269"/>
      <c r="V318" s="269"/>
      <c r="W318" s="269"/>
      <c r="X318" s="269"/>
      <c r="Y318" s="269"/>
      <c r="Z318" s="269"/>
      <c r="AA318" s="269"/>
      <c r="AB318" s="269"/>
      <c r="AC318" s="269"/>
    </row>
    <row r="319" spans="1:29" ht="12.75" x14ac:dyDescent="0.2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69"/>
      <c r="N319" s="269"/>
      <c r="O319" s="270"/>
      <c r="P319" s="270"/>
      <c r="Q319" s="270"/>
      <c r="R319" s="203"/>
      <c r="S319" s="203"/>
      <c r="T319" s="203"/>
      <c r="U319" s="269"/>
      <c r="V319" s="269"/>
      <c r="W319" s="269"/>
      <c r="X319" s="269"/>
      <c r="Y319" s="269"/>
      <c r="Z319" s="269"/>
      <c r="AA319" s="269"/>
      <c r="AB319" s="269"/>
      <c r="AC319" s="269"/>
    </row>
    <row r="320" spans="1:29" ht="12.75" x14ac:dyDescent="0.2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69"/>
      <c r="N320" s="269"/>
      <c r="O320" s="270"/>
      <c r="P320" s="270"/>
      <c r="Q320" s="270"/>
      <c r="R320" s="203"/>
      <c r="S320" s="203"/>
      <c r="T320" s="203"/>
      <c r="U320" s="269"/>
      <c r="V320" s="269"/>
      <c r="W320" s="269"/>
      <c r="X320" s="269"/>
      <c r="Y320" s="269"/>
      <c r="Z320" s="269"/>
      <c r="AA320" s="269"/>
      <c r="AB320" s="269"/>
      <c r="AC320" s="269"/>
    </row>
    <row r="321" spans="1:29" ht="12.75" x14ac:dyDescent="0.2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69"/>
      <c r="N321" s="269"/>
      <c r="O321" s="270"/>
      <c r="P321" s="270"/>
      <c r="Q321" s="270"/>
      <c r="R321" s="203"/>
      <c r="S321" s="203"/>
      <c r="T321" s="203"/>
      <c r="U321" s="269"/>
      <c r="V321" s="269"/>
      <c r="W321" s="269"/>
      <c r="X321" s="269"/>
      <c r="Y321" s="269"/>
      <c r="Z321" s="269"/>
      <c r="AA321" s="269"/>
      <c r="AB321" s="269"/>
      <c r="AC321" s="269"/>
    </row>
    <row r="322" spans="1:29" ht="12.75" x14ac:dyDescent="0.2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69"/>
      <c r="N322" s="269"/>
      <c r="O322" s="270"/>
      <c r="P322" s="270"/>
      <c r="Q322" s="270"/>
      <c r="R322" s="203"/>
      <c r="S322" s="203"/>
      <c r="T322" s="203"/>
      <c r="U322" s="269"/>
      <c r="V322" s="269"/>
      <c r="W322" s="269"/>
      <c r="X322" s="269"/>
      <c r="Y322" s="269"/>
      <c r="Z322" s="269"/>
      <c r="AA322" s="269"/>
      <c r="AB322" s="269"/>
      <c r="AC322" s="269"/>
    </row>
    <row r="323" spans="1:29" ht="12.75" x14ac:dyDescent="0.2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69"/>
      <c r="N323" s="269"/>
      <c r="O323" s="270"/>
      <c r="P323" s="270"/>
      <c r="Q323" s="270"/>
      <c r="R323" s="203"/>
      <c r="S323" s="203"/>
      <c r="T323" s="203"/>
      <c r="U323" s="269"/>
      <c r="V323" s="269"/>
      <c r="W323" s="269"/>
      <c r="X323" s="269"/>
      <c r="Y323" s="269"/>
      <c r="Z323" s="269"/>
      <c r="AA323" s="269"/>
      <c r="AB323" s="269"/>
      <c r="AC323" s="269"/>
    </row>
    <row r="324" spans="1:29" ht="12.75" x14ac:dyDescent="0.2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69"/>
      <c r="N324" s="269"/>
      <c r="O324" s="270"/>
      <c r="P324" s="270"/>
      <c r="Q324" s="270"/>
      <c r="R324" s="203"/>
      <c r="S324" s="203"/>
      <c r="T324" s="203"/>
      <c r="U324" s="269"/>
      <c r="V324" s="269"/>
      <c r="W324" s="269"/>
      <c r="X324" s="269"/>
      <c r="Y324" s="269"/>
      <c r="Z324" s="269"/>
      <c r="AA324" s="269"/>
      <c r="AB324" s="269"/>
      <c r="AC324" s="269"/>
    </row>
    <row r="325" spans="1:29" ht="12.75" x14ac:dyDescent="0.2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69"/>
      <c r="N325" s="269"/>
      <c r="O325" s="270"/>
      <c r="P325" s="270"/>
      <c r="Q325" s="270"/>
      <c r="R325" s="203"/>
      <c r="S325" s="203"/>
      <c r="T325" s="203"/>
      <c r="U325" s="269"/>
      <c r="V325" s="269"/>
      <c r="W325" s="269"/>
      <c r="X325" s="269"/>
      <c r="Y325" s="269"/>
      <c r="Z325" s="269"/>
      <c r="AA325" s="269"/>
      <c r="AB325" s="269"/>
      <c r="AC325" s="269"/>
    </row>
    <row r="326" spans="1:29" ht="12.75" x14ac:dyDescent="0.2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69"/>
      <c r="N326" s="269"/>
      <c r="O326" s="270"/>
      <c r="P326" s="270"/>
      <c r="Q326" s="270"/>
      <c r="R326" s="203"/>
      <c r="S326" s="203"/>
      <c r="T326" s="203"/>
      <c r="U326" s="269"/>
      <c r="V326" s="269"/>
      <c r="W326" s="269"/>
      <c r="X326" s="269"/>
      <c r="Y326" s="269"/>
      <c r="Z326" s="269"/>
      <c r="AA326" s="269"/>
      <c r="AB326" s="269"/>
      <c r="AC326" s="269"/>
    </row>
    <row r="327" spans="1:29" ht="12.75" x14ac:dyDescent="0.2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69"/>
      <c r="N327" s="269"/>
      <c r="O327" s="270"/>
      <c r="P327" s="270"/>
      <c r="Q327" s="270"/>
      <c r="R327" s="203"/>
      <c r="S327" s="203"/>
      <c r="T327" s="203"/>
      <c r="U327" s="269"/>
      <c r="V327" s="269"/>
      <c r="W327" s="269"/>
      <c r="X327" s="269"/>
      <c r="Y327" s="269"/>
      <c r="Z327" s="269"/>
      <c r="AA327" s="269"/>
      <c r="AB327" s="269"/>
      <c r="AC327" s="269"/>
    </row>
    <row r="328" spans="1:29" ht="12.75" x14ac:dyDescent="0.2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69"/>
      <c r="N328" s="269"/>
      <c r="O328" s="270"/>
      <c r="P328" s="270"/>
      <c r="Q328" s="270"/>
      <c r="R328" s="203"/>
      <c r="S328" s="203"/>
      <c r="T328" s="203"/>
      <c r="U328" s="269"/>
      <c r="V328" s="269"/>
      <c r="W328" s="269"/>
      <c r="X328" s="269"/>
      <c r="Y328" s="269"/>
      <c r="Z328" s="269"/>
      <c r="AA328" s="269"/>
      <c r="AB328" s="269"/>
      <c r="AC328" s="269"/>
    </row>
    <row r="329" spans="1:29" ht="12.75" x14ac:dyDescent="0.2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69"/>
      <c r="N329" s="269"/>
      <c r="O329" s="270"/>
      <c r="P329" s="270"/>
      <c r="Q329" s="270"/>
      <c r="R329" s="203"/>
      <c r="S329" s="203"/>
      <c r="T329" s="203"/>
      <c r="U329" s="269"/>
      <c r="V329" s="269"/>
      <c r="W329" s="269"/>
      <c r="X329" s="269"/>
      <c r="Y329" s="269"/>
      <c r="Z329" s="269"/>
      <c r="AA329" s="269"/>
      <c r="AB329" s="269"/>
      <c r="AC329" s="269"/>
    </row>
    <row r="330" spans="1:29" ht="12.75" x14ac:dyDescent="0.2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69"/>
      <c r="N330" s="269"/>
      <c r="O330" s="270"/>
      <c r="P330" s="270"/>
      <c r="Q330" s="270"/>
      <c r="R330" s="203"/>
      <c r="S330" s="203"/>
      <c r="T330" s="203"/>
      <c r="U330" s="269"/>
      <c r="V330" s="269"/>
      <c r="W330" s="269"/>
      <c r="X330" s="269"/>
      <c r="Y330" s="269"/>
      <c r="Z330" s="269"/>
      <c r="AA330" s="269"/>
      <c r="AB330" s="269"/>
      <c r="AC330" s="269"/>
    </row>
    <row r="331" spans="1:29" ht="12.75" x14ac:dyDescent="0.2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69"/>
      <c r="N331" s="269"/>
      <c r="O331" s="270"/>
      <c r="P331" s="270"/>
      <c r="Q331" s="270"/>
      <c r="R331" s="203"/>
      <c r="S331" s="203"/>
      <c r="T331" s="203"/>
      <c r="U331" s="269"/>
      <c r="V331" s="269"/>
      <c r="W331" s="269"/>
      <c r="X331" s="269"/>
      <c r="Y331" s="269"/>
      <c r="Z331" s="269"/>
      <c r="AA331" s="269"/>
      <c r="AB331" s="269"/>
      <c r="AC331" s="269"/>
    </row>
    <row r="332" spans="1:29" ht="12.75" x14ac:dyDescent="0.2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69"/>
      <c r="N332" s="269"/>
      <c r="O332" s="270"/>
      <c r="P332" s="270"/>
      <c r="Q332" s="270"/>
      <c r="R332" s="203"/>
      <c r="S332" s="203"/>
      <c r="T332" s="203"/>
      <c r="U332" s="269"/>
      <c r="V332" s="269"/>
      <c r="W332" s="269"/>
      <c r="X332" s="269"/>
      <c r="Y332" s="269"/>
      <c r="Z332" s="269"/>
      <c r="AA332" s="269"/>
      <c r="AB332" s="269"/>
      <c r="AC332" s="269"/>
    </row>
    <row r="333" spans="1:29" ht="12.75" x14ac:dyDescent="0.2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69"/>
      <c r="N333" s="269"/>
      <c r="O333" s="270"/>
      <c r="P333" s="270"/>
      <c r="Q333" s="270"/>
      <c r="R333" s="203"/>
      <c r="S333" s="203"/>
      <c r="T333" s="203"/>
      <c r="U333" s="269"/>
      <c r="V333" s="269"/>
      <c r="W333" s="269"/>
      <c r="X333" s="269"/>
      <c r="Y333" s="269"/>
      <c r="Z333" s="269"/>
      <c r="AA333" s="269"/>
      <c r="AB333" s="269"/>
      <c r="AC333" s="269"/>
    </row>
    <row r="334" spans="1:29" ht="12.75" x14ac:dyDescent="0.2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69"/>
      <c r="N334" s="269"/>
      <c r="O334" s="270"/>
      <c r="P334" s="270"/>
      <c r="Q334" s="270"/>
      <c r="R334" s="203"/>
      <c r="S334" s="203"/>
      <c r="T334" s="203"/>
      <c r="U334" s="269"/>
      <c r="V334" s="269"/>
      <c r="W334" s="269"/>
      <c r="X334" s="269"/>
      <c r="Y334" s="269"/>
      <c r="Z334" s="269"/>
      <c r="AA334" s="269"/>
      <c r="AB334" s="269"/>
      <c r="AC334" s="269"/>
    </row>
    <row r="335" spans="1:29" ht="12.75" x14ac:dyDescent="0.2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69"/>
      <c r="N335" s="269"/>
      <c r="O335" s="270"/>
      <c r="P335" s="270"/>
      <c r="Q335" s="270"/>
      <c r="R335" s="203"/>
      <c r="S335" s="203"/>
      <c r="T335" s="203"/>
      <c r="U335" s="269"/>
      <c r="V335" s="269"/>
      <c r="W335" s="269"/>
      <c r="X335" s="269"/>
      <c r="Y335" s="269"/>
      <c r="Z335" s="269"/>
      <c r="AA335" s="269"/>
      <c r="AB335" s="269"/>
      <c r="AC335" s="269"/>
    </row>
    <row r="336" spans="1:29" ht="12.75" x14ac:dyDescent="0.2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69"/>
      <c r="N336" s="269"/>
      <c r="O336" s="270"/>
      <c r="P336" s="270"/>
      <c r="Q336" s="270"/>
      <c r="R336" s="203"/>
      <c r="S336" s="203"/>
      <c r="T336" s="203"/>
      <c r="U336" s="269"/>
      <c r="V336" s="269"/>
      <c r="W336" s="269"/>
      <c r="X336" s="269"/>
      <c r="Y336" s="269"/>
      <c r="Z336" s="269"/>
      <c r="AA336" s="269"/>
      <c r="AB336" s="269"/>
      <c r="AC336" s="269"/>
    </row>
    <row r="337" spans="1:29" ht="12.75" x14ac:dyDescent="0.2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69"/>
      <c r="N337" s="269"/>
      <c r="O337" s="270"/>
      <c r="P337" s="270"/>
      <c r="Q337" s="270"/>
      <c r="R337" s="203"/>
      <c r="S337" s="203"/>
      <c r="T337" s="203"/>
      <c r="U337" s="269"/>
      <c r="V337" s="269"/>
      <c r="W337" s="269"/>
      <c r="X337" s="269"/>
      <c r="Y337" s="269"/>
      <c r="Z337" s="269"/>
      <c r="AA337" s="269"/>
      <c r="AB337" s="269"/>
      <c r="AC337" s="269"/>
    </row>
    <row r="338" spans="1:29" ht="12.75" x14ac:dyDescent="0.2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69"/>
      <c r="N338" s="269"/>
      <c r="O338" s="270"/>
      <c r="P338" s="270"/>
      <c r="Q338" s="270"/>
      <c r="R338" s="203"/>
      <c r="S338" s="203"/>
      <c r="T338" s="203"/>
      <c r="U338" s="269"/>
      <c r="V338" s="269"/>
      <c r="W338" s="269"/>
      <c r="X338" s="269"/>
      <c r="Y338" s="269"/>
      <c r="Z338" s="269"/>
      <c r="AA338" s="269"/>
      <c r="AB338" s="269"/>
      <c r="AC338" s="269"/>
    </row>
    <row r="339" spans="1:29" ht="12.75" x14ac:dyDescent="0.2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69"/>
      <c r="N339" s="269"/>
      <c r="O339" s="270"/>
      <c r="P339" s="270"/>
      <c r="Q339" s="270"/>
      <c r="R339" s="203"/>
      <c r="S339" s="203"/>
      <c r="T339" s="203"/>
      <c r="U339" s="269"/>
      <c r="V339" s="269"/>
      <c r="W339" s="269"/>
      <c r="X339" s="269"/>
      <c r="Y339" s="269"/>
      <c r="Z339" s="269"/>
      <c r="AA339" s="269"/>
      <c r="AB339" s="269"/>
      <c r="AC339" s="269"/>
    </row>
    <row r="340" spans="1:29" ht="12.75" x14ac:dyDescent="0.2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69"/>
      <c r="N340" s="269"/>
      <c r="O340" s="270"/>
      <c r="P340" s="270"/>
      <c r="Q340" s="270"/>
      <c r="R340" s="203"/>
      <c r="S340" s="203"/>
      <c r="T340" s="203"/>
      <c r="U340" s="269"/>
      <c r="V340" s="269"/>
      <c r="W340" s="269"/>
      <c r="X340" s="269"/>
      <c r="Y340" s="269"/>
      <c r="Z340" s="269"/>
      <c r="AA340" s="269"/>
      <c r="AB340" s="269"/>
      <c r="AC340" s="269"/>
    </row>
    <row r="341" spans="1:29" ht="12.75" x14ac:dyDescent="0.2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69"/>
      <c r="N341" s="269"/>
      <c r="O341" s="270"/>
      <c r="P341" s="270"/>
      <c r="Q341" s="270"/>
      <c r="R341" s="203"/>
      <c r="S341" s="203"/>
      <c r="T341" s="203"/>
      <c r="U341" s="269"/>
      <c r="V341" s="269"/>
      <c r="W341" s="269"/>
      <c r="X341" s="269"/>
      <c r="Y341" s="269"/>
      <c r="Z341" s="269"/>
      <c r="AA341" s="269"/>
      <c r="AB341" s="269"/>
      <c r="AC341" s="269"/>
    </row>
    <row r="342" spans="1:29" ht="12.75" x14ac:dyDescent="0.2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69"/>
      <c r="N342" s="269"/>
      <c r="O342" s="270"/>
      <c r="P342" s="270"/>
      <c r="Q342" s="270"/>
      <c r="R342" s="203"/>
      <c r="S342" s="203"/>
      <c r="T342" s="203"/>
      <c r="U342" s="269"/>
      <c r="V342" s="269"/>
      <c r="W342" s="269"/>
      <c r="X342" s="269"/>
      <c r="Y342" s="269"/>
      <c r="Z342" s="269"/>
      <c r="AA342" s="269"/>
      <c r="AB342" s="269"/>
      <c r="AC342" s="269"/>
    </row>
    <row r="343" spans="1:29" ht="12.75" x14ac:dyDescent="0.2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69"/>
      <c r="N343" s="269"/>
      <c r="O343" s="270"/>
      <c r="P343" s="270"/>
      <c r="Q343" s="270"/>
      <c r="R343" s="203"/>
      <c r="S343" s="203"/>
      <c r="T343" s="203"/>
      <c r="U343" s="269"/>
      <c r="V343" s="269"/>
      <c r="W343" s="269"/>
      <c r="X343" s="269"/>
      <c r="Y343" s="269"/>
      <c r="Z343" s="269"/>
      <c r="AA343" s="269"/>
      <c r="AB343" s="269"/>
      <c r="AC343" s="269"/>
    </row>
    <row r="344" spans="1:29" ht="12.75" x14ac:dyDescent="0.2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69"/>
      <c r="N344" s="269"/>
      <c r="O344" s="270"/>
      <c r="P344" s="270"/>
      <c r="Q344" s="270"/>
      <c r="R344" s="203"/>
      <c r="S344" s="203"/>
      <c r="T344" s="203"/>
      <c r="U344" s="269"/>
      <c r="V344" s="269"/>
      <c r="W344" s="269"/>
      <c r="X344" s="269"/>
      <c r="Y344" s="269"/>
      <c r="Z344" s="269"/>
      <c r="AA344" s="269"/>
      <c r="AB344" s="269"/>
      <c r="AC344" s="269"/>
    </row>
    <row r="345" spans="1:29" ht="12.75" x14ac:dyDescent="0.2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69"/>
      <c r="N345" s="269"/>
      <c r="O345" s="270"/>
      <c r="P345" s="270"/>
      <c r="Q345" s="270"/>
      <c r="R345" s="203"/>
      <c r="S345" s="203"/>
      <c r="T345" s="203"/>
      <c r="U345" s="269"/>
      <c r="V345" s="269"/>
      <c r="W345" s="269"/>
      <c r="X345" s="269"/>
      <c r="Y345" s="269"/>
      <c r="Z345" s="269"/>
      <c r="AA345" s="269"/>
      <c r="AB345" s="269"/>
      <c r="AC345" s="269"/>
    </row>
    <row r="346" spans="1:29" ht="12.75" x14ac:dyDescent="0.2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69"/>
      <c r="N346" s="269"/>
      <c r="O346" s="270"/>
      <c r="P346" s="270"/>
      <c r="Q346" s="270"/>
      <c r="R346" s="203"/>
      <c r="S346" s="203"/>
      <c r="T346" s="203"/>
      <c r="U346" s="269"/>
      <c r="V346" s="269"/>
      <c r="W346" s="269"/>
      <c r="X346" s="269"/>
      <c r="Y346" s="269"/>
      <c r="Z346" s="269"/>
      <c r="AA346" s="269"/>
      <c r="AB346" s="269"/>
      <c r="AC346" s="269"/>
    </row>
    <row r="347" spans="1:29" ht="12.75" x14ac:dyDescent="0.2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69"/>
      <c r="N347" s="269"/>
      <c r="O347" s="270"/>
      <c r="P347" s="270"/>
      <c r="Q347" s="270"/>
      <c r="R347" s="203"/>
      <c r="S347" s="203"/>
      <c r="T347" s="203"/>
      <c r="U347" s="269"/>
      <c r="V347" s="269"/>
      <c r="W347" s="269"/>
      <c r="X347" s="269"/>
      <c r="Y347" s="269"/>
      <c r="Z347" s="269"/>
      <c r="AA347" s="269"/>
      <c r="AB347" s="269"/>
      <c r="AC347" s="269"/>
    </row>
    <row r="348" spans="1:29" ht="12.75" x14ac:dyDescent="0.2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69"/>
      <c r="N348" s="269"/>
      <c r="O348" s="270"/>
      <c r="P348" s="270"/>
      <c r="Q348" s="270"/>
      <c r="R348" s="203"/>
      <c r="S348" s="203"/>
      <c r="T348" s="203"/>
      <c r="U348" s="269"/>
      <c r="V348" s="269"/>
      <c r="W348" s="269"/>
      <c r="X348" s="269"/>
      <c r="Y348" s="269"/>
      <c r="Z348" s="269"/>
      <c r="AA348" s="269"/>
      <c r="AB348" s="269"/>
      <c r="AC348" s="269"/>
    </row>
    <row r="349" spans="1:29" ht="12.75" x14ac:dyDescent="0.2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69"/>
      <c r="N349" s="269"/>
      <c r="O349" s="270"/>
      <c r="P349" s="270"/>
      <c r="Q349" s="270"/>
      <c r="R349" s="203"/>
      <c r="S349" s="203"/>
      <c r="T349" s="203"/>
      <c r="U349" s="269"/>
      <c r="V349" s="269"/>
      <c r="W349" s="269"/>
      <c r="X349" s="269"/>
      <c r="Y349" s="269"/>
      <c r="Z349" s="269"/>
      <c r="AA349" s="269"/>
      <c r="AB349" s="269"/>
      <c r="AC349" s="269"/>
    </row>
    <row r="350" spans="1:29" ht="12.75" x14ac:dyDescent="0.2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69"/>
      <c r="N350" s="269"/>
      <c r="O350" s="270"/>
      <c r="P350" s="270"/>
      <c r="Q350" s="270"/>
      <c r="R350" s="203"/>
      <c r="S350" s="203"/>
      <c r="T350" s="203"/>
      <c r="U350" s="269"/>
      <c r="V350" s="269"/>
      <c r="W350" s="269"/>
      <c r="X350" s="269"/>
      <c r="Y350" s="269"/>
      <c r="Z350" s="269"/>
      <c r="AA350" s="269"/>
      <c r="AB350" s="269"/>
      <c r="AC350" s="269"/>
    </row>
    <row r="351" spans="1:29" ht="12.75" x14ac:dyDescent="0.2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69"/>
      <c r="N351" s="269"/>
      <c r="O351" s="270"/>
      <c r="P351" s="270"/>
      <c r="Q351" s="270"/>
      <c r="R351" s="203"/>
      <c r="S351" s="203"/>
      <c r="T351" s="203"/>
      <c r="U351" s="269"/>
      <c r="V351" s="269"/>
      <c r="W351" s="269"/>
      <c r="X351" s="269"/>
      <c r="Y351" s="269"/>
      <c r="Z351" s="269"/>
      <c r="AA351" s="269"/>
      <c r="AB351" s="269"/>
      <c r="AC351" s="269"/>
    </row>
    <row r="352" spans="1:29" ht="12.75" x14ac:dyDescent="0.2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69"/>
      <c r="N352" s="269"/>
      <c r="O352" s="270"/>
      <c r="P352" s="270"/>
      <c r="Q352" s="270"/>
      <c r="R352" s="203"/>
      <c r="S352" s="203"/>
      <c r="T352" s="203"/>
      <c r="U352" s="269"/>
      <c r="V352" s="269"/>
      <c r="W352" s="269"/>
      <c r="X352" s="269"/>
      <c r="Y352" s="269"/>
      <c r="Z352" s="269"/>
      <c r="AA352" s="269"/>
      <c r="AB352" s="269"/>
      <c r="AC352" s="269"/>
    </row>
    <row r="353" spans="1:29" ht="12.75" x14ac:dyDescent="0.2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69"/>
      <c r="N353" s="269"/>
      <c r="O353" s="270"/>
      <c r="P353" s="270"/>
      <c r="Q353" s="270"/>
      <c r="R353" s="203"/>
      <c r="S353" s="203"/>
      <c r="T353" s="203"/>
      <c r="U353" s="269"/>
      <c r="V353" s="269"/>
      <c r="W353" s="269"/>
      <c r="X353" s="269"/>
      <c r="Y353" s="269"/>
      <c r="Z353" s="269"/>
      <c r="AA353" s="269"/>
      <c r="AB353" s="269"/>
      <c r="AC353" s="269"/>
    </row>
    <row r="354" spans="1:29" ht="12.75" x14ac:dyDescent="0.2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69"/>
      <c r="N354" s="269"/>
      <c r="O354" s="270"/>
      <c r="P354" s="270"/>
      <c r="Q354" s="270"/>
      <c r="R354" s="203"/>
      <c r="S354" s="203"/>
      <c r="T354" s="203"/>
      <c r="U354" s="269"/>
      <c r="V354" s="269"/>
      <c r="W354" s="269"/>
      <c r="X354" s="269"/>
      <c r="Y354" s="269"/>
      <c r="Z354" s="269"/>
      <c r="AA354" s="269"/>
      <c r="AB354" s="269"/>
      <c r="AC354" s="269"/>
    </row>
    <row r="355" spans="1:29" ht="12.75" x14ac:dyDescent="0.2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69"/>
      <c r="N355" s="269"/>
      <c r="O355" s="270"/>
      <c r="P355" s="270"/>
      <c r="Q355" s="270"/>
      <c r="R355" s="203"/>
      <c r="S355" s="203"/>
      <c r="T355" s="203"/>
      <c r="U355" s="269"/>
      <c r="V355" s="269"/>
      <c r="W355" s="269"/>
      <c r="X355" s="269"/>
      <c r="Y355" s="269"/>
      <c r="Z355" s="269"/>
      <c r="AA355" s="269"/>
      <c r="AB355" s="269"/>
      <c r="AC355" s="269"/>
    </row>
    <row r="356" spans="1:29" ht="12.75" x14ac:dyDescent="0.2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69"/>
      <c r="N356" s="269"/>
      <c r="O356" s="270"/>
      <c r="P356" s="270"/>
      <c r="Q356" s="270"/>
      <c r="R356" s="203"/>
      <c r="S356" s="203"/>
      <c r="T356" s="203"/>
      <c r="U356" s="269"/>
      <c r="V356" s="269"/>
      <c r="W356" s="269"/>
      <c r="X356" s="269"/>
      <c r="Y356" s="269"/>
      <c r="Z356" s="269"/>
      <c r="AA356" s="269"/>
      <c r="AB356" s="269"/>
      <c r="AC356" s="269"/>
    </row>
    <row r="357" spans="1:29" ht="12.75" x14ac:dyDescent="0.2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69"/>
      <c r="N357" s="269"/>
      <c r="O357" s="270"/>
      <c r="P357" s="270"/>
      <c r="Q357" s="270"/>
      <c r="R357" s="203"/>
      <c r="S357" s="203"/>
      <c r="T357" s="203"/>
      <c r="U357" s="269"/>
      <c r="V357" s="269"/>
      <c r="W357" s="269"/>
      <c r="X357" s="269"/>
      <c r="Y357" s="269"/>
      <c r="Z357" s="269"/>
      <c r="AA357" s="269"/>
      <c r="AB357" s="269"/>
      <c r="AC357" s="269"/>
    </row>
    <row r="358" spans="1:29" ht="12.75" x14ac:dyDescent="0.2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69"/>
      <c r="N358" s="269"/>
      <c r="O358" s="270"/>
      <c r="P358" s="270"/>
      <c r="Q358" s="270"/>
      <c r="R358" s="203"/>
      <c r="S358" s="203"/>
      <c r="T358" s="203"/>
      <c r="U358" s="269"/>
      <c r="V358" s="269"/>
      <c r="W358" s="269"/>
      <c r="X358" s="269"/>
      <c r="Y358" s="269"/>
      <c r="Z358" s="269"/>
      <c r="AA358" s="269"/>
      <c r="AB358" s="269"/>
      <c r="AC358" s="269"/>
    </row>
    <row r="359" spans="1:29" ht="12.75" x14ac:dyDescent="0.2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69"/>
      <c r="N359" s="269"/>
      <c r="O359" s="270"/>
      <c r="P359" s="270"/>
      <c r="Q359" s="270"/>
      <c r="R359" s="203"/>
      <c r="S359" s="203"/>
      <c r="T359" s="203"/>
      <c r="U359" s="269"/>
      <c r="V359" s="269"/>
      <c r="W359" s="269"/>
      <c r="X359" s="269"/>
      <c r="Y359" s="269"/>
      <c r="Z359" s="269"/>
      <c r="AA359" s="269"/>
      <c r="AB359" s="269"/>
      <c r="AC359" s="269"/>
    </row>
    <row r="360" spans="1:29" ht="12.75" x14ac:dyDescent="0.2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69"/>
      <c r="N360" s="269"/>
      <c r="O360" s="270"/>
      <c r="P360" s="270"/>
      <c r="Q360" s="270"/>
      <c r="R360" s="203"/>
      <c r="S360" s="203"/>
      <c r="T360" s="203"/>
      <c r="U360" s="269"/>
      <c r="V360" s="269"/>
      <c r="W360" s="269"/>
      <c r="X360" s="269"/>
      <c r="Y360" s="269"/>
      <c r="Z360" s="269"/>
      <c r="AA360" s="269"/>
      <c r="AB360" s="269"/>
      <c r="AC360" s="269"/>
    </row>
    <row r="361" spans="1:29" ht="12.75" x14ac:dyDescent="0.2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69"/>
      <c r="N361" s="269"/>
      <c r="O361" s="270"/>
      <c r="P361" s="270"/>
      <c r="Q361" s="270"/>
      <c r="R361" s="203"/>
      <c r="S361" s="203"/>
      <c r="T361" s="203"/>
      <c r="U361" s="269"/>
      <c r="V361" s="269"/>
      <c r="W361" s="269"/>
      <c r="X361" s="269"/>
      <c r="Y361" s="269"/>
      <c r="Z361" s="269"/>
      <c r="AA361" s="269"/>
      <c r="AB361" s="269"/>
      <c r="AC361" s="269"/>
    </row>
    <row r="362" spans="1:29" ht="12.75" x14ac:dyDescent="0.2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69"/>
      <c r="N362" s="269"/>
      <c r="O362" s="270"/>
      <c r="P362" s="270"/>
      <c r="Q362" s="270"/>
      <c r="R362" s="203"/>
      <c r="S362" s="203"/>
      <c r="T362" s="203"/>
      <c r="U362" s="269"/>
      <c r="V362" s="269"/>
      <c r="W362" s="269"/>
      <c r="X362" s="269"/>
      <c r="Y362" s="269"/>
      <c r="Z362" s="269"/>
      <c r="AA362" s="269"/>
      <c r="AB362" s="269"/>
      <c r="AC362" s="269"/>
    </row>
    <row r="363" spans="1:29" ht="12.75" x14ac:dyDescent="0.2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69"/>
      <c r="N363" s="269"/>
      <c r="O363" s="270"/>
      <c r="P363" s="270"/>
      <c r="Q363" s="270"/>
      <c r="R363" s="203"/>
      <c r="S363" s="203"/>
      <c r="T363" s="203"/>
      <c r="U363" s="269"/>
      <c r="V363" s="269"/>
      <c r="W363" s="269"/>
      <c r="X363" s="269"/>
      <c r="Y363" s="269"/>
      <c r="Z363" s="269"/>
      <c r="AA363" s="269"/>
      <c r="AB363" s="269"/>
      <c r="AC363" s="269"/>
    </row>
    <row r="364" spans="1:29" ht="12.75" x14ac:dyDescent="0.2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69"/>
      <c r="N364" s="269"/>
      <c r="O364" s="270"/>
      <c r="P364" s="270"/>
      <c r="Q364" s="270"/>
      <c r="R364" s="203"/>
      <c r="S364" s="203"/>
      <c r="T364" s="203"/>
      <c r="U364" s="269"/>
      <c r="V364" s="269"/>
      <c r="W364" s="269"/>
      <c r="X364" s="269"/>
      <c r="Y364" s="269"/>
      <c r="Z364" s="269"/>
      <c r="AA364" s="269"/>
      <c r="AB364" s="269"/>
      <c r="AC364" s="269"/>
    </row>
    <row r="365" spans="1:29" ht="12.75" x14ac:dyDescent="0.2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69"/>
      <c r="N365" s="269"/>
      <c r="O365" s="270"/>
      <c r="P365" s="270"/>
      <c r="Q365" s="270"/>
      <c r="R365" s="203"/>
      <c r="S365" s="203"/>
      <c r="T365" s="203"/>
      <c r="U365" s="269"/>
      <c r="V365" s="269"/>
      <c r="W365" s="269"/>
      <c r="X365" s="269"/>
      <c r="Y365" s="269"/>
      <c r="Z365" s="269"/>
      <c r="AA365" s="269"/>
      <c r="AB365" s="269"/>
      <c r="AC365" s="269"/>
    </row>
    <row r="366" spans="1:29" ht="12.75" x14ac:dyDescent="0.2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69"/>
      <c r="N366" s="269"/>
      <c r="O366" s="270"/>
      <c r="P366" s="270"/>
      <c r="Q366" s="270"/>
      <c r="R366" s="203"/>
      <c r="S366" s="203"/>
      <c r="T366" s="203"/>
      <c r="U366" s="269"/>
      <c r="V366" s="269"/>
      <c r="W366" s="269"/>
      <c r="X366" s="269"/>
      <c r="Y366" s="269"/>
      <c r="Z366" s="269"/>
      <c r="AA366" s="269"/>
      <c r="AB366" s="269"/>
      <c r="AC366" s="269"/>
    </row>
    <row r="367" spans="1:29" ht="12.75" x14ac:dyDescent="0.2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69"/>
      <c r="N367" s="269"/>
      <c r="O367" s="270"/>
      <c r="P367" s="270"/>
      <c r="Q367" s="270"/>
      <c r="R367" s="203"/>
      <c r="S367" s="203"/>
      <c r="T367" s="203"/>
      <c r="U367" s="269"/>
      <c r="V367" s="269"/>
      <c r="W367" s="269"/>
      <c r="X367" s="269"/>
      <c r="Y367" s="269"/>
      <c r="Z367" s="269"/>
      <c r="AA367" s="269"/>
      <c r="AB367" s="269"/>
      <c r="AC367" s="269"/>
    </row>
    <row r="368" spans="1:29" ht="12.75" x14ac:dyDescent="0.2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69"/>
      <c r="N368" s="269"/>
      <c r="O368" s="270"/>
      <c r="P368" s="270"/>
      <c r="Q368" s="270"/>
      <c r="R368" s="203"/>
      <c r="S368" s="203"/>
      <c r="T368" s="203"/>
      <c r="U368" s="269"/>
      <c r="V368" s="269"/>
      <c r="W368" s="269"/>
      <c r="X368" s="269"/>
      <c r="Y368" s="269"/>
      <c r="Z368" s="269"/>
      <c r="AA368" s="269"/>
      <c r="AB368" s="269"/>
      <c r="AC368" s="269"/>
    </row>
    <row r="369" spans="1:29" ht="12.75" x14ac:dyDescent="0.2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69"/>
      <c r="N369" s="269"/>
      <c r="O369" s="270"/>
      <c r="P369" s="270"/>
      <c r="Q369" s="270"/>
      <c r="R369" s="203"/>
      <c r="S369" s="203"/>
      <c r="T369" s="203"/>
      <c r="U369" s="269"/>
      <c r="V369" s="269"/>
      <c r="W369" s="269"/>
      <c r="X369" s="269"/>
      <c r="Y369" s="269"/>
      <c r="Z369" s="269"/>
      <c r="AA369" s="269"/>
      <c r="AB369" s="269"/>
      <c r="AC369" s="269"/>
    </row>
    <row r="370" spans="1:29" ht="12.75" x14ac:dyDescent="0.2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69"/>
      <c r="N370" s="269"/>
      <c r="O370" s="270"/>
      <c r="P370" s="270"/>
      <c r="Q370" s="270"/>
      <c r="R370" s="203"/>
      <c r="S370" s="203"/>
      <c r="T370" s="203"/>
      <c r="U370" s="269"/>
      <c r="V370" s="269"/>
      <c r="W370" s="269"/>
      <c r="X370" s="269"/>
      <c r="Y370" s="269"/>
      <c r="Z370" s="269"/>
      <c r="AA370" s="269"/>
      <c r="AB370" s="269"/>
      <c r="AC370" s="269"/>
    </row>
    <row r="371" spans="1:29" ht="12.75" x14ac:dyDescent="0.2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69"/>
      <c r="N371" s="269"/>
      <c r="O371" s="270"/>
      <c r="P371" s="270"/>
      <c r="Q371" s="270"/>
      <c r="R371" s="203"/>
      <c r="S371" s="203"/>
      <c r="T371" s="203"/>
      <c r="U371" s="269"/>
      <c r="V371" s="269"/>
      <c r="W371" s="269"/>
      <c r="X371" s="269"/>
      <c r="Y371" s="269"/>
      <c r="Z371" s="269"/>
      <c r="AA371" s="269"/>
      <c r="AB371" s="269"/>
      <c r="AC371" s="269"/>
    </row>
    <row r="372" spans="1:29" ht="12.75" x14ac:dyDescent="0.2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69"/>
      <c r="N372" s="269"/>
      <c r="O372" s="270"/>
      <c r="P372" s="270"/>
      <c r="Q372" s="270"/>
      <c r="R372" s="203"/>
      <c r="S372" s="203"/>
      <c r="T372" s="203"/>
      <c r="U372" s="269"/>
      <c r="V372" s="269"/>
      <c r="W372" s="269"/>
      <c r="X372" s="269"/>
      <c r="Y372" s="269"/>
      <c r="Z372" s="269"/>
      <c r="AA372" s="269"/>
      <c r="AB372" s="269"/>
      <c r="AC372" s="269"/>
    </row>
    <row r="373" spans="1:29" ht="12.75" x14ac:dyDescent="0.2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69"/>
      <c r="N373" s="269"/>
      <c r="O373" s="270"/>
      <c r="P373" s="270"/>
      <c r="Q373" s="270"/>
      <c r="R373" s="203"/>
      <c r="S373" s="203"/>
      <c r="T373" s="203"/>
      <c r="U373" s="269"/>
      <c r="V373" s="269"/>
      <c r="W373" s="269"/>
      <c r="X373" s="269"/>
      <c r="Y373" s="269"/>
      <c r="Z373" s="269"/>
      <c r="AA373" s="269"/>
      <c r="AB373" s="269"/>
      <c r="AC373" s="269"/>
    </row>
    <row r="374" spans="1:29" ht="12.75" x14ac:dyDescent="0.2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69"/>
      <c r="N374" s="269"/>
      <c r="O374" s="270"/>
      <c r="P374" s="270"/>
      <c r="Q374" s="270"/>
      <c r="R374" s="203"/>
      <c r="S374" s="203"/>
      <c r="T374" s="203"/>
      <c r="U374" s="269"/>
      <c r="V374" s="269"/>
      <c r="W374" s="269"/>
      <c r="X374" s="269"/>
      <c r="Y374" s="269"/>
      <c r="Z374" s="269"/>
      <c r="AA374" s="269"/>
      <c r="AB374" s="269"/>
      <c r="AC374" s="269"/>
    </row>
    <row r="375" spans="1:29" ht="12.75" x14ac:dyDescent="0.2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69"/>
      <c r="N375" s="269"/>
      <c r="O375" s="270"/>
      <c r="P375" s="270"/>
      <c r="Q375" s="270"/>
      <c r="R375" s="203"/>
      <c r="S375" s="203"/>
      <c r="T375" s="203"/>
      <c r="U375" s="269"/>
      <c r="V375" s="269"/>
      <c r="W375" s="269"/>
      <c r="X375" s="269"/>
      <c r="Y375" s="269"/>
      <c r="Z375" s="269"/>
      <c r="AA375" s="269"/>
      <c r="AB375" s="269"/>
      <c r="AC375" s="269"/>
    </row>
    <row r="376" spans="1:29" ht="12.75" x14ac:dyDescent="0.2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69"/>
      <c r="N376" s="269"/>
      <c r="O376" s="270"/>
      <c r="P376" s="270"/>
      <c r="Q376" s="270"/>
      <c r="R376" s="203"/>
      <c r="S376" s="203"/>
      <c r="T376" s="203"/>
      <c r="U376" s="269"/>
      <c r="V376" s="269"/>
      <c r="W376" s="269"/>
      <c r="X376" s="269"/>
      <c r="Y376" s="269"/>
      <c r="Z376" s="269"/>
      <c r="AA376" s="269"/>
      <c r="AB376" s="269"/>
      <c r="AC376" s="269"/>
    </row>
    <row r="377" spans="1:29" ht="12.75" x14ac:dyDescent="0.2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69"/>
      <c r="N377" s="269"/>
      <c r="O377" s="270"/>
      <c r="P377" s="270"/>
      <c r="Q377" s="270"/>
      <c r="R377" s="203"/>
      <c r="S377" s="203"/>
      <c r="T377" s="203"/>
      <c r="U377" s="269"/>
      <c r="V377" s="269"/>
      <c r="W377" s="269"/>
      <c r="X377" s="269"/>
      <c r="Y377" s="269"/>
      <c r="Z377" s="269"/>
      <c r="AA377" s="269"/>
      <c r="AB377" s="269"/>
      <c r="AC377" s="269"/>
    </row>
    <row r="378" spans="1:29" ht="12.75" x14ac:dyDescent="0.2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69"/>
      <c r="N378" s="269"/>
      <c r="O378" s="270"/>
      <c r="P378" s="270"/>
      <c r="Q378" s="270"/>
      <c r="R378" s="203"/>
      <c r="S378" s="203"/>
      <c r="T378" s="203"/>
      <c r="U378" s="269"/>
      <c r="V378" s="269"/>
      <c r="W378" s="269"/>
      <c r="X378" s="269"/>
      <c r="Y378" s="269"/>
      <c r="Z378" s="269"/>
      <c r="AA378" s="269"/>
      <c r="AB378" s="269"/>
      <c r="AC378" s="269"/>
    </row>
    <row r="379" spans="1:29" ht="12.75" x14ac:dyDescent="0.2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69"/>
      <c r="N379" s="269"/>
      <c r="O379" s="270"/>
      <c r="P379" s="270"/>
      <c r="Q379" s="270"/>
      <c r="R379" s="203"/>
      <c r="S379" s="203"/>
      <c r="T379" s="203"/>
      <c r="U379" s="269"/>
      <c r="V379" s="269"/>
      <c r="W379" s="269"/>
      <c r="X379" s="269"/>
      <c r="Y379" s="269"/>
      <c r="Z379" s="269"/>
      <c r="AA379" s="269"/>
      <c r="AB379" s="269"/>
      <c r="AC379" s="269"/>
    </row>
    <row r="380" spans="1:29" ht="12.75" x14ac:dyDescent="0.2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69"/>
      <c r="N380" s="269"/>
      <c r="O380" s="270"/>
      <c r="P380" s="270"/>
      <c r="Q380" s="270"/>
      <c r="R380" s="203"/>
      <c r="S380" s="203"/>
      <c r="T380" s="203"/>
      <c r="U380" s="269"/>
      <c r="V380" s="269"/>
      <c r="W380" s="269"/>
      <c r="X380" s="269"/>
      <c r="Y380" s="269"/>
      <c r="Z380" s="269"/>
      <c r="AA380" s="269"/>
      <c r="AB380" s="269"/>
      <c r="AC380" s="269"/>
    </row>
    <row r="381" spans="1:29" ht="12.75" x14ac:dyDescent="0.2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69"/>
      <c r="N381" s="269"/>
      <c r="O381" s="270"/>
      <c r="P381" s="270"/>
      <c r="Q381" s="270"/>
      <c r="R381" s="203"/>
      <c r="S381" s="203"/>
      <c r="T381" s="203"/>
      <c r="U381" s="269"/>
      <c r="V381" s="269"/>
      <c r="W381" s="269"/>
      <c r="X381" s="269"/>
      <c r="Y381" s="269"/>
      <c r="Z381" s="269"/>
      <c r="AA381" s="269"/>
      <c r="AB381" s="269"/>
      <c r="AC381" s="269"/>
    </row>
    <row r="382" spans="1:29" ht="12.75" x14ac:dyDescent="0.2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69"/>
      <c r="N382" s="269"/>
      <c r="O382" s="270"/>
      <c r="P382" s="270"/>
      <c r="Q382" s="270"/>
      <c r="R382" s="203"/>
      <c r="S382" s="203"/>
      <c r="T382" s="203"/>
      <c r="U382" s="269"/>
      <c r="V382" s="269"/>
      <c r="W382" s="269"/>
      <c r="X382" s="269"/>
      <c r="Y382" s="269"/>
      <c r="Z382" s="269"/>
      <c r="AA382" s="269"/>
      <c r="AB382" s="269"/>
      <c r="AC382" s="269"/>
    </row>
    <row r="383" spans="1:29" ht="12.75" x14ac:dyDescent="0.2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69"/>
      <c r="N383" s="269"/>
      <c r="O383" s="270"/>
      <c r="P383" s="270"/>
      <c r="Q383" s="270"/>
      <c r="R383" s="203"/>
      <c r="S383" s="203"/>
      <c r="T383" s="203"/>
      <c r="U383" s="269"/>
      <c r="V383" s="269"/>
      <c r="W383" s="269"/>
      <c r="X383" s="269"/>
      <c r="Y383" s="269"/>
      <c r="Z383" s="269"/>
      <c r="AA383" s="269"/>
      <c r="AB383" s="269"/>
      <c r="AC383" s="269"/>
    </row>
    <row r="384" spans="1:29" ht="12.75" x14ac:dyDescent="0.2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69"/>
      <c r="N384" s="269"/>
      <c r="O384" s="270"/>
      <c r="P384" s="270"/>
      <c r="Q384" s="270"/>
      <c r="R384" s="203"/>
      <c r="S384" s="203"/>
      <c r="T384" s="203"/>
      <c r="U384" s="269"/>
      <c r="V384" s="269"/>
      <c r="W384" s="269"/>
      <c r="X384" s="269"/>
      <c r="Y384" s="269"/>
      <c r="Z384" s="269"/>
      <c r="AA384" s="269"/>
      <c r="AB384" s="269"/>
      <c r="AC384" s="269"/>
    </row>
    <row r="385" spans="1:29" ht="12.75" x14ac:dyDescent="0.2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69"/>
      <c r="N385" s="269"/>
      <c r="O385" s="270"/>
      <c r="P385" s="270"/>
      <c r="Q385" s="270"/>
      <c r="R385" s="203"/>
      <c r="S385" s="203"/>
      <c r="T385" s="203"/>
      <c r="U385" s="269"/>
      <c r="V385" s="269"/>
      <c r="W385" s="269"/>
      <c r="X385" s="269"/>
      <c r="Y385" s="269"/>
      <c r="Z385" s="269"/>
      <c r="AA385" s="269"/>
      <c r="AB385" s="269"/>
      <c r="AC385" s="269"/>
    </row>
    <row r="386" spans="1:29" ht="12.75" x14ac:dyDescent="0.2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69"/>
      <c r="N386" s="269"/>
      <c r="O386" s="270"/>
      <c r="P386" s="270"/>
      <c r="Q386" s="270"/>
      <c r="R386" s="203"/>
      <c r="S386" s="203"/>
      <c r="T386" s="203"/>
      <c r="U386" s="269"/>
      <c r="V386" s="269"/>
      <c r="W386" s="269"/>
      <c r="X386" s="269"/>
      <c r="Y386" s="269"/>
      <c r="Z386" s="269"/>
      <c r="AA386" s="269"/>
      <c r="AB386" s="269"/>
      <c r="AC386" s="269"/>
    </row>
    <row r="387" spans="1:29" ht="12.75" x14ac:dyDescent="0.2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69"/>
      <c r="N387" s="269"/>
      <c r="O387" s="270"/>
      <c r="P387" s="270"/>
      <c r="Q387" s="270"/>
      <c r="R387" s="203"/>
      <c r="S387" s="203"/>
      <c r="T387" s="203"/>
      <c r="U387" s="269"/>
      <c r="V387" s="269"/>
      <c r="W387" s="269"/>
      <c r="X387" s="269"/>
      <c r="Y387" s="269"/>
      <c r="Z387" s="269"/>
      <c r="AA387" s="269"/>
      <c r="AB387" s="269"/>
      <c r="AC387" s="269"/>
    </row>
    <row r="388" spans="1:29" ht="12.75" x14ac:dyDescent="0.2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69"/>
      <c r="N388" s="269"/>
      <c r="O388" s="270"/>
      <c r="P388" s="270"/>
      <c r="Q388" s="270"/>
      <c r="R388" s="203"/>
      <c r="S388" s="203"/>
      <c r="T388" s="203"/>
      <c r="U388" s="269"/>
      <c r="V388" s="269"/>
      <c r="W388" s="269"/>
      <c r="X388" s="269"/>
      <c r="Y388" s="269"/>
      <c r="Z388" s="269"/>
      <c r="AA388" s="269"/>
      <c r="AB388" s="269"/>
      <c r="AC388" s="269"/>
    </row>
    <row r="389" spans="1:29" ht="12.75" x14ac:dyDescent="0.2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69"/>
      <c r="N389" s="269"/>
      <c r="O389" s="270"/>
      <c r="P389" s="270"/>
      <c r="Q389" s="270"/>
      <c r="R389" s="203"/>
      <c r="S389" s="203"/>
      <c r="T389" s="203"/>
      <c r="U389" s="269"/>
      <c r="V389" s="269"/>
      <c r="W389" s="269"/>
      <c r="X389" s="269"/>
      <c r="Y389" s="269"/>
      <c r="Z389" s="269"/>
      <c r="AA389" s="269"/>
      <c r="AB389" s="269"/>
      <c r="AC389" s="269"/>
    </row>
    <row r="390" spans="1:29" ht="12.75" x14ac:dyDescent="0.2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69"/>
      <c r="N390" s="269"/>
      <c r="O390" s="270"/>
      <c r="P390" s="270"/>
      <c r="Q390" s="270"/>
      <c r="R390" s="203"/>
      <c r="S390" s="203"/>
      <c r="T390" s="203"/>
      <c r="U390" s="269"/>
      <c r="V390" s="269"/>
      <c r="W390" s="269"/>
      <c r="X390" s="269"/>
      <c r="Y390" s="269"/>
      <c r="Z390" s="269"/>
      <c r="AA390" s="269"/>
      <c r="AB390" s="269"/>
      <c r="AC390" s="269"/>
    </row>
    <row r="391" spans="1:29" ht="12.75" x14ac:dyDescent="0.2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69"/>
      <c r="N391" s="269"/>
      <c r="O391" s="270"/>
      <c r="P391" s="270"/>
      <c r="Q391" s="270"/>
      <c r="R391" s="203"/>
      <c r="S391" s="203"/>
      <c r="T391" s="203"/>
      <c r="U391" s="269"/>
      <c r="V391" s="269"/>
      <c r="W391" s="269"/>
      <c r="X391" s="269"/>
      <c r="Y391" s="269"/>
      <c r="Z391" s="269"/>
      <c r="AA391" s="269"/>
      <c r="AB391" s="269"/>
      <c r="AC391" s="269"/>
    </row>
    <row r="392" spans="1:29" ht="12.75" x14ac:dyDescent="0.2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69"/>
      <c r="N392" s="269"/>
      <c r="O392" s="270"/>
      <c r="P392" s="270"/>
      <c r="Q392" s="270"/>
      <c r="R392" s="203"/>
      <c r="S392" s="203"/>
      <c r="T392" s="203"/>
      <c r="U392" s="269"/>
      <c r="V392" s="269"/>
      <c r="W392" s="269"/>
      <c r="X392" s="269"/>
      <c r="Y392" s="269"/>
      <c r="Z392" s="269"/>
      <c r="AA392" s="269"/>
      <c r="AB392" s="269"/>
      <c r="AC392" s="269"/>
    </row>
    <row r="393" spans="1:29" ht="12.75" x14ac:dyDescent="0.2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69"/>
      <c r="N393" s="269"/>
      <c r="O393" s="270"/>
      <c r="P393" s="270"/>
      <c r="Q393" s="270"/>
      <c r="R393" s="203"/>
      <c r="S393" s="203"/>
      <c r="T393" s="203"/>
      <c r="U393" s="269"/>
      <c r="V393" s="269"/>
      <c r="W393" s="269"/>
      <c r="X393" s="269"/>
      <c r="Y393" s="269"/>
      <c r="Z393" s="269"/>
      <c r="AA393" s="269"/>
      <c r="AB393" s="269"/>
      <c r="AC393" s="269"/>
    </row>
    <row r="394" spans="1:29" ht="12.75" x14ac:dyDescent="0.2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69"/>
      <c r="N394" s="269"/>
      <c r="O394" s="270"/>
      <c r="P394" s="270"/>
      <c r="Q394" s="270"/>
      <c r="R394" s="203"/>
      <c r="S394" s="203"/>
      <c r="T394" s="203"/>
      <c r="U394" s="269"/>
      <c r="V394" s="269"/>
      <c r="W394" s="269"/>
      <c r="X394" s="269"/>
      <c r="Y394" s="269"/>
      <c r="Z394" s="269"/>
      <c r="AA394" s="269"/>
      <c r="AB394" s="269"/>
      <c r="AC394" s="269"/>
    </row>
    <row r="395" spans="1:29" ht="12.75" x14ac:dyDescent="0.2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69"/>
      <c r="N395" s="269"/>
      <c r="O395" s="270"/>
      <c r="P395" s="270"/>
      <c r="Q395" s="270"/>
      <c r="R395" s="203"/>
      <c r="S395" s="203"/>
      <c r="T395" s="203"/>
      <c r="U395" s="269"/>
      <c r="V395" s="269"/>
      <c r="W395" s="269"/>
      <c r="X395" s="269"/>
      <c r="Y395" s="269"/>
      <c r="Z395" s="269"/>
      <c r="AA395" s="269"/>
      <c r="AB395" s="269"/>
      <c r="AC395" s="269"/>
    </row>
    <row r="396" spans="1:29" ht="12.75" x14ac:dyDescent="0.2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69"/>
      <c r="N396" s="269"/>
      <c r="O396" s="270"/>
      <c r="P396" s="270"/>
      <c r="Q396" s="270"/>
      <c r="R396" s="203"/>
      <c r="S396" s="203"/>
      <c r="T396" s="203"/>
      <c r="U396" s="269"/>
      <c r="V396" s="269"/>
      <c r="W396" s="269"/>
      <c r="X396" s="269"/>
      <c r="Y396" s="269"/>
      <c r="Z396" s="269"/>
      <c r="AA396" s="269"/>
      <c r="AB396" s="269"/>
      <c r="AC396" s="269"/>
    </row>
    <row r="397" spans="1:29" ht="12.75" x14ac:dyDescent="0.2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69"/>
      <c r="N397" s="269"/>
      <c r="O397" s="270"/>
      <c r="P397" s="270"/>
      <c r="Q397" s="270"/>
      <c r="R397" s="203"/>
      <c r="S397" s="203"/>
      <c r="T397" s="203"/>
      <c r="U397" s="269"/>
      <c r="V397" s="269"/>
      <c r="W397" s="269"/>
      <c r="X397" s="269"/>
      <c r="Y397" s="269"/>
      <c r="Z397" s="269"/>
      <c r="AA397" s="269"/>
      <c r="AB397" s="269"/>
      <c r="AC397" s="269"/>
    </row>
    <row r="398" spans="1:29" ht="12.75" x14ac:dyDescent="0.2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69"/>
      <c r="N398" s="269"/>
      <c r="O398" s="270"/>
      <c r="P398" s="270"/>
      <c r="Q398" s="270"/>
      <c r="R398" s="203"/>
      <c r="S398" s="203"/>
      <c r="T398" s="203"/>
      <c r="U398" s="269"/>
      <c r="V398" s="269"/>
      <c r="W398" s="269"/>
      <c r="X398" s="269"/>
      <c r="Y398" s="269"/>
      <c r="Z398" s="269"/>
      <c r="AA398" s="269"/>
      <c r="AB398" s="269"/>
      <c r="AC398" s="269"/>
    </row>
    <row r="399" spans="1:29" ht="12.75" x14ac:dyDescent="0.2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69"/>
      <c r="N399" s="269"/>
      <c r="O399" s="270"/>
      <c r="P399" s="270"/>
      <c r="Q399" s="270"/>
      <c r="R399" s="203"/>
      <c r="S399" s="203"/>
      <c r="T399" s="203"/>
      <c r="U399" s="269"/>
      <c r="V399" s="269"/>
      <c r="W399" s="269"/>
      <c r="X399" s="269"/>
      <c r="Y399" s="269"/>
      <c r="Z399" s="269"/>
      <c r="AA399" s="269"/>
      <c r="AB399" s="269"/>
      <c r="AC399" s="269"/>
    </row>
    <row r="400" spans="1:29" ht="12.75" x14ac:dyDescent="0.2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69"/>
      <c r="N400" s="269"/>
      <c r="O400" s="270"/>
      <c r="P400" s="270"/>
      <c r="Q400" s="270"/>
      <c r="R400" s="203"/>
      <c r="S400" s="203"/>
      <c r="T400" s="203"/>
      <c r="U400" s="269"/>
      <c r="V400" s="269"/>
      <c r="W400" s="269"/>
      <c r="X400" s="269"/>
      <c r="Y400" s="269"/>
      <c r="Z400" s="269"/>
      <c r="AA400" s="269"/>
      <c r="AB400" s="269"/>
      <c r="AC400" s="269"/>
    </row>
    <row r="401" spans="1:29" ht="12.75" x14ac:dyDescent="0.2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69"/>
      <c r="N401" s="269"/>
      <c r="O401" s="270"/>
      <c r="P401" s="270"/>
      <c r="Q401" s="270"/>
      <c r="R401" s="203"/>
      <c r="S401" s="203"/>
      <c r="T401" s="203"/>
      <c r="U401" s="269"/>
      <c r="V401" s="269"/>
      <c r="W401" s="269"/>
      <c r="X401" s="269"/>
      <c r="Y401" s="269"/>
      <c r="Z401" s="269"/>
      <c r="AA401" s="269"/>
      <c r="AB401" s="269"/>
      <c r="AC401" s="269"/>
    </row>
    <row r="402" spans="1:29" ht="12.75" x14ac:dyDescent="0.2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69"/>
      <c r="N402" s="269"/>
      <c r="O402" s="270"/>
      <c r="P402" s="270"/>
      <c r="Q402" s="270"/>
      <c r="R402" s="203"/>
      <c r="S402" s="203"/>
      <c r="T402" s="203"/>
      <c r="U402" s="269"/>
      <c r="V402" s="269"/>
      <c r="W402" s="269"/>
      <c r="X402" s="269"/>
      <c r="Y402" s="269"/>
      <c r="Z402" s="269"/>
      <c r="AA402" s="269"/>
      <c r="AB402" s="269"/>
      <c r="AC402" s="269"/>
    </row>
    <row r="403" spans="1:29" ht="12.75" x14ac:dyDescent="0.2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69"/>
      <c r="N403" s="269"/>
      <c r="O403" s="270"/>
      <c r="P403" s="270"/>
      <c r="Q403" s="270"/>
      <c r="R403" s="203"/>
      <c r="S403" s="203"/>
      <c r="T403" s="203"/>
      <c r="U403" s="269"/>
      <c r="V403" s="269"/>
      <c r="W403" s="269"/>
      <c r="X403" s="269"/>
      <c r="Y403" s="269"/>
      <c r="Z403" s="269"/>
      <c r="AA403" s="269"/>
      <c r="AB403" s="269"/>
      <c r="AC403" s="269"/>
    </row>
    <row r="404" spans="1:29" ht="12.75" x14ac:dyDescent="0.2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69"/>
      <c r="N404" s="269"/>
      <c r="O404" s="270"/>
      <c r="P404" s="270"/>
      <c r="Q404" s="270"/>
      <c r="R404" s="203"/>
      <c r="S404" s="203"/>
      <c r="T404" s="203"/>
      <c r="U404" s="269"/>
      <c r="V404" s="269"/>
      <c r="W404" s="269"/>
      <c r="X404" s="269"/>
      <c r="Y404" s="269"/>
      <c r="Z404" s="269"/>
      <c r="AA404" s="269"/>
      <c r="AB404" s="269"/>
      <c r="AC404" s="269"/>
    </row>
    <row r="405" spans="1:29" ht="12.75" x14ac:dyDescent="0.2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69"/>
      <c r="N405" s="269"/>
      <c r="O405" s="270"/>
      <c r="P405" s="270"/>
      <c r="Q405" s="270"/>
      <c r="R405" s="203"/>
      <c r="S405" s="203"/>
      <c r="T405" s="203"/>
      <c r="U405" s="269"/>
      <c r="V405" s="269"/>
      <c r="W405" s="269"/>
      <c r="X405" s="269"/>
      <c r="Y405" s="269"/>
      <c r="Z405" s="269"/>
      <c r="AA405" s="269"/>
      <c r="AB405" s="269"/>
      <c r="AC405" s="269"/>
    </row>
    <row r="406" spans="1:29" ht="12.75" x14ac:dyDescent="0.2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69"/>
      <c r="N406" s="269"/>
      <c r="O406" s="270"/>
      <c r="P406" s="270"/>
      <c r="Q406" s="270"/>
      <c r="R406" s="203"/>
      <c r="S406" s="203"/>
      <c r="T406" s="203"/>
      <c r="U406" s="269"/>
      <c r="V406" s="269"/>
      <c r="W406" s="269"/>
      <c r="X406" s="269"/>
      <c r="Y406" s="269"/>
      <c r="Z406" s="269"/>
      <c r="AA406" s="269"/>
      <c r="AB406" s="269"/>
      <c r="AC406" s="269"/>
    </row>
    <row r="407" spans="1:29" ht="12.75" x14ac:dyDescent="0.2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69"/>
      <c r="N407" s="269"/>
      <c r="O407" s="270"/>
      <c r="P407" s="270"/>
      <c r="Q407" s="270"/>
      <c r="R407" s="203"/>
      <c r="S407" s="203"/>
      <c r="T407" s="203"/>
      <c r="U407" s="269"/>
      <c r="V407" s="269"/>
      <c r="W407" s="269"/>
      <c r="X407" s="269"/>
      <c r="Y407" s="269"/>
      <c r="Z407" s="269"/>
      <c r="AA407" s="269"/>
      <c r="AB407" s="269"/>
      <c r="AC407" s="269"/>
    </row>
    <row r="408" spans="1:29" ht="12.75" x14ac:dyDescent="0.2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69"/>
      <c r="N408" s="269"/>
      <c r="O408" s="270"/>
      <c r="P408" s="270"/>
      <c r="Q408" s="270"/>
      <c r="R408" s="203"/>
      <c r="S408" s="203"/>
      <c r="T408" s="203"/>
      <c r="U408" s="269"/>
      <c r="V408" s="269"/>
      <c r="W408" s="269"/>
      <c r="X408" s="269"/>
      <c r="Y408" s="269"/>
      <c r="Z408" s="269"/>
      <c r="AA408" s="269"/>
      <c r="AB408" s="269"/>
      <c r="AC408" s="269"/>
    </row>
    <row r="409" spans="1:29" ht="12.75" x14ac:dyDescent="0.2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69"/>
      <c r="N409" s="269"/>
      <c r="O409" s="270"/>
      <c r="P409" s="270"/>
      <c r="Q409" s="270"/>
      <c r="R409" s="203"/>
      <c r="S409" s="203"/>
      <c r="T409" s="203"/>
      <c r="U409" s="269"/>
      <c r="V409" s="269"/>
      <c r="W409" s="269"/>
      <c r="X409" s="269"/>
      <c r="Y409" s="269"/>
      <c r="Z409" s="269"/>
      <c r="AA409" s="269"/>
      <c r="AB409" s="269"/>
      <c r="AC409" s="269"/>
    </row>
    <row r="410" spans="1:29" ht="12.75" x14ac:dyDescent="0.2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69"/>
      <c r="N410" s="269"/>
      <c r="O410" s="270"/>
      <c r="P410" s="270"/>
      <c r="Q410" s="270"/>
      <c r="R410" s="203"/>
      <c r="S410" s="203"/>
      <c r="T410" s="203"/>
      <c r="U410" s="269"/>
      <c r="V410" s="269"/>
      <c r="W410" s="269"/>
      <c r="X410" s="269"/>
      <c r="Y410" s="269"/>
      <c r="Z410" s="269"/>
      <c r="AA410" s="269"/>
      <c r="AB410" s="269"/>
      <c r="AC410" s="269"/>
    </row>
    <row r="411" spans="1:29" ht="12.75" x14ac:dyDescent="0.2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69"/>
      <c r="N411" s="269"/>
      <c r="O411" s="270"/>
      <c r="P411" s="270"/>
      <c r="Q411" s="270"/>
      <c r="R411" s="203"/>
      <c r="S411" s="203"/>
      <c r="T411" s="203"/>
      <c r="U411" s="269"/>
      <c r="V411" s="269"/>
      <c r="W411" s="269"/>
      <c r="X411" s="269"/>
      <c r="Y411" s="269"/>
      <c r="Z411" s="269"/>
      <c r="AA411" s="269"/>
      <c r="AB411" s="269"/>
      <c r="AC411" s="269"/>
    </row>
    <row r="412" spans="1:29" ht="12.75" x14ac:dyDescent="0.2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69"/>
      <c r="N412" s="269"/>
      <c r="O412" s="270"/>
      <c r="P412" s="270"/>
      <c r="Q412" s="270"/>
      <c r="R412" s="203"/>
      <c r="S412" s="203"/>
      <c r="T412" s="203"/>
      <c r="U412" s="269"/>
      <c r="V412" s="269"/>
      <c r="W412" s="269"/>
      <c r="X412" s="269"/>
      <c r="Y412" s="269"/>
      <c r="Z412" s="269"/>
      <c r="AA412" s="269"/>
      <c r="AB412" s="269"/>
      <c r="AC412" s="269"/>
    </row>
    <row r="413" spans="1:29" ht="12.75" x14ac:dyDescent="0.2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69"/>
      <c r="N413" s="269"/>
      <c r="O413" s="270"/>
      <c r="P413" s="270"/>
      <c r="Q413" s="270"/>
      <c r="R413" s="203"/>
      <c r="S413" s="203"/>
      <c r="T413" s="203"/>
      <c r="U413" s="269"/>
      <c r="V413" s="269"/>
      <c r="W413" s="269"/>
      <c r="X413" s="269"/>
      <c r="Y413" s="269"/>
      <c r="Z413" s="269"/>
      <c r="AA413" s="269"/>
      <c r="AB413" s="269"/>
      <c r="AC413" s="269"/>
    </row>
    <row r="414" spans="1:29" ht="12.75" x14ac:dyDescent="0.2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69"/>
      <c r="N414" s="269"/>
      <c r="O414" s="270"/>
      <c r="P414" s="270"/>
      <c r="Q414" s="270"/>
      <c r="R414" s="203"/>
      <c r="S414" s="203"/>
      <c r="T414" s="203"/>
      <c r="U414" s="269"/>
      <c r="V414" s="269"/>
      <c r="W414" s="269"/>
      <c r="X414" s="269"/>
      <c r="Y414" s="269"/>
      <c r="Z414" s="269"/>
      <c r="AA414" s="269"/>
      <c r="AB414" s="269"/>
      <c r="AC414" s="269"/>
    </row>
    <row r="415" spans="1:29" ht="12.75" x14ac:dyDescent="0.2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69"/>
      <c r="N415" s="269"/>
      <c r="O415" s="270"/>
      <c r="P415" s="270"/>
      <c r="Q415" s="270"/>
      <c r="R415" s="203"/>
      <c r="S415" s="203"/>
      <c r="T415" s="203"/>
      <c r="U415" s="269"/>
      <c r="V415" s="269"/>
      <c r="W415" s="269"/>
      <c r="X415" s="269"/>
      <c r="Y415" s="269"/>
      <c r="Z415" s="269"/>
      <c r="AA415" s="269"/>
      <c r="AB415" s="269"/>
      <c r="AC415" s="269"/>
    </row>
    <row r="416" spans="1:29" ht="12.75" x14ac:dyDescent="0.2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69"/>
      <c r="N416" s="269"/>
      <c r="O416" s="270"/>
      <c r="P416" s="270"/>
      <c r="Q416" s="270"/>
      <c r="R416" s="203"/>
      <c r="S416" s="203"/>
      <c r="T416" s="203"/>
      <c r="U416" s="269"/>
      <c r="V416" s="269"/>
      <c r="W416" s="269"/>
      <c r="X416" s="269"/>
      <c r="Y416" s="269"/>
      <c r="Z416" s="269"/>
      <c r="AA416" s="269"/>
      <c r="AB416" s="269"/>
      <c r="AC416" s="269"/>
    </row>
    <row r="417" spans="1:29" ht="12.75" x14ac:dyDescent="0.2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69"/>
      <c r="N417" s="269"/>
      <c r="O417" s="270"/>
      <c r="P417" s="270"/>
      <c r="Q417" s="270"/>
      <c r="R417" s="203"/>
      <c r="S417" s="203"/>
      <c r="T417" s="203"/>
      <c r="U417" s="269"/>
      <c r="V417" s="269"/>
      <c r="W417" s="269"/>
      <c r="X417" s="269"/>
      <c r="Y417" s="269"/>
      <c r="Z417" s="269"/>
      <c r="AA417" s="269"/>
      <c r="AB417" s="269"/>
      <c r="AC417" s="269"/>
    </row>
    <row r="418" spans="1:29" ht="12.75" x14ac:dyDescent="0.2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69"/>
      <c r="N418" s="269"/>
      <c r="O418" s="270"/>
      <c r="P418" s="270"/>
      <c r="Q418" s="270"/>
      <c r="R418" s="203"/>
      <c r="S418" s="203"/>
      <c r="T418" s="203"/>
      <c r="U418" s="269"/>
      <c r="V418" s="269"/>
      <c r="W418" s="269"/>
      <c r="X418" s="269"/>
      <c r="Y418" s="269"/>
      <c r="Z418" s="269"/>
      <c r="AA418" s="269"/>
      <c r="AB418" s="269"/>
      <c r="AC418" s="269"/>
    </row>
    <row r="419" spans="1:29" ht="12.75" x14ac:dyDescent="0.2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69"/>
      <c r="N419" s="269"/>
      <c r="O419" s="270"/>
      <c r="P419" s="270"/>
      <c r="Q419" s="270"/>
      <c r="R419" s="203"/>
      <c r="S419" s="203"/>
      <c r="T419" s="203"/>
      <c r="U419" s="269"/>
      <c r="V419" s="269"/>
      <c r="W419" s="269"/>
      <c r="X419" s="269"/>
      <c r="Y419" s="269"/>
      <c r="Z419" s="269"/>
      <c r="AA419" s="269"/>
      <c r="AB419" s="269"/>
      <c r="AC419" s="269"/>
    </row>
    <row r="420" spans="1:29" ht="12.75" x14ac:dyDescent="0.2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69"/>
      <c r="N420" s="269"/>
      <c r="O420" s="270"/>
      <c r="P420" s="270"/>
      <c r="Q420" s="270"/>
      <c r="R420" s="203"/>
      <c r="S420" s="203"/>
      <c r="T420" s="203"/>
      <c r="U420" s="269"/>
      <c r="V420" s="269"/>
      <c r="W420" s="269"/>
      <c r="X420" s="269"/>
      <c r="Y420" s="269"/>
      <c r="Z420" s="269"/>
      <c r="AA420" s="269"/>
      <c r="AB420" s="269"/>
      <c r="AC420" s="269"/>
    </row>
    <row r="421" spans="1:29" ht="12.75" x14ac:dyDescent="0.2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69"/>
      <c r="N421" s="269"/>
      <c r="O421" s="270"/>
      <c r="P421" s="270"/>
      <c r="Q421" s="270"/>
      <c r="R421" s="203"/>
      <c r="S421" s="203"/>
      <c r="T421" s="203"/>
      <c r="U421" s="269"/>
      <c r="V421" s="269"/>
      <c r="W421" s="269"/>
      <c r="X421" s="269"/>
      <c r="Y421" s="269"/>
      <c r="Z421" s="269"/>
      <c r="AA421" s="269"/>
      <c r="AB421" s="269"/>
      <c r="AC421" s="269"/>
    </row>
    <row r="422" spans="1:29" ht="12.75" x14ac:dyDescent="0.2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69"/>
      <c r="N422" s="269"/>
      <c r="O422" s="270"/>
      <c r="P422" s="270"/>
      <c r="Q422" s="270"/>
      <c r="R422" s="203"/>
      <c r="S422" s="203"/>
      <c r="T422" s="203"/>
      <c r="U422" s="269"/>
      <c r="V422" s="269"/>
      <c r="W422" s="269"/>
      <c r="X422" s="269"/>
      <c r="Y422" s="269"/>
      <c r="Z422" s="269"/>
      <c r="AA422" s="269"/>
      <c r="AB422" s="269"/>
      <c r="AC422" s="269"/>
    </row>
    <row r="423" spans="1:29" ht="12.75" x14ac:dyDescent="0.2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69"/>
      <c r="N423" s="269"/>
      <c r="O423" s="270"/>
      <c r="P423" s="270"/>
      <c r="Q423" s="270"/>
      <c r="R423" s="203"/>
      <c r="S423" s="203"/>
      <c r="T423" s="203"/>
      <c r="U423" s="269"/>
      <c r="V423" s="269"/>
      <c r="W423" s="269"/>
      <c r="X423" s="269"/>
      <c r="Y423" s="269"/>
      <c r="Z423" s="269"/>
      <c r="AA423" s="269"/>
      <c r="AB423" s="269"/>
      <c r="AC423" s="269"/>
    </row>
    <row r="424" spans="1:29" ht="12.75" x14ac:dyDescent="0.2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69"/>
      <c r="N424" s="269"/>
      <c r="O424" s="270"/>
      <c r="P424" s="270"/>
      <c r="Q424" s="270"/>
      <c r="R424" s="203"/>
      <c r="S424" s="203"/>
      <c r="T424" s="203"/>
      <c r="U424" s="269"/>
      <c r="V424" s="269"/>
      <c r="W424" s="269"/>
      <c r="X424" s="269"/>
      <c r="Y424" s="269"/>
      <c r="Z424" s="269"/>
      <c r="AA424" s="269"/>
      <c r="AB424" s="269"/>
      <c r="AC424" s="269"/>
    </row>
    <row r="425" spans="1:29" ht="12.75" x14ac:dyDescent="0.2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69"/>
      <c r="N425" s="269"/>
      <c r="O425" s="270"/>
      <c r="P425" s="270"/>
      <c r="Q425" s="270"/>
      <c r="R425" s="203"/>
      <c r="S425" s="203"/>
      <c r="T425" s="203"/>
      <c r="U425" s="269"/>
      <c r="V425" s="269"/>
      <c r="W425" s="269"/>
      <c r="X425" s="269"/>
      <c r="Y425" s="269"/>
      <c r="Z425" s="269"/>
      <c r="AA425" s="269"/>
      <c r="AB425" s="269"/>
      <c r="AC425" s="269"/>
    </row>
    <row r="426" spans="1:29" ht="12.75" x14ac:dyDescent="0.2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69"/>
      <c r="N426" s="269"/>
      <c r="O426" s="270"/>
      <c r="P426" s="270"/>
      <c r="Q426" s="270"/>
      <c r="R426" s="203"/>
      <c r="S426" s="203"/>
      <c r="T426" s="203"/>
      <c r="U426" s="269"/>
      <c r="V426" s="269"/>
      <c r="W426" s="269"/>
      <c r="X426" s="269"/>
      <c r="Y426" s="269"/>
      <c r="Z426" s="269"/>
      <c r="AA426" s="269"/>
      <c r="AB426" s="269"/>
      <c r="AC426" s="269"/>
    </row>
    <row r="427" spans="1:29" ht="12.75" x14ac:dyDescent="0.2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69"/>
      <c r="N427" s="269"/>
      <c r="O427" s="270"/>
      <c r="P427" s="270"/>
      <c r="Q427" s="270"/>
      <c r="R427" s="203"/>
      <c r="S427" s="203"/>
      <c r="T427" s="203"/>
      <c r="U427" s="269"/>
      <c r="V427" s="269"/>
      <c r="W427" s="269"/>
      <c r="X427" s="269"/>
      <c r="Y427" s="269"/>
      <c r="Z427" s="269"/>
      <c r="AA427" s="269"/>
      <c r="AB427" s="269"/>
      <c r="AC427" s="269"/>
    </row>
    <row r="428" spans="1:29" ht="12.75" x14ac:dyDescent="0.2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69"/>
      <c r="N428" s="269"/>
      <c r="O428" s="270"/>
      <c r="P428" s="270"/>
      <c r="Q428" s="270"/>
      <c r="R428" s="203"/>
      <c r="S428" s="203"/>
      <c r="T428" s="203"/>
      <c r="U428" s="269"/>
      <c r="V428" s="269"/>
      <c r="W428" s="269"/>
      <c r="X428" s="269"/>
      <c r="Y428" s="269"/>
      <c r="Z428" s="269"/>
      <c r="AA428" s="269"/>
      <c r="AB428" s="269"/>
      <c r="AC428" s="269"/>
    </row>
    <row r="429" spans="1:29" ht="12.75" x14ac:dyDescent="0.2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69"/>
      <c r="N429" s="269"/>
      <c r="O429" s="270"/>
      <c r="P429" s="270"/>
      <c r="Q429" s="270"/>
      <c r="R429" s="203"/>
      <c r="S429" s="203"/>
      <c r="T429" s="203"/>
      <c r="U429" s="269"/>
      <c r="V429" s="269"/>
      <c r="W429" s="269"/>
      <c r="X429" s="269"/>
      <c r="Y429" s="269"/>
      <c r="Z429" s="269"/>
      <c r="AA429" s="269"/>
      <c r="AB429" s="269"/>
      <c r="AC429" s="269"/>
    </row>
    <row r="430" spans="1:29" ht="12.75" x14ac:dyDescent="0.2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69"/>
      <c r="N430" s="269"/>
      <c r="O430" s="270"/>
      <c r="P430" s="270"/>
      <c r="Q430" s="270"/>
      <c r="R430" s="203"/>
      <c r="S430" s="203"/>
      <c r="T430" s="203"/>
      <c r="U430" s="269"/>
      <c r="V430" s="269"/>
      <c r="W430" s="269"/>
      <c r="X430" s="269"/>
      <c r="Y430" s="269"/>
      <c r="Z430" s="269"/>
      <c r="AA430" s="269"/>
      <c r="AB430" s="269"/>
      <c r="AC430" s="269"/>
    </row>
    <row r="431" spans="1:29" ht="12.75" x14ac:dyDescent="0.2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69"/>
      <c r="N431" s="269"/>
      <c r="O431" s="270"/>
      <c r="P431" s="270"/>
      <c r="Q431" s="270"/>
      <c r="R431" s="203"/>
      <c r="S431" s="203"/>
      <c r="T431" s="203"/>
      <c r="U431" s="269"/>
      <c r="V431" s="269"/>
      <c r="W431" s="269"/>
      <c r="X431" s="269"/>
      <c r="Y431" s="269"/>
      <c r="Z431" s="269"/>
      <c r="AA431" s="269"/>
      <c r="AB431" s="269"/>
      <c r="AC431" s="269"/>
    </row>
    <row r="432" spans="1:29" ht="12.75" x14ac:dyDescent="0.2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69"/>
      <c r="N432" s="269"/>
      <c r="O432" s="270"/>
      <c r="P432" s="270"/>
      <c r="Q432" s="270"/>
      <c r="R432" s="203"/>
      <c r="S432" s="203"/>
      <c r="T432" s="203"/>
      <c r="U432" s="269"/>
      <c r="V432" s="269"/>
      <c r="W432" s="269"/>
      <c r="X432" s="269"/>
      <c r="Y432" s="269"/>
      <c r="Z432" s="269"/>
      <c r="AA432" s="269"/>
      <c r="AB432" s="269"/>
      <c r="AC432" s="269"/>
    </row>
    <row r="433" spans="1:29" ht="12.75" x14ac:dyDescent="0.2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69"/>
      <c r="N433" s="269"/>
      <c r="O433" s="270"/>
      <c r="P433" s="270"/>
      <c r="Q433" s="270"/>
      <c r="R433" s="203"/>
      <c r="S433" s="203"/>
      <c r="T433" s="203"/>
      <c r="U433" s="269"/>
      <c r="V433" s="269"/>
      <c r="W433" s="269"/>
      <c r="X433" s="269"/>
      <c r="Y433" s="269"/>
      <c r="Z433" s="269"/>
      <c r="AA433" s="269"/>
      <c r="AB433" s="269"/>
      <c r="AC433" s="269"/>
    </row>
    <row r="434" spans="1:29" ht="12.75" x14ac:dyDescent="0.2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69"/>
      <c r="N434" s="269"/>
      <c r="O434" s="270"/>
      <c r="P434" s="270"/>
      <c r="Q434" s="270"/>
      <c r="R434" s="203"/>
      <c r="S434" s="203"/>
      <c r="T434" s="203"/>
      <c r="U434" s="269"/>
      <c r="V434" s="269"/>
      <c r="W434" s="269"/>
      <c r="X434" s="269"/>
      <c r="Y434" s="269"/>
      <c r="Z434" s="269"/>
      <c r="AA434" s="269"/>
      <c r="AB434" s="269"/>
      <c r="AC434" s="269"/>
    </row>
    <row r="435" spans="1:29" ht="12.75" x14ac:dyDescent="0.2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69"/>
      <c r="N435" s="269"/>
      <c r="O435" s="270"/>
      <c r="P435" s="270"/>
      <c r="Q435" s="270"/>
      <c r="R435" s="203"/>
      <c r="S435" s="203"/>
      <c r="T435" s="203"/>
      <c r="U435" s="269"/>
      <c r="V435" s="269"/>
      <c r="W435" s="269"/>
      <c r="X435" s="269"/>
      <c r="Y435" s="269"/>
      <c r="Z435" s="269"/>
      <c r="AA435" s="269"/>
      <c r="AB435" s="269"/>
      <c r="AC435" s="269"/>
    </row>
    <row r="436" spans="1:29" ht="12.75" x14ac:dyDescent="0.2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69"/>
      <c r="N436" s="269"/>
      <c r="O436" s="270"/>
      <c r="P436" s="270"/>
      <c r="Q436" s="270"/>
      <c r="R436" s="203"/>
      <c r="S436" s="203"/>
      <c r="T436" s="203"/>
      <c r="U436" s="269"/>
      <c r="V436" s="269"/>
      <c r="W436" s="269"/>
      <c r="X436" s="269"/>
      <c r="Y436" s="269"/>
      <c r="Z436" s="269"/>
      <c r="AA436" s="269"/>
      <c r="AB436" s="269"/>
      <c r="AC436" s="269"/>
    </row>
    <row r="437" spans="1:29" ht="12.75" x14ac:dyDescent="0.2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69"/>
      <c r="N437" s="269"/>
      <c r="O437" s="270"/>
      <c r="P437" s="270"/>
      <c r="Q437" s="270"/>
      <c r="R437" s="203"/>
      <c r="S437" s="203"/>
      <c r="T437" s="203"/>
      <c r="U437" s="269"/>
      <c r="V437" s="269"/>
      <c r="W437" s="269"/>
      <c r="X437" s="269"/>
      <c r="Y437" s="269"/>
      <c r="Z437" s="269"/>
      <c r="AA437" s="269"/>
      <c r="AB437" s="269"/>
      <c r="AC437" s="269"/>
    </row>
    <row r="438" spans="1:29" ht="12.75" x14ac:dyDescent="0.2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69"/>
      <c r="N438" s="269"/>
      <c r="O438" s="270"/>
      <c r="P438" s="270"/>
      <c r="Q438" s="270"/>
      <c r="R438" s="203"/>
      <c r="S438" s="203"/>
      <c r="T438" s="203"/>
      <c r="U438" s="269"/>
      <c r="V438" s="269"/>
      <c r="W438" s="269"/>
      <c r="X438" s="269"/>
      <c r="Y438" s="269"/>
      <c r="Z438" s="269"/>
      <c r="AA438" s="269"/>
      <c r="AB438" s="269"/>
      <c r="AC438" s="269"/>
    </row>
    <row r="439" spans="1:29" ht="12.75" x14ac:dyDescent="0.2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69"/>
      <c r="N439" s="269"/>
      <c r="O439" s="270"/>
      <c r="P439" s="270"/>
      <c r="Q439" s="270"/>
      <c r="R439" s="203"/>
      <c r="S439" s="203"/>
      <c r="T439" s="203"/>
      <c r="U439" s="269"/>
      <c r="V439" s="269"/>
      <c r="W439" s="269"/>
      <c r="X439" s="269"/>
      <c r="Y439" s="269"/>
      <c r="Z439" s="269"/>
      <c r="AA439" s="269"/>
      <c r="AB439" s="269"/>
      <c r="AC439" s="269"/>
    </row>
    <row r="440" spans="1:29" ht="12.75" x14ac:dyDescent="0.2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69"/>
      <c r="N440" s="269"/>
      <c r="O440" s="270"/>
      <c r="P440" s="270"/>
      <c r="Q440" s="270"/>
      <c r="R440" s="203"/>
      <c r="S440" s="203"/>
      <c r="T440" s="203"/>
      <c r="U440" s="269"/>
      <c r="V440" s="269"/>
      <c r="W440" s="269"/>
      <c r="X440" s="269"/>
      <c r="Y440" s="269"/>
      <c r="Z440" s="269"/>
      <c r="AA440" s="269"/>
      <c r="AB440" s="269"/>
      <c r="AC440" s="269"/>
    </row>
    <row r="441" spans="1:29" ht="12.75" x14ac:dyDescent="0.2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69"/>
      <c r="N441" s="269"/>
      <c r="O441" s="270"/>
      <c r="P441" s="270"/>
      <c r="Q441" s="270"/>
      <c r="R441" s="203"/>
      <c r="S441" s="203"/>
      <c r="T441" s="203"/>
      <c r="U441" s="269"/>
      <c r="V441" s="269"/>
      <c r="W441" s="269"/>
      <c r="X441" s="269"/>
      <c r="Y441" s="269"/>
      <c r="Z441" s="269"/>
      <c r="AA441" s="269"/>
      <c r="AB441" s="269"/>
      <c r="AC441" s="269"/>
    </row>
    <row r="442" spans="1:29" ht="12.75" x14ac:dyDescent="0.2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69"/>
      <c r="N442" s="269"/>
      <c r="O442" s="270"/>
      <c r="P442" s="270"/>
      <c r="Q442" s="270"/>
      <c r="R442" s="203"/>
      <c r="S442" s="203"/>
      <c r="T442" s="203"/>
      <c r="U442" s="269"/>
      <c r="V442" s="269"/>
      <c r="W442" s="269"/>
      <c r="X442" s="269"/>
      <c r="Y442" s="269"/>
      <c r="Z442" s="269"/>
      <c r="AA442" s="269"/>
      <c r="AB442" s="269"/>
      <c r="AC442" s="269"/>
    </row>
    <row r="443" spans="1:29" ht="12.75" x14ac:dyDescent="0.2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69"/>
      <c r="N443" s="269"/>
      <c r="O443" s="270"/>
      <c r="P443" s="270"/>
      <c r="Q443" s="270"/>
      <c r="R443" s="203"/>
      <c r="S443" s="203"/>
      <c r="T443" s="203"/>
      <c r="U443" s="269"/>
      <c r="V443" s="269"/>
      <c r="W443" s="269"/>
      <c r="X443" s="269"/>
      <c r="Y443" s="269"/>
      <c r="Z443" s="269"/>
      <c r="AA443" s="269"/>
      <c r="AB443" s="269"/>
      <c r="AC443" s="269"/>
    </row>
    <row r="444" spans="1:29" ht="12.75" x14ac:dyDescent="0.2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69"/>
      <c r="N444" s="269"/>
      <c r="O444" s="270"/>
      <c r="P444" s="270"/>
      <c r="Q444" s="270"/>
      <c r="R444" s="203"/>
      <c r="S444" s="203"/>
      <c r="T444" s="203"/>
      <c r="U444" s="269"/>
      <c r="V444" s="269"/>
      <c r="W444" s="269"/>
      <c r="X444" s="269"/>
      <c r="Y444" s="269"/>
      <c r="Z444" s="269"/>
      <c r="AA444" s="269"/>
      <c r="AB444" s="269"/>
      <c r="AC444" s="269"/>
    </row>
    <row r="445" spans="1:29" ht="12.75" x14ac:dyDescent="0.2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69"/>
      <c r="N445" s="269"/>
      <c r="O445" s="270"/>
      <c r="P445" s="270"/>
      <c r="Q445" s="270"/>
      <c r="R445" s="203"/>
      <c r="S445" s="203"/>
      <c r="T445" s="203"/>
      <c r="U445" s="269"/>
      <c r="V445" s="269"/>
      <c r="W445" s="269"/>
      <c r="X445" s="269"/>
      <c r="Y445" s="269"/>
      <c r="Z445" s="269"/>
      <c r="AA445" s="269"/>
      <c r="AB445" s="269"/>
      <c r="AC445" s="269"/>
    </row>
    <row r="446" spans="1:29" ht="12.75" x14ac:dyDescent="0.2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69"/>
      <c r="N446" s="269"/>
      <c r="O446" s="270"/>
      <c r="P446" s="270"/>
      <c r="Q446" s="270"/>
      <c r="R446" s="203"/>
      <c r="S446" s="203"/>
      <c r="T446" s="203"/>
      <c r="U446" s="269"/>
      <c r="V446" s="269"/>
      <c r="W446" s="269"/>
      <c r="X446" s="269"/>
      <c r="Y446" s="269"/>
      <c r="Z446" s="269"/>
      <c r="AA446" s="269"/>
      <c r="AB446" s="269"/>
      <c r="AC446" s="269"/>
    </row>
    <row r="447" spans="1:29" ht="12.75" x14ac:dyDescent="0.2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69"/>
      <c r="N447" s="269"/>
      <c r="O447" s="270"/>
      <c r="P447" s="270"/>
      <c r="Q447" s="270"/>
      <c r="R447" s="203"/>
      <c r="S447" s="203"/>
      <c r="T447" s="203"/>
      <c r="U447" s="269"/>
      <c r="V447" s="269"/>
      <c r="W447" s="269"/>
      <c r="X447" s="269"/>
      <c r="Y447" s="269"/>
      <c r="Z447" s="269"/>
      <c r="AA447" s="269"/>
      <c r="AB447" s="269"/>
      <c r="AC447" s="269"/>
    </row>
    <row r="448" spans="1:29" ht="12.75" x14ac:dyDescent="0.2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69"/>
      <c r="N448" s="269"/>
      <c r="O448" s="270"/>
      <c r="P448" s="270"/>
      <c r="Q448" s="270"/>
      <c r="R448" s="203"/>
      <c r="S448" s="203"/>
      <c r="T448" s="203"/>
      <c r="U448" s="269"/>
      <c r="V448" s="269"/>
      <c r="W448" s="269"/>
      <c r="X448" s="269"/>
      <c r="Y448" s="269"/>
      <c r="Z448" s="269"/>
      <c r="AA448" s="269"/>
      <c r="AB448" s="269"/>
      <c r="AC448" s="269"/>
    </row>
    <row r="449" spans="1:29" ht="12.75" x14ac:dyDescent="0.2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69"/>
      <c r="N449" s="269"/>
      <c r="O449" s="270"/>
      <c r="P449" s="270"/>
      <c r="Q449" s="270"/>
      <c r="R449" s="203"/>
      <c r="S449" s="203"/>
      <c r="T449" s="203"/>
      <c r="U449" s="269"/>
      <c r="V449" s="269"/>
      <c r="W449" s="269"/>
      <c r="X449" s="269"/>
      <c r="Y449" s="269"/>
      <c r="Z449" s="269"/>
      <c r="AA449" s="269"/>
      <c r="AB449" s="269"/>
      <c r="AC449" s="269"/>
    </row>
    <row r="450" spans="1:29" ht="12.75" x14ac:dyDescent="0.2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69"/>
      <c r="N450" s="269"/>
      <c r="O450" s="270"/>
      <c r="P450" s="270"/>
      <c r="Q450" s="270"/>
      <c r="R450" s="203"/>
      <c r="S450" s="203"/>
      <c r="T450" s="203"/>
      <c r="U450" s="269"/>
      <c r="V450" s="269"/>
      <c r="W450" s="269"/>
      <c r="X450" s="269"/>
      <c r="Y450" s="269"/>
      <c r="Z450" s="269"/>
      <c r="AA450" s="269"/>
      <c r="AB450" s="269"/>
      <c r="AC450" s="269"/>
    </row>
    <row r="451" spans="1:29" ht="12.75" x14ac:dyDescent="0.2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69"/>
      <c r="N451" s="269"/>
      <c r="O451" s="270"/>
      <c r="P451" s="270"/>
      <c r="Q451" s="270"/>
      <c r="R451" s="203"/>
      <c r="S451" s="203"/>
      <c r="T451" s="203"/>
      <c r="U451" s="269"/>
      <c r="V451" s="269"/>
      <c r="W451" s="269"/>
      <c r="X451" s="269"/>
      <c r="Y451" s="269"/>
      <c r="Z451" s="269"/>
      <c r="AA451" s="269"/>
      <c r="AB451" s="269"/>
      <c r="AC451" s="269"/>
    </row>
    <row r="452" spans="1:29" ht="12.75" x14ac:dyDescent="0.2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69"/>
      <c r="N452" s="269"/>
      <c r="O452" s="270"/>
      <c r="P452" s="270"/>
      <c r="Q452" s="270"/>
      <c r="R452" s="203"/>
      <c r="S452" s="203"/>
      <c r="T452" s="203"/>
      <c r="U452" s="269"/>
      <c r="V452" s="269"/>
      <c r="W452" s="269"/>
      <c r="X452" s="269"/>
      <c r="Y452" s="269"/>
      <c r="Z452" s="269"/>
      <c r="AA452" s="269"/>
      <c r="AB452" s="269"/>
      <c r="AC452" s="269"/>
    </row>
    <row r="453" spans="1:29" ht="12.75" x14ac:dyDescent="0.2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69"/>
      <c r="N453" s="269"/>
      <c r="O453" s="270"/>
      <c r="P453" s="270"/>
      <c r="Q453" s="270"/>
      <c r="R453" s="203"/>
      <c r="S453" s="203"/>
      <c r="T453" s="203"/>
      <c r="U453" s="269"/>
      <c r="V453" s="269"/>
      <c r="W453" s="269"/>
      <c r="X453" s="269"/>
      <c r="Y453" s="269"/>
      <c r="Z453" s="269"/>
      <c r="AA453" s="269"/>
      <c r="AB453" s="269"/>
      <c r="AC453" s="269"/>
    </row>
    <row r="454" spans="1:29" ht="12.75" x14ac:dyDescent="0.2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69"/>
      <c r="N454" s="269"/>
      <c r="O454" s="270"/>
      <c r="P454" s="270"/>
      <c r="Q454" s="270"/>
      <c r="R454" s="203"/>
      <c r="S454" s="203"/>
      <c r="T454" s="203"/>
      <c r="U454" s="269"/>
      <c r="V454" s="269"/>
      <c r="W454" s="269"/>
      <c r="X454" s="269"/>
      <c r="Y454" s="269"/>
      <c r="Z454" s="269"/>
      <c r="AA454" s="269"/>
      <c r="AB454" s="269"/>
      <c r="AC454" s="269"/>
    </row>
    <row r="455" spans="1:29" ht="12.75" x14ac:dyDescent="0.2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69"/>
      <c r="N455" s="269"/>
      <c r="O455" s="270"/>
      <c r="P455" s="270"/>
      <c r="Q455" s="270"/>
      <c r="R455" s="203"/>
      <c r="S455" s="203"/>
      <c r="T455" s="203"/>
      <c r="U455" s="269"/>
      <c r="V455" s="269"/>
      <c r="W455" s="269"/>
      <c r="X455" s="269"/>
      <c r="Y455" s="269"/>
      <c r="Z455" s="269"/>
      <c r="AA455" s="269"/>
      <c r="AB455" s="269"/>
      <c r="AC455" s="269"/>
    </row>
    <row r="456" spans="1:29" ht="12.75" x14ac:dyDescent="0.2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69"/>
      <c r="N456" s="269"/>
      <c r="O456" s="270"/>
      <c r="P456" s="270"/>
      <c r="Q456" s="270"/>
      <c r="R456" s="203"/>
      <c r="S456" s="203"/>
      <c r="T456" s="203"/>
      <c r="U456" s="269"/>
      <c r="V456" s="269"/>
      <c r="W456" s="269"/>
      <c r="X456" s="269"/>
      <c r="Y456" s="269"/>
      <c r="Z456" s="269"/>
      <c r="AA456" s="269"/>
      <c r="AB456" s="269"/>
      <c r="AC456" s="269"/>
    </row>
    <row r="457" spans="1:29" ht="12.75" x14ac:dyDescent="0.2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69"/>
      <c r="N457" s="269"/>
      <c r="O457" s="270"/>
      <c r="P457" s="270"/>
      <c r="Q457" s="270"/>
      <c r="R457" s="203"/>
      <c r="S457" s="203"/>
      <c r="T457" s="203"/>
      <c r="U457" s="269"/>
      <c r="V457" s="269"/>
      <c r="W457" s="269"/>
      <c r="X457" s="269"/>
      <c r="Y457" s="269"/>
      <c r="Z457" s="269"/>
      <c r="AA457" s="269"/>
      <c r="AB457" s="269"/>
      <c r="AC457" s="269"/>
    </row>
    <row r="458" spans="1:29" ht="12.75" x14ac:dyDescent="0.2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69"/>
      <c r="N458" s="269"/>
      <c r="O458" s="270"/>
      <c r="P458" s="270"/>
      <c r="Q458" s="270"/>
      <c r="R458" s="203"/>
      <c r="S458" s="203"/>
      <c r="T458" s="203"/>
      <c r="U458" s="269"/>
      <c r="V458" s="269"/>
      <c r="W458" s="269"/>
      <c r="X458" s="269"/>
      <c r="Y458" s="269"/>
      <c r="Z458" s="269"/>
      <c r="AA458" s="269"/>
      <c r="AB458" s="269"/>
      <c r="AC458" s="269"/>
    </row>
    <row r="459" spans="1:29" ht="12.75" x14ac:dyDescent="0.2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69"/>
      <c r="N459" s="269"/>
      <c r="O459" s="270"/>
      <c r="P459" s="270"/>
      <c r="Q459" s="270"/>
      <c r="R459" s="203"/>
      <c r="S459" s="203"/>
      <c r="T459" s="203"/>
      <c r="U459" s="269"/>
      <c r="V459" s="269"/>
      <c r="W459" s="269"/>
      <c r="X459" s="269"/>
      <c r="Y459" s="269"/>
      <c r="Z459" s="269"/>
      <c r="AA459" s="269"/>
      <c r="AB459" s="269"/>
      <c r="AC459" s="269"/>
    </row>
    <row r="460" spans="1:29" ht="12.75" x14ac:dyDescent="0.2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69"/>
      <c r="N460" s="269"/>
      <c r="O460" s="270"/>
      <c r="P460" s="270"/>
      <c r="Q460" s="270"/>
      <c r="R460" s="203"/>
      <c r="S460" s="203"/>
      <c r="T460" s="203"/>
      <c r="U460" s="269"/>
      <c r="V460" s="269"/>
      <c r="W460" s="269"/>
      <c r="X460" s="269"/>
      <c r="Y460" s="269"/>
      <c r="Z460" s="269"/>
      <c r="AA460" s="269"/>
      <c r="AB460" s="269"/>
      <c r="AC460" s="269"/>
    </row>
    <row r="461" spans="1:29" ht="12.75" x14ac:dyDescent="0.2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69"/>
      <c r="N461" s="269"/>
      <c r="O461" s="270"/>
      <c r="P461" s="270"/>
      <c r="Q461" s="270"/>
      <c r="R461" s="203"/>
      <c r="S461" s="203"/>
      <c r="T461" s="203"/>
      <c r="U461" s="269"/>
      <c r="V461" s="269"/>
      <c r="W461" s="269"/>
      <c r="X461" s="269"/>
      <c r="Y461" s="269"/>
      <c r="Z461" s="269"/>
      <c r="AA461" s="269"/>
      <c r="AB461" s="269"/>
      <c r="AC461" s="269"/>
    </row>
    <row r="462" spans="1:29" ht="12.75" x14ac:dyDescent="0.2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69"/>
      <c r="N462" s="269"/>
      <c r="O462" s="270"/>
      <c r="P462" s="270"/>
      <c r="Q462" s="270"/>
      <c r="R462" s="203"/>
      <c r="S462" s="203"/>
      <c r="T462" s="203"/>
      <c r="U462" s="269"/>
      <c r="V462" s="269"/>
      <c r="W462" s="269"/>
      <c r="X462" s="269"/>
      <c r="Y462" s="269"/>
      <c r="Z462" s="269"/>
      <c r="AA462" s="269"/>
      <c r="AB462" s="269"/>
      <c r="AC462" s="269"/>
    </row>
    <row r="463" spans="1:29" ht="12.75" x14ac:dyDescent="0.2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69"/>
      <c r="N463" s="269"/>
      <c r="O463" s="270"/>
      <c r="P463" s="270"/>
      <c r="Q463" s="270"/>
      <c r="R463" s="203"/>
      <c r="S463" s="203"/>
      <c r="T463" s="203"/>
      <c r="U463" s="269"/>
      <c r="V463" s="269"/>
      <c r="W463" s="269"/>
      <c r="X463" s="269"/>
      <c r="Y463" s="269"/>
      <c r="Z463" s="269"/>
      <c r="AA463" s="269"/>
      <c r="AB463" s="269"/>
      <c r="AC463" s="269"/>
    </row>
    <row r="464" spans="1:29" ht="12.75" x14ac:dyDescent="0.2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69"/>
      <c r="N464" s="269"/>
      <c r="O464" s="270"/>
      <c r="P464" s="270"/>
      <c r="Q464" s="270"/>
      <c r="R464" s="203"/>
      <c r="S464" s="203"/>
      <c r="T464" s="203"/>
      <c r="U464" s="269"/>
      <c r="V464" s="269"/>
      <c r="W464" s="269"/>
      <c r="X464" s="269"/>
      <c r="Y464" s="269"/>
      <c r="Z464" s="269"/>
      <c r="AA464" s="269"/>
      <c r="AB464" s="269"/>
      <c r="AC464" s="269"/>
    </row>
    <row r="465" spans="1:29" ht="12.75" x14ac:dyDescent="0.2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69"/>
      <c r="N465" s="269"/>
      <c r="O465" s="270"/>
      <c r="P465" s="270"/>
      <c r="Q465" s="270"/>
      <c r="R465" s="203"/>
      <c r="S465" s="203"/>
      <c r="T465" s="203"/>
      <c r="U465" s="269"/>
      <c r="V465" s="269"/>
      <c r="W465" s="269"/>
      <c r="X465" s="269"/>
      <c r="Y465" s="269"/>
      <c r="Z465" s="269"/>
      <c r="AA465" s="269"/>
      <c r="AB465" s="269"/>
      <c r="AC465" s="269"/>
    </row>
    <row r="466" spans="1:29" ht="12.75" x14ac:dyDescent="0.2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69"/>
      <c r="N466" s="269"/>
      <c r="O466" s="270"/>
      <c r="P466" s="270"/>
      <c r="Q466" s="270"/>
      <c r="R466" s="203"/>
      <c r="S466" s="203"/>
      <c r="T466" s="203"/>
      <c r="U466" s="269"/>
      <c r="V466" s="269"/>
      <c r="W466" s="269"/>
      <c r="X466" s="269"/>
      <c r="Y466" s="269"/>
      <c r="Z466" s="269"/>
      <c r="AA466" s="269"/>
      <c r="AB466" s="269"/>
      <c r="AC466" s="269"/>
    </row>
    <row r="467" spans="1:29" ht="12.75" x14ac:dyDescent="0.2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69"/>
      <c r="N467" s="269"/>
      <c r="O467" s="270"/>
      <c r="P467" s="270"/>
      <c r="Q467" s="270"/>
      <c r="R467" s="203"/>
      <c r="S467" s="203"/>
      <c r="T467" s="203"/>
      <c r="U467" s="269"/>
      <c r="V467" s="269"/>
      <c r="W467" s="269"/>
      <c r="X467" s="269"/>
      <c r="Y467" s="269"/>
      <c r="Z467" s="269"/>
      <c r="AA467" s="269"/>
      <c r="AB467" s="269"/>
      <c r="AC467" s="269"/>
    </row>
    <row r="468" spans="1:29" ht="12.75" x14ac:dyDescent="0.2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69"/>
      <c r="N468" s="269"/>
      <c r="O468" s="270"/>
      <c r="P468" s="270"/>
      <c r="Q468" s="270"/>
      <c r="R468" s="203"/>
      <c r="S468" s="203"/>
      <c r="T468" s="203"/>
      <c r="U468" s="269"/>
      <c r="V468" s="269"/>
      <c r="W468" s="269"/>
      <c r="X468" s="269"/>
      <c r="Y468" s="269"/>
      <c r="Z468" s="269"/>
      <c r="AA468" s="269"/>
      <c r="AB468" s="269"/>
      <c r="AC468" s="269"/>
    </row>
    <row r="469" spans="1:29" ht="12.75" x14ac:dyDescent="0.2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69"/>
      <c r="N469" s="269"/>
      <c r="O469" s="270"/>
      <c r="P469" s="270"/>
      <c r="Q469" s="270"/>
      <c r="R469" s="203"/>
      <c r="S469" s="203"/>
      <c r="T469" s="203"/>
      <c r="U469" s="269"/>
      <c r="V469" s="269"/>
      <c r="W469" s="269"/>
      <c r="X469" s="269"/>
      <c r="Y469" s="269"/>
      <c r="Z469" s="269"/>
      <c r="AA469" s="269"/>
      <c r="AB469" s="269"/>
      <c r="AC469" s="269"/>
    </row>
    <row r="470" spans="1:29" ht="12.75" x14ac:dyDescent="0.2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69"/>
      <c r="N470" s="269"/>
      <c r="O470" s="270"/>
      <c r="P470" s="270"/>
      <c r="Q470" s="270"/>
      <c r="R470" s="203"/>
      <c r="S470" s="203"/>
      <c r="T470" s="203"/>
      <c r="U470" s="269"/>
      <c r="V470" s="269"/>
      <c r="W470" s="269"/>
      <c r="X470" s="269"/>
      <c r="Y470" s="269"/>
      <c r="Z470" s="269"/>
      <c r="AA470" s="269"/>
      <c r="AB470" s="269"/>
      <c r="AC470" s="269"/>
    </row>
    <row r="471" spans="1:29" ht="12.75" x14ac:dyDescent="0.2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69"/>
      <c r="N471" s="269"/>
      <c r="O471" s="270"/>
      <c r="P471" s="270"/>
      <c r="Q471" s="270"/>
      <c r="R471" s="203"/>
      <c r="S471" s="203"/>
      <c r="T471" s="203"/>
      <c r="U471" s="269"/>
      <c r="V471" s="269"/>
      <c r="W471" s="269"/>
      <c r="X471" s="269"/>
      <c r="Y471" s="269"/>
      <c r="Z471" s="269"/>
      <c r="AA471" s="269"/>
      <c r="AB471" s="269"/>
      <c r="AC471" s="269"/>
    </row>
    <row r="472" spans="1:29" ht="12.75" x14ac:dyDescent="0.2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69"/>
      <c r="N472" s="269"/>
      <c r="O472" s="270"/>
      <c r="P472" s="270"/>
      <c r="Q472" s="270"/>
      <c r="R472" s="203"/>
      <c r="S472" s="203"/>
      <c r="T472" s="203"/>
      <c r="U472" s="269"/>
      <c r="V472" s="269"/>
      <c r="W472" s="269"/>
      <c r="X472" s="269"/>
      <c r="Y472" s="269"/>
      <c r="Z472" s="269"/>
      <c r="AA472" s="269"/>
      <c r="AB472" s="269"/>
      <c r="AC472" s="269"/>
    </row>
    <row r="473" spans="1:29" ht="12.75" x14ac:dyDescent="0.2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69"/>
      <c r="N473" s="269"/>
      <c r="O473" s="270"/>
      <c r="P473" s="270"/>
      <c r="Q473" s="270"/>
      <c r="R473" s="203"/>
      <c r="S473" s="203"/>
      <c r="T473" s="203"/>
      <c r="U473" s="269"/>
      <c r="V473" s="269"/>
      <c r="W473" s="269"/>
      <c r="X473" s="269"/>
      <c r="Y473" s="269"/>
      <c r="Z473" s="269"/>
      <c r="AA473" s="269"/>
      <c r="AB473" s="269"/>
      <c r="AC473" s="269"/>
    </row>
    <row r="474" spans="1:29" ht="12.75" x14ac:dyDescent="0.2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69"/>
      <c r="N474" s="269"/>
      <c r="O474" s="270"/>
      <c r="P474" s="270"/>
      <c r="Q474" s="270"/>
      <c r="R474" s="203"/>
      <c r="S474" s="203"/>
      <c r="T474" s="203"/>
      <c r="U474" s="269"/>
      <c r="V474" s="269"/>
      <c r="W474" s="269"/>
      <c r="X474" s="269"/>
      <c r="Y474" s="269"/>
      <c r="Z474" s="269"/>
      <c r="AA474" s="269"/>
      <c r="AB474" s="269"/>
      <c r="AC474" s="269"/>
    </row>
    <row r="475" spans="1:29" ht="12.75" x14ac:dyDescent="0.2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69"/>
      <c r="N475" s="269"/>
      <c r="O475" s="270"/>
      <c r="P475" s="270"/>
      <c r="Q475" s="270"/>
      <c r="R475" s="203"/>
      <c r="S475" s="203"/>
      <c r="T475" s="203"/>
      <c r="U475" s="269"/>
      <c r="V475" s="269"/>
      <c r="W475" s="269"/>
      <c r="X475" s="269"/>
      <c r="Y475" s="269"/>
      <c r="Z475" s="269"/>
      <c r="AA475" s="269"/>
      <c r="AB475" s="269"/>
      <c r="AC475" s="269"/>
    </row>
    <row r="476" spans="1:29" ht="12.75" x14ac:dyDescent="0.2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69"/>
      <c r="N476" s="269"/>
      <c r="O476" s="270"/>
      <c r="P476" s="270"/>
      <c r="Q476" s="270"/>
      <c r="R476" s="203"/>
      <c r="S476" s="203"/>
      <c r="T476" s="203"/>
      <c r="U476" s="269"/>
      <c r="V476" s="269"/>
      <c r="W476" s="269"/>
      <c r="X476" s="269"/>
      <c r="Y476" s="269"/>
      <c r="Z476" s="269"/>
      <c r="AA476" s="269"/>
      <c r="AB476" s="269"/>
      <c r="AC476" s="269"/>
    </row>
    <row r="477" spans="1:29" ht="12.75" x14ac:dyDescent="0.2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69"/>
      <c r="N477" s="269"/>
      <c r="O477" s="270"/>
      <c r="P477" s="270"/>
      <c r="Q477" s="270"/>
      <c r="R477" s="203"/>
      <c r="S477" s="203"/>
      <c r="T477" s="203"/>
      <c r="U477" s="269"/>
      <c r="V477" s="269"/>
      <c r="W477" s="269"/>
      <c r="X477" s="269"/>
      <c r="Y477" s="269"/>
      <c r="Z477" s="269"/>
      <c r="AA477" s="269"/>
      <c r="AB477" s="269"/>
      <c r="AC477" s="269"/>
    </row>
    <row r="478" spans="1:29" ht="12.75" x14ac:dyDescent="0.2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69"/>
      <c r="N478" s="269"/>
      <c r="O478" s="270"/>
      <c r="P478" s="270"/>
      <c r="Q478" s="270"/>
      <c r="R478" s="203"/>
      <c r="S478" s="203"/>
      <c r="T478" s="203"/>
      <c r="U478" s="269"/>
      <c r="V478" s="269"/>
      <c r="W478" s="269"/>
      <c r="X478" s="269"/>
      <c r="Y478" s="269"/>
      <c r="Z478" s="269"/>
      <c r="AA478" s="269"/>
      <c r="AB478" s="269"/>
      <c r="AC478" s="269"/>
    </row>
    <row r="479" spans="1:29" ht="12.75" x14ac:dyDescent="0.2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69"/>
      <c r="N479" s="269"/>
      <c r="O479" s="270"/>
      <c r="P479" s="270"/>
      <c r="Q479" s="270"/>
      <c r="R479" s="203"/>
      <c r="S479" s="203"/>
      <c r="T479" s="203"/>
      <c r="U479" s="269"/>
      <c r="V479" s="269"/>
      <c r="W479" s="269"/>
      <c r="X479" s="269"/>
      <c r="Y479" s="269"/>
      <c r="Z479" s="269"/>
      <c r="AA479" s="269"/>
      <c r="AB479" s="269"/>
      <c r="AC479" s="269"/>
    </row>
    <row r="480" spans="1:29" ht="12.75" x14ac:dyDescent="0.2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69"/>
      <c r="N480" s="269"/>
      <c r="O480" s="270"/>
      <c r="P480" s="270"/>
      <c r="Q480" s="270"/>
      <c r="R480" s="203"/>
      <c r="S480" s="203"/>
      <c r="T480" s="203"/>
      <c r="U480" s="269"/>
      <c r="V480" s="269"/>
      <c r="W480" s="269"/>
      <c r="X480" s="269"/>
      <c r="Y480" s="269"/>
      <c r="Z480" s="269"/>
      <c r="AA480" s="269"/>
      <c r="AB480" s="269"/>
      <c r="AC480" s="269"/>
    </row>
    <row r="481" spans="1:29" ht="12.75" x14ac:dyDescent="0.2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69"/>
      <c r="N481" s="269"/>
      <c r="O481" s="270"/>
      <c r="P481" s="270"/>
      <c r="Q481" s="270"/>
      <c r="R481" s="203"/>
      <c r="S481" s="203"/>
      <c r="T481" s="203"/>
      <c r="U481" s="269"/>
      <c r="V481" s="269"/>
      <c r="W481" s="269"/>
      <c r="X481" s="269"/>
      <c r="Y481" s="269"/>
      <c r="Z481" s="269"/>
      <c r="AA481" s="269"/>
      <c r="AB481" s="269"/>
      <c r="AC481" s="269"/>
    </row>
    <row r="482" spans="1:29" ht="12.75" x14ac:dyDescent="0.2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69"/>
      <c r="N482" s="269"/>
      <c r="O482" s="270"/>
      <c r="P482" s="270"/>
      <c r="Q482" s="270"/>
      <c r="R482" s="203"/>
      <c r="S482" s="203"/>
      <c r="T482" s="203"/>
      <c r="U482" s="269"/>
      <c r="V482" s="269"/>
      <c r="W482" s="269"/>
      <c r="X482" s="269"/>
      <c r="Y482" s="269"/>
      <c r="Z482" s="269"/>
      <c r="AA482" s="269"/>
      <c r="AB482" s="269"/>
      <c r="AC482" s="269"/>
    </row>
    <row r="483" spans="1:29" ht="12.75" x14ac:dyDescent="0.2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69"/>
      <c r="N483" s="269"/>
      <c r="O483" s="270"/>
      <c r="P483" s="270"/>
      <c r="Q483" s="270"/>
      <c r="R483" s="203"/>
      <c r="S483" s="203"/>
      <c r="T483" s="203"/>
      <c r="U483" s="269"/>
      <c r="V483" s="269"/>
      <c r="W483" s="269"/>
      <c r="X483" s="269"/>
      <c r="Y483" s="269"/>
      <c r="Z483" s="269"/>
      <c r="AA483" s="269"/>
      <c r="AB483" s="269"/>
      <c r="AC483" s="269"/>
    </row>
    <row r="484" spans="1:29" ht="12.75" x14ac:dyDescent="0.2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69"/>
      <c r="N484" s="269"/>
      <c r="O484" s="270"/>
      <c r="P484" s="270"/>
      <c r="Q484" s="270"/>
      <c r="R484" s="203"/>
      <c r="S484" s="203"/>
      <c r="T484" s="203"/>
      <c r="U484" s="269"/>
      <c r="V484" s="269"/>
      <c r="W484" s="269"/>
      <c r="X484" s="269"/>
      <c r="Y484" s="269"/>
      <c r="Z484" s="269"/>
      <c r="AA484" s="269"/>
      <c r="AB484" s="269"/>
      <c r="AC484" s="269"/>
    </row>
    <row r="485" spans="1:29" ht="12.75" x14ac:dyDescent="0.2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69"/>
      <c r="N485" s="269"/>
      <c r="O485" s="270"/>
      <c r="P485" s="270"/>
      <c r="Q485" s="270"/>
      <c r="R485" s="203"/>
      <c r="S485" s="203"/>
      <c r="T485" s="203"/>
      <c r="U485" s="269"/>
      <c r="V485" s="269"/>
      <c r="W485" s="269"/>
      <c r="X485" s="269"/>
      <c r="Y485" s="269"/>
      <c r="Z485" s="269"/>
      <c r="AA485" s="269"/>
      <c r="AB485" s="269"/>
      <c r="AC485" s="269"/>
    </row>
    <row r="486" spans="1:29" ht="12.75" x14ac:dyDescent="0.2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69"/>
      <c r="N486" s="269"/>
      <c r="O486" s="270"/>
      <c r="P486" s="270"/>
      <c r="Q486" s="270"/>
      <c r="R486" s="203"/>
      <c r="S486" s="203"/>
      <c r="T486" s="203"/>
      <c r="U486" s="269"/>
      <c r="V486" s="269"/>
      <c r="W486" s="269"/>
      <c r="X486" s="269"/>
      <c r="Y486" s="269"/>
      <c r="Z486" s="269"/>
      <c r="AA486" s="269"/>
      <c r="AB486" s="269"/>
      <c r="AC486" s="269"/>
    </row>
    <row r="487" spans="1:29" ht="12.75" x14ac:dyDescent="0.2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69"/>
      <c r="N487" s="269"/>
      <c r="O487" s="270"/>
      <c r="P487" s="270"/>
      <c r="Q487" s="270"/>
      <c r="R487" s="203"/>
      <c r="S487" s="203"/>
      <c r="T487" s="203"/>
      <c r="U487" s="269"/>
      <c r="V487" s="269"/>
      <c r="W487" s="269"/>
      <c r="X487" s="269"/>
      <c r="Y487" s="269"/>
      <c r="Z487" s="269"/>
      <c r="AA487" s="269"/>
      <c r="AB487" s="269"/>
      <c r="AC487" s="269"/>
    </row>
    <row r="488" spans="1:29" ht="12.75" x14ac:dyDescent="0.2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69"/>
      <c r="N488" s="269"/>
      <c r="O488" s="270"/>
      <c r="P488" s="270"/>
      <c r="Q488" s="270"/>
      <c r="R488" s="203"/>
      <c r="S488" s="203"/>
      <c r="T488" s="203"/>
      <c r="U488" s="269"/>
      <c r="V488" s="269"/>
      <c r="W488" s="269"/>
      <c r="X488" s="269"/>
      <c r="Y488" s="269"/>
      <c r="Z488" s="269"/>
      <c r="AA488" s="269"/>
      <c r="AB488" s="269"/>
      <c r="AC488" s="269"/>
    </row>
    <row r="489" spans="1:29" ht="12.75" x14ac:dyDescent="0.2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69"/>
      <c r="N489" s="269"/>
      <c r="O489" s="270"/>
      <c r="P489" s="270"/>
      <c r="Q489" s="270"/>
      <c r="R489" s="203"/>
      <c r="S489" s="203"/>
      <c r="T489" s="203"/>
      <c r="U489" s="269"/>
      <c r="V489" s="269"/>
      <c r="W489" s="269"/>
      <c r="X489" s="269"/>
      <c r="Y489" s="269"/>
      <c r="Z489" s="269"/>
      <c r="AA489" s="269"/>
      <c r="AB489" s="269"/>
      <c r="AC489" s="269"/>
    </row>
    <row r="490" spans="1:29" ht="12.75" x14ac:dyDescent="0.2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69"/>
      <c r="N490" s="269"/>
      <c r="O490" s="270"/>
      <c r="P490" s="270"/>
      <c r="Q490" s="270"/>
      <c r="R490" s="203"/>
      <c r="S490" s="203"/>
      <c r="T490" s="203"/>
      <c r="U490" s="269"/>
      <c r="V490" s="269"/>
      <c r="W490" s="269"/>
      <c r="X490" s="269"/>
      <c r="Y490" s="269"/>
      <c r="Z490" s="269"/>
      <c r="AA490" s="269"/>
      <c r="AB490" s="269"/>
      <c r="AC490" s="269"/>
    </row>
    <row r="491" spans="1:29" ht="12.75" x14ac:dyDescent="0.2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69"/>
      <c r="N491" s="269"/>
      <c r="O491" s="270"/>
      <c r="P491" s="270"/>
      <c r="Q491" s="270"/>
      <c r="R491" s="203"/>
      <c r="S491" s="203"/>
      <c r="T491" s="203"/>
      <c r="U491" s="269"/>
      <c r="V491" s="269"/>
      <c r="W491" s="269"/>
      <c r="X491" s="269"/>
      <c r="Y491" s="269"/>
      <c r="Z491" s="269"/>
      <c r="AA491" s="269"/>
      <c r="AB491" s="269"/>
      <c r="AC491" s="269"/>
    </row>
    <row r="492" spans="1:29" ht="12.75" x14ac:dyDescent="0.2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69"/>
      <c r="N492" s="269"/>
      <c r="O492" s="270"/>
      <c r="P492" s="270"/>
      <c r="Q492" s="270"/>
      <c r="R492" s="203"/>
      <c r="S492" s="203"/>
      <c r="T492" s="203"/>
      <c r="U492" s="269"/>
      <c r="V492" s="269"/>
      <c r="W492" s="269"/>
      <c r="X492" s="269"/>
      <c r="Y492" s="269"/>
      <c r="Z492" s="269"/>
      <c r="AA492" s="269"/>
      <c r="AB492" s="269"/>
      <c r="AC492" s="269"/>
    </row>
    <row r="493" spans="1:29" ht="12.75" x14ac:dyDescent="0.2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69"/>
      <c r="N493" s="269"/>
      <c r="O493" s="270"/>
      <c r="P493" s="270"/>
      <c r="Q493" s="270"/>
      <c r="R493" s="203"/>
      <c r="S493" s="203"/>
      <c r="T493" s="203"/>
      <c r="U493" s="269"/>
      <c r="V493" s="269"/>
      <c r="W493" s="269"/>
      <c r="X493" s="269"/>
      <c r="Y493" s="269"/>
      <c r="Z493" s="269"/>
      <c r="AA493" s="269"/>
      <c r="AB493" s="269"/>
      <c r="AC493" s="269"/>
    </row>
    <row r="494" spans="1:29" ht="12.75" x14ac:dyDescent="0.2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69"/>
      <c r="N494" s="269"/>
      <c r="O494" s="270"/>
      <c r="P494" s="270"/>
      <c r="Q494" s="270"/>
      <c r="R494" s="203"/>
      <c r="S494" s="203"/>
      <c r="T494" s="203"/>
      <c r="U494" s="269"/>
      <c r="V494" s="269"/>
      <c r="W494" s="269"/>
      <c r="X494" s="269"/>
      <c r="Y494" s="269"/>
      <c r="Z494" s="269"/>
      <c r="AA494" s="269"/>
      <c r="AB494" s="269"/>
      <c r="AC494" s="269"/>
    </row>
    <row r="495" spans="1:29" ht="12.75" x14ac:dyDescent="0.2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69"/>
      <c r="N495" s="269"/>
      <c r="O495" s="270"/>
      <c r="P495" s="270"/>
      <c r="Q495" s="270"/>
      <c r="R495" s="203"/>
      <c r="S495" s="203"/>
      <c r="T495" s="203"/>
      <c r="U495" s="269"/>
      <c r="V495" s="269"/>
      <c r="W495" s="269"/>
      <c r="X495" s="269"/>
      <c r="Y495" s="269"/>
      <c r="Z495" s="269"/>
      <c r="AA495" s="269"/>
      <c r="AB495" s="269"/>
      <c r="AC495" s="269"/>
    </row>
    <row r="496" spans="1:29" ht="12.75" x14ac:dyDescent="0.2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69"/>
      <c r="N496" s="269"/>
      <c r="O496" s="270"/>
      <c r="P496" s="270"/>
      <c r="Q496" s="270"/>
      <c r="R496" s="203"/>
      <c r="S496" s="203"/>
      <c r="T496" s="203"/>
      <c r="U496" s="269"/>
      <c r="V496" s="269"/>
      <c r="W496" s="269"/>
      <c r="X496" s="269"/>
      <c r="Y496" s="269"/>
      <c r="Z496" s="269"/>
      <c r="AA496" s="269"/>
      <c r="AB496" s="269"/>
      <c r="AC496" s="269"/>
    </row>
    <row r="497" spans="1:29" ht="12.75" x14ac:dyDescent="0.2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69"/>
      <c r="N497" s="269"/>
      <c r="O497" s="270"/>
      <c r="P497" s="270"/>
      <c r="Q497" s="270"/>
      <c r="R497" s="203"/>
      <c r="S497" s="203"/>
      <c r="T497" s="203"/>
      <c r="U497" s="269"/>
      <c r="V497" s="269"/>
      <c r="W497" s="269"/>
      <c r="X497" s="269"/>
      <c r="Y497" s="269"/>
      <c r="Z497" s="269"/>
      <c r="AA497" s="269"/>
      <c r="AB497" s="269"/>
      <c r="AC497" s="269"/>
    </row>
    <row r="498" spans="1:29" ht="12.75" x14ac:dyDescent="0.2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69"/>
      <c r="N498" s="269"/>
      <c r="O498" s="270"/>
      <c r="P498" s="270"/>
      <c r="Q498" s="270"/>
      <c r="R498" s="203"/>
      <c r="S498" s="203"/>
      <c r="T498" s="203"/>
      <c r="U498" s="269"/>
      <c r="V498" s="269"/>
      <c r="W498" s="269"/>
      <c r="X498" s="269"/>
      <c r="Y498" s="269"/>
      <c r="Z498" s="269"/>
      <c r="AA498" s="269"/>
      <c r="AB498" s="269"/>
      <c r="AC498" s="269"/>
    </row>
    <row r="499" spans="1:29" ht="12.75" x14ac:dyDescent="0.2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69"/>
      <c r="N499" s="269"/>
      <c r="O499" s="270"/>
      <c r="P499" s="270"/>
      <c r="Q499" s="270"/>
      <c r="R499" s="203"/>
      <c r="S499" s="203"/>
      <c r="T499" s="203"/>
      <c r="U499" s="269"/>
      <c r="V499" s="269"/>
      <c r="W499" s="269"/>
      <c r="X499" s="269"/>
      <c r="Y499" s="269"/>
      <c r="Z499" s="269"/>
      <c r="AA499" s="269"/>
      <c r="AB499" s="269"/>
      <c r="AC499" s="269"/>
    </row>
    <row r="500" spans="1:29" ht="12.75" x14ac:dyDescent="0.2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69"/>
      <c r="N500" s="269"/>
      <c r="O500" s="270"/>
      <c r="P500" s="270"/>
      <c r="Q500" s="270"/>
      <c r="R500" s="203"/>
      <c r="S500" s="203"/>
      <c r="T500" s="203"/>
      <c r="U500" s="269"/>
      <c r="V500" s="269"/>
      <c r="W500" s="269"/>
      <c r="X500" s="269"/>
      <c r="Y500" s="269"/>
      <c r="Z500" s="269"/>
      <c r="AA500" s="269"/>
      <c r="AB500" s="269"/>
      <c r="AC500" s="269"/>
    </row>
    <row r="501" spans="1:29" ht="12.75" x14ac:dyDescent="0.2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69"/>
      <c r="N501" s="269"/>
      <c r="O501" s="270"/>
      <c r="P501" s="270"/>
      <c r="Q501" s="270"/>
      <c r="R501" s="203"/>
      <c r="S501" s="203"/>
      <c r="T501" s="203"/>
      <c r="U501" s="269"/>
      <c r="V501" s="269"/>
      <c r="W501" s="269"/>
      <c r="X501" s="269"/>
      <c r="Y501" s="269"/>
      <c r="Z501" s="269"/>
      <c r="AA501" s="269"/>
      <c r="AB501" s="269"/>
      <c r="AC501" s="269"/>
    </row>
    <row r="502" spans="1:29" ht="12.75" x14ac:dyDescent="0.2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69"/>
      <c r="N502" s="269"/>
      <c r="O502" s="270"/>
      <c r="P502" s="270"/>
      <c r="Q502" s="270"/>
      <c r="R502" s="203"/>
      <c r="S502" s="203"/>
      <c r="T502" s="203"/>
      <c r="U502" s="269"/>
      <c r="V502" s="269"/>
      <c r="W502" s="269"/>
      <c r="X502" s="269"/>
      <c r="Y502" s="269"/>
      <c r="Z502" s="269"/>
      <c r="AA502" s="269"/>
      <c r="AB502" s="269"/>
      <c r="AC502" s="269"/>
    </row>
    <row r="503" spans="1:29" ht="12.75" x14ac:dyDescent="0.2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69"/>
      <c r="N503" s="269"/>
      <c r="O503" s="270"/>
      <c r="P503" s="270"/>
      <c r="Q503" s="270"/>
      <c r="R503" s="203"/>
      <c r="S503" s="203"/>
      <c r="T503" s="203"/>
      <c r="U503" s="269"/>
      <c r="V503" s="269"/>
      <c r="W503" s="269"/>
      <c r="X503" s="269"/>
      <c r="Y503" s="269"/>
      <c r="Z503" s="269"/>
      <c r="AA503" s="269"/>
      <c r="AB503" s="269"/>
      <c r="AC503" s="269"/>
    </row>
    <row r="504" spans="1:29" ht="12.75" x14ac:dyDescent="0.2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69"/>
      <c r="N504" s="269"/>
      <c r="O504" s="270"/>
      <c r="P504" s="270"/>
      <c r="Q504" s="270"/>
      <c r="R504" s="203"/>
      <c r="S504" s="203"/>
      <c r="T504" s="203"/>
      <c r="U504" s="269"/>
      <c r="V504" s="269"/>
      <c r="W504" s="269"/>
      <c r="X504" s="269"/>
      <c r="Y504" s="269"/>
      <c r="Z504" s="269"/>
      <c r="AA504" s="269"/>
      <c r="AB504" s="269"/>
      <c r="AC504" s="269"/>
    </row>
    <row r="505" spans="1:29" ht="12.75" x14ac:dyDescent="0.2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69"/>
      <c r="N505" s="269"/>
      <c r="O505" s="270"/>
      <c r="P505" s="270"/>
      <c r="Q505" s="270"/>
      <c r="R505" s="203"/>
      <c r="S505" s="203"/>
      <c r="T505" s="203"/>
      <c r="U505" s="269"/>
      <c r="V505" s="269"/>
      <c r="W505" s="269"/>
      <c r="X505" s="269"/>
      <c r="Y505" s="269"/>
      <c r="Z505" s="269"/>
      <c r="AA505" s="269"/>
      <c r="AB505" s="269"/>
      <c r="AC505" s="269"/>
    </row>
    <row r="506" spans="1:29" ht="12.75" x14ac:dyDescent="0.2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69"/>
      <c r="N506" s="269"/>
      <c r="O506" s="270"/>
      <c r="P506" s="270"/>
      <c r="Q506" s="270"/>
      <c r="R506" s="203"/>
      <c r="S506" s="203"/>
      <c r="T506" s="203"/>
      <c r="U506" s="269"/>
      <c r="V506" s="269"/>
      <c r="W506" s="269"/>
      <c r="X506" s="269"/>
      <c r="Y506" s="269"/>
      <c r="Z506" s="269"/>
      <c r="AA506" s="269"/>
      <c r="AB506" s="269"/>
      <c r="AC506" s="269"/>
    </row>
    <row r="507" spans="1:29" ht="12.75" x14ac:dyDescent="0.2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69"/>
      <c r="N507" s="269"/>
      <c r="O507" s="270"/>
      <c r="P507" s="270"/>
      <c r="Q507" s="270"/>
      <c r="R507" s="203"/>
      <c r="S507" s="203"/>
      <c r="T507" s="203"/>
      <c r="U507" s="269"/>
      <c r="V507" s="269"/>
      <c r="W507" s="269"/>
      <c r="X507" s="269"/>
      <c r="Y507" s="269"/>
      <c r="Z507" s="269"/>
      <c r="AA507" s="269"/>
      <c r="AB507" s="269"/>
      <c r="AC507" s="269"/>
    </row>
    <row r="508" spans="1:29" ht="12.75" x14ac:dyDescent="0.2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69"/>
      <c r="N508" s="269"/>
      <c r="O508" s="270"/>
      <c r="P508" s="270"/>
      <c r="Q508" s="270"/>
      <c r="R508" s="203"/>
      <c r="S508" s="203"/>
      <c r="T508" s="203"/>
      <c r="U508" s="269"/>
      <c r="V508" s="269"/>
      <c r="W508" s="269"/>
      <c r="X508" s="269"/>
      <c r="Y508" s="269"/>
      <c r="Z508" s="269"/>
      <c r="AA508" s="269"/>
      <c r="AB508" s="269"/>
      <c r="AC508" s="269"/>
    </row>
    <row r="509" spans="1:29" ht="12.75" x14ac:dyDescent="0.2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69"/>
      <c r="N509" s="269"/>
      <c r="O509" s="270"/>
      <c r="P509" s="270"/>
      <c r="Q509" s="270"/>
      <c r="R509" s="203"/>
      <c r="S509" s="203"/>
      <c r="T509" s="203"/>
      <c r="U509" s="269"/>
      <c r="V509" s="269"/>
      <c r="W509" s="269"/>
      <c r="X509" s="269"/>
      <c r="Y509" s="269"/>
      <c r="Z509" s="269"/>
      <c r="AA509" s="269"/>
      <c r="AB509" s="269"/>
      <c r="AC509" s="269"/>
    </row>
    <row r="510" spans="1:29" ht="12.75" x14ac:dyDescent="0.2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69"/>
      <c r="N510" s="269"/>
      <c r="O510" s="270"/>
      <c r="P510" s="270"/>
      <c r="Q510" s="270"/>
      <c r="R510" s="203"/>
      <c r="S510" s="203"/>
      <c r="T510" s="203"/>
      <c r="U510" s="269"/>
      <c r="V510" s="269"/>
      <c r="W510" s="269"/>
      <c r="X510" s="269"/>
      <c r="Y510" s="269"/>
      <c r="Z510" s="269"/>
      <c r="AA510" s="269"/>
      <c r="AB510" s="269"/>
      <c r="AC510" s="269"/>
    </row>
    <row r="511" spans="1:29" ht="12.75" x14ac:dyDescent="0.2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69"/>
      <c r="N511" s="269"/>
      <c r="O511" s="270"/>
      <c r="P511" s="270"/>
      <c r="Q511" s="270"/>
      <c r="R511" s="203"/>
      <c r="S511" s="203"/>
      <c r="T511" s="203"/>
      <c r="U511" s="269"/>
      <c r="V511" s="269"/>
      <c r="W511" s="269"/>
      <c r="X511" s="269"/>
      <c r="Y511" s="269"/>
      <c r="Z511" s="269"/>
      <c r="AA511" s="269"/>
      <c r="AB511" s="269"/>
      <c r="AC511" s="269"/>
    </row>
    <row r="512" spans="1:29" ht="12.75" x14ac:dyDescent="0.2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69"/>
      <c r="N512" s="269"/>
      <c r="O512" s="270"/>
      <c r="P512" s="270"/>
      <c r="Q512" s="270"/>
      <c r="R512" s="203"/>
      <c r="S512" s="203"/>
      <c r="T512" s="203"/>
      <c r="U512" s="269"/>
      <c r="V512" s="269"/>
      <c r="W512" s="269"/>
      <c r="X512" s="269"/>
      <c r="Y512" s="269"/>
      <c r="Z512" s="269"/>
      <c r="AA512" s="269"/>
      <c r="AB512" s="269"/>
      <c r="AC512" s="269"/>
    </row>
    <row r="513" spans="1:29" ht="12.75" x14ac:dyDescent="0.2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69"/>
      <c r="N513" s="269"/>
      <c r="O513" s="270"/>
      <c r="P513" s="270"/>
      <c r="Q513" s="270"/>
      <c r="R513" s="203"/>
      <c r="S513" s="203"/>
      <c r="T513" s="203"/>
      <c r="U513" s="269"/>
      <c r="V513" s="269"/>
      <c r="W513" s="269"/>
      <c r="X513" s="269"/>
      <c r="Y513" s="269"/>
      <c r="Z513" s="269"/>
      <c r="AA513" s="269"/>
      <c r="AB513" s="269"/>
      <c r="AC513" s="269"/>
    </row>
    <row r="514" spans="1:29" ht="12.75" x14ac:dyDescent="0.2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69"/>
      <c r="N514" s="269"/>
      <c r="O514" s="270"/>
      <c r="P514" s="270"/>
      <c r="Q514" s="270"/>
      <c r="R514" s="203"/>
      <c r="S514" s="203"/>
      <c r="T514" s="203"/>
      <c r="U514" s="269"/>
      <c r="V514" s="269"/>
      <c r="W514" s="269"/>
      <c r="X514" s="269"/>
      <c r="Y514" s="269"/>
      <c r="Z514" s="269"/>
      <c r="AA514" s="269"/>
      <c r="AB514" s="269"/>
      <c r="AC514" s="269"/>
    </row>
    <row r="515" spans="1:29" ht="12.75" x14ac:dyDescent="0.2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69"/>
      <c r="N515" s="269"/>
      <c r="O515" s="270"/>
      <c r="P515" s="270"/>
      <c r="Q515" s="270"/>
      <c r="R515" s="203"/>
      <c r="S515" s="203"/>
      <c r="T515" s="203"/>
      <c r="U515" s="269"/>
      <c r="V515" s="269"/>
      <c r="W515" s="269"/>
      <c r="X515" s="269"/>
      <c r="Y515" s="269"/>
      <c r="Z515" s="269"/>
      <c r="AA515" s="269"/>
      <c r="AB515" s="269"/>
      <c r="AC515" s="269"/>
    </row>
    <row r="516" spans="1:29" ht="12.75" x14ac:dyDescent="0.2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69"/>
      <c r="N516" s="269"/>
      <c r="O516" s="270"/>
      <c r="P516" s="270"/>
      <c r="Q516" s="270"/>
      <c r="R516" s="203"/>
      <c r="S516" s="203"/>
      <c r="T516" s="203"/>
      <c r="U516" s="269"/>
      <c r="V516" s="269"/>
      <c r="W516" s="269"/>
      <c r="X516" s="269"/>
      <c r="Y516" s="269"/>
      <c r="Z516" s="269"/>
      <c r="AA516" s="269"/>
      <c r="AB516" s="269"/>
      <c r="AC516" s="269"/>
    </row>
    <row r="517" spans="1:29" ht="12.75" x14ac:dyDescent="0.2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69"/>
      <c r="N517" s="269"/>
      <c r="O517" s="270"/>
      <c r="P517" s="270"/>
      <c r="Q517" s="270"/>
      <c r="R517" s="203"/>
      <c r="S517" s="203"/>
      <c r="T517" s="203"/>
      <c r="U517" s="269"/>
      <c r="V517" s="269"/>
      <c r="W517" s="269"/>
      <c r="X517" s="269"/>
      <c r="Y517" s="269"/>
      <c r="Z517" s="269"/>
      <c r="AA517" s="269"/>
      <c r="AB517" s="269"/>
      <c r="AC517" s="269"/>
    </row>
    <row r="518" spans="1:29" ht="12.75" x14ac:dyDescent="0.2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69"/>
      <c r="N518" s="269"/>
      <c r="O518" s="270"/>
      <c r="P518" s="270"/>
      <c r="Q518" s="270"/>
      <c r="R518" s="203"/>
      <c r="S518" s="203"/>
      <c r="T518" s="203"/>
      <c r="U518" s="269"/>
      <c r="V518" s="269"/>
      <c r="W518" s="269"/>
      <c r="X518" s="269"/>
      <c r="Y518" s="269"/>
      <c r="Z518" s="269"/>
      <c r="AA518" s="269"/>
      <c r="AB518" s="269"/>
      <c r="AC518" s="269"/>
    </row>
    <row r="519" spans="1:29" ht="12.75" x14ac:dyDescent="0.2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69"/>
      <c r="N519" s="269"/>
      <c r="O519" s="270"/>
      <c r="P519" s="270"/>
      <c r="Q519" s="270"/>
      <c r="R519" s="203"/>
      <c r="S519" s="203"/>
      <c r="T519" s="203"/>
      <c r="U519" s="269"/>
      <c r="V519" s="269"/>
      <c r="W519" s="269"/>
      <c r="X519" s="269"/>
      <c r="Y519" s="269"/>
      <c r="Z519" s="269"/>
      <c r="AA519" s="269"/>
      <c r="AB519" s="269"/>
      <c r="AC519" s="269"/>
    </row>
    <row r="520" spans="1:29" ht="12.75" x14ac:dyDescent="0.2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69"/>
      <c r="N520" s="269"/>
      <c r="O520" s="270"/>
      <c r="P520" s="270"/>
      <c r="Q520" s="270"/>
      <c r="R520" s="203"/>
      <c r="S520" s="203"/>
      <c r="T520" s="203"/>
      <c r="U520" s="269"/>
      <c r="V520" s="269"/>
      <c r="W520" s="269"/>
      <c r="X520" s="269"/>
      <c r="Y520" s="269"/>
      <c r="Z520" s="269"/>
      <c r="AA520" s="269"/>
      <c r="AB520" s="269"/>
      <c r="AC520" s="269"/>
    </row>
    <row r="521" spans="1:29" ht="12.75" x14ac:dyDescent="0.2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69"/>
      <c r="N521" s="269"/>
      <c r="O521" s="270"/>
      <c r="P521" s="270"/>
      <c r="Q521" s="270"/>
      <c r="R521" s="203"/>
      <c r="S521" s="203"/>
      <c r="T521" s="203"/>
      <c r="U521" s="269"/>
      <c r="V521" s="269"/>
      <c r="W521" s="269"/>
      <c r="X521" s="269"/>
      <c r="Y521" s="269"/>
      <c r="Z521" s="269"/>
      <c r="AA521" s="269"/>
      <c r="AB521" s="269"/>
      <c r="AC521" s="269"/>
    </row>
    <row r="522" spans="1:29" ht="12.75" x14ac:dyDescent="0.2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69"/>
      <c r="N522" s="269"/>
      <c r="O522" s="270"/>
      <c r="P522" s="270"/>
      <c r="Q522" s="270"/>
      <c r="R522" s="203"/>
      <c r="S522" s="203"/>
      <c r="T522" s="203"/>
      <c r="U522" s="269"/>
      <c r="V522" s="269"/>
      <c r="W522" s="269"/>
      <c r="X522" s="269"/>
      <c r="Y522" s="269"/>
      <c r="Z522" s="269"/>
      <c r="AA522" s="269"/>
      <c r="AB522" s="269"/>
      <c r="AC522" s="269"/>
    </row>
    <row r="523" spans="1:29" ht="12.75" x14ac:dyDescent="0.2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69"/>
      <c r="N523" s="269"/>
      <c r="O523" s="270"/>
      <c r="P523" s="270"/>
      <c r="Q523" s="270"/>
      <c r="R523" s="203"/>
      <c r="S523" s="203"/>
      <c r="T523" s="203"/>
      <c r="U523" s="269"/>
      <c r="V523" s="269"/>
      <c r="W523" s="269"/>
      <c r="X523" s="269"/>
      <c r="Y523" s="269"/>
      <c r="Z523" s="269"/>
      <c r="AA523" s="269"/>
      <c r="AB523" s="269"/>
      <c r="AC523" s="269"/>
    </row>
    <row r="524" spans="1:29" ht="12.75" x14ac:dyDescent="0.2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69"/>
      <c r="N524" s="269"/>
      <c r="O524" s="270"/>
      <c r="P524" s="270"/>
      <c r="Q524" s="270"/>
      <c r="R524" s="203"/>
      <c r="S524" s="203"/>
      <c r="T524" s="203"/>
      <c r="U524" s="269"/>
      <c r="V524" s="269"/>
      <c r="W524" s="269"/>
      <c r="X524" s="269"/>
      <c r="Y524" s="269"/>
      <c r="Z524" s="269"/>
      <c r="AA524" s="269"/>
      <c r="AB524" s="269"/>
      <c r="AC524" s="269"/>
    </row>
    <row r="525" spans="1:29" ht="12.75" x14ac:dyDescent="0.2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69"/>
      <c r="N525" s="269"/>
      <c r="O525" s="270"/>
      <c r="P525" s="270"/>
      <c r="Q525" s="270"/>
      <c r="R525" s="203"/>
      <c r="S525" s="203"/>
      <c r="T525" s="203"/>
      <c r="U525" s="269"/>
      <c r="V525" s="269"/>
      <c r="W525" s="269"/>
      <c r="X525" s="269"/>
      <c r="Y525" s="269"/>
      <c r="Z525" s="269"/>
      <c r="AA525" s="269"/>
      <c r="AB525" s="269"/>
      <c r="AC525" s="269"/>
    </row>
    <row r="526" spans="1:29" ht="12.75" x14ac:dyDescent="0.2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69"/>
      <c r="N526" s="269"/>
      <c r="O526" s="270"/>
      <c r="P526" s="270"/>
      <c r="Q526" s="270"/>
      <c r="R526" s="203"/>
      <c r="S526" s="203"/>
      <c r="T526" s="203"/>
      <c r="U526" s="269"/>
      <c r="V526" s="269"/>
      <c r="W526" s="269"/>
      <c r="X526" s="269"/>
      <c r="Y526" s="269"/>
      <c r="Z526" s="269"/>
      <c r="AA526" s="269"/>
      <c r="AB526" s="269"/>
      <c r="AC526" s="269"/>
    </row>
    <row r="527" spans="1:29" ht="12.75" x14ac:dyDescent="0.2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69"/>
      <c r="N527" s="269"/>
      <c r="O527" s="270"/>
      <c r="P527" s="270"/>
      <c r="Q527" s="270"/>
      <c r="R527" s="203"/>
      <c r="S527" s="203"/>
      <c r="T527" s="203"/>
      <c r="U527" s="269"/>
      <c r="V527" s="269"/>
      <c r="W527" s="269"/>
      <c r="X527" s="269"/>
      <c r="Y527" s="269"/>
      <c r="Z527" s="269"/>
      <c r="AA527" s="269"/>
      <c r="AB527" s="269"/>
      <c r="AC527" s="269"/>
    </row>
    <row r="528" spans="1:29" ht="12.75" x14ac:dyDescent="0.2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69"/>
      <c r="N528" s="269"/>
      <c r="O528" s="270"/>
      <c r="P528" s="270"/>
      <c r="Q528" s="270"/>
      <c r="R528" s="203"/>
      <c r="S528" s="203"/>
      <c r="T528" s="203"/>
      <c r="U528" s="269"/>
      <c r="V528" s="269"/>
      <c r="W528" s="269"/>
      <c r="X528" s="269"/>
      <c r="Y528" s="269"/>
      <c r="Z528" s="269"/>
      <c r="AA528" s="269"/>
      <c r="AB528" s="269"/>
      <c r="AC528" s="269"/>
    </row>
    <row r="529" spans="1:29" ht="12.75" x14ac:dyDescent="0.2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69"/>
      <c r="N529" s="269"/>
      <c r="O529" s="270"/>
      <c r="P529" s="270"/>
      <c r="Q529" s="270"/>
      <c r="R529" s="203"/>
      <c r="S529" s="203"/>
      <c r="T529" s="203"/>
      <c r="U529" s="269"/>
      <c r="V529" s="269"/>
      <c r="W529" s="269"/>
      <c r="X529" s="269"/>
      <c r="Y529" s="269"/>
      <c r="Z529" s="269"/>
      <c r="AA529" s="269"/>
      <c r="AB529" s="269"/>
      <c r="AC529" s="269"/>
    </row>
    <row r="530" spans="1:29" ht="12.75" x14ac:dyDescent="0.2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69"/>
      <c r="N530" s="269"/>
      <c r="O530" s="270"/>
      <c r="P530" s="270"/>
      <c r="Q530" s="270"/>
      <c r="R530" s="203"/>
      <c r="S530" s="203"/>
      <c r="T530" s="203"/>
      <c r="U530" s="269"/>
      <c r="V530" s="269"/>
      <c r="W530" s="269"/>
      <c r="X530" s="269"/>
      <c r="Y530" s="269"/>
      <c r="Z530" s="269"/>
      <c r="AA530" s="269"/>
      <c r="AB530" s="269"/>
      <c r="AC530" s="269"/>
    </row>
    <row r="531" spans="1:29" ht="12.75" x14ac:dyDescent="0.2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69"/>
      <c r="N531" s="269"/>
      <c r="O531" s="270"/>
      <c r="P531" s="270"/>
      <c r="Q531" s="270"/>
      <c r="R531" s="203"/>
      <c r="S531" s="203"/>
      <c r="T531" s="203"/>
      <c r="U531" s="269"/>
      <c r="V531" s="269"/>
      <c r="W531" s="269"/>
      <c r="X531" s="269"/>
      <c r="Y531" s="269"/>
      <c r="Z531" s="269"/>
      <c r="AA531" s="269"/>
      <c r="AB531" s="269"/>
      <c r="AC531" s="269"/>
    </row>
    <row r="532" spans="1:29" ht="12.75" x14ac:dyDescent="0.2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69"/>
      <c r="N532" s="269"/>
      <c r="O532" s="270"/>
      <c r="P532" s="270"/>
      <c r="Q532" s="270"/>
      <c r="R532" s="203"/>
      <c r="S532" s="203"/>
      <c r="T532" s="203"/>
      <c r="U532" s="269"/>
      <c r="V532" s="269"/>
      <c r="W532" s="269"/>
      <c r="X532" s="269"/>
      <c r="Y532" s="269"/>
      <c r="Z532" s="269"/>
      <c r="AA532" s="269"/>
      <c r="AB532" s="269"/>
      <c r="AC532" s="269"/>
    </row>
    <row r="533" spans="1:29" ht="12.75" x14ac:dyDescent="0.2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69"/>
      <c r="N533" s="269"/>
      <c r="O533" s="270"/>
      <c r="P533" s="270"/>
      <c r="Q533" s="270"/>
      <c r="R533" s="203"/>
      <c r="S533" s="203"/>
      <c r="T533" s="203"/>
      <c r="U533" s="269"/>
      <c r="V533" s="269"/>
      <c r="W533" s="269"/>
      <c r="X533" s="269"/>
      <c r="Y533" s="269"/>
      <c r="Z533" s="269"/>
      <c r="AA533" s="269"/>
      <c r="AB533" s="269"/>
      <c r="AC533" s="269"/>
    </row>
    <row r="534" spans="1:29" ht="12.75" x14ac:dyDescent="0.2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69"/>
      <c r="N534" s="269"/>
      <c r="O534" s="270"/>
      <c r="P534" s="270"/>
      <c r="Q534" s="270"/>
      <c r="R534" s="203"/>
      <c r="S534" s="203"/>
      <c r="T534" s="203"/>
      <c r="U534" s="269"/>
      <c r="V534" s="269"/>
      <c r="W534" s="269"/>
      <c r="X534" s="269"/>
      <c r="Y534" s="269"/>
      <c r="Z534" s="269"/>
      <c r="AA534" s="269"/>
      <c r="AB534" s="269"/>
      <c r="AC534" s="269"/>
    </row>
    <row r="535" spans="1:29" ht="12.75" x14ac:dyDescent="0.2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69"/>
      <c r="N535" s="269"/>
      <c r="O535" s="270"/>
      <c r="P535" s="270"/>
      <c r="Q535" s="270"/>
      <c r="R535" s="203"/>
      <c r="S535" s="203"/>
      <c r="T535" s="203"/>
      <c r="U535" s="269"/>
      <c r="V535" s="269"/>
      <c r="W535" s="269"/>
      <c r="X535" s="269"/>
      <c r="Y535" s="269"/>
      <c r="Z535" s="269"/>
      <c r="AA535" s="269"/>
      <c r="AB535" s="269"/>
      <c r="AC535" s="269"/>
    </row>
    <row r="536" spans="1:29" ht="12.75" x14ac:dyDescent="0.2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69"/>
      <c r="N536" s="269"/>
      <c r="O536" s="270"/>
      <c r="P536" s="270"/>
      <c r="Q536" s="270"/>
      <c r="R536" s="203"/>
      <c r="S536" s="203"/>
      <c r="T536" s="203"/>
      <c r="U536" s="269"/>
      <c r="V536" s="269"/>
      <c r="W536" s="269"/>
      <c r="X536" s="269"/>
      <c r="Y536" s="269"/>
      <c r="Z536" s="269"/>
      <c r="AA536" s="269"/>
      <c r="AB536" s="269"/>
      <c r="AC536" s="269"/>
    </row>
    <row r="537" spans="1:29" ht="12.75" x14ac:dyDescent="0.2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69"/>
      <c r="N537" s="269"/>
      <c r="O537" s="270"/>
      <c r="P537" s="270"/>
      <c r="Q537" s="270"/>
      <c r="R537" s="203"/>
      <c r="S537" s="203"/>
      <c r="T537" s="203"/>
      <c r="U537" s="269"/>
      <c r="V537" s="269"/>
      <c r="W537" s="269"/>
      <c r="X537" s="269"/>
      <c r="Y537" s="269"/>
      <c r="Z537" s="269"/>
      <c r="AA537" s="269"/>
      <c r="AB537" s="269"/>
      <c r="AC537" s="269"/>
    </row>
    <row r="538" spans="1:29" ht="12.75" x14ac:dyDescent="0.2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69"/>
      <c r="N538" s="269"/>
      <c r="O538" s="270"/>
      <c r="P538" s="270"/>
      <c r="Q538" s="270"/>
      <c r="R538" s="203"/>
      <c r="S538" s="203"/>
      <c r="T538" s="203"/>
      <c r="U538" s="269"/>
      <c r="V538" s="269"/>
      <c r="W538" s="269"/>
      <c r="X538" s="269"/>
      <c r="Y538" s="269"/>
      <c r="Z538" s="269"/>
      <c r="AA538" s="269"/>
      <c r="AB538" s="269"/>
      <c r="AC538" s="269"/>
    </row>
    <row r="539" spans="1:29" ht="12.75" x14ac:dyDescent="0.2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69"/>
      <c r="N539" s="269"/>
      <c r="O539" s="270"/>
      <c r="P539" s="270"/>
      <c r="Q539" s="270"/>
      <c r="R539" s="203"/>
      <c r="S539" s="203"/>
      <c r="T539" s="203"/>
      <c r="U539" s="269"/>
      <c r="V539" s="269"/>
      <c r="W539" s="269"/>
      <c r="X539" s="269"/>
      <c r="Y539" s="269"/>
      <c r="Z539" s="269"/>
      <c r="AA539" s="269"/>
      <c r="AB539" s="269"/>
      <c r="AC539" s="269"/>
    </row>
    <row r="540" spans="1:29" ht="12.75" x14ac:dyDescent="0.2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69"/>
      <c r="N540" s="269"/>
      <c r="O540" s="270"/>
      <c r="P540" s="270"/>
      <c r="Q540" s="270"/>
      <c r="R540" s="203"/>
      <c r="S540" s="203"/>
      <c r="T540" s="203"/>
      <c r="U540" s="269"/>
      <c r="V540" s="269"/>
      <c r="W540" s="269"/>
      <c r="X540" s="269"/>
      <c r="Y540" s="269"/>
      <c r="Z540" s="269"/>
      <c r="AA540" s="269"/>
      <c r="AB540" s="269"/>
      <c r="AC540" s="269"/>
    </row>
    <row r="541" spans="1:29" ht="12.75" x14ac:dyDescent="0.2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69"/>
      <c r="N541" s="269"/>
      <c r="O541" s="270"/>
      <c r="P541" s="270"/>
      <c r="Q541" s="270"/>
      <c r="R541" s="203"/>
      <c r="S541" s="203"/>
      <c r="T541" s="203"/>
      <c r="U541" s="269"/>
      <c r="V541" s="269"/>
      <c r="W541" s="269"/>
      <c r="X541" s="269"/>
      <c r="Y541" s="269"/>
      <c r="Z541" s="269"/>
      <c r="AA541" s="269"/>
      <c r="AB541" s="269"/>
      <c r="AC541" s="269"/>
    </row>
    <row r="542" spans="1:29" ht="12.75" x14ac:dyDescent="0.2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69"/>
      <c r="N542" s="269"/>
      <c r="O542" s="270"/>
      <c r="P542" s="270"/>
      <c r="Q542" s="270"/>
      <c r="R542" s="203"/>
      <c r="S542" s="203"/>
      <c r="T542" s="203"/>
      <c r="U542" s="269"/>
      <c r="V542" s="269"/>
      <c r="W542" s="269"/>
      <c r="X542" s="269"/>
      <c r="Y542" s="269"/>
      <c r="Z542" s="269"/>
      <c r="AA542" s="269"/>
      <c r="AB542" s="269"/>
      <c r="AC542" s="269"/>
    </row>
    <row r="543" spans="1:29" ht="12.75" x14ac:dyDescent="0.2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69"/>
      <c r="N543" s="269"/>
      <c r="O543" s="270"/>
      <c r="P543" s="270"/>
      <c r="Q543" s="270"/>
      <c r="R543" s="203"/>
      <c r="S543" s="203"/>
      <c r="T543" s="203"/>
      <c r="U543" s="269"/>
      <c r="V543" s="269"/>
      <c r="W543" s="269"/>
      <c r="X543" s="269"/>
      <c r="Y543" s="269"/>
      <c r="Z543" s="269"/>
      <c r="AA543" s="269"/>
      <c r="AB543" s="269"/>
      <c r="AC543" s="269"/>
    </row>
    <row r="544" spans="1:29" ht="12.75" x14ac:dyDescent="0.2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69"/>
      <c r="N544" s="269"/>
      <c r="O544" s="270"/>
      <c r="P544" s="270"/>
      <c r="Q544" s="270"/>
      <c r="R544" s="203"/>
      <c r="S544" s="203"/>
      <c r="T544" s="203"/>
      <c r="U544" s="269"/>
      <c r="V544" s="269"/>
      <c r="W544" s="269"/>
      <c r="X544" s="269"/>
      <c r="Y544" s="269"/>
      <c r="Z544" s="269"/>
      <c r="AA544" s="269"/>
      <c r="AB544" s="269"/>
      <c r="AC544" s="269"/>
    </row>
    <row r="545" spans="1:29" ht="12.75" x14ac:dyDescent="0.2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69"/>
      <c r="N545" s="269"/>
      <c r="O545" s="270"/>
      <c r="P545" s="270"/>
      <c r="Q545" s="270"/>
      <c r="R545" s="203"/>
      <c r="S545" s="203"/>
      <c r="T545" s="203"/>
      <c r="U545" s="269"/>
      <c r="V545" s="269"/>
      <c r="W545" s="269"/>
      <c r="X545" s="269"/>
      <c r="Y545" s="269"/>
      <c r="Z545" s="269"/>
      <c r="AA545" s="269"/>
      <c r="AB545" s="269"/>
      <c r="AC545" s="269"/>
    </row>
    <row r="546" spans="1:29" ht="12.75" x14ac:dyDescent="0.2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69"/>
      <c r="N546" s="269"/>
      <c r="O546" s="270"/>
      <c r="P546" s="270"/>
      <c r="Q546" s="270"/>
      <c r="R546" s="203"/>
      <c r="S546" s="203"/>
      <c r="T546" s="203"/>
      <c r="U546" s="269"/>
      <c r="V546" s="269"/>
      <c r="W546" s="269"/>
      <c r="X546" s="269"/>
      <c r="Y546" s="269"/>
      <c r="Z546" s="269"/>
      <c r="AA546" s="269"/>
      <c r="AB546" s="269"/>
      <c r="AC546" s="269"/>
    </row>
    <row r="547" spans="1:29" ht="12.75" x14ac:dyDescent="0.2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69"/>
      <c r="N547" s="269"/>
      <c r="O547" s="270"/>
      <c r="P547" s="270"/>
      <c r="Q547" s="270"/>
      <c r="R547" s="203"/>
      <c r="S547" s="203"/>
      <c r="T547" s="203"/>
      <c r="U547" s="269"/>
      <c r="V547" s="269"/>
      <c r="W547" s="269"/>
      <c r="X547" s="269"/>
      <c r="Y547" s="269"/>
      <c r="Z547" s="269"/>
      <c r="AA547" s="269"/>
      <c r="AB547" s="269"/>
      <c r="AC547" s="269"/>
    </row>
    <row r="548" spans="1:29" ht="12.75" x14ac:dyDescent="0.2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69"/>
      <c r="N548" s="269"/>
      <c r="O548" s="270"/>
      <c r="P548" s="270"/>
      <c r="Q548" s="270"/>
      <c r="R548" s="203"/>
      <c r="S548" s="203"/>
      <c r="T548" s="203"/>
      <c r="U548" s="269"/>
      <c r="V548" s="269"/>
      <c r="W548" s="269"/>
      <c r="X548" s="269"/>
      <c r="Y548" s="269"/>
      <c r="Z548" s="269"/>
      <c r="AA548" s="269"/>
      <c r="AB548" s="269"/>
      <c r="AC548" s="269"/>
    </row>
    <row r="549" spans="1:29" ht="12.75" x14ac:dyDescent="0.2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69"/>
      <c r="N549" s="269"/>
      <c r="O549" s="270"/>
      <c r="P549" s="270"/>
      <c r="Q549" s="270"/>
      <c r="R549" s="203"/>
      <c r="S549" s="203"/>
      <c r="T549" s="203"/>
      <c r="U549" s="269"/>
      <c r="V549" s="269"/>
      <c r="W549" s="269"/>
      <c r="X549" s="269"/>
      <c r="Y549" s="269"/>
      <c r="Z549" s="269"/>
      <c r="AA549" s="269"/>
      <c r="AB549" s="269"/>
      <c r="AC549" s="269"/>
    </row>
    <row r="550" spans="1:29" ht="12.75" x14ac:dyDescent="0.2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69"/>
      <c r="N550" s="269"/>
      <c r="O550" s="270"/>
      <c r="P550" s="270"/>
      <c r="Q550" s="270"/>
      <c r="R550" s="203"/>
      <c r="S550" s="203"/>
      <c r="T550" s="203"/>
      <c r="U550" s="269"/>
      <c r="V550" s="269"/>
      <c r="W550" s="269"/>
      <c r="X550" s="269"/>
      <c r="Y550" s="269"/>
      <c r="Z550" s="269"/>
      <c r="AA550" s="269"/>
      <c r="AB550" s="269"/>
      <c r="AC550" s="269"/>
    </row>
    <row r="551" spans="1:29" ht="12.75" x14ac:dyDescent="0.2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69"/>
      <c r="N551" s="269"/>
      <c r="O551" s="270"/>
      <c r="P551" s="270"/>
      <c r="Q551" s="270"/>
      <c r="R551" s="203"/>
      <c r="S551" s="203"/>
      <c r="T551" s="203"/>
      <c r="U551" s="269"/>
      <c r="V551" s="269"/>
      <c r="W551" s="269"/>
      <c r="X551" s="269"/>
      <c r="Y551" s="269"/>
      <c r="Z551" s="269"/>
      <c r="AA551" s="269"/>
      <c r="AB551" s="269"/>
      <c r="AC551" s="269"/>
    </row>
    <row r="552" spans="1:29" ht="12.75" x14ac:dyDescent="0.2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69"/>
      <c r="N552" s="269"/>
      <c r="O552" s="270"/>
      <c r="P552" s="270"/>
      <c r="Q552" s="270"/>
      <c r="R552" s="203"/>
      <c r="S552" s="203"/>
      <c r="T552" s="203"/>
      <c r="U552" s="269"/>
      <c r="V552" s="269"/>
      <c r="W552" s="269"/>
      <c r="X552" s="269"/>
      <c r="Y552" s="269"/>
      <c r="Z552" s="269"/>
      <c r="AA552" s="269"/>
      <c r="AB552" s="269"/>
      <c r="AC552" s="269"/>
    </row>
    <row r="553" spans="1:29" ht="12.75" x14ac:dyDescent="0.2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69"/>
      <c r="N553" s="269"/>
      <c r="O553" s="270"/>
      <c r="P553" s="270"/>
      <c r="Q553" s="270"/>
      <c r="R553" s="203"/>
      <c r="S553" s="203"/>
      <c r="T553" s="203"/>
      <c r="U553" s="269"/>
      <c r="V553" s="269"/>
      <c r="W553" s="269"/>
      <c r="X553" s="269"/>
      <c r="Y553" s="269"/>
      <c r="Z553" s="269"/>
      <c r="AA553" s="269"/>
      <c r="AB553" s="269"/>
      <c r="AC553" s="269"/>
    </row>
    <row r="554" spans="1:29" ht="12.75" x14ac:dyDescent="0.2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69"/>
      <c r="N554" s="269"/>
      <c r="O554" s="270"/>
      <c r="P554" s="270"/>
      <c r="Q554" s="270"/>
      <c r="R554" s="203"/>
      <c r="S554" s="203"/>
      <c r="T554" s="203"/>
      <c r="U554" s="269"/>
      <c r="V554" s="269"/>
      <c r="W554" s="269"/>
      <c r="X554" s="269"/>
      <c r="Y554" s="269"/>
      <c r="Z554" s="269"/>
      <c r="AA554" s="269"/>
      <c r="AB554" s="269"/>
      <c r="AC554" s="269"/>
    </row>
    <row r="555" spans="1:29" ht="12.75" x14ac:dyDescent="0.2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69"/>
      <c r="N555" s="269"/>
      <c r="O555" s="270"/>
      <c r="P555" s="270"/>
      <c r="Q555" s="270"/>
      <c r="R555" s="203"/>
      <c r="S555" s="203"/>
      <c r="T555" s="203"/>
      <c r="U555" s="269"/>
      <c r="V555" s="269"/>
      <c r="W555" s="269"/>
      <c r="X555" s="269"/>
      <c r="Y555" s="269"/>
      <c r="Z555" s="269"/>
      <c r="AA555" s="269"/>
      <c r="AB555" s="269"/>
      <c r="AC555" s="269"/>
    </row>
    <row r="556" spans="1:29" ht="12.75" x14ac:dyDescent="0.2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69"/>
      <c r="N556" s="269"/>
      <c r="O556" s="270"/>
      <c r="P556" s="270"/>
      <c r="Q556" s="270"/>
      <c r="R556" s="203"/>
      <c r="S556" s="203"/>
      <c r="T556" s="203"/>
      <c r="U556" s="269"/>
      <c r="V556" s="269"/>
      <c r="W556" s="269"/>
      <c r="X556" s="269"/>
      <c r="Y556" s="269"/>
      <c r="Z556" s="269"/>
      <c r="AA556" s="269"/>
      <c r="AB556" s="269"/>
      <c r="AC556" s="269"/>
    </row>
    <row r="557" spans="1:29" ht="12.75" x14ac:dyDescent="0.2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69"/>
      <c r="N557" s="269"/>
      <c r="O557" s="270"/>
      <c r="P557" s="270"/>
      <c r="Q557" s="270"/>
      <c r="R557" s="203"/>
      <c r="S557" s="203"/>
      <c r="T557" s="203"/>
      <c r="U557" s="269"/>
      <c r="V557" s="269"/>
      <c r="W557" s="269"/>
      <c r="X557" s="269"/>
      <c r="Y557" s="269"/>
      <c r="Z557" s="269"/>
      <c r="AA557" s="269"/>
      <c r="AB557" s="269"/>
      <c r="AC557" s="269"/>
    </row>
    <row r="558" spans="1:29" ht="12.75" x14ac:dyDescent="0.2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69"/>
      <c r="N558" s="269"/>
      <c r="O558" s="270"/>
      <c r="P558" s="270"/>
      <c r="Q558" s="270"/>
      <c r="R558" s="203"/>
      <c r="S558" s="203"/>
      <c r="T558" s="203"/>
      <c r="U558" s="269"/>
      <c r="V558" s="269"/>
      <c r="W558" s="269"/>
      <c r="X558" s="269"/>
      <c r="Y558" s="269"/>
      <c r="Z558" s="269"/>
      <c r="AA558" s="269"/>
      <c r="AB558" s="269"/>
      <c r="AC558" s="269"/>
    </row>
    <row r="559" spans="1:29" ht="12.75" x14ac:dyDescent="0.2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69"/>
      <c r="N559" s="269"/>
      <c r="O559" s="270"/>
      <c r="P559" s="270"/>
      <c r="Q559" s="270"/>
      <c r="R559" s="203"/>
      <c r="S559" s="203"/>
      <c r="T559" s="203"/>
      <c r="U559" s="269"/>
      <c r="V559" s="269"/>
      <c r="W559" s="269"/>
      <c r="X559" s="269"/>
      <c r="Y559" s="269"/>
      <c r="Z559" s="269"/>
      <c r="AA559" s="269"/>
      <c r="AB559" s="269"/>
      <c r="AC559" s="269"/>
    </row>
    <row r="560" spans="1:29" ht="12.75" x14ac:dyDescent="0.2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69"/>
      <c r="N560" s="269"/>
      <c r="O560" s="270"/>
      <c r="P560" s="270"/>
      <c r="Q560" s="270"/>
      <c r="R560" s="203"/>
      <c r="S560" s="203"/>
      <c r="T560" s="203"/>
      <c r="U560" s="269"/>
      <c r="V560" s="269"/>
      <c r="W560" s="269"/>
      <c r="X560" s="269"/>
      <c r="Y560" s="269"/>
      <c r="Z560" s="269"/>
      <c r="AA560" s="269"/>
      <c r="AB560" s="269"/>
      <c r="AC560" s="269"/>
    </row>
    <row r="561" spans="1:29" ht="12.75" x14ac:dyDescent="0.2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69"/>
      <c r="N561" s="269"/>
      <c r="O561" s="270"/>
      <c r="P561" s="270"/>
      <c r="Q561" s="270"/>
      <c r="R561" s="203"/>
      <c r="S561" s="203"/>
      <c r="T561" s="203"/>
      <c r="U561" s="269"/>
      <c r="V561" s="269"/>
      <c r="W561" s="269"/>
      <c r="X561" s="269"/>
      <c r="Y561" s="269"/>
      <c r="Z561" s="269"/>
      <c r="AA561" s="269"/>
      <c r="AB561" s="269"/>
      <c r="AC561" s="269"/>
    </row>
    <row r="562" spans="1:29" ht="12.75" x14ac:dyDescent="0.2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69"/>
      <c r="N562" s="269"/>
      <c r="O562" s="270"/>
      <c r="P562" s="270"/>
      <c r="Q562" s="270"/>
      <c r="R562" s="203"/>
      <c r="S562" s="203"/>
      <c r="T562" s="203"/>
      <c r="U562" s="269"/>
      <c r="V562" s="269"/>
      <c r="W562" s="269"/>
      <c r="X562" s="269"/>
      <c r="Y562" s="269"/>
      <c r="Z562" s="269"/>
      <c r="AA562" s="269"/>
      <c r="AB562" s="269"/>
      <c r="AC562" s="269"/>
    </row>
    <row r="563" spans="1:29" ht="12.75" x14ac:dyDescent="0.2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69"/>
      <c r="N563" s="269"/>
      <c r="O563" s="270"/>
      <c r="P563" s="270"/>
      <c r="Q563" s="270"/>
      <c r="R563" s="203"/>
      <c r="S563" s="203"/>
      <c r="T563" s="203"/>
      <c r="U563" s="269"/>
      <c r="V563" s="269"/>
      <c r="W563" s="269"/>
      <c r="X563" s="269"/>
      <c r="Y563" s="269"/>
      <c r="Z563" s="269"/>
      <c r="AA563" s="269"/>
      <c r="AB563" s="269"/>
      <c r="AC563" s="269"/>
    </row>
    <row r="564" spans="1:29" ht="12.75" x14ac:dyDescent="0.2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69"/>
      <c r="N564" s="269"/>
      <c r="O564" s="270"/>
      <c r="P564" s="270"/>
      <c r="Q564" s="270"/>
      <c r="R564" s="203"/>
      <c r="S564" s="203"/>
      <c r="T564" s="203"/>
      <c r="U564" s="269"/>
      <c r="V564" s="269"/>
      <c r="W564" s="269"/>
      <c r="X564" s="269"/>
      <c r="Y564" s="269"/>
      <c r="Z564" s="269"/>
      <c r="AA564" s="269"/>
      <c r="AB564" s="269"/>
      <c r="AC564" s="269"/>
    </row>
    <row r="565" spans="1:29" ht="12.75" x14ac:dyDescent="0.2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69"/>
      <c r="N565" s="269"/>
      <c r="O565" s="270"/>
      <c r="P565" s="270"/>
      <c r="Q565" s="270"/>
      <c r="R565" s="203"/>
      <c r="S565" s="203"/>
      <c r="T565" s="203"/>
      <c r="U565" s="269"/>
      <c r="V565" s="269"/>
      <c r="W565" s="269"/>
      <c r="X565" s="269"/>
      <c r="Y565" s="269"/>
      <c r="Z565" s="269"/>
      <c r="AA565" s="269"/>
      <c r="AB565" s="269"/>
      <c r="AC565" s="269"/>
    </row>
    <row r="566" spans="1:29" ht="12.75" x14ac:dyDescent="0.2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69"/>
      <c r="N566" s="269"/>
      <c r="O566" s="270"/>
      <c r="P566" s="270"/>
      <c r="Q566" s="270"/>
      <c r="R566" s="203"/>
      <c r="S566" s="203"/>
      <c r="T566" s="203"/>
      <c r="U566" s="269"/>
      <c r="V566" s="269"/>
      <c r="W566" s="269"/>
      <c r="X566" s="269"/>
      <c r="Y566" s="269"/>
      <c r="Z566" s="269"/>
      <c r="AA566" s="269"/>
      <c r="AB566" s="269"/>
      <c r="AC566" s="269"/>
    </row>
    <row r="567" spans="1:29" ht="12.75" x14ac:dyDescent="0.2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69"/>
      <c r="N567" s="269"/>
      <c r="O567" s="270"/>
      <c r="P567" s="270"/>
      <c r="Q567" s="270"/>
      <c r="R567" s="203"/>
      <c r="S567" s="203"/>
      <c r="T567" s="203"/>
      <c r="U567" s="269"/>
      <c r="V567" s="269"/>
      <c r="W567" s="269"/>
      <c r="X567" s="269"/>
      <c r="Y567" s="269"/>
      <c r="Z567" s="269"/>
      <c r="AA567" s="269"/>
      <c r="AB567" s="269"/>
      <c r="AC567" s="269"/>
    </row>
    <row r="568" spans="1:29" ht="12.75" x14ac:dyDescent="0.2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69"/>
      <c r="N568" s="269"/>
      <c r="O568" s="270"/>
      <c r="P568" s="270"/>
      <c r="Q568" s="270"/>
      <c r="R568" s="203"/>
      <c r="S568" s="203"/>
      <c r="T568" s="203"/>
      <c r="U568" s="269"/>
      <c r="V568" s="269"/>
      <c r="W568" s="269"/>
      <c r="X568" s="269"/>
      <c r="Y568" s="269"/>
      <c r="Z568" s="269"/>
      <c r="AA568" s="269"/>
      <c r="AB568" s="269"/>
      <c r="AC568" s="269"/>
    </row>
    <row r="569" spans="1:29" ht="12.75" x14ac:dyDescent="0.2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69"/>
      <c r="N569" s="269"/>
      <c r="O569" s="270"/>
      <c r="P569" s="270"/>
      <c r="Q569" s="270"/>
      <c r="R569" s="203"/>
      <c r="S569" s="203"/>
      <c r="T569" s="203"/>
      <c r="U569" s="269"/>
      <c r="V569" s="269"/>
      <c r="W569" s="269"/>
      <c r="X569" s="269"/>
      <c r="Y569" s="269"/>
      <c r="Z569" s="269"/>
      <c r="AA569" s="269"/>
      <c r="AB569" s="269"/>
      <c r="AC569" s="269"/>
    </row>
    <row r="570" spans="1:29" ht="12.75" x14ac:dyDescent="0.2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69"/>
      <c r="N570" s="269"/>
      <c r="O570" s="270"/>
      <c r="P570" s="270"/>
      <c r="Q570" s="270"/>
      <c r="R570" s="203"/>
      <c r="S570" s="203"/>
      <c r="T570" s="203"/>
      <c r="U570" s="269"/>
      <c r="V570" s="269"/>
      <c r="W570" s="269"/>
      <c r="X570" s="269"/>
      <c r="Y570" s="269"/>
      <c r="Z570" s="269"/>
      <c r="AA570" s="269"/>
      <c r="AB570" s="269"/>
      <c r="AC570" s="269"/>
    </row>
    <row r="571" spans="1:29" ht="12.75" x14ac:dyDescent="0.2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69"/>
      <c r="N571" s="269"/>
      <c r="O571" s="270"/>
      <c r="P571" s="270"/>
      <c r="Q571" s="270"/>
      <c r="R571" s="203"/>
      <c r="S571" s="203"/>
      <c r="T571" s="203"/>
      <c r="U571" s="269"/>
      <c r="V571" s="269"/>
      <c r="W571" s="269"/>
      <c r="X571" s="269"/>
      <c r="Y571" s="269"/>
      <c r="Z571" s="269"/>
      <c r="AA571" s="269"/>
      <c r="AB571" s="269"/>
      <c r="AC571" s="269"/>
    </row>
    <row r="572" spans="1:29" ht="12.75" x14ac:dyDescent="0.2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69"/>
      <c r="N572" s="269"/>
      <c r="O572" s="270"/>
      <c r="P572" s="270"/>
      <c r="Q572" s="270"/>
      <c r="R572" s="203"/>
      <c r="S572" s="203"/>
      <c r="T572" s="203"/>
      <c r="U572" s="269"/>
      <c r="V572" s="269"/>
      <c r="W572" s="269"/>
      <c r="X572" s="269"/>
      <c r="Y572" s="269"/>
      <c r="Z572" s="269"/>
      <c r="AA572" s="269"/>
      <c r="AB572" s="269"/>
      <c r="AC572" s="269"/>
    </row>
    <row r="573" spans="1:29" ht="12.75" x14ac:dyDescent="0.2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69"/>
      <c r="N573" s="269"/>
      <c r="O573" s="270"/>
      <c r="P573" s="270"/>
      <c r="Q573" s="270"/>
      <c r="R573" s="203"/>
      <c r="S573" s="203"/>
      <c r="T573" s="203"/>
      <c r="U573" s="269"/>
      <c r="V573" s="269"/>
      <c r="W573" s="269"/>
      <c r="X573" s="269"/>
      <c r="Y573" s="269"/>
      <c r="Z573" s="269"/>
      <c r="AA573" s="269"/>
      <c r="AB573" s="269"/>
      <c r="AC573" s="269"/>
    </row>
    <row r="574" spans="1:29" ht="12.75" x14ac:dyDescent="0.2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69"/>
      <c r="N574" s="269"/>
      <c r="O574" s="270"/>
      <c r="P574" s="270"/>
      <c r="Q574" s="270"/>
      <c r="R574" s="203"/>
      <c r="S574" s="203"/>
      <c r="T574" s="203"/>
      <c r="U574" s="269"/>
      <c r="V574" s="269"/>
      <c r="W574" s="269"/>
      <c r="X574" s="269"/>
      <c r="Y574" s="269"/>
      <c r="Z574" s="269"/>
      <c r="AA574" s="269"/>
      <c r="AB574" s="269"/>
      <c r="AC574" s="269"/>
    </row>
    <row r="575" spans="1:29" ht="12.75" x14ac:dyDescent="0.2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69"/>
      <c r="N575" s="269"/>
      <c r="O575" s="270"/>
      <c r="P575" s="270"/>
      <c r="Q575" s="270"/>
      <c r="R575" s="203"/>
      <c r="S575" s="203"/>
      <c r="T575" s="203"/>
      <c r="U575" s="269"/>
      <c r="V575" s="269"/>
      <c r="W575" s="269"/>
      <c r="X575" s="269"/>
      <c r="Y575" s="269"/>
      <c r="Z575" s="269"/>
      <c r="AA575" s="269"/>
      <c r="AB575" s="269"/>
      <c r="AC575" s="269"/>
    </row>
    <row r="576" spans="1:29" ht="12.75" x14ac:dyDescent="0.2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69"/>
      <c r="N576" s="269"/>
      <c r="O576" s="270"/>
      <c r="P576" s="270"/>
      <c r="Q576" s="270"/>
      <c r="R576" s="203"/>
      <c r="S576" s="203"/>
      <c r="T576" s="203"/>
      <c r="U576" s="269"/>
      <c r="V576" s="269"/>
      <c r="W576" s="269"/>
      <c r="X576" s="269"/>
      <c r="Y576" s="269"/>
      <c r="Z576" s="269"/>
      <c r="AA576" s="269"/>
      <c r="AB576" s="269"/>
      <c r="AC576" s="269"/>
    </row>
    <row r="577" spans="1:29" ht="12.75" x14ac:dyDescent="0.2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69"/>
      <c r="N577" s="269"/>
      <c r="O577" s="270"/>
      <c r="P577" s="270"/>
      <c r="Q577" s="270"/>
      <c r="R577" s="203"/>
      <c r="S577" s="203"/>
      <c r="T577" s="203"/>
      <c r="U577" s="269"/>
      <c r="V577" s="269"/>
      <c r="W577" s="269"/>
      <c r="X577" s="269"/>
      <c r="Y577" s="269"/>
      <c r="Z577" s="269"/>
      <c r="AA577" s="269"/>
      <c r="AB577" s="269"/>
      <c r="AC577" s="269"/>
    </row>
    <row r="578" spans="1:29" ht="12.75" x14ac:dyDescent="0.2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69"/>
      <c r="N578" s="269"/>
      <c r="O578" s="270"/>
      <c r="P578" s="270"/>
      <c r="Q578" s="270"/>
      <c r="R578" s="203"/>
      <c r="S578" s="203"/>
      <c r="T578" s="203"/>
      <c r="U578" s="269"/>
      <c r="V578" s="269"/>
      <c r="W578" s="269"/>
      <c r="X578" s="269"/>
      <c r="Y578" s="269"/>
      <c r="Z578" s="269"/>
      <c r="AA578" s="269"/>
      <c r="AB578" s="269"/>
      <c r="AC578" s="269"/>
    </row>
    <row r="579" spans="1:29" ht="12.75" x14ac:dyDescent="0.2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69"/>
      <c r="N579" s="269"/>
      <c r="O579" s="270"/>
      <c r="P579" s="270"/>
      <c r="Q579" s="270"/>
      <c r="R579" s="203"/>
      <c r="S579" s="203"/>
      <c r="T579" s="203"/>
      <c r="U579" s="269"/>
      <c r="V579" s="269"/>
      <c r="W579" s="269"/>
      <c r="X579" s="269"/>
      <c r="Y579" s="269"/>
      <c r="Z579" s="269"/>
      <c r="AA579" s="269"/>
      <c r="AB579" s="269"/>
      <c r="AC579" s="269"/>
    </row>
    <row r="580" spans="1:29" ht="12.75" x14ac:dyDescent="0.2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69"/>
      <c r="N580" s="269"/>
      <c r="O580" s="270"/>
      <c r="P580" s="270"/>
      <c r="Q580" s="270"/>
      <c r="R580" s="203"/>
      <c r="S580" s="203"/>
      <c r="T580" s="203"/>
      <c r="U580" s="269"/>
      <c r="V580" s="269"/>
      <c r="W580" s="269"/>
      <c r="X580" s="269"/>
      <c r="Y580" s="269"/>
      <c r="Z580" s="269"/>
      <c r="AA580" s="269"/>
      <c r="AB580" s="269"/>
      <c r="AC580" s="269"/>
    </row>
    <row r="581" spans="1:29" ht="12.75" x14ac:dyDescent="0.2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69"/>
      <c r="N581" s="269"/>
      <c r="O581" s="270"/>
      <c r="P581" s="270"/>
      <c r="Q581" s="270"/>
      <c r="R581" s="203"/>
      <c r="S581" s="203"/>
      <c r="T581" s="203"/>
      <c r="U581" s="269"/>
      <c r="V581" s="269"/>
      <c r="W581" s="269"/>
      <c r="X581" s="269"/>
      <c r="Y581" s="269"/>
      <c r="Z581" s="269"/>
      <c r="AA581" s="269"/>
      <c r="AB581" s="269"/>
      <c r="AC581" s="269"/>
    </row>
    <row r="582" spans="1:29" ht="12.75" x14ac:dyDescent="0.2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69"/>
      <c r="N582" s="269"/>
      <c r="O582" s="270"/>
      <c r="P582" s="270"/>
      <c r="Q582" s="270"/>
      <c r="R582" s="203"/>
      <c r="S582" s="203"/>
      <c r="T582" s="203"/>
      <c r="U582" s="269"/>
      <c r="V582" s="269"/>
      <c r="W582" s="269"/>
      <c r="X582" s="269"/>
      <c r="Y582" s="269"/>
      <c r="Z582" s="269"/>
      <c r="AA582" s="269"/>
      <c r="AB582" s="269"/>
      <c r="AC582" s="269"/>
    </row>
    <row r="583" spans="1:29" ht="12.75" x14ac:dyDescent="0.2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69"/>
      <c r="N583" s="269"/>
      <c r="O583" s="270"/>
      <c r="P583" s="270"/>
      <c r="Q583" s="270"/>
      <c r="R583" s="203"/>
      <c r="S583" s="203"/>
      <c r="T583" s="203"/>
      <c r="U583" s="269"/>
      <c r="V583" s="269"/>
      <c r="W583" s="269"/>
      <c r="X583" s="269"/>
      <c r="Y583" s="269"/>
      <c r="Z583" s="269"/>
      <c r="AA583" s="269"/>
      <c r="AB583" s="269"/>
      <c r="AC583" s="269"/>
    </row>
    <row r="584" spans="1:29" ht="12.75" x14ac:dyDescent="0.2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69"/>
      <c r="N584" s="269"/>
      <c r="O584" s="270"/>
      <c r="P584" s="270"/>
      <c r="Q584" s="270"/>
      <c r="R584" s="203"/>
      <c r="S584" s="203"/>
      <c r="T584" s="203"/>
      <c r="U584" s="269"/>
      <c r="V584" s="269"/>
      <c r="W584" s="269"/>
      <c r="X584" s="269"/>
      <c r="Y584" s="269"/>
      <c r="Z584" s="269"/>
      <c r="AA584" s="269"/>
      <c r="AB584" s="269"/>
      <c r="AC584" s="269"/>
    </row>
    <row r="585" spans="1:29" ht="12.75" x14ac:dyDescent="0.2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69"/>
      <c r="N585" s="269"/>
      <c r="O585" s="270"/>
      <c r="P585" s="270"/>
      <c r="Q585" s="270"/>
      <c r="R585" s="203"/>
      <c r="S585" s="203"/>
      <c r="T585" s="203"/>
      <c r="U585" s="269"/>
      <c r="V585" s="269"/>
      <c r="W585" s="269"/>
      <c r="X585" s="269"/>
      <c r="Y585" s="269"/>
      <c r="Z585" s="269"/>
      <c r="AA585" s="269"/>
      <c r="AB585" s="269"/>
      <c r="AC585" s="269"/>
    </row>
    <row r="586" spans="1:29" ht="12.75" x14ac:dyDescent="0.2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69"/>
      <c r="N586" s="269"/>
      <c r="O586" s="270"/>
      <c r="P586" s="270"/>
      <c r="Q586" s="270"/>
      <c r="R586" s="203"/>
      <c r="S586" s="203"/>
      <c r="T586" s="203"/>
      <c r="U586" s="269"/>
      <c r="V586" s="269"/>
      <c r="W586" s="269"/>
      <c r="X586" s="269"/>
      <c r="Y586" s="269"/>
      <c r="Z586" s="269"/>
      <c r="AA586" s="269"/>
      <c r="AB586" s="269"/>
      <c r="AC586" s="269"/>
    </row>
    <row r="587" spans="1:29" ht="12.75" x14ac:dyDescent="0.2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69"/>
      <c r="N587" s="269"/>
      <c r="O587" s="270"/>
      <c r="P587" s="270"/>
      <c r="Q587" s="270"/>
      <c r="R587" s="203"/>
      <c r="S587" s="203"/>
      <c r="T587" s="203"/>
      <c r="U587" s="269"/>
      <c r="V587" s="269"/>
      <c r="W587" s="269"/>
      <c r="X587" s="269"/>
      <c r="Y587" s="269"/>
      <c r="Z587" s="269"/>
      <c r="AA587" s="269"/>
      <c r="AB587" s="269"/>
      <c r="AC587" s="269"/>
    </row>
    <row r="588" spans="1:29" ht="12.75" x14ac:dyDescent="0.2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69"/>
      <c r="N588" s="269"/>
      <c r="O588" s="270"/>
      <c r="P588" s="270"/>
      <c r="Q588" s="270"/>
      <c r="R588" s="203"/>
      <c r="S588" s="203"/>
      <c r="T588" s="203"/>
      <c r="U588" s="269"/>
      <c r="V588" s="269"/>
      <c r="W588" s="269"/>
      <c r="X588" s="269"/>
      <c r="Y588" s="269"/>
      <c r="Z588" s="269"/>
      <c r="AA588" s="269"/>
      <c r="AB588" s="269"/>
      <c r="AC588" s="269"/>
    </row>
    <row r="589" spans="1:29" ht="12.75" x14ac:dyDescent="0.2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69"/>
      <c r="N589" s="269"/>
      <c r="O589" s="270"/>
      <c r="P589" s="270"/>
      <c r="Q589" s="270"/>
      <c r="R589" s="203"/>
      <c r="S589" s="203"/>
      <c r="T589" s="203"/>
      <c r="U589" s="269"/>
      <c r="V589" s="269"/>
      <c r="W589" s="269"/>
      <c r="X589" s="269"/>
      <c r="Y589" s="269"/>
      <c r="Z589" s="269"/>
      <c r="AA589" s="269"/>
      <c r="AB589" s="269"/>
      <c r="AC589" s="269"/>
    </row>
    <row r="590" spans="1:29" ht="12.75" x14ac:dyDescent="0.2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69"/>
      <c r="N590" s="269"/>
      <c r="O590" s="270"/>
      <c r="P590" s="270"/>
      <c r="Q590" s="270"/>
      <c r="R590" s="203"/>
      <c r="S590" s="203"/>
      <c r="T590" s="203"/>
      <c r="U590" s="269"/>
      <c r="V590" s="269"/>
      <c r="W590" s="269"/>
      <c r="X590" s="269"/>
      <c r="Y590" s="269"/>
      <c r="Z590" s="269"/>
      <c r="AA590" s="269"/>
      <c r="AB590" s="269"/>
      <c r="AC590" s="269"/>
    </row>
    <row r="591" spans="1:29" ht="12.75" x14ac:dyDescent="0.2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69"/>
      <c r="N591" s="269"/>
      <c r="O591" s="270"/>
      <c r="P591" s="270"/>
      <c r="Q591" s="270"/>
      <c r="R591" s="203"/>
      <c r="S591" s="203"/>
      <c r="T591" s="203"/>
      <c r="U591" s="269"/>
      <c r="V591" s="269"/>
      <c r="W591" s="269"/>
      <c r="X591" s="269"/>
      <c r="Y591" s="269"/>
      <c r="Z591" s="269"/>
      <c r="AA591" s="269"/>
      <c r="AB591" s="269"/>
      <c r="AC591" s="269"/>
    </row>
    <row r="592" spans="1:29" ht="12.75" x14ac:dyDescent="0.2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69"/>
      <c r="N592" s="269"/>
      <c r="O592" s="270"/>
      <c r="P592" s="270"/>
      <c r="Q592" s="270"/>
      <c r="R592" s="203"/>
      <c r="S592" s="203"/>
      <c r="T592" s="203"/>
      <c r="U592" s="269"/>
      <c r="V592" s="269"/>
      <c r="W592" s="269"/>
      <c r="X592" s="269"/>
      <c r="Y592" s="269"/>
      <c r="Z592" s="269"/>
      <c r="AA592" s="269"/>
      <c r="AB592" s="269"/>
      <c r="AC592" s="269"/>
    </row>
    <row r="593" spans="1:29" ht="12.75" x14ac:dyDescent="0.2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69"/>
      <c r="N593" s="269"/>
      <c r="O593" s="270"/>
      <c r="P593" s="270"/>
      <c r="Q593" s="270"/>
      <c r="R593" s="203"/>
      <c r="S593" s="203"/>
      <c r="T593" s="203"/>
      <c r="U593" s="269"/>
      <c r="V593" s="269"/>
      <c r="W593" s="269"/>
      <c r="X593" s="269"/>
      <c r="Y593" s="269"/>
      <c r="Z593" s="269"/>
      <c r="AA593" s="269"/>
      <c r="AB593" s="269"/>
      <c r="AC593" s="269"/>
    </row>
    <row r="594" spans="1:29" ht="12.75" x14ac:dyDescent="0.2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69"/>
      <c r="N594" s="269"/>
      <c r="O594" s="270"/>
      <c r="P594" s="270"/>
      <c r="Q594" s="270"/>
      <c r="R594" s="203"/>
      <c r="S594" s="203"/>
      <c r="T594" s="203"/>
      <c r="U594" s="269"/>
      <c r="V594" s="269"/>
      <c r="W594" s="269"/>
      <c r="X594" s="269"/>
      <c r="Y594" s="269"/>
      <c r="Z594" s="269"/>
      <c r="AA594" s="269"/>
      <c r="AB594" s="269"/>
      <c r="AC594" s="269"/>
    </row>
    <row r="595" spans="1:29" ht="12.75" x14ac:dyDescent="0.2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69"/>
      <c r="N595" s="269"/>
      <c r="O595" s="270"/>
      <c r="P595" s="270"/>
      <c r="Q595" s="270"/>
      <c r="R595" s="203"/>
      <c r="S595" s="203"/>
      <c r="T595" s="203"/>
      <c r="U595" s="269"/>
      <c r="V595" s="269"/>
      <c r="W595" s="269"/>
      <c r="X595" s="269"/>
      <c r="Y595" s="269"/>
      <c r="Z595" s="269"/>
      <c r="AA595" s="269"/>
      <c r="AB595" s="269"/>
      <c r="AC595" s="269"/>
    </row>
    <row r="596" spans="1:29" ht="12.75" x14ac:dyDescent="0.2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69"/>
      <c r="N596" s="269"/>
      <c r="O596" s="270"/>
      <c r="P596" s="270"/>
      <c r="Q596" s="270"/>
      <c r="R596" s="203"/>
      <c r="S596" s="203"/>
      <c r="T596" s="203"/>
      <c r="U596" s="269"/>
      <c r="V596" s="269"/>
      <c r="W596" s="269"/>
      <c r="X596" s="269"/>
      <c r="Y596" s="269"/>
      <c r="Z596" s="269"/>
      <c r="AA596" s="269"/>
      <c r="AB596" s="269"/>
      <c r="AC596" s="269"/>
    </row>
    <row r="597" spans="1:29" ht="12.75" x14ac:dyDescent="0.2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69"/>
      <c r="N597" s="269"/>
      <c r="O597" s="270"/>
      <c r="P597" s="270"/>
      <c r="Q597" s="270"/>
      <c r="R597" s="203"/>
      <c r="S597" s="203"/>
      <c r="T597" s="203"/>
      <c r="U597" s="269"/>
      <c r="V597" s="269"/>
      <c r="W597" s="269"/>
      <c r="X597" s="269"/>
      <c r="Y597" s="269"/>
      <c r="Z597" s="269"/>
      <c r="AA597" s="269"/>
      <c r="AB597" s="269"/>
      <c r="AC597" s="269"/>
    </row>
    <row r="598" spans="1:29" ht="12.75" x14ac:dyDescent="0.2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69"/>
      <c r="N598" s="269"/>
      <c r="O598" s="270"/>
      <c r="P598" s="270"/>
      <c r="Q598" s="270"/>
      <c r="R598" s="203"/>
      <c r="S598" s="203"/>
      <c r="T598" s="203"/>
      <c r="U598" s="269"/>
      <c r="V598" s="269"/>
      <c r="W598" s="269"/>
      <c r="X598" s="269"/>
      <c r="Y598" s="269"/>
      <c r="Z598" s="269"/>
      <c r="AA598" s="269"/>
      <c r="AB598" s="269"/>
      <c r="AC598" s="269"/>
    </row>
    <row r="599" spans="1:29" ht="12.75" x14ac:dyDescent="0.2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69"/>
      <c r="N599" s="269"/>
      <c r="O599" s="270"/>
      <c r="P599" s="270"/>
      <c r="Q599" s="270"/>
      <c r="R599" s="203"/>
      <c r="S599" s="203"/>
      <c r="T599" s="203"/>
      <c r="U599" s="269"/>
      <c r="V599" s="269"/>
      <c r="W599" s="269"/>
      <c r="X599" s="269"/>
      <c r="Y599" s="269"/>
      <c r="Z599" s="269"/>
      <c r="AA599" s="269"/>
      <c r="AB599" s="269"/>
      <c r="AC599" s="269"/>
    </row>
    <row r="600" spans="1:29" ht="12.75" x14ac:dyDescent="0.2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69"/>
      <c r="N600" s="269"/>
      <c r="O600" s="270"/>
      <c r="P600" s="270"/>
      <c r="Q600" s="270"/>
      <c r="R600" s="203"/>
      <c r="S600" s="203"/>
      <c r="T600" s="203"/>
      <c r="U600" s="269"/>
      <c r="V600" s="269"/>
      <c r="W600" s="269"/>
      <c r="X600" s="269"/>
      <c r="Y600" s="269"/>
      <c r="Z600" s="269"/>
      <c r="AA600" s="269"/>
      <c r="AB600" s="269"/>
      <c r="AC600" s="269"/>
    </row>
    <row r="601" spans="1:29" ht="12.75" x14ac:dyDescent="0.2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69"/>
      <c r="N601" s="269"/>
      <c r="O601" s="270"/>
      <c r="P601" s="270"/>
      <c r="Q601" s="270"/>
      <c r="R601" s="203"/>
      <c r="S601" s="203"/>
      <c r="T601" s="203"/>
      <c r="U601" s="269"/>
      <c r="V601" s="269"/>
      <c r="W601" s="269"/>
      <c r="X601" s="269"/>
      <c r="Y601" s="269"/>
      <c r="Z601" s="269"/>
      <c r="AA601" s="269"/>
      <c r="AB601" s="269"/>
      <c r="AC601" s="269"/>
    </row>
    <row r="602" spans="1:29" ht="12.75" x14ac:dyDescent="0.2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69"/>
      <c r="N602" s="269"/>
      <c r="O602" s="270"/>
      <c r="P602" s="270"/>
      <c r="Q602" s="270"/>
      <c r="R602" s="203"/>
      <c r="S602" s="203"/>
      <c r="T602" s="203"/>
      <c r="U602" s="269"/>
      <c r="V602" s="269"/>
      <c r="W602" s="269"/>
      <c r="X602" s="269"/>
      <c r="Y602" s="269"/>
      <c r="Z602" s="269"/>
      <c r="AA602" s="269"/>
      <c r="AB602" s="269"/>
      <c r="AC602" s="269"/>
    </row>
    <row r="603" spans="1:29" ht="12.75" x14ac:dyDescent="0.2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69"/>
      <c r="N603" s="269"/>
      <c r="O603" s="270"/>
      <c r="P603" s="270"/>
      <c r="Q603" s="270"/>
      <c r="R603" s="203"/>
      <c r="S603" s="203"/>
      <c r="T603" s="203"/>
      <c r="U603" s="269"/>
      <c r="V603" s="269"/>
      <c r="W603" s="269"/>
      <c r="X603" s="269"/>
      <c r="Y603" s="269"/>
      <c r="Z603" s="269"/>
      <c r="AA603" s="269"/>
      <c r="AB603" s="269"/>
      <c r="AC603" s="269"/>
    </row>
    <row r="604" spans="1:29" ht="12.75" x14ac:dyDescent="0.2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69"/>
      <c r="N604" s="269"/>
      <c r="O604" s="270"/>
      <c r="P604" s="270"/>
      <c r="Q604" s="270"/>
      <c r="R604" s="203"/>
      <c r="S604" s="203"/>
      <c r="T604" s="203"/>
      <c r="U604" s="269"/>
      <c r="V604" s="269"/>
      <c r="W604" s="269"/>
      <c r="X604" s="269"/>
      <c r="Y604" s="269"/>
      <c r="Z604" s="269"/>
      <c r="AA604" s="269"/>
      <c r="AB604" s="269"/>
      <c r="AC604" s="269"/>
    </row>
    <row r="605" spans="1:29" ht="12.75" x14ac:dyDescent="0.2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69"/>
      <c r="N605" s="269"/>
      <c r="O605" s="270"/>
      <c r="P605" s="270"/>
      <c r="Q605" s="270"/>
      <c r="R605" s="203"/>
      <c r="S605" s="203"/>
      <c r="T605" s="203"/>
      <c r="U605" s="269"/>
      <c r="V605" s="269"/>
      <c r="W605" s="269"/>
      <c r="X605" s="269"/>
      <c r="Y605" s="269"/>
      <c r="Z605" s="269"/>
      <c r="AA605" s="269"/>
      <c r="AB605" s="269"/>
      <c r="AC605" s="269"/>
    </row>
    <row r="606" spans="1:29" ht="12.75" x14ac:dyDescent="0.2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69"/>
      <c r="N606" s="269"/>
      <c r="O606" s="270"/>
      <c r="P606" s="270"/>
      <c r="Q606" s="270"/>
      <c r="R606" s="203"/>
      <c r="S606" s="203"/>
      <c r="T606" s="203"/>
      <c r="U606" s="269"/>
      <c r="V606" s="269"/>
      <c r="W606" s="269"/>
      <c r="X606" s="269"/>
      <c r="Y606" s="269"/>
      <c r="Z606" s="269"/>
      <c r="AA606" s="269"/>
      <c r="AB606" s="269"/>
      <c r="AC606" s="269"/>
    </row>
    <row r="607" spans="1:29" ht="12.75" x14ac:dyDescent="0.2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69"/>
      <c r="N607" s="269"/>
      <c r="O607" s="270"/>
      <c r="P607" s="270"/>
      <c r="Q607" s="270"/>
      <c r="R607" s="203"/>
      <c r="S607" s="203"/>
      <c r="T607" s="203"/>
      <c r="U607" s="269"/>
      <c r="V607" s="269"/>
      <c r="W607" s="269"/>
      <c r="X607" s="269"/>
      <c r="Y607" s="269"/>
      <c r="Z607" s="269"/>
      <c r="AA607" s="269"/>
      <c r="AB607" s="269"/>
      <c r="AC607" s="269"/>
    </row>
    <row r="608" spans="1:29" ht="12.75" x14ac:dyDescent="0.2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69"/>
      <c r="N608" s="269"/>
      <c r="O608" s="270"/>
      <c r="P608" s="270"/>
      <c r="Q608" s="270"/>
      <c r="R608" s="203"/>
      <c r="S608" s="203"/>
      <c r="T608" s="203"/>
      <c r="U608" s="269"/>
      <c r="V608" s="269"/>
      <c r="W608" s="269"/>
      <c r="X608" s="269"/>
      <c r="Y608" s="269"/>
      <c r="Z608" s="269"/>
      <c r="AA608" s="269"/>
      <c r="AB608" s="269"/>
      <c r="AC608" s="269"/>
    </row>
    <row r="609" spans="1:29" ht="12.75" x14ac:dyDescent="0.2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69"/>
      <c r="N609" s="269"/>
      <c r="O609" s="270"/>
      <c r="P609" s="270"/>
      <c r="Q609" s="270"/>
      <c r="R609" s="203"/>
      <c r="S609" s="203"/>
      <c r="T609" s="203"/>
      <c r="U609" s="269"/>
      <c r="V609" s="269"/>
      <c r="W609" s="269"/>
      <c r="X609" s="269"/>
      <c r="Y609" s="269"/>
      <c r="Z609" s="269"/>
      <c r="AA609" s="269"/>
      <c r="AB609" s="269"/>
      <c r="AC609" s="269"/>
    </row>
    <row r="610" spans="1:29" ht="12.75" x14ac:dyDescent="0.2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69"/>
      <c r="N610" s="269"/>
      <c r="O610" s="270"/>
      <c r="P610" s="270"/>
      <c r="Q610" s="270"/>
      <c r="R610" s="203"/>
      <c r="S610" s="203"/>
      <c r="T610" s="203"/>
      <c r="U610" s="269"/>
      <c r="V610" s="269"/>
      <c r="W610" s="269"/>
      <c r="X610" s="269"/>
      <c r="Y610" s="269"/>
      <c r="Z610" s="269"/>
      <c r="AA610" s="269"/>
      <c r="AB610" s="269"/>
      <c r="AC610" s="269"/>
    </row>
    <row r="611" spans="1:29" ht="12.75" x14ac:dyDescent="0.2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69"/>
      <c r="N611" s="269"/>
      <c r="O611" s="270"/>
      <c r="P611" s="270"/>
      <c r="Q611" s="270"/>
      <c r="R611" s="203"/>
      <c r="S611" s="203"/>
      <c r="T611" s="203"/>
      <c r="U611" s="269"/>
      <c r="V611" s="269"/>
      <c r="W611" s="269"/>
      <c r="X611" s="269"/>
      <c r="Y611" s="269"/>
      <c r="Z611" s="269"/>
      <c r="AA611" s="269"/>
      <c r="AB611" s="269"/>
      <c r="AC611" s="269"/>
    </row>
    <row r="612" spans="1:29" ht="12.75" x14ac:dyDescent="0.2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69"/>
      <c r="N612" s="269"/>
      <c r="O612" s="270"/>
      <c r="P612" s="270"/>
      <c r="Q612" s="270"/>
      <c r="R612" s="203"/>
      <c r="S612" s="203"/>
      <c r="T612" s="203"/>
      <c r="U612" s="269"/>
      <c r="V612" s="269"/>
      <c r="W612" s="269"/>
      <c r="X612" s="269"/>
      <c r="Y612" s="269"/>
      <c r="Z612" s="269"/>
      <c r="AA612" s="269"/>
      <c r="AB612" s="269"/>
      <c r="AC612" s="269"/>
    </row>
    <row r="613" spans="1:29" ht="12.75" x14ac:dyDescent="0.2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69"/>
      <c r="N613" s="269"/>
      <c r="O613" s="270"/>
      <c r="P613" s="270"/>
      <c r="Q613" s="270"/>
      <c r="R613" s="203"/>
      <c r="S613" s="203"/>
      <c r="T613" s="203"/>
      <c r="U613" s="269"/>
      <c r="V613" s="269"/>
      <c r="W613" s="269"/>
      <c r="X613" s="269"/>
      <c r="Y613" s="269"/>
      <c r="Z613" s="269"/>
      <c r="AA613" s="269"/>
      <c r="AB613" s="269"/>
      <c r="AC613" s="269"/>
    </row>
    <row r="614" spans="1:29" ht="12.75" x14ac:dyDescent="0.2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69"/>
      <c r="N614" s="269"/>
      <c r="O614" s="270"/>
      <c r="P614" s="270"/>
      <c r="Q614" s="270"/>
      <c r="R614" s="203"/>
      <c r="S614" s="203"/>
      <c r="T614" s="203"/>
      <c r="U614" s="269"/>
      <c r="V614" s="269"/>
      <c r="W614" s="269"/>
      <c r="X614" s="269"/>
      <c r="Y614" s="269"/>
      <c r="Z614" s="269"/>
      <c r="AA614" s="269"/>
      <c r="AB614" s="269"/>
      <c r="AC614" s="269"/>
    </row>
    <row r="615" spans="1:29" ht="12.75" x14ac:dyDescent="0.2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69"/>
      <c r="N615" s="269"/>
      <c r="O615" s="270"/>
      <c r="P615" s="270"/>
      <c r="Q615" s="270"/>
      <c r="R615" s="203"/>
      <c r="S615" s="203"/>
      <c r="T615" s="203"/>
      <c r="U615" s="269"/>
      <c r="V615" s="269"/>
      <c r="W615" s="269"/>
      <c r="X615" s="269"/>
      <c r="Y615" s="269"/>
      <c r="Z615" s="269"/>
      <c r="AA615" s="269"/>
      <c r="AB615" s="269"/>
      <c r="AC615" s="269"/>
    </row>
    <row r="616" spans="1:29" ht="12.75" x14ac:dyDescent="0.2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69"/>
      <c r="N616" s="269"/>
      <c r="O616" s="270"/>
      <c r="P616" s="270"/>
      <c r="Q616" s="270"/>
      <c r="R616" s="203"/>
      <c r="S616" s="203"/>
      <c r="T616" s="203"/>
      <c r="U616" s="269"/>
      <c r="V616" s="269"/>
      <c r="W616" s="269"/>
      <c r="X616" s="269"/>
      <c r="Y616" s="269"/>
      <c r="Z616" s="269"/>
      <c r="AA616" s="269"/>
      <c r="AB616" s="269"/>
      <c r="AC616" s="269"/>
    </row>
    <row r="617" spans="1:29" ht="12.75" x14ac:dyDescent="0.2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69"/>
      <c r="N617" s="269"/>
      <c r="O617" s="270"/>
      <c r="P617" s="270"/>
      <c r="Q617" s="270"/>
      <c r="R617" s="203"/>
      <c r="S617" s="203"/>
      <c r="T617" s="203"/>
      <c r="U617" s="269"/>
      <c r="V617" s="269"/>
      <c r="W617" s="269"/>
      <c r="X617" s="269"/>
      <c r="Y617" s="269"/>
      <c r="Z617" s="269"/>
      <c r="AA617" s="269"/>
      <c r="AB617" s="269"/>
      <c r="AC617" s="269"/>
    </row>
    <row r="618" spans="1:29" ht="12.75" x14ac:dyDescent="0.2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69"/>
      <c r="N618" s="269"/>
      <c r="O618" s="270"/>
      <c r="P618" s="270"/>
      <c r="Q618" s="270"/>
      <c r="R618" s="203"/>
      <c r="S618" s="203"/>
      <c r="T618" s="203"/>
      <c r="U618" s="269"/>
      <c r="V618" s="269"/>
      <c r="W618" s="269"/>
      <c r="X618" s="269"/>
      <c r="Y618" s="269"/>
      <c r="Z618" s="269"/>
      <c r="AA618" s="269"/>
      <c r="AB618" s="269"/>
      <c r="AC618" s="269"/>
    </row>
    <row r="619" spans="1:29" ht="12.75" x14ac:dyDescent="0.2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69"/>
      <c r="N619" s="269"/>
      <c r="O619" s="270"/>
      <c r="P619" s="270"/>
      <c r="Q619" s="270"/>
      <c r="R619" s="203"/>
      <c r="S619" s="203"/>
      <c r="T619" s="203"/>
      <c r="U619" s="269"/>
      <c r="V619" s="269"/>
      <c r="W619" s="269"/>
      <c r="X619" s="269"/>
      <c r="Y619" s="269"/>
      <c r="Z619" s="269"/>
      <c r="AA619" s="269"/>
      <c r="AB619" s="269"/>
      <c r="AC619" s="269"/>
    </row>
    <row r="620" spans="1:29" ht="12.75" x14ac:dyDescent="0.2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69"/>
      <c r="N620" s="269"/>
      <c r="O620" s="270"/>
      <c r="P620" s="270"/>
      <c r="Q620" s="270"/>
      <c r="R620" s="203"/>
      <c r="S620" s="203"/>
      <c r="T620" s="203"/>
      <c r="U620" s="269"/>
      <c r="V620" s="269"/>
      <c r="W620" s="269"/>
      <c r="X620" s="269"/>
      <c r="Y620" s="269"/>
      <c r="Z620" s="269"/>
      <c r="AA620" s="269"/>
      <c r="AB620" s="269"/>
      <c r="AC620" s="269"/>
    </row>
    <row r="621" spans="1:29" ht="12.75" x14ac:dyDescent="0.2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69"/>
      <c r="N621" s="269"/>
      <c r="O621" s="270"/>
      <c r="P621" s="270"/>
      <c r="Q621" s="270"/>
      <c r="R621" s="203"/>
      <c r="S621" s="203"/>
      <c r="T621" s="203"/>
      <c r="U621" s="269"/>
      <c r="V621" s="269"/>
      <c r="W621" s="269"/>
      <c r="X621" s="269"/>
      <c r="Y621" s="269"/>
      <c r="Z621" s="269"/>
      <c r="AA621" s="269"/>
      <c r="AB621" s="269"/>
      <c r="AC621" s="269"/>
    </row>
    <row r="622" spans="1:29" ht="12.75" x14ac:dyDescent="0.2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69"/>
      <c r="N622" s="269"/>
      <c r="O622" s="270"/>
      <c r="P622" s="270"/>
      <c r="Q622" s="270"/>
      <c r="R622" s="203"/>
      <c r="S622" s="203"/>
      <c r="T622" s="203"/>
      <c r="U622" s="269"/>
      <c r="V622" s="269"/>
      <c r="W622" s="269"/>
      <c r="X622" s="269"/>
      <c r="Y622" s="269"/>
      <c r="Z622" s="269"/>
      <c r="AA622" s="269"/>
      <c r="AB622" s="269"/>
      <c r="AC622" s="269"/>
    </row>
    <row r="623" spans="1:29" ht="12.75" x14ac:dyDescent="0.2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69"/>
      <c r="N623" s="269"/>
      <c r="O623" s="270"/>
      <c r="P623" s="270"/>
      <c r="Q623" s="270"/>
      <c r="R623" s="203"/>
      <c r="S623" s="203"/>
      <c r="T623" s="203"/>
      <c r="U623" s="269"/>
      <c r="V623" s="269"/>
      <c r="W623" s="269"/>
      <c r="X623" s="269"/>
      <c r="Y623" s="269"/>
      <c r="Z623" s="269"/>
      <c r="AA623" s="269"/>
      <c r="AB623" s="269"/>
      <c r="AC623" s="269"/>
    </row>
    <row r="624" spans="1:29" ht="12.75" x14ac:dyDescent="0.2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69"/>
      <c r="N624" s="269"/>
      <c r="O624" s="270"/>
      <c r="P624" s="270"/>
      <c r="Q624" s="270"/>
      <c r="R624" s="203"/>
      <c r="S624" s="203"/>
      <c r="T624" s="203"/>
      <c r="U624" s="269"/>
      <c r="V624" s="269"/>
      <c r="W624" s="269"/>
      <c r="X624" s="269"/>
      <c r="Y624" s="269"/>
      <c r="Z624" s="269"/>
      <c r="AA624" s="269"/>
      <c r="AB624" s="269"/>
      <c r="AC624" s="269"/>
    </row>
    <row r="625" spans="1:29" ht="12.75" x14ac:dyDescent="0.2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69"/>
      <c r="N625" s="269"/>
      <c r="O625" s="270"/>
      <c r="P625" s="270"/>
      <c r="Q625" s="270"/>
      <c r="R625" s="203"/>
      <c r="S625" s="203"/>
      <c r="T625" s="203"/>
      <c r="U625" s="269"/>
      <c r="V625" s="269"/>
      <c r="W625" s="269"/>
      <c r="X625" s="269"/>
      <c r="Y625" s="269"/>
      <c r="Z625" s="269"/>
      <c r="AA625" s="269"/>
      <c r="AB625" s="269"/>
      <c r="AC625" s="269"/>
    </row>
    <row r="626" spans="1:29" ht="12.75" x14ac:dyDescent="0.2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69"/>
      <c r="N626" s="269"/>
      <c r="O626" s="270"/>
      <c r="P626" s="270"/>
      <c r="Q626" s="270"/>
      <c r="R626" s="203"/>
      <c r="S626" s="203"/>
      <c r="T626" s="203"/>
      <c r="U626" s="269"/>
      <c r="V626" s="269"/>
      <c r="W626" s="269"/>
      <c r="X626" s="269"/>
      <c r="Y626" s="269"/>
      <c r="Z626" s="269"/>
      <c r="AA626" s="269"/>
      <c r="AB626" s="269"/>
      <c r="AC626" s="269"/>
    </row>
    <row r="627" spans="1:29" ht="12.75" x14ac:dyDescent="0.2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69"/>
      <c r="N627" s="269"/>
      <c r="O627" s="270"/>
      <c r="P627" s="270"/>
      <c r="Q627" s="270"/>
      <c r="R627" s="203"/>
      <c r="S627" s="203"/>
      <c r="T627" s="203"/>
      <c r="U627" s="269"/>
      <c r="V627" s="269"/>
      <c r="W627" s="269"/>
      <c r="X627" s="269"/>
      <c r="Y627" s="269"/>
      <c r="Z627" s="269"/>
      <c r="AA627" s="269"/>
      <c r="AB627" s="269"/>
      <c r="AC627" s="269"/>
    </row>
    <row r="628" spans="1:29" ht="12.75" x14ac:dyDescent="0.2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69"/>
      <c r="N628" s="269"/>
      <c r="O628" s="270"/>
      <c r="P628" s="270"/>
      <c r="Q628" s="270"/>
      <c r="R628" s="203"/>
      <c r="S628" s="203"/>
      <c r="T628" s="203"/>
      <c r="U628" s="269"/>
      <c r="V628" s="269"/>
      <c r="W628" s="269"/>
      <c r="X628" s="269"/>
      <c r="Y628" s="269"/>
      <c r="Z628" s="269"/>
      <c r="AA628" s="269"/>
      <c r="AB628" s="269"/>
      <c r="AC628" s="269"/>
    </row>
    <row r="629" spans="1:29" ht="12.75" x14ac:dyDescent="0.2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69"/>
      <c r="N629" s="269"/>
      <c r="O629" s="270"/>
      <c r="P629" s="270"/>
      <c r="Q629" s="270"/>
      <c r="R629" s="203"/>
      <c r="S629" s="203"/>
      <c r="T629" s="203"/>
      <c r="U629" s="269"/>
      <c r="V629" s="269"/>
      <c r="W629" s="269"/>
      <c r="X629" s="269"/>
      <c r="Y629" s="269"/>
      <c r="Z629" s="269"/>
      <c r="AA629" s="269"/>
      <c r="AB629" s="269"/>
      <c r="AC629" s="269"/>
    </row>
    <row r="630" spans="1:29" ht="12.75" x14ac:dyDescent="0.2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69"/>
      <c r="N630" s="269"/>
      <c r="O630" s="270"/>
      <c r="P630" s="270"/>
      <c r="Q630" s="270"/>
      <c r="R630" s="203"/>
      <c r="S630" s="203"/>
      <c r="T630" s="203"/>
      <c r="U630" s="269"/>
      <c r="V630" s="269"/>
      <c r="W630" s="269"/>
      <c r="X630" s="269"/>
      <c r="Y630" s="269"/>
      <c r="Z630" s="269"/>
      <c r="AA630" s="269"/>
      <c r="AB630" s="269"/>
      <c r="AC630" s="269"/>
    </row>
    <row r="631" spans="1:29" ht="12.75" x14ac:dyDescent="0.2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69"/>
      <c r="N631" s="269"/>
      <c r="O631" s="270"/>
      <c r="P631" s="270"/>
      <c r="Q631" s="270"/>
      <c r="R631" s="203"/>
      <c r="S631" s="203"/>
      <c r="T631" s="203"/>
      <c r="U631" s="269"/>
      <c r="V631" s="269"/>
      <c r="W631" s="269"/>
      <c r="X631" s="269"/>
      <c r="Y631" s="269"/>
      <c r="Z631" s="269"/>
      <c r="AA631" s="269"/>
      <c r="AB631" s="269"/>
      <c r="AC631" s="269"/>
    </row>
    <row r="632" spans="1:29" ht="12.75" x14ac:dyDescent="0.2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69"/>
      <c r="N632" s="269"/>
      <c r="O632" s="270"/>
      <c r="P632" s="270"/>
      <c r="Q632" s="270"/>
      <c r="R632" s="203"/>
      <c r="S632" s="203"/>
      <c r="T632" s="203"/>
      <c r="U632" s="269"/>
      <c r="V632" s="269"/>
      <c r="W632" s="269"/>
      <c r="X632" s="269"/>
      <c r="Y632" s="269"/>
      <c r="Z632" s="269"/>
      <c r="AA632" s="269"/>
      <c r="AB632" s="269"/>
      <c r="AC632" s="269"/>
    </row>
    <row r="633" spans="1:29" ht="12.75" x14ac:dyDescent="0.2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69"/>
      <c r="N633" s="269"/>
      <c r="O633" s="270"/>
      <c r="P633" s="270"/>
      <c r="Q633" s="270"/>
      <c r="R633" s="203"/>
      <c r="S633" s="203"/>
      <c r="T633" s="203"/>
      <c r="U633" s="269"/>
      <c r="V633" s="269"/>
      <c r="W633" s="269"/>
      <c r="X633" s="269"/>
      <c r="Y633" s="269"/>
      <c r="Z633" s="269"/>
      <c r="AA633" s="269"/>
      <c r="AB633" s="269"/>
      <c r="AC633" s="269"/>
    </row>
    <row r="634" spans="1:29" ht="12.75" x14ac:dyDescent="0.2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69"/>
      <c r="N634" s="269"/>
      <c r="O634" s="270"/>
      <c r="P634" s="270"/>
      <c r="Q634" s="270"/>
      <c r="R634" s="203"/>
      <c r="S634" s="203"/>
      <c r="T634" s="203"/>
      <c r="U634" s="269"/>
      <c r="V634" s="269"/>
      <c r="W634" s="269"/>
      <c r="X634" s="269"/>
      <c r="Y634" s="269"/>
      <c r="Z634" s="269"/>
      <c r="AA634" s="269"/>
      <c r="AB634" s="269"/>
      <c r="AC634" s="269"/>
    </row>
    <row r="635" spans="1:29" ht="12.75" x14ac:dyDescent="0.2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69"/>
      <c r="N635" s="269"/>
      <c r="O635" s="270"/>
      <c r="P635" s="270"/>
      <c r="Q635" s="270"/>
      <c r="R635" s="203"/>
      <c r="S635" s="203"/>
      <c r="T635" s="203"/>
      <c r="U635" s="269"/>
      <c r="V635" s="269"/>
      <c r="W635" s="269"/>
      <c r="X635" s="269"/>
      <c r="Y635" s="269"/>
      <c r="Z635" s="269"/>
      <c r="AA635" s="269"/>
      <c r="AB635" s="269"/>
      <c r="AC635" s="269"/>
    </row>
    <row r="636" spans="1:29" ht="12.75" x14ac:dyDescent="0.2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69"/>
      <c r="N636" s="269"/>
      <c r="O636" s="270"/>
      <c r="P636" s="270"/>
      <c r="Q636" s="270"/>
      <c r="R636" s="203"/>
      <c r="S636" s="203"/>
      <c r="T636" s="203"/>
      <c r="U636" s="269"/>
      <c r="V636" s="269"/>
      <c r="W636" s="269"/>
      <c r="X636" s="269"/>
      <c r="Y636" s="269"/>
      <c r="Z636" s="269"/>
      <c r="AA636" s="269"/>
      <c r="AB636" s="269"/>
      <c r="AC636" s="269"/>
    </row>
    <row r="637" spans="1:29" ht="12.75" x14ac:dyDescent="0.2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69"/>
      <c r="N637" s="269"/>
      <c r="O637" s="270"/>
      <c r="P637" s="270"/>
      <c r="Q637" s="270"/>
      <c r="R637" s="203"/>
      <c r="S637" s="203"/>
      <c r="T637" s="203"/>
      <c r="U637" s="269"/>
      <c r="V637" s="269"/>
      <c r="W637" s="269"/>
      <c r="X637" s="269"/>
      <c r="Y637" s="269"/>
      <c r="Z637" s="269"/>
      <c r="AA637" s="269"/>
      <c r="AB637" s="269"/>
      <c r="AC637" s="269"/>
    </row>
    <row r="638" spans="1:29" ht="12.75" x14ac:dyDescent="0.2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69"/>
      <c r="N638" s="269"/>
      <c r="O638" s="270"/>
      <c r="P638" s="270"/>
      <c r="Q638" s="270"/>
      <c r="R638" s="203"/>
      <c r="S638" s="203"/>
      <c r="T638" s="203"/>
      <c r="U638" s="269"/>
      <c r="V638" s="269"/>
      <c r="W638" s="269"/>
      <c r="X638" s="269"/>
      <c r="Y638" s="269"/>
      <c r="Z638" s="269"/>
      <c r="AA638" s="269"/>
      <c r="AB638" s="269"/>
      <c r="AC638" s="269"/>
    </row>
    <row r="639" spans="1:29" ht="12.75" x14ac:dyDescent="0.2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69"/>
      <c r="N639" s="269"/>
      <c r="O639" s="270"/>
      <c r="P639" s="270"/>
      <c r="Q639" s="270"/>
      <c r="R639" s="203"/>
      <c r="S639" s="203"/>
      <c r="T639" s="203"/>
      <c r="U639" s="269"/>
      <c r="V639" s="269"/>
      <c r="W639" s="269"/>
      <c r="X639" s="269"/>
      <c r="Y639" s="269"/>
      <c r="Z639" s="269"/>
      <c r="AA639" s="269"/>
      <c r="AB639" s="269"/>
      <c r="AC639" s="269"/>
    </row>
    <row r="640" spans="1:29" ht="12.75" x14ac:dyDescent="0.2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69"/>
      <c r="N640" s="269"/>
      <c r="O640" s="270"/>
      <c r="P640" s="270"/>
      <c r="Q640" s="270"/>
      <c r="R640" s="203"/>
      <c r="S640" s="203"/>
      <c r="T640" s="203"/>
      <c r="U640" s="269"/>
      <c r="V640" s="269"/>
      <c r="W640" s="269"/>
      <c r="X640" s="269"/>
      <c r="Y640" s="269"/>
      <c r="Z640" s="269"/>
      <c r="AA640" s="269"/>
      <c r="AB640" s="269"/>
      <c r="AC640" s="269"/>
    </row>
    <row r="641" spans="1:29" ht="12.75" x14ac:dyDescent="0.2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69"/>
      <c r="N641" s="269"/>
      <c r="O641" s="270"/>
      <c r="P641" s="270"/>
      <c r="Q641" s="270"/>
      <c r="R641" s="203"/>
      <c r="S641" s="203"/>
      <c r="T641" s="203"/>
      <c r="U641" s="269"/>
      <c r="V641" s="269"/>
      <c r="W641" s="269"/>
      <c r="X641" s="269"/>
      <c r="Y641" s="269"/>
      <c r="Z641" s="269"/>
      <c r="AA641" s="269"/>
      <c r="AB641" s="269"/>
      <c r="AC641" s="269"/>
    </row>
    <row r="642" spans="1:29" ht="12.75" x14ac:dyDescent="0.2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69"/>
      <c r="N642" s="269"/>
      <c r="O642" s="270"/>
      <c r="P642" s="270"/>
      <c r="Q642" s="270"/>
      <c r="R642" s="203"/>
      <c r="S642" s="203"/>
      <c r="T642" s="203"/>
      <c r="U642" s="269"/>
      <c r="V642" s="269"/>
      <c r="W642" s="269"/>
      <c r="X642" s="269"/>
      <c r="Y642" s="269"/>
      <c r="Z642" s="269"/>
      <c r="AA642" s="269"/>
      <c r="AB642" s="269"/>
      <c r="AC642" s="269"/>
    </row>
    <row r="643" spans="1:29" ht="12.75" x14ac:dyDescent="0.2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69"/>
      <c r="N643" s="269"/>
      <c r="O643" s="270"/>
      <c r="P643" s="270"/>
      <c r="Q643" s="270"/>
      <c r="R643" s="203"/>
      <c r="S643" s="203"/>
      <c r="T643" s="203"/>
      <c r="U643" s="269"/>
      <c r="V643" s="269"/>
      <c r="W643" s="269"/>
      <c r="X643" s="269"/>
      <c r="Y643" s="269"/>
      <c r="Z643" s="269"/>
      <c r="AA643" s="269"/>
      <c r="AB643" s="269"/>
      <c r="AC643" s="269"/>
    </row>
    <row r="644" spans="1:29" ht="12.75" x14ac:dyDescent="0.2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69"/>
      <c r="N644" s="269"/>
      <c r="O644" s="270"/>
      <c r="P644" s="270"/>
      <c r="Q644" s="270"/>
      <c r="R644" s="203"/>
      <c r="S644" s="203"/>
      <c r="T644" s="203"/>
      <c r="U644" s="269"/>
      <c r="V644" s="269"/>
      <c r="W644" s="269"/>
      <c r="X644" s="269"/>
      <c r="Y644" s="269"/>
      <c r="Z644" s="269"/>
      <c r="AA644" s="269"/>
      <c r="AB644" s="269"/>
      <c r="AC644" s="269"/>
    </row>
    <row r="645" spans="1:29" ht="12.75" x14ac:dyDescent="0.2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69"/>
      <c r="N645" s="269"/>
      <c r="O645" s="270"/>
      <c r="P645" s="270"/>
      <c r="Q645" s="270"/>
      <c r="R645" s="203"/>
      <c r="S645" s="203"/>
      <c r="T645" s="203"/>
      <c r="U645" s="269"/>
      <c r="V645" s="269"/>
      <c r="W645" s="269"/>
      <c r="X645" s="269"/>
      <c r="Y645" s="269"/>
      <c r="Z645" s="269"/>
      <c r="AA645" s="269"/>
      <c r="AB645" s="269"/>
      <c r="AC645" s="269"/>
    </row>
    <row r="646" spans="1:29" ht="12.75" x14ac:dyDescent="0.2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69"/>
      <c r="N646" s="269"/>
      <c r="O646" s="270"/>
      <c r="P646" s="270"/>
      <c r="Q646" s="270"/>
      <c r="R646" s="203"/>
      <c r="S646" s="203"/>
      <c r="T646" s="203"/>
      <c r="U646" s="269"/>
      <c r="V646" s="269"/>
      <c r="W646" s="269"/>
      <c r="X646" s="269"/>
      <c r="Y646" s="269"/>
      <c r="Z646" s="269"/>
      <c r="AA646" s="269"/>
      <c r="AB646" s="269"/>
      <c r="AC646" s="269"/>
    </row>
    <row r="647" spans="1:29" ht="12.75" x14ac:dyDescent="0.2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69"/>
      <c r="N647" s="269"/>
      <c r="O647" s="270"/>
      <c r="P647" s="270"/>
      <c r="Q647" s="270"/>
      <c r="R647" s="203"/>
      <c r="S647" s="203"/>
      <c r="T647" s="203"/>
      <c r="U647" s="269"/>
      <c r="V647" s="269"/>
      <c r="W647" s="269"/>
      <c r="X647" s="269"/>
      <c r="Y647" s="269"/>
      <c r="Z647" s="269"/>
      <c r="AA647" s="269"/>
      <c r="AB647" s="269"/>
      <c r="AC647" s="269"/>
    </row>
    <row r="648" spans="1:29" ht="12.75" x14ac:dyDescent="0.2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69"/>
      <c r="N648" s="269"/>
      <c r="O648" s="270"/>
      <c r="P648" s="270"/>
      <c r="Q648" s="270"/>
      <c r="R648" s="203"/>
      <c r="S648" s="203"/>
      <c r="T648" s="203"/>
      <c r="U648" s="269"/>
      <c r="V648" s="269"/>
      <c r="W648" s="269"/>
      <c r="X648" s="269"/>
      <c r="Y648" s="269"/>
      <c r="Z648" s="269"/>
      <c r="AA648" s="269"/>
      <c r="AB648" s="269"/>
      <c r="AC648" s="269"/>
    </row>
    <row r="649" spans="1:29" ht="12.75" x14ac:dyDescent="0.2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69"/>
      <c r="N649" s="269"/>
      <c r="O649" s="270"/>
      <c r="P649" s="270"/>
      <c r="Q649" s="270"/>
      <c r="R649" s="203"/>
      <c r="S649" s="203"/>
      <c r="T649" s="203"/>
      <c r="U649" s="269"/>
      <c r="V649" s="269"/>
      <c r="W649" s="269"/>
      <c r="X649" s="269"/>
      <c r="Y649" s="269"/>
      <c r="Z649" s="269"/>
      <c r="AA649" s="269"/>
      <c r="AB649" s="269"/>
      <c r="AC649" s="269"/>
    </row>
    <row r="650" spans="1:29" ht="12.75" x14ac:dyDescent="0.2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69"/>
      <c r="N650" s="269"/>
      <c r="O650" s="270"/>
      <c r="P650" s="270"/>
      <c r="Q650" s="270"/>
      <c r="R650" s="203"/>
      <c r="S650" s="203"/>
      <c r="T650" s="203"/>
      <c r="U650" s="269"/>
      <c r="V650" s="269"/>
      <c r="W650" s="269"/>
      <c r="X650" s="269"/>
      <c r="Y650" s="269"/>
      <c r="Z650" s="269"/>
      <c r="AA650" s="269"/>
      <c r="AB650" s="269"/>
      <c r="AC650" s="269"/>
    </row>
    <row r="651" spans="1:29" ht="12.75" x14ac:dyDescent="0.2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69"/>
      <c r="N651" s="269"/>
      <c r="O651" s="270"/>
      <c r="P651" s="270"/>
      <c r="Q651" s="270"/>
      <c r="R651" s="203"/>
      <c r="S651" s="203"/>
      <c r="T651" s="203"/>
      <c r="U651" s="269"/>
      <c r="V651" s="269"/>
      <c r="W651" s="269"/>
      <c r="X651" s="269"/>
      <c r="Y651" s="269"/>
      <c r="Z651" s="269"/>
      <c r="AA651" s="269"/>
      <c r="AB651" s="269"/>
      <c r="AC651" s="269"/>
    </row>
    <row r="652" spans="1:29" ht="12.75" x14ac:dyDescent="0.2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69"/>
      <c r="N652" s="269"/>
      <c r="O652" s="270"/>
      <c r="P652" s="270"/>
      <c r="Q652" s="270"/>
      <c r="R652" s="203"/>
      <c r="S652" s="203"/>
      <c r="T652" s="203"/>
      <c r="U652" s="269"/>
      <c r="V652" s="269"/>
      <c r="W652" s="269"/>
      <c r="X652" s="269"/>
      <c r="Y652" s="269"/>
      <c r="Z652" s="269"/>
      <c r="AA652" s="269"/>
      <c r="AB652" s="269"/>
      <c r="AC652" s="269"/>
    </row>
    <row r="653" spans="1:29" ht="12.75" x14ac:dyDescent="0.2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69"/>
      <c r="N653" s="269"/>
      <c r="O653" s="270"/>
      <c r="P653" s="270"/>
      <c r="Q653" s="270"/>
      <c r="R653" s="203"/>
      <c r="S653" s="203"/>
      <c r="T653" s="203"/>
      <c r="U653" s="269"/>
      <c r="V653" s="269"/>
      <c r="W653" s="269"/>
      <c r="X653" s="269"/>
      <c r="Y653" s="269"/>
      <c r="Z653" s="269"/>
      <c r="AA653" s="269"/>
      <c r="AB653" s="269"/>
      <c r="AC653" s="269"/>
    </row>
    <row r="654" spans="1:29" ht="12.75" x14ac:dyDescent="0.2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69"/>
      <c r="N654" s="269"/>
      <c r="O654" s="270"/>
      <c r="P654" s="270"/>
      <c r="Q654" s="270"/>
      <c r="R654" s="203"/>
      <c r="S654" s="203"/>
      <c r="T654" s="203"/>
      <c r="U654" s="269"/>
      <c r="V654" s="269"/>
      <c r="W654" s="269"/>
      <c r="X654" s="269"/>
      <c r="Y654" s="269"/>
      <c r="Z654" s="269"/>
      <c r="AA654" s="269"/>
      <c r="AB654" s="269"/>
      <c r="AC654" s="269"/>
    </row>
    <row r="655" spans="1:29" ht="12.75" x14ac:dyDescent="0.2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69"/>
      <c r="N655" s="269"/>
      <c r="O655" s="270"/>
      <c r="P655" s="270"/>
      <c r="Q655" s="270"/>
      <c r="R655" s="203"/>
      <c r="S655" s="203"/>
      <c r="T655" s="203"/>
      <c r="U655" s="269"/>
      <c r="V655" s="269"/>
      <c r="W655" s="269"/>
      <c r="X655" s="269"/>
      <c r="Y655" s="269"/>
      <c r="Z655" s="269"/>
      <c r="AA655" s="269"/>
      <c r="AB655" s="269"/>
      <c r="AC655" s="269"/>
    </row>
    <row r="656" spans="1:29" ht="12.75" x14ac:dyDescent="0.2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69"/>
      <c r="N656" s="269"/>
      <c r="O656" s="270"/>
      <c r="P656" s="270"/>
      <c r="Q656" s="270"/>
      <c r="R656" s="203"/>
      <c r="S656" s="203"/>
      <c r="T656" s="203"/>
      <c r="U656" s="269"/>
      <c r="V656" s="269"/>
      <c r="W656" s="269"/>
      <c r="X656" s="269"/>
      <c r="Y656" s="269"/>
      <c r="Z656" s="269"/>
      <c r="AA656" s="269"/>
      <c r="AB656" s="269"/>
      <c r="AC656" s="269"/>
    </row>
    <row r="657" spans="1:29" ht="12.75" x14ac:dyDescent="0.2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69"/>
      <c r="N657" s="269"/>
      <c r="O657" s="270"/>
      <c r="P657" s="270"/>
      <c r="Q657" s="270"/>
      <c r="R657" s="203"/>
      <c r="S657" s="203"/>
      <c r="T657" s="203"/>
      <c r="U657" s="269"/>
      <c r="V657" s="269"/>
      <c r="W657" s="269"/>
      <c r="X657" s="269"/>
      <c r="Y657" s="269"/>
      <c r="Z657" s="269"/>
      <c r="AA657" s="269"/>
      <c r="AB657" s="269"/>
      <c r="AC657" s="269"/>
    </row>
    <row r="658" spans="1:29" ht="12.75" x14ac:dyDescent="0.2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69"/>
      <c r="N658" s="269"/>
      <c r="O658" s="270"/>
      <c r="P658" s="270"/>
      <c r="Q658" s="270"/>
      <c r="R658" s="203"/>
      <c r="S658" s="203"/>
      <c r="T658" s="203"/>
      <c r="U658" s="269"/>
      <c r="V658" s="269"/>
      <c r="W658" s="269"/>
      <c r="X658" s="269"/>
      <c r="Y658" s="269"/>
      <c r="Z658" s="269"/>
      <c r="AA658" s="269"/>
      <c r="AB658" s="269"/>
      <c r="AC658" s="269"/>
    </row>
    <row r="659" spans="1:29" ht="12.75" x14ac:dyDescent="0.2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69"/>
      <c r="N659" s="269"/>
      <c r="O659" s="270"/>
      <c r="P659" s="270"/>
      <c r="Q659" s="270"/>
      <c r="R659" s="203"/>
      <c r="S659" s="203"/>
      <c r="T659" s="203"/>
      <c r="U659" s="269"/>
      <c r="V659" s="269"/>
      <c r="W659" s="269"/>
      <c r="X659" s="269"/>
      <c r="Y659" s="269"/>
      <c r="Z659" s="269"/>
      <c r="AA659" s="269"/>
      <c r="AB659" s="269"/>
      <c r="AC659" s="269"/>
    </row>
    <row r="660" spans="1:29" ht="12.75" x14ac:dyDescent="0.2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69"/>
      <c r="N660" s="269"/>
      <c r="O660" s="270"/>
      <c r="P660" s="270"/>
      <c r="Q660" s="270"/>
      <c r="R660" s="203"/>
      <c r="S660" s="203"/>
      <c r="T660" s="203"/>
      <c r="U660" s="269"/>
      <c r="V660" s="269"/>
      <c r="W660" s="269"/>
      <c r="X660" s="269"/>
      <c r="Y660" s="269"/>
      <c r="Z660" s="269"/>
      <c r="AA660" s="269"/>
      <c r="AB660" s="269"/>
      <c r="AC660" s="269"/>
    </row>
    <row r="661" spans="1:29" ht="12.75" x14ac:dyDescent="0.2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69"/>
      <c r="N661" s="269"/>
      <c r="O661" s="270"/>
      <c r="P661" s="270"/>
      <c r="Q661" s="270"/>
      <c r="R661" s="203"/>
      <c r="S661" s="203"/>
      <c r="T661" s="203"/>
      <c r="U661" s="269"/>
      <c r="V661" s="269"/>
      <c r="W661" s="269"/>
      <c r="X661" s="269"/>
      <c r="Y661" s="269"/>
      <c r="Z661" s="269"/>
      <c r="AA661" s="269"/>
      <c r="AB661" s="269"/>
      <c r="AC661" s="269"/>
    </row>
    <row r="662" spans="1:29" ht="12.75" x14ac:dyDescent="0.2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69"/>
      <c r="N662" s="269"/>
      <c r="O662" s="270"/>
      <c r="P662" s="270"/>
      <c r="Q662" s="270"/>
      <c r="R662" s="203"/>
      <c r="S662" s="203"/>
      <c r="T662" s="203"/>
      <c r="U662" s="269"/>
      <c r="V662" s="269"/>
      <c r="W662" s="269"/>
      <c r="X662" s="269"/>
      <c r="Y662" s="269"/>
      <c r="Z662" s="269"/>
      <c r="AA662" s="269"/>
      <c r="AB662" s="269"/>
      <c r="AC662" s="269"/>
    </row>
    <row r="663" spans="1:29" ht="12.75" x14ac:dyDescent="0.2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69"/>
      <c r="N663" s="269"/>
      <c r="O663" s="270"/>
      <c r="P663" s="270"/>
      <c r="Q663" s="270"/>
      <c r="R663" s="203"/>
      <c r="S663" s="203"/>
      <c r="T663" s="203"/>
      <c r="U663" s="269"/>
      <c r="V663" s="269"/>
      <c r="W663" s="269"/>
      <c r="X663" s="269"/>
      <c r="Y663" s="269"/>
      <c r="Z663" s="269"/>
      <c r="AA663" s="269"/>
      <c r="AB663" s="269"/>
      <c r="AC663" s="269"/>
    </row>
    <row r="664" spans="1:29" ht="12.75" x14ac:dyDescent="0.2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69"/>
      <c r="N664" s="269"/>
      <c r="O664" s="270"/>
      <c r="P664" s="270"/>
      <c r="Q664" s="270"/>
      <c r="R664" s="203"/>
      <c r="S664" s="203"/>
      <c r="T664" s="203"/>
      <c r="U664" s="269"/>
      <c r="V664" s="269"/>
      <c r="W664" s="269"/>
      <c r="X664" s="269"/>
      <c r="Y664" s="269"/>
      <c r="Z664" s="269"/>
      <c r="AA664" s="269"/>
      <c r="AB664" s="269"/>
      <c r="AC664" s="269"/>
    </row>
    <row r="665" spans="1:29" ht="12.75" x14ac:dyDescent="0.2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69"/>
      <c r="N665" s="269"/>
      <c r="O665" s="270"/>
      <c r="P665" s="270"/>
      <c r="Q665" s="270"/>
      <c r="R665" s="203"/>
      <c r="S665" s="203"/>
      <c r="T665" s="203"/>
      <c r="U665" s="269"/>
      <c r="V665" s="269"/>
      <c r="W665" s="269"/>
      <c r="X665" s="269"/>
      <c r="Y665" s="269"/>
      <c r="Z665" s="269"/>
      <c r="AA665" s="269"/>
      <c r="AB665" s="269"/>
      <c r="AC665" s="269"/>
    </row>
    <row r="666" spans="1:29" ht="12.75" x14ac:dyDescent="0.2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69"/>
      <c r="N666" s="269"/>
      <c r="O666" s="270"/>
      <c r="P666" s="270"/>
      <c r="Q666" s="270"/>
      <c r="R666" s="203"/>
      <c r="S666" s="203"/>
      <c r="T666" s="203"/>
      <c r="U666" s="269"/>
      <c r="V666" s="269"/>
      <c r="W666" s="269"/>
      <c r="X666" s="269"/>
      <c r="Y666" s="269"/>
      <c r="Z666" s="269"/>
      <c r="AA666" s="269"/>
      <c r="AB666" s="269"/>
      <c r="AC666" s="269"/>
    </row>
    <row r="667" spans="1:29" ht="12.75" x14ac:dyDescent="0.2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69"/>
      <c r="N667" s="269"/>
      <c r="O667" s="270"/>
      <c r="P667" s="270"/>
      <c r="Q667" s="270"/>
      <c r="R667" s="203"/>
      <c r="S667" s="203"/>
      <c r="T667" s="203"/>
      <c r="U667" s="269"/>
      <c r="V667" s="269"/>
      <c r="W667" s="269"/>
      <c r="X667" s="269"/>
      <c r="Y667" s="269"/>
      <c r="Z667" s="269"/>
      <c r="AA667" s="269"/>
      <c r="AB667" s="269"/>
      <c r="AC667" s="269"/>
    </row>
    <row r="668" spans="1:29" ht="12.75" x14ac:dyDescent="0.2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69"/>
      <c r="N668" s="269"/>
      <c r="O668" s="270"/>
      <c r="P668" s="270"/>
      <c r="Q668" s="270"/>
      <c r="R668" s="203"/>
      <c r="S668" s="203"/>
      <c r="T668" s="203"/>
      <c r="U668" s="269"/>
      <c r="V668" s="269"/>
      <c r="W668" s="269"/>
      <c r="X668" s="269"/>
      <c r="Y668" s="269"/>
      <c r="Z668" s="269"/>
      <c r="AA668" s="269"/>
      <c r="AB668" s="269"/>
      <c r="AC668" s="269"/>
    </row>
    <row r="669" spans="1:29" ht="12.75" x14ac:dyDescent="0.2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69"/>
      <c r="N669" s="269"/>
      <c r="O669" s="270"/>
      <c r="P669" s="270"/>
      <c r="Q669" s="270"/>
      <c r="R669" s="203"/>
      <c r="S669" s="203"/>
      <c r="T669" s="203"/>
      <c r="U669" s="269"/>
      <c r="V669" s="269"/>
      <c r="W669" s="269"/>
      <c r="X669" s="269"/>
      <c r="Y669" s="269"/>
      <c r="Z669" s="269"/>
      <c r="AA669" s="269"/>
      <c r="AB669" s="269"/>
      <c r="AC669" s="269"/>
    </row>
    <row r="670" spans="1:29" ht="12.75" x14ac:dyDescent="0.2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69"/>
      <c r="N670" s="269"/>
      <c r="O670" s="270"/>
      <c r="P670" s="270"/>
      <c r="Q670" s="270"/>
      <c r="R670" s="203"/>
      <c r="S670" s="203"/>
      <c r="T670" s="203"/>
      <c r="U670" s="269"/>
      <c r="V670" s="269"/>
      <c r="W670" s="269"/>
      <c r="X670" s="269"/>
      <c r="Y670" s="269"/>
      <c r="Z670" s="269"/>
      <c r="AA670" s="269"/>
      <c r="AB670" s="269"/>
      <c r="AC670" s="269"/>
    </row>
    <row r="671" spans="1:29" ht="12.75" x14ac:dyDescent="0.2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69"/>
      <c r="N671" s="269"/>
      <c r="O671" s="270"/>
      <c r="P671" s="270"/>
      <c r="Q671" s="270"/>
      <c r="R671" s="203"/>
      <c r="S671" s="203"/>
      <c r="T671" s="203"/>
      <c r="U671" s="269"/>
      <c r="V671" s="269"/>
      <c r="W671" s="269"/>
      <c r="X671" s="269"/>
      <c r="Y671" s="269"/>
      <c r="Z671" s="269"/>
      <c r="AA671" s="269"/>
      <c r="AB671" s="269"/>
      <c r="AC671" s="269"/>
    </row>
    <row r="672" spans="1:29" ht="12.75" x14ac:dyDescent="0.2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69"/>
      <c r="N672" s="269"/>
      <c r="O672" s="270"/>
      <c r="P672" s="270"/>
      <c r="Q672" s="270"/>
      <c r="R672" s="203"/>
      <c r="S672" s="203"/>
      <c r="T672" s="203"/>
      <c r="U672" s="269"/>
      <c r="V672" s="269"/>
      <c r="W672" s="269"/>
      <c r="X672" s="269"/>
      <c r="Y672" s="269"/>
      <c r="Z672" s="269"/>
      <c r="AA672" s="269"/>
      <c r="AB672" s="269"/>
      <c r="AC672" s="269"/>
    </row>
    <row r="673" spans="1:29" ht="12.75" x14ac:dyDescent="0.2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69"/>
      <c r="N673" s="269"/>
      <c r="O673" s="270"/>
      <c r="P673" s="270"/>
      <c r="Q673" s="270"/>
      <c r="R673" s="203"/>
      <c r="S673" s="203"/>
      <c r="T673" s="203"/>
      <c r="U673" s="269"/>
      <c r="V673" s="269"/>
      <c r="W673" s="269"/>
      <c r="X673" s="269"/>
      <c r="Y673" s="269"/>
      <c r="Z673" s="269"/>
      <c r="AA673" s="269"/>
      <c r="AB673" s="269"/>
      <c r="AC673" s="269"/>
    </row>
    <row r="674" spans="1:29" ht="12.75" x14ac:dyDescent="0.2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69"/>
      <c r="N674" s="269"/>
      <c r="O674" s="270"/>
      <c r="P674" s="270"/>
      <c r="Q674" s="270"/>
      <c r="R674" s="203"/>
      <c r="S674" s="203"/>
      <c r="T674" s="203"/>
      <c r="U674" s="269"/>
      <c r="V674" s="269"/>
      <c r="W674" s="269"/>
      <c r="X674" s="269"/>
      <c r="Y674" s="269"/>
      <c r="Z674" s="269"/>
      <c r="AA674" s="269"/>
      <c r="AB674" s="269"/>
      <c r="AC674" s="269"/>
    </row>
    <row r="675" spans="1:29" ht="12.75" x14ac:dyDescent="0.2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69"/>
      <c r="N675" s="269"/>
      <c r="O675" s="270"/>
      <c r="P675" s="270"/>
      <c r="Q675" s="270"/>
      <c r="R675" s="203"/>
      <c r="S675" s="203"/>
      <c r="T675" s="203"/>
      <c r="U675" s="269"/>
      <c r="V675" s="269"/>
      <c r="W675" s="269"/>
      <c r="X675" s="269"/>
      <c r="Y675" s="269"/>
      <c r="Z675" s="269"/>
      <c r="AA675" s="269"/>
      <c r="AB675" s="269"/>
      <c r="AC675" s="269"/>
    </row>
    <row r="676" spans="1:29" ht="12.75" x14ac:dyDescent="0.2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69"/>
      <c r="N676" s="269"/>
      <c r="O676" s="270"/>
      <c r="P676" s="270"/>
      <c r="Q676" s="270"/>
      <c r="R676" s="203"/>
      <c r="S676" s="203"/>
      <c r="T676" s="203"/>
      <c r="U676" s="269"/>
      <c r="V676" s="269"/>
      <c r="W676" s="269"/>
      <c r="X676" s="269"/>
      <c r="Y676" s="269"/>
      <c r="Z676" s="269"/>
      <c r="AA676" s="269"/>
      <c r="AB676" s="269"/>
      <c r="AC676" s="269"/>
    </row>
    <row r="677" spans="1:29" ht="12.75" x14ac:dyDescent="0.2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69"/>
      <c r="N677" s="269"/>
      <c r="O677" s="270"/>
      <c r="P677" s="270"/>
      <c r="Q677" s="270"/>
      <c r="R677" s="203"/>
      <c r="S677" s="203"/>
      <c r="T677" s="203"/>
      <c r="U677" s="269"/>
      <c r="V677" s="269"/>
      <c r="W677" s="269"/>
      <c r="X677" s="269"/>
      <c r="Y677" s="269"/>
      <c r="Z677" s="269"/>
      <c r="AA677" s="269"/>
      <c r="AB677" s="269"/>
      <c r="AC677" s="269"/>
    </row>
    <row r="678" spans="1:29" ht="12.75" x14ac:dyDescent="0.2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69"/>
      <c r="N678" s="269"/>
      <c r="O678" s="270"/>
      <c r="P678" s="270"/>
      <c r="Q678" s="270"/>
      <c r="R678" s="203"/>
      <c r="S678" s="203"/>
      <c r="T678" s="203"/>
      <c r="U678" s="269"/>
      <c r="V678" s="269"/>
      <c r="W678" s="269"/>
      <c r="X678" s="269"/>
      <c r="Y678" s="269"/>
      <c r="Z678" s="269"/>
      <c r="AA678" s="269"/>
      <c r="AB678" s="269"/>
      <c r="AC678" s="269"/>
    </row>
    <row r="679" spans="1:29" ht="12.75" x14ac:dyDescent="0.2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69"/>
      <c r="N679" s="269"/>
      <c r="O679" s="270"/>
      <c r="P679" s="270"/>
      <c r="Q679" s="270"/>
      <c r="R679" s="203"/>
      <c r="S679" s="203"/>
      <c r="T679" s="203"/>
      <c r="U679" s="269"/>
      <c r="V679" s="269"/>
      <c r="W679" s="269"/>
      <c r="X679" s="269"/>
      <c r="Y679" s="269"/>
      <c r="Z679" s="269"/>
      <c r="AA679" s="269"/>
      <c r="AB679" s="269"/>
      <c r="AC679" s="269"/>
    </row>
    <row r="680" spans="1:29" ht="12.75" x14ac:dyDescent="0.2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69"/>
      <c r="N680" s="269"/>
      <c r="O680" s="270"/>
      <c r="P680" s="270"/>
      <c r="Q680" s="270"/>
      <c r="R680" s="203"/>
      <c r="S680" s="203"/>
      <c r="T680" s="203"/>
      <c r="U680" s="269"/>
      <c r="V680" s="269"/>
      <c r="W680" s="269"/>
      <c r="X680" s="269"/>
      <c r="Y680" s="269"/>
      <c r="Z680" s="269"/>
      <c r="AA680" s="269"/>
      <c r="AB680" s="269"/>
      <c r="AC680" s="269"/>
    </row>
    <row r="681" spans="1:29" ht="12.75" x14ac:dyDescent="0.2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69"/>
      <c r="N681" s="269"/>
      <c r="O681" s="270"/>
      <c r="P681" s="270"/>
      <c r="Q681" s="270"/>
      <c r="R681" s="203"/>
      <c r="S681" s="203"/>
      <c r="T681" s="203"/>
      <c r="U681" s="269"/>
      <c r="V681" s="269"/>
      <c r="W681" s="269"/>
      <c r="X681" s="269"/>
      <c r="Y681" s="269"/>
      <c r="Z681" s="269"/>
      <c r="AA681" s="269"/>
      <c r="AB681" s="269"/>
      <c r="AC681" s="269"/>
    </row>
    <row r="682" spans="1:29" ht="12.75" x14ac:dyDescent="0.2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69"/>
      <c r="N682" s="269"/>
      <c r="O682" s="270"/>
      <c r="P682" s="270"/>
      <c r="Q682" s="270"/>
      <c r="R682" s="203"/>
      <c r="S682" s="203"/>
      <c r="T682" s="203"/>
      <c r="U682" s="269"/>
      <c r="V682" s="269"/>
      <c r="W682" s="269"/>
      <c r="X682" s="269"/>
      <c r="Y682" s="269"/>
      <c r="Z682" s="269"/>
      <c r="AA682" s="269"/>
      <c r="AB682" s="269"/>
      <c r="AC682" s="269"/>
    </row>
    <row r="683" spans="1:29" ht="12.75" x14ac:dyDescent="0.2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69"/>
      <c r="N683" s="269"/>
      <c r="O683" s="270"/>
      <c r="P683" s="270"/>
      <c r="Q683" s="270"/>
      <c r="R683" s="203"/>
      <c r="S683" s="203"/>
      <c r="T683" s="203"/>
      <c r="U683" s="269"/>
      <c r="V683" s="269"/>
      <c r="W683" s="269"/>
      <c r="X683" s="269"/>
      <c r="Y683" s="269"/>
      <c r="Z683" s="269"/>
      <c r="AA683" s="269"/>
      <c r="AB683" s="269"/>
      <c r="AC683" s="269"/>
    </row>
    <row r="684" spans="1:29" ht="12.75" x14ac:dyDescent="0.2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69"/>
      <c r="N684" s="269"/>
      <c r="O684" s="270"/>
      <c r="P684" s="270"/>
      <c r="Q684" s="270"/>
      <c r="R684" s="203"/>
      <c r="S684" s="203"/>
      <c r="T684" s="203"/>
      <c r="U684" s="269"/>
      <c r="V684" s="269"/>
      <c r="W684" s="269"/>
      <c r="X684" s="269"/>
      <c r="Y684" s="269"/>
      <c r="Z684" s="269"/>
      <c r="AA684" s="269"/>
      <c r="AB684" s="269"/>
      <c r="AC684" s="269"/>
    </row>
    <row r="685" spans="1:29" ht="12.75" x14ac:dyDescent="0.2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69"/>
      <c r="N685" s="269"/>
      <c r="O685" s="270"/>
      <c r="P685" s="270"/>
      <c r="Q685" s="270"/>
      <c r="R685" s="203"/>
      <c r="S685" s="203"/>
      <c r="T685" s="203"/>
      <c r="U685" s="269"/>
      <c r="V685" s="269"/>
      <c r="W685" s="269"/>
      <c r="X685" s="269"/>
      <c r="Y685" s="269"/>
      <c r="Z685" s="269"/>
      <c r="AA685" s="269"/>
      <c r="AB685" s="269"/>
      <c r="AC685" s="269"/>
    </row>
    <row r="686" spans="1:29" ht="12.75" x14ac:dyDescent="0.2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69"/>
      <c r="N686" s="269"/>
      <c r="O686" s="270"/>
      <c r="P686" s="270"/>
      <c r="Q686" s="270"/>
      <c r="R686" s="203"/>
      <c r="S686" s="203"/>
      <c r="T686" s="203"/>
      <c r="U686" s="269"/>
      <c r="V686" s="269"/>
      <c r="W686" s="269"/>
      <c r="X686" s="269"/>
      <c r="Y686" s="269"/>
      <c r="Z686" s="269"/>
      <c r="AA686" s="269"/>
      <c r="AB686" s="269"/>
      <c r="AC686" s="269"/>
    </row>
    <row r="687" spans="1:29" ht="12.75" x14ac:dyDescent="0.2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69"/>
      <c r="N687" s="269"/>
      <c r="O687" s="270"/>
      <c r="P687" s="270"/>
      <c r="Q687" s="270"/>
      <c r="R687" s="203"/>
      <c r="S687" s="203"/>
      <c r="T687" s="203"/>
      <c r="U687" s="269"/>
      <c r="V687" s="269"/>
      <c r="W687" s="269"/>
      <c r="X687" s="269"/>
      <c r="Y687" s="269"/>
      <c r="Z687" s="269"/>
      <c r="AA687" s="269"/>
      <c r="AB687" s="269"/>
      <c r="AC687" s="269"/>
    </row>
    <row r="688" spans="1:29" ht="12.75" x14ac:dyDescent="0.2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69"/>
      <c r="N688" s="269"/>
      <c r="O688" s="270"/>
      <c r="P688" s="270"/>
      <c r="Q688" s="270"/>
      <c r="R688" s="203"/>
      <c r="S688" s="203"/>
      <c r="T688" s="203"/>
      <c r="U688" s="269"/>
      <c r="V688" s="269"/>
      <c r="W688" s="269"/>
      <c r="X688" s="269"/>
      <c r="Y688" s="269"/>
      <c r="Z688" s="269"/>
      <c r="AA688" s="269"/>
      <c r="AB688" s="269"/>
      <c r="AC688" s="269"/>
    </row>
    <row r="689" spans="1:29" ht="12.75" x14ac:dyDescent="0.2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69"/>
      <c r="N689" s="269"/>
      <c r="O689" s="270"/>
      <c r="P689" s="270"/>
      <c r="Q689" s="270"/>
      <c r="R689" s="203"/>
      <c r="S689" s="203"/>
      <c r="T689" s="203"/>
      <c r="U689" s="269"/>
      <c r="V689" s="269"/>
      <c r="W689" s="269"/>
      <c r="X689" s="269"/>
      <c r="Y689" s="269"/>
      <c r="Z689" s="269"/>
      <c r="AA689" s="269"/>
      <c r="AB689" s="269"/>
      <c r="AC689" s="269"/>
    </row>
    <row r="690" spans="1:29" ht="12.75" x14ac:dyDescent="0.2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69"/>
      <c r="N690" s="269"/>
      <c r="O690" s="270"/>
      <c r="P690" s="270"/>
      <c r="Q690" s="270"/>
      <c r="R690" s="203"/>
      <c r="S690" s="203"/>
      <c r="T690" s="203"/>
      <c r="U690" s="269"/>
      <c r="V690" s="269"/>
      <c r="W690" s="269"/>
      <c r="X690" s="269"/>
      <c r="Y690" s="269"/>
      <c r="Z690" s="269"/>
      <c r="AA690" s="269"/>
      <c r="AB690" s="269"/>
      <c r="AC690" s="269"/>
    </row>
    <row r="691" spans="1:29" ht="12.75" x14ac:dyDescent="0.2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69"/>
      <c r="N691" s="269"/>
      <c r="O691" s="270"/>
      <c r="P691" s="270"/>
      <c r="Q691" s="270"/>
      <c r="R691" s="203"/>
      <c r="S691" s="203"/>
      <c r="T691" s="203"/>
      <c r="U691" s="269"/>
      <c r="V691" s="269"/>
      <c r="W691" s="269"/>
      <c r="X691" s="269"/>
      <c r="Y691" s="269"/>
      <c r="Z691" s="269"/>
      <c r="AA691" s="269"/>
      <c r="AB691" s="269"/>
      <c r="AC691" s="269"/>
    </row>
    <row r="692" spans="1:29" ht="12.75" x14ac:dyDescent="0.2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69"/>
      <c r="N692" s="269"/>
      <c r="O692" s="270"/>
      <c r="P692" s="270"/>
      <c r="Q692" s="270"/>
      <c r="R692" s="203"/>
      <c r="S692" s="203"/>
      <c r="T692" s="203"/>
      <c r="U692" s="269"/>
      <c r="V692" s="269"/>
      <c r="W692" s="269"/>
      <c r="X692" s="269"/>
      <c r="Y692" s="269"/>
      <c r="Z692" s="269"/>
      <c r="AA692" s="269"/>
      <c r="AB692" s="269"/>
      <c r="AC692" s="269"/>
    </row>
    <row r="693" spans="1:29" ht="12.75" x14ac:dyDescent="0.2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69"/>
      <c r="N693" s="269"/>
      <c r="O693" s="270"/>
      <c r="P693" s="270"/>
      <c r="Q693" s="270"/>
      <c r="R693" s="203"/>
      <c r="S693" s="203"/>
      <c r="T693" s="203"/>
      <c r="U693" s="269"/>
      <c r="V693" s="269"/>
      <c r="W693" s="269"/>
      <c r="X693" s="269"/>
      <c r="Y693" s="269"/>
      <c r="Z693" s="269"/>
      <c r="AA693" s="269"/>
      <c r="AB693" s="269"/>
      <c r="AC693" s="269"/>
    </row>
    <row r="694" spans="1:29" ht="12.75" x14ac:dyDescent="0.2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69"/>
      <c r="N694" s="269"/>
      <c r="O694" s="270"/>
      <c r="P694" s="270"/>
      <c r="Q694" s="270"/>
      <c r="R694" s="203"/>
      <c r="S694" s="203"/>
      <c r="T694" s="203"/>
      <c r="U694" s="269"/>
      <c r="V694" s="269"/>
      <c r="W694" s="269"/>
      <c r="X694" s="269"/>
      <c r="Y694" s="269"/>
      <c r="Z694" s="269"/>
      <c r="AA694" s="269"/>
      <c r="AB694" s="269"/>
      <c r="AC694" s="269"/>
    </row>
    <row r="695" spans="1:29" ht="12.75" x14ac:dyDescent="0.2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69"/>
      <c r="N695" s="269"/>
      <c r="O695" s="270"/>
      <c r="P695" s="270"/>
      <c r="Q695" s="270"/>
      <c r="R695" s="203"/>
      <c r="S695" s="203"/>
      <c r="T695" s="203"/>
      <c r="U695" s="269"/>
      <c r="V695" s="269"/>
      <c r="W695" s="269"/>
      <c r="X695" s="269"/>
      <c r="Y695" s="269"/>
      <c r="Z695" s="269"/>
      <c r="AA695" s="269"/>
      <c r="AB695" s="269"/>
      <c r="AC695" s="269"/>
    </row>
    <row r="696" spans="1:29" ht="12.75" x14ac:dyDescent="0.2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69"/>
      <c r="N696" s="269"/>
      <c r="O696" s="270"/>
      <c r="P696" s="270"/>
      <c r="Q696" s="270"/>
      <c r="R696" s="203"/>
      <c r="S696" s="203"/>
      <c r="T696" s="203"/>
      <c r="U696" s="269"/>
      <c r="V696" s="269"/>
      <c r="W696" s="269"/>
      <c r="X696" s="269"/>
      <c r="Y696" s="269"/>
      <c r="Z696" s="269"/>
      <c r="AA696" s="269"/>
      <c r="AB696" s="269"/>
      <c r="AC696" s="269"/>
    </row>
    <row r="697" spans="1:29" ht="12.75" x14ac:dyDescent="0.2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69"/>
      <c r="N697" s="269"/>
      <c r="O697" s="270"/>
      <c r="P697" s="270"/>
      <c r="Q697" s="270"/>
      <c r="R697" s="203"/>
      <c r="S697" s="203"/>
      <c r="T697" s="203"/>
      <c r="U697" s="269"/>
      <c r="V697" s="269"/>
      <c r="W697" s="269"/>
      <c r="X697" s="269"/>
      <c r="Y697" s="269"/>
      <c r="Z697" s="269"/>
      <c r="AA697" s="269"/>
      <c r="AB697" s="269"/>
      <c r="AC697" s="269"/>
    </row>
    <row r="698" spans="1:29" ht="12.75" x14ac:dyDescent="0.2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69"/>
      <c r="N698" s="269"/>
      <c r="O698" s="270"/>
      <c r="P698" s="270"/>
      <c r="Q698" s="270"/>
      <c r="R698" s="203"/>
      <c r="S698" s="203"/>
      <c r="T698" s="203"/>
      <c r="U698" s="269"/>
      <c r="V698" s="269"/>
      <c r="W698" s="269"/>
      <c r="X698" s="269"/>
      <c r="Y698" s="269"/>
      <c r="Z698" s="269"/>
      <c r="AA698" s="269"/>
      <c r="AB698" s="269"/>
      <c r="AC698" s="269"/>
    </row>
    <row r="699" spans="1:29" ht="12.75" x14ac:dyDescent="0.2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69"/>
      <c r="N699" s="269"/>
      <c r="O699" s="270"/>
      <c r="P699" s="270"/>
      <c r="Q699" s="270"/>
      <c r="R699" s="203"/>
      <c r="S699" s="203"/>
      <c r="T699" s="203"/>
      <c r="U699" s="269"/>
      <c r="V699" s="269"/>
      <c r="W699" s="269"/>
      <c r="X699" s="269"/>
      <c r="Y699" s="269"/>
      <c r="Z699" s="269"/>
      <c r="AA699" s="269"/>
      <c r="AB699" s="269"/>
      <c r="AC699" s="269"/>
    </row>
    <row r="700" spans="1:29" ht="12.75" x14ac:dyDescent="0.2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69"/>
      <c r="N700" s="269"/>
      <c r="O700" s="270"/>
      <c r="P700" s="270"/>
      <c r="Q700" s="270"/>
      <c r="R700" s="203"/>
      <c r="S700" s="203"/>
      <c r="T700" s="203"/>
      <c r="U700" s="269"/>
      <c r="V700" s="269"/>
      <c r="W700" s="269"/>
      <c r="X700" s="269"/>
      <c r="Y700" s="269"/>
      <c r="Z700" s="269"/>
      <c r="AA700" s="269"/>
      <c r="AB700" s="269"/>
      <c r="AC700" s="269"/>
    </row>
    <row r="701" spans="1:29" ht="12.75" x14ac:dyDescent="0.2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69"/>
      <c r="N701" s="269"/>
      <c r="O701" s="270"/>
      <c r="P701" s="270"/>
      <c r="Q701" s="270"/>
      <c r="R701" s="203"/>
      <c r="S701" s="203"/>
      <c r="T701" s="203"/>
      <c r="U701" s="269"/>
      <c r="V701" s="269"/>
      <c r="W701" s="269"/>
      <c r="X701" s="269"/>
      <c r="Y701" s="269"/>
      <c r="Z701" s="269"/>
      <c r="AA701" s="269"/>
      <c r="AB701" s="269"/>
      <c r="AC701" s="269"/>
    </row>
    <row r="702" spans="1:29" ht="12.75" x14ac:dyDescent="0.2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69"/>
      <c r="N702" s="269"/>
      <c r="O702" s="270"/>
      <c r="P702" s="270"/>
      <c r="Q702" s="270"/>
      <c r="R702" s="203"/>
      <c r="S702" s="203"/>
      <c r="T702" s="203"/>
      <c r="U702" s="269"/>
      <c r="V702" s="269"/>
      <c r="W702" s="269"/>
      <c r="X702" s="269"/>
      <c r="Y702" s="269"/>
      <c r="Z702" s="269"/>
      <c r="AA702" s="269"/>
      <c r="AB702" s="269"/>
      <c r="AC702" s="269"/>
    </row>
    <row r="703" spans="1:29" ht="12.75" x14ac:dyDescent="0.2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69"/>
      <c r="N703" s="269"/>
      <c r="O703" s="270"/>
      <c r="P703" s="270"/>
      <c r="Q703" s="270"/>
      <c r="R703" s="203"/>
      <c r="S703" s="203"/>
      <c r="T703" s="203"/>
      <c r="U703" s="269"/>
      <c r="V703" s="269"/>
      <c r="W703" s="269"/>
      <c r="X703" s="269"/>
      <c r="Y703" s="269"/>
      <c r="Z703" s="269"/>
      <c r="AA703" s="269"/>
      <c r="AB703" s="269"/>
      <c r="AC703" s="269"/>
    </row>
    <row r="704" spans="1:29" ht="12.75" x14ac:dyDescent="0.2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69"/>
      <c r="N704" s="269"/>
      <c r="O704" s="270"/>
      <c r="P704" s="270"/>
      <c r="Q704" s="270"/>
      <c r="R704" s="203"/>
      <c r="S704" s="203"/>
      <c r="T704" s="203"/>
      <c r="U704" s="269"/>
      <c r="V704" s="269"/>
      <c r="W704" s="269"/>
      <c r="X704" s="269"/>
      <c r="Y704" s="269"/>
      <c r="Z704" s="269"/>
      <c r="AA704" s="269"/>
      <c r="AB704" s="269"/>
      <c r="AC704" s="269"/>
    </row>
    <row r="705" spans="1:29" ht="12.75" x14ac:dyDescent="0.2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69"/>
      <c r="N705" s="269"/>
      <c r="O705" s="270"/>
      <c r="P705" s="270"/>
      <c r="Q705" s="270"/>
      <c r="R705" s="203"/>
      <c r="S705" s="203"/>
      <c r="T705" s="203"/>
      <c r="U705" s="269"/>
      <c r="V705" s="269"/>
      <c r="W705" s="269"/>
      <c r="X705" s="269"/>
      <c r="Y705" s="269"/>
      <c r="Z705" s="269"/>
      <c r="AA705" s="269"/>
      <c r="AB705" s="269"/>
      <c r="AC705" s="269"/>
    </row>
    <row r="706" spans="1:29" ht="12.75" x14ac:dyDescent="0.2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69"/>
      <c r="N706" s="269"/>
      <c r="O706" s="270"/>
      <c r="P706" s="270"/>
      <c r="Q706" s="270"/>
      <c r="R706" s="203"/>
      <c r="S706" s="203"/>
      <c r="T706" s="203"/>
      <c r="U706" s="269"/>
      <c r="V706" s="269"/>
      <c r="W706" s="269"/>
      <c r="X706" s="269"/>
      <c r="Y706" s="269"/>
      <c r="Z706" s="269"/>
      <c r="AA706" s="269"/>
      <c r="AB706" s="269"/>
      <c r="AC706" s="269"/>
    </row>
    <row r="707" spans="1:29" ht="12.75" x14ac:dyDescent="0.2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69"/>
      <c r="N707" s="269"/>
      <c r="O707" s="270"/>
      <c r="P707" s="270"/>
      <c r="Q707" s="270"/>
      <c r="R707" s="203"/>
      <c r="S707" s="203"/>
      <c r="T707" s="203"/>
      <c r="U707" s="269"/>
      <c r="V707" s="269"/>
      <c r="W707" s="269"/>
      <c r="X707" s="269"/>
      <c r="Y707" s="269"/>
      <c r="Z707" s="269"/>
      <c r="AA707" s="269"/>
      <c r="AB707" s="269"/>
      <c r="AC707" s="269"/>
    </row>
    <row r="708" spans="1:29" ht="12.75" x14ac:dyDescent="0.2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69"/>
      <c r="N708" s="269"/>
      <c r="O708" s="270"/>
      <c r="P708" s="270"/>
      <c r="Q708" s="270"/>
      <c r="R708" s="203"/>
      <c r="S708" s="203"/>
      <c r="T708" s="203"/>
      <c r="U708" s="269"/>
      <c r="V708" s="269"/>
      <c r="W708" s="269"/>
      <c r="X708" s="269"/>
      <c r="Y708" s="269"/>
      <c r="Z708" s="269"/>
      <c r="AA708" s="269"/>
      <c r="AB708" s="269"/>
      <c r="AC708" s="269"/>
    </row>
    <row r="709" spans="1:29" ht="12.75" x14ac:dyDescent="0.2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69"/>
      <c r="N709" s="269"/>
      <c r="O709" s="270"/>
      <c r="P709" s="270"/>
      <c r="Q709" s="270"/>
      <c r="R709" s="203"/>
      <c r="S709" s="203"/>
      <c r="T709" s="203"/>
      <c r="U709" s="269"/>
      <c r="V709" s="269"/>
      <c r="W709" s="269"/>
      <c r="X709" s="269"/>
      <c r="Y709" s="269"/>
      <c r="Z709" s="269"/>
      <c r="AA709" s="269"/>
      <c r="AB709" s="269"/>
      <c r="AC709" s="269"/>
    </row>
    <row r="710" spans="1:29" ht="12.75" x14ac:dyDescent="0.2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69"/>
      <c r="N710" s="269"/>
      <c r="O710" s="270"/>
      <c r="P710" s="270"/>
      <c r="Q710" s="270"/>
      <c r="R710" s="203"/>
      <c r="S710" s="203"/>
      <c r="T710" s="203"/>
      <c r="U710" s="269"/>
      <c r="V710" s="269"/>
      <c r="W710" s="269"/>
      <c r="X710" s="269"/>
      <c r="Y710" s="269"/>
      <c r="Z710" s="269"/>
      <c r="AA710" s="269"/>
      <c r="AB710" s="269"/>
      <c r="AC710" s="269"/>
    </row>
    <row r="711" spans="1:29" ht="12.75" x14ac:dyDescent="0.2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69"/>
      <c r="N711" s="269"/>
      <c r="O711" s="270"/>
      <c r="P711" s="270"/>
      <c r="Q711" s="270"/>
      <c r="R711" s="203"/>
      <c r="S711" s="203"/>
      <c r="T711" s="203"/>
      <c r="U711" s="269"/>
      <c r="V711" s="269"/>
      <c r="W711" s="269"/>
      <c r="X711" s="269"/>
      <c r="Y711" s="269"/>
      <c r="Z711" s="269"/>
      <c r="AA711" s="269"/>
      <c r="AB711" s="269"/>
      <c r="AC711" s="269"/>
    </row>
    <row r="712" spans="1:29" ht="12.75" x14ac:dyDescent="0.2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69"/>
      <c r="N712" s="269"/>
      <c r="O712" s="270"/>
      <c r="P712" s="270"/>
      <c r="Q712" s="270"/>
      <c r="R712" s="203"/>
      <c r="S712" s="203"/>
      <c r="T712" s="203"/>
      <c r="U712" s="269"/>
      <c r="V712" s="269"/>
      <c r="W712" s="269"/>
      <c r="X712" s="269"/>
      <c r="Y712" s="269"/>
      <c r="Z712" s="269"/>
      <c r="AA712" s="269"/>
      <c r="AB712" s="269"/>
      <c r="AC712" s="269"/>
    </row>
    <row r="713" spans="1:29" ht="12.75" x14ac:dyDescent="0.2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69"/>
      <c r="N713" s="269"/>
      <c r="O713" s="270"/>
      <c r="P713" s="270"/>
      <c r="Q713" s="270"/>
      <c r="R713" s="203"/>
      <c r="S713" s="203"/>
      <c r="T713" s="203"/>
      <c r="U713" s="269"/>
      <c r="V713" s="269"/>
      <c r="W713" s="269"/>
      <c r="X713" s="269"/>
      <c r="Y713" s="269"/>
      <c r="Z713" s="269"/>
      <c r="AA713" s="269"/>
      <c r="AB713" s="269"/>
      <c r="AC713" s="269"/>
    </row>
    <row r="714" spans="1:29" ht="12.75" x14ac:dyDescent="0.2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69"/>
      <c r="N714" s="269"/>
      <c r="O714" s="270"/>
      <c r="P714" s="270"/>
      <c r="Q714" s="270"/>
      <c r="R714" s="203"/>
      <c r="S714" s="203"/>
      <c r="T714" s="203"/>
      <c r="U714" s="269"/>
      <c r="V714" s="269"/>
      <c r="W714" s="269"/>
      <c r="X714" s="269"/>
      <c r="Y714" s="269"/>
      <c r="Z714" s="269"/>
      <c r="AA714" s="269"/>
      <c r="AB714" s="269"/>
      <c r="AC714" s="269"/>
    </row>
    <row r="715" spans="1:29" ht="12.75" x14ac:dyDescent="0.2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69"/>
      <c r="N715" s="269"/>
      <c r="O715" s="270"/>
      <c r="P715" s="270"/>
      <c r="Q715" s="270"/>
      <c r="R715" s="203"/>
      <c r="S715" s="203"/>
      <c r="T715" s="203"/>
      <c r="U715" s="269"/>
      <c r="V715" s="269"/>
      <c r="W715" s="269"/>
      <c r="X715" s="269"/>
      <c r="Y715" s="269"/>
      <c r="Z715" s="269"/>
      <c r="AA715" s="269"/>
      <c r="AB715" s="269"/>
      <c r="AC715" s="269"/>
    </row>
    <row r="716" spans="1:29" ht="12.75" x14ac:dyDescent="0.2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69"/>
      <c r="N716" s="269"/>
      <c r="O716" s="270"/>
      <c r="P716" s="270"/>
      <c r="Q716" s="270"/>
      <c r="R716" s="203"/>
      <c r="S716" s="203"/>
      <c r="T716" s="203"/>
      <c r="U716" s="269"/>
      <c r="V716" s="269"/>
      <c r="W716" s="269"/>
      <c r="X716" s="269"/>
      <c r="Y716" s="269"/>
      <c r="Z716" s="269"/>
      <c r="AA716" s="269"/>
      <c r="AB716" s="269"/>
      <c r="AC716" s="269"/>
    </row>
    <row r="717" spans="1:29" ht="12.75" x14ac:dyDescent="0.2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69"/>
      <c r="N717" s="269"/>
      <c r="O717" s="270"/>
      <c r="P717" s="270"/>
      <c r="Q717" s="270"/>
      <c r="R717" s="203"/>
      <c r="S717" s="203"/>
      <c r="T717" s="203"/>
      <c r="U717" s="269"/>
      <c r="V717" s="269"/>
      <c r="W717" s="269"/>
      <c r="X717" s="269"/>
      <c r="Y717" s="269"/>
      <c r="Z717" s="269"/>
      <c r="AA717" s="269"/>
      <c r="AB717" s="269"/>
      <c r="AC717" s="269"/>
    </row>
    <row r="718" spans="1:29" ht="12.75" x14ac:dyDescent="0.2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69"/>
      <c r="N718" s="269"/>
      <c r="O718" s="270"/>
      <c r="P718" s="270"/>
      <c r="Q718" s="270"/>
      <c r="R718" s="203"/>
      <c r="S718" s="203"/>
      <c r="T718" s="203"/>
      <c r="U718" s="269"/>
      <c r="V718" s="269"/>
      <c r="W718" s="269"/>
      <c r="X718" s="269"/>
      <c r="Y718" s="269"/>
      <c r="Z718" s="269"/>
      <c r="AA718" s="269"/>
      <c r="AB718" s="269"/>
      <c r="AC718" s="269"/>
    </row>
    <row r="719" spans="1:29" ht="12.75" x14ac:dyDescent="0.2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69"/>
      <c r="N719" s="269"/>
      <c r="O719" s="270"/>
      <c r="P719" s="270"/>
      <c r="Q719" s="270"/>
      <c r="R719" s="203"/>
      <c r="S719" s="203"/>
      <c r="T719" s="203"/>
      <c r="U719" s="269"/>
      <c r="V719" s="269"/>
      <c r="W719" s="269"/>
      <c r="X719" s="269"/>
      <c r="Y719" s="269"/>
      <c r="Z719" s="269"/>
      <c r="AA719" s="269"/>
      <c r="AB719" s="269"/>
      <c r="AC719" s="269"/>
    </row>
    <row r="720" spans="1:29" ht="12.75" x14ac:dyDescent="0.2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69"/>
      <c r="N720" s="269"/>
      <c r="O720" s="270"/>
      <c r="P720" s="270"/>
      <c r="Q720" s="270"/>
      <c r="R720" s="203"/>
      <c r="S720" s="203"/>
      <c r="T720" s="203"/>
      <c r="U720" s="269"/>
      <c r="V720" s="269"/>
      <c r="W720" s="269"/>
      <c r="X720" s="269"/>
      <c r="Y720" s="269"/>
      <c r="Z720" s="269"/>
      <c r="AA720" s="269"/>
      <c r="AB720" s="269"/>
      <c r="AC720" s="269"/>
    </row>
    <row r="721" spans="1:29" ht="12.75" x14ac:dyDescent="0.2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69"/>
      <c r="N721" s="269"/>
      <c r="O721" s="270"/>
      <c r="P721" s="270"/>
      <c r="Q721" s="270"/>
      <c r="R721" s="203"/>
      <c r="S721" s="203"/>
      <c r="T721" s="203"/>
      <c r="U721" s="269"/>
      <c r="V721" s="269"/>
      <c r="W721" s="269"/>
      <c r="X721" s="269"/>
      <c r="Y721" s="269"/>
      <c r="Z721" s="269"/>
      <c r="AA721" s="269"/>
      <c r="AB721" s="269"/>
      <c r="AC721" s="269"/>
    </row>
    <row r="722" spans="1:29" ht="12.75" x14ac:dyDescent="0.2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69"/>
      <c r="N722" s="269"/>
      <c r="O722" s="270"/>
      <c r="P722" s="270"/>
      <c r="Q722" s="270"/>
      <c r="R722" s="203"/>
      <c r="S722" s="203"/>
      <c r="T722" s="203"/>
      <c r="U722" s="269"/>
      <c r="V722" s="269"/>
      <c r="W722" s="269"/>
      <c r="X722" s="269"/>
      <c r="Y722" s="269"/>
      <c r="Z722" s="269"/>
      <c r="AA722" s="269"/>
      <c r="AB722" s="269"/>
      <c r="AC722" s="269"/>
    </row>
    <row r="723" spans="1:29" ht="12.75" x14ac:dyDescent="0.2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69"/>
      <c r="N723" s="269"/>
      <c r="O723" s="270"/>
      <c r="P723" s="270"/>
      <c r="Q723" s="270"/>
      <c r="R723" s="203"/>
      <c r="S723" s="203"/>
      <c r="T723" s="203"/>
      <c r="U723" s="269"/>
      <c r="V723" s="269"/>
      <c r="W723" s="269"/>
      <c r="X723" s="269"/>
      <c r="Y723" s="269"/>
      <c r="Z723" s="269"/>
      <c r="AA723" s="269"/>
      <c r="AB723" s="269"/>
      <c r="AC723" s="269"/>
    </row>
    <row r="724" spans="1:29" ht="12.75" x14ac:dyDescent="0.2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69"/>
      <c r="N724" s="269"/>
      <c r="O724" s="270"/>
      <c r="P724" s="270"/>
      <c r="Q724" s="270"/>
      <c r="R724" s="203"/>
      <c r="S724" s="203"/>
      <c r="T724" s="203"/>
      <c r="U724" s="269"/>
      <c r="V724" s="269"/>
      <c r="W724" s="269"/>
      <c r="X724" s="269"/>
      <c r="Y724" s="269"/>
      <c r="Z724" s="269"/>
      <c r="AA724" s="269"/>
      <c r="AB724" s="269"/>
      <c r="AC724" s="269"/>
    </row>
    <row r="725" spans="1:29" ht="12.75" x14ac:dyDescent="0.2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69"/>
      <c r="N725" s="269"/>
      <c r="O725" s="270"/>
      <c r="P725" s="270"/>
      <c r="Q725" s="270"/>
      <c r="R725" s="203"/>
      <c r="S725" s="203"/>
      <c r="T725" s="203"/>
      <c r="U725" s="269"/>
      <c r="V725" s="269"/>
      <c r="W725" s="269"/>
      <c r="X725" s="269"/>
      <c r="Y725" s="269"/>
      <c r="Z725" s="269"/>
      <c r="AA725" s="269"/>
      <c r="AB725" s="269"/>
      <c r="AC725" s="269"/>
    </row>
    <row r="726" spans="1:29" ht="12.75" x14ac:dyDescent="0.2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69"/>
      <c r="N726" s="269"/>
      <c r="O726" s="270"/>
      <c r="P726" s="270"/>
      <c r="Q726" s="270"/>
      <c r="R726" s="203"/>
      <c r="S726" s="203"/>
      <c r="T726" s="203"/>
      <c r="U726" s="269"/>
      <c r="V726" s="269"/>
      <c r="W726" s="269"/>
      <c r="X726" s="269"/>
      <c r="Y726" s="269"/>
      <c r="Z726" s="269"/>
      <c r="AA726" s="269"/>
      <c r="AB726" s="269"/>
      <c r="AC726" s="269"/>
    </row>
    <row r="727" spans="1:29" ht="12.75" x14ac:dyDescent="0.2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69"/>
      <c r="N727" s="269"/>
      <c r="O727" s="270"/>
      <c r="P727" s="270"/>
      <c r="Q727" s="270"/>
      <c r="R727" s="203"/>
      <c r="S727" s="203"/>
      <c r="T727" s="203"/>
      <c r="U727" s="269"/>
      <c r="V727" s="269"/>
      <c r="W727" s="269"/>
      <c r="X727" s="269"/>
      <c r="Y727" s="269"/>
      <c r="Z727" s="269"/>
      <c r="AA727" s="269"/>
      <c r="AB727" s="269"/>
      <c r="AC727" s="269"/>
    </row>
    <row r="728" spans="1:29" ht="12.75" x14ac:dyDescent="0.2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69"/>
      <c r="N728" s="269"/>
      <c r="O728" s="270"/>
      <c r="P728" s="270"/>
      <c r="Q728" s="270"/>
      <c r="R728" s="203"/>
      <c r="S728" s="203"/>
      <c r="T728" s="203"/>
      <c r="U728" s="269"/>
      <c r="V728" s="269"/>
      <c r="W728" s="269"/>
      <c r="X728" s="269"/>
      <c r="Y728" s="269"/>
      <c r="Z728" s="269"/>
      <c r="AA728" s="269"/>
      <c r="AB728" s="269"/>
      <c r="AC728" s="269"/>
    </row>
    <row r="729" spans="1:29" ht="12.75" x14ac:dyDescent="0.2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69"/>
      <c r="N729" s="269"/>
      <c r="O729" s="270"/>
      <c r="P729" s="270"/>
      <c r="Q729" s="270"/>
      <c r="R729" s="203"/>
      <c r="S729" s="203"/>
      <c r="T729" s="203"/>
      <c r="U729" s="269"/>
      <c r="V729" s="269"/>
      <c r="W729" s="269"/>
      <c r="X729" s="269"/>
      <c r="Y729" s="269"/>
      <c r="Z729" s="269"/>
      <c r="AA729" s="269"/>
      <c r="AB729" s="269"/>
      <c r="AC729" s="269"/>
    </row>
    <row r="730" spans="1:29" ht="12.75" x14ac:dyDescent="0.2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69"/>
      <c r="N730" s="269"/>
      <c r="O730" s="270"/>
      <c r="P730" s="270"/>
      <c r="Q730" s="270"/>
      <c r="R730" s="203"/>
      <c r="S730" s="203"/>
      <c r="T730" s="203"/>
      <c r="U730" s="269"/>
      <c r="V730" s="269"/>
      <c r="W730" s="269"/>
      <c r="X730" s="269"/>
      <c r="Y730" s="269"/>
      <c r="Z730" s="269"/>
      <c r="AA730" s="269"/>
      <c r="AB730" s="269"/>
      <c r="AC730" s="269"/>
    </row>
    <row r="731" spans="1:29" ht="12.75" x14ac:dyDescent="0.2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69"/>
      <c r="N731" s="269"/>
      <c r="O731" s="270"/>
      <c r="P731" s="270"/>
      <c r="Q731" s="270"/>
      <c r="R731" s="203"/>
      <c r="S731" s="203"/>
      <c r="T731" s="203"/>
      <c r="U731" s="269"/>
      <c r="V731" s="269"/>
      <c r="W731" s="269"/>
      <c r="X731" s="269"/>
      <c r="Y731" s="269"/>
      <c r="Z731" s="269"/>
      <c r="AA731" s="269"/>
      <c r="AB731" s="269"/>
      <c r="AC731" s="269"/>
    </row>
    <row r="732" spans="1:29" ht="12.75" x14ac:dyDescent="0.2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69"/>
      <c r="N732" s="269"/>
      <c r="O732" s="270"/>
      <c r="P732" s="270"/>
      <c r="Q732" s="270"/>
      <c r="R732" s="203"/>
      <c r="S732" s="203"/>
      <c r="T732" s="203"/>
      <c r="U732" s="269"/>
      <c r="V732" s="269"/>
      <c r="W732" s="269"/>
      <c r="X732" s="269"/>
      <c r="Y732" s="269"/>
      <c r="Z732" s="269"/>
      <c r="AA732" s="269"/>
      <c r="AB732" s="269"/>
      <c r="AC732" s="269"/>
    </row>
    <row r="733" spans="1:29" ht="12.75" x14ac:dyDescent="0.2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69"/>
      <c r="N733" s="269"/>
      <c r="O733" s="270"/>
      <c r="P733" s="270"/>
      <c r="Q733" s="270"/>
      <c r="R733" s="203"/>
      <c r="S733" s="203"/>
      <c r="T733" s="203"/>
      <c r="U733" s="269"/>
      <c r="V733" s="269"/>
      <c r="W733" s="269"/>
      <c r="X733" s="269"/>
      <c r="Y733" s="269"/>
      <c r="Z733" s="269"/>
      <c r="AA733" s="269"/>
      <c r="AB733" s="269"/>
      <c r="AC733" s="269"/>
    </row>
    <row r="734" spans="1:29" ht="12.75" x14ac:dyDescent="0.2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69"/>
      <c r="N734" s="269"/>
      <c r="O734" s="270"/>
      <c r="P734" s="270"/>
      <c r="Q734" s="270"/>
      <c r="R734" s="203"/>
      <c r="S734" s="203"/>
      <c r="T734" s="203"/>
      <c r="U734" s="269"/>
      <c r="V734" s="269"/>
      <c r="W734" s="269"/>
      <c r="X734" s="269"/>
      <c r="Y734" s="269"/>
      <c r="Z734" s="269"/>
      <c r="AA734" s="269"/>
      <c r="AB734" s="269"/>
      <c r="AC734" s="269"/>
    </row>
    <row r="735" spans="1:29" ht="12.75" x14ac:dyDescent="0.2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69"/>
      <c r="N735" s="269"/>
      <c r="O735" s="270"/>
      <c r="P735" s="270"/>
      <c r="Q735" s="270"/>
      <c r="R735" s="203"/>
      <c r="S735" s="203"/>
      <c r="T735" s="203"/>
      <c r="U735" s="269"/>
      <c r="V735" s="269"/>
      <c r="W735" s="269"/>
      <c r="X735" s="269"/>
      <c r="Y735" s="269"/>
      <c r="Z735" s="269"/>
      <c r="AA735" s="269"/>
      <c r="AB735" s="269"/>
      <c r="AC735" s="269"/>
    </row>
    <row r="736" spans="1:29" ht="12.75" x14ac:dyDescent="0.2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69"/>
      <c r="N736" s="269"/>
      <c r="O736" s="270"/>
      <c r="P736" s="270"/>
      <c r="Q736" s="270"/>
      <c r="R736" s="203"/>
      <c r="S736" s="203"/>
      <c r="T736" s="203"/>
      <c r="U736" s="269"/>
      <c r="V736" s="269"/>
      <c r="W736" s="269"/>
      <c r="X736" s="269"/>
      <c r="Y736" s="269"/>
      <c r="Z736" s="269"/>
      <c r="AA736" s="269"/>
      <c r="AB736" s="269"/>
      <c r="AC736" s="269"/>
    </row>
    <row r="737" spans="1:29" ht="12.75" x14ac:dyDescent="0.2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69"/>
      <c r="N737" s="269"/>
      <c r="O737" s="270"/>
      <c r="P737" s="270"/>
      <c r="Q737" s="270"/>
      <c r="R737" s="203"/>
      <c r="S737" s="203"/>
      <c r="T737" s="203"/>
      <c r="U737" s="269"/>
      <c r="V737" s="269"/>
      <c r="W737" s="269"/>
      <c r="X737" s="269"/>
      <c r="Y737" s="269"/>
      <c r="Z737" s="269"/>
      <c r="AA737" s="269"/>
      <c r="AB737" s="269"/>
      <c r="AC737" s="269"/>
    </row>
    <row r="738" spans="1:29" ht="12.75" x14ac:dyDescent="0.2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69"/>
      <c r="N738" s="269"/>
      <c r="O738" s="270"/>
      <c r="P738" s="270"/>
      <c r="Q738" s="270"/>
      <c r="R738" s="203"/>
      <c r="S738" s="203"/>
      <c r="T738" s="203"/>
      <c r="U738" s="269"/>
      <c r="V738" s="269"/>
      <c r="W738" s="269"/>
      <c r="X738" s="269"/>
      <c r="Y738" s="269"/>
      <c r="Z738" s="269"/>
      <c r="AA738" s="269"/>
      <c r="AB738" s="269"/>
      <c r="AC738" s="269"/>
    </row>
    <row r="739" spans="1:29" ht="12.75" x14ac:dyDescent="0.2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69"/>
      <c r="N739" s="269"/>
      <c r="O739" s="270"/>
      <c r="P739" s="270"/>
      <c r="Q739" s="270"/>
      <c r="R739" s="203"/>
      <c r="S739" s="203"/>
      <c r="T739" s="203"/>
      <c r="U739" s="269"/>
      <c r="V739" s="269"/>
      <c r="W739" s="269"/>
      <c r="X739" s="269"/>
      <c r="Y739" s="269"/>
      <c r="Z739" s="269"/>
      <c r="AA739" s="269"/>
      <c r="AB739" s="269"/>
      <c r="AC739" s="269"/>
    </row>
    <row r="740" spans="1:29" ht="12.75" x14ac:dyDescent="0.2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69"/>
      <c r="N740" s="269"/>
      <c r="O740" s="270"/>
      <c r="P740" s="270"/>
      <c r="Q740" s="270"/>
      <c r="R740" s="203"/>
      <c r="S740" s="203"/>
      <c r="T740" s="203"/>
      <c r="U740" s="269"/>
      <c r="V740" s="269"/>
      <c r="W740" s="269"/>
      <c r="X740" s="269"/>
      <c r="Y740" s="269"/>
      <c r="Z740" s="269"/>
      <c r="AA740" s="269"/>
      <c r="AB740" s="269"/>
      <c r="AC740" s="269"/>
    </row>
    <row r="741" spans="1:29" ht="12.75" x14ac:dyDescent="0.2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69"/>
      <c r="N741" s="269"/>
      <c r="O741" s="270"/>
      <c r="P741" s="270"/>
      <c r="Q741" s="270"/>
      <c r="R741" s="203"/>
      <c r="S741" s="203"/>
      <c r="T741" s="203"/>
      <c r="U741" s="269"/>
      <c r="V741" s="269"/>
      <c r="W741" s="269"/>
      <c r="X741" s="269"/>
      <c r="Y741" s="269"/>
      <c r="Z741" s="269"/>
      <c r="AA741" s="269"/>
      <c r="AB741" s="269"/>
      <c r="AC741" s="269"/>
    </row>
    <row r="742" spans="1:29" ht="12.75" x14ac:dyDescent="0.2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69"/>
      <c r="N742" s="269"/>
      <c r="O742" s="270"/>
      <c r="P742" s="270"/>
      <c r="Q742" s="270"/>
      <c r="R742" s="203"/>
      <c r="S742" s="203"/>
      <c r="T742" s="203"/>
      <c r="U742" s="269"/>
      <c r="V742" s="269"/>
      <c r="W742" s="269"/>
      <c r="X742" s="269"/>
      <c r="Y742" s="269"/>
      <c r="Z742" s="269"/>
      <c r="AA742" s="269"/>
      <c r="AB742" s="269"/>
      <c r="AC742" s="269"/>
    </row>
    <row r="743" spans="1:29" ht="12.75" x14ac:dyDescent="0.2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69"/>
      <c r="N743" s="269"/>
      <c r="O743" s="270"/>
      <c r="P743" s="270"/>
      <c r="Q743" s="270"/>
      <c r="R743" s="203"/>
      <c r="S743" s="203"/>
      <c r="T743" s="203"/>
      <c r="U743" s="269"/>
      <c r="V743" s="269"/>
      <c r="W743" s="269"/>
      <c r="X743" s="269"/>
      <c r="Y743" s="269"/>
      <c r="Z743" s="269"/>
      <c r="AA743" s="269"/>
      <c r="AB743" s="269"/>
      <c r="AC743" s="269"/>
    </row>
    <row r="744" spans="1:29" ht="12.75" x14ac:dyDescent="0.2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69"/>
      <c r="N744" s="269"/>
      <c r="O744" s="270"/>
      <c r="P744" s="270"/>
      <c r="Q744" s="270"/>
      <c r="R744" s="203"/>
      <c r="S744" s="203"/>
      <c r="T744" s="203"/>
      <c r="U744" s="269"/>
      <c r="V744" s="269"/>
      <c r="W744" s="269"/>
      <c r="X744" s="269"/>
      <c r="Y744" s="269"/>
      <c r="Z744" s="269"/>
      <c r="AA744" s="269"/>
      <c r="AB744" s="269"/>
      <c r="AC744" s="269"/>
    </row>
    <row r="745" spans="1:29" ht="12.75" x14ac:dyDescent="0.2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69"/>
      <c r="N745" s="269"/>
      <c r="O745" s="270"/>
      <c r="P745" s="270"/>
      <c r="Q745" s="270"/>
      <c r="R745" s="203"/>
      <c r="S745" s="203"/>
      <c r="T745" s="203"/>
      <c r="U745" s="269"/>
      <c r="V745" s="269"/>
      <c r="W745" s="269"/>
      <c r="X745" s="269"/>
      <c r="Y745" s="269"/>
      <c r="Z745" s="269"/>
      <c r="AA745" s="269"/>
      <c r="AB745" s="269"/>
      <c r="AC745" s="269"/>
    </row>
    <row r="746" spans="1:29" ht="12.75" x14ac:dyDescent="0.2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69"/>
      <c r="N746" s="269"/>
      <c r="O746" s="270"/>
      <c r="P746" s="270"/>
      <c r="Q746" s="270"/>
      <c r="R746" s="203"/>
      <c r="S746" s="203"/>
      <c r="T746" s="203"/>
      <c r="U746" s="269"/>
      <c r="V746" s="269"/>
      <c r="W746" s="269"/>
      <c r="X746" s="269"/>
      <c r="Y746" s="269"/>
      <c r="Z746" s="269"/>
      <c r="AA746" s="269"/>
      <c r="AB746" s="269"/>
      <c r="AC746" s="269"/>
    </row>
    <row r="747" spans="1:29" ht="12.75" x14ac:dyDescent="0.2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69"/>
      <c r="N747" s="269"/>
      <c r="O747" s="270"/>
      <c r="P747" s="270"/>
      <c r="Q747" s="270"/>
      <c r="R747" s="203"/>
      <c r="S747" s="203"/>
      <c r="T747" s="203"/>
      <c r="U747" s="269"/>
      <c r="V747" s="269"/>
      <c r="W747" s="269"/>
      <c r="X747" s="269"/>
      <c r="Y747" s="269"/>
      <c r="Z747" s="269"/>
      <c r="AA747" s="269"/>
      <c r="AB747" s="269"/>
      <c r="AC747" s="269"/>
    </row>
    <row r="748" spans="1:29" ht="12.75" x14ac:dyDescent="0.2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69"/>
      <c r="N748" s="269"/>
      <c r="O748" s="270"/>
      <c r="P748" s="270"/>
      <c r="Q748" s="270"/>
      <c r="R748" s="203"/>
      <c r="S748" s="203"/>
      <c r="T748" s="203"/>
      <c r="U748" s="269"/>
      <c r="V748" s="269"/>
      <c r="W748" s="269"/>
      <c r="X748" s="269"/>
      <c r="Y748" s="269"/>
      <c r="Z748" s="269"/>
      <c r="AA748" s="269"/>
      <c r="AB748" s="269"/>
      <c r="AC748" s="269"/>
    </row>
    <row r="749" spans="1:29" ht="12.75" x14ac:dyDescent="0.2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69"/>
      <c r="N749" s="269"/>
      <c r="O749" s="270"/>
      <c r="P749" s="270"/>
      <c r="Q749" s="270"/>
      <c r="R749" s="203"/>
      <c r="S749" s="203"/>
      <c r="T749" s="203"/>
      <c r="U749" s="269"/>
      <c r="V749" s="269"/>
      <c r="W749" s="269"/>
      <c r="X749" s="269"/>
      <c r="Y749" s="269"/>
      <c r="Z749" s="269"/>
      <c r="AA749" s="269"/>
      <c r="AB749" s="269"/>
      <c r="AC749" s="269"/>
    </row>
    <row r="750" spans="1:29" ht="12.75" x14ac:dyDescent="0.2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69"/>
      <c r="N750" s="269"/>
      <c r="O750" s="270"/>
      <c r="P750" s="270"/>
      <c r="Q750" s="270"/>
      <c r="R750" s="203"/>
      <c r="S750" s="203"/>
      <c r="T750" s="203"/>
      <c r="U750" s="269"/>
      <c r="V750" s="269"/>
      <c r="W750" s="269"/>
      <c r="X750" s="269"/>
      <c r="Y750" s="269"/>
      <c r="Z750" s="269"/>
      <c r="AA750" s="269"/>
      <c r="AB750" s="269"/>
      <c r="AC750" s="269"/>
    </row>
    <row r="751" spans="1:29" ht="12.75" x14ac:dyDescent="0.2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69"/>
      <c r="N751" s="269"/>
      <c r="O751" s="270"/>
      <c r="P751" s="270"/>
      <c r="Q751" s="270"/>
      <c r="R751" s="203"/>
      <c r="S751" s="203"/>
      <c r="T751" s="203"/>
      <c r="U751" s="269"/>
      <c r="V751" s="269"/>
      <c r="W751" s="269"/>
      <c r="X751" s="269"/>
      <c r="Y751" s="269"/>
      <c r="Z751" s="269"/>
      <c r="AA751" s="269"/>
      <c r="AB751" s="269"/>
      <c r="AC751" s="269"/>
    </row>
    <row r="752" spans="1:29" ht="12.75" x14ac:dyDescent="0.2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69"/>
      <c r="N752" s="269"/>
      <c r="O752" s="270"/>
      <c r="P752" s="270"/>
      <c r="Q752" s="270"/>
      <c r="R752" s="203"/>
      <c r="S752" s="203"/>
      <c r="T752" s="203"/>
      <c r="U752" s="269"/>
      <c r="V752" s="269"/>
      <c r="W752" s="269"/>
      <c r="X752" s="269"/>
      <c r="Y752" s="269"/>
      <c r="Z752" s="269"/>
      <c r="AA752" s="269"/>
      <c r="AB752" s="269"/>
      <c r="AC752" s="269"/>
    </row>
    <row r="753" spans="1:29" ht="12.75" x14ac:dyDescent="0.2">
      <c r="A753" s="203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69"/>
      <c r="N753" s="269"/>
      <c r="O753" s="270"/>
      <c r="P753" s="270"/>
      <c r="Q753" s="270"/>
      <c r="R753" s="203"/>
      <c r="S753" s="203"/>
      <c r="T753" s="203"/>
      <c r="U753" s="269"/>
      <c r="V753" s="269"/>
      <c r="W753" s="269"/>
      <c r="X753" s="269"/>
      <c r="Y753" s="269"/>
      <c r="Z753" s="269"/>
      <c r="AA753" s="269"/>
      <c r="AB753" s="269"/>
      <c r="AC753" s="269"/>
    </row>
    <row r="754" spans="1:29" ht="12.75" x14ac:dyDescent="0.2">
      <c r="A754" s="203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203"/>
      <c r="M754" s="269"/>
      <c r="N754" s="269"/>
      <c r="O754" s="270"/>
      <c r="P754" s="270"/>
      <c r="Q754" s="270"/>
      <c r="R754" s="203"/>
      <c r="S754" s="203"/>
      <c r="T754" s="203"/>
      <c r="U754" s="269"/>
      <c r="V754" s="269"/>
      <c r="W754" s="269"/>
      <c r="X754" s="269"/>
      <c r="Y754" s="269"/>
      <c r="Z754" s="269"/>
      <c r="AA754" s="269"/>
      <c r="AB754" s="269"/>
      <c r="AC754" s="269"/>
    </row>
    <row r="755" spans="1:29" ht="12.75" x14ac:dyDescent="0.2">
      <c r="A755" s="203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203"/>
      <c r="M755" s="269"/>
      <c r="N755" s="269"/>
      <c r="O755" s="270"/>
      <c r="P755" s="270"/>
      <c r="Q755" s="270"/>
      <c r="R755" s="203"/>
      <c r="S755" s="203"/>
      <c r="T755" s="203"/>
      <c r="U755" s="269"/>
      <c r="V755" s="269"/>
      <c r="W755" s="269"/>
      <c r="X755" s="269"/>
      <c r="Y755" s="269"/>
      <c r="Z755" s="269"/>
      <c r="AA755" s="269"/>
      <c r="AB755" s="269"/>
      <c r="AC755" s="269"/>
    </row>
    <row r="756" spans="1:29" ht="12.75" x14ac:dyDescent="0.2">
      <c r="A756" s="203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203"/>
      <c r="M756" s="269"/>
      <c r="N756" s="269"/>
      <c r="O756" s="270"/>
      <c r="P756" s="270"/>
      <c r="Q756" s="270"/>
      <c r="R756" s="203"/>
      <c r="S756" s="203"/>
      <c r="T756" s="203"/>
      <c r="U756" s="269"/>
      <c r="V756" s="269"/>
      <c r="W756" s="269"/>
      <c r="X756" s="269"/>
      <c r="Y756" s="269"/>
      <c r="Z756" s="269"/>
      <c r="AA756" s="269"/>
      <c r="AB756" s="269"/>
      <c r="AC756" s="269"/>
    </row>
    <row r="757" spans="1:29" ht="12.75" x14ac:dyDescent="0.2">
      <c r="A757" s="203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203"/>
      <c r="M757" s="269"/>
      <c r="N757" s="269"/>
      <c r="O757" s="270"/>
      <c r="P757" s="270"/>
      <c r="Q757" s="270"/>
      <c r="R757" s="203"/>
      <c r="S757" s="203"/>
      <c r="T757" s="203"/>
      <c r="U757" s="269"/>
      <c r="V757" s="269"/>
      <c r="W757" s="269"/>
      <c r="X757" s="269"/>
      <c r="Y757" s="269"/>
      <c r="Z757" s="269"/>
      <c r="AA757" s="269"/>
      <c r="AB757" s="269"/>
      <c r="AC757" s="269"/>
    </row>
    <row r="758" spans="1:29" ht="12.75" x14ac:dyDescent="0.2">
      <c r="A758" s="203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203"/>
      <c r="M758" s="269"/>
      <c r="N758" s="269"/>
      <c r="O758" s="270"/>
      <c r="P758" s="270"/>
      <c r="Q758" s="270"/>
      <c r="R758" s="203"/>
      <c r="S758" s="203"/>
      <c r="T758" s="203"/>
      <c r="U758" s="269"/>
      <c r="V758" s="269"/>
      <c r="W758" s="269"/>
      <c r="X758" s="269"/>
      <c r="Y758" s="269"/>
      <c r="Z758" s="269"/>
      <c r="AA758" s="269"/>
      <c r="AB758" s="269"/>
      <c r="AC758" s="269"/>
    </row>
    <row r="759" spans="1:29" ht="12.75" x14ac:dyDescent="0.2">
      <c r="A759" s="203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203"/>
      <c r="M759" s="269"/>
      <c r="N759" s="269"/>
      <c r="O759" s="270"/>
      <c r="P759" s="270"/>
      <c r="Q759" s="270"/>
      <c r="R759" s="203"/>
      <c r="S759" s="203"/>
      <c r="T759" s="203"/>
      <c r="U759" s="269"/>
      <c r="V759" s="269"/>
      <c r="W759" s="269"/>
      <c r="X759" s="269"/>
      <c r="Y759" s="269"/>
      <c r="Z759" s="269"/>
      <c r="AA759" s="269"/>
      <c r="AB759" s="269"/>
      <c r="AC759" s="269"/>
    </row>
    <row r="760" spans="1:29" ht="12.75" x14ac:dyDescent="0.2">
      <c r="A760" s="203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203"/>
      <c r="M760" s="269"/>
      <c r="N760" s="269"/>
      <c r="O760" s="270"/>
      <c r="P760" s="270"/>
      <c r="Q760" s="270"/>
      <c r="R760" s="203"/>
      <c r="S760" s="203"/>
      <c r="T760" s="203"/>
      <c r="U760" s="269"/>
      <c r="V760" s="269"/>
      <c r="W760" s="269"/>
      <c r="X760" s="269"/>
      <c r="Y760" s="269"/>
      <c r="Z760" s="269"/>
      <c r="AA760" s="269"/>
      <c r="AB760" s="269"/>
      <c r="AC760" s="269"/>
    </row>
    <row r="761" spans="1:29" ht="12.75" x14ac:dyDescent="0.2">
      <c r="A761" s="203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203"/>
      <c r="M761" s="269"/>
      <c r="N761" s="269"/>
      <c r="O761" s="270"/>
      <c r="P761" s="270"/>
      <c r="Q761" s="270"/>
      <c r="R761" s="203"/>
      <c r="S761" s="203"/>
      <c r="T761" s="203"/>
      <c r="U761" s="269"/>
      <c r="V761" s="269"/>
      <c r="W761" s="269"/>
      <c r="X761" s="269"/>
      <c r="Y761" s="269"/>
      <c r="Z761" s="269"/>
      <c r="AA761" s="269"/>
      <c r="AB761" s="269"/>
      <c r="AC761" s="269"/>
    </row>
    <row r="762" spans="1:29" ht="12.75" x14ac:dyDescent="0.2">
      <c r="A762" s="203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203"/>
      <c r="M762" s="269"/>
      <c r="N762" s="269"/>
      <c r="O762" s="270"/>
      <c r="P762" s="270"/>
      <c r="Q762" s="270"/>
      <c r="R762" s="203"/>
      <c r="S762" s="203"/>
      <c r="T762" s="203"/>
      <c r="U762" s="269"/>
      <c r="V762" s="269"/>
      <c r="W762" s="269"/>
      <c r="X762" s="269"/>
      <c r="Y762" s="269"/>
      <c r="Z762" s="269"/>
      <c r="AA762" s="269"/>
      <c r="AB762" s="269"/>
      <c r="AC762" s="269"/>
    </row>
    <row r="763" spans="1:29" ht="12.75" x14ac:dyDescent="0.2">
      <c r="A763" s="203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203"/>
      <c r="M763" s="269"/>
      <c r="N763" s="269"/>
      <c r="O763" s="270"/>
      <c r="P763" s="270"/>
      <c r="Q763" s="270"/>
      <c r="R763" s="203"/>
      <c r="S763" s="203"/>
      <c r="T763" s="203"/>
      <c r="U763" s="269"/>
      <c r="V763" s="269"/>
      <c r="W763" s="269"/>
      <c r="X763" s="269"/>
      <c r="Y763" s="269"/>
      <c r="Z763" s="269"/>
      <c r="AA763" s="269"/>
      <c r="AB763" s="269"/>
      <c r="AC763" s="269"/>
    </row>
    <row r="764" spans="1:29" ht="12.75" x14ac:dyDescent="0.2">
      <c r="A764" s="203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203"/>
      <c r="M764" s="269"/>
      <c r="N764" s="269"/>
      <c r="O764" s="270"/>
      <c r="P764" s="270"/>
      <c r="Q764" s="270"/>
      <c r="R764" s="203"/>
      <c r="S764" s="203"/>
      <c r="T764" s="203"/>
      <c r="U764" s="269"/>
      <c r="V764" s="269"/>
      <c r="W764" s="269"/>
      <c r="X764" s="269"/>
      <c r="Y764" s="269"/>
      <c r="Z764" s="269"/>
      <c r="AA764" s="269"/>
      <c r="AB764" s="269"/>
      <c r="AC764" s="269"/>
    </row>
    <row r="765" spans="1:29" ht="12.75" x14ac:dyDescent="0.2">
      <c r="A765" s="203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203"/>
      <c r="M765" s="269"/>
      <c r="N765" s="269"/>
      <c r="O765" s="270"/>
      <c r="P765" s="270"/>
      <c r="Q765" s="270"/>
      <c r="R765" s="203"/>
      <c r="S765" s="203"/>
      <c r="T765" s="203"/>
      <c r="U765" s="269"/>
      <c r="V765" s="269"/>
      <c r="W765" s="269"/>
      <c r="X765" s="269"/>
      <c r="Y765" s="269"/>
      <c r="Z765" s="269"/>
      <c r="AA765" s="269"/>
      <c r="AB765" s="269"/>
      <c r="AC765" s="269"/>
    </row>
    <row r="766" spans="1:29" ht="12.75" x14ac:dyDescent="0.2">
      <c r="A766" s="203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203"/>
      <c r="M766" s="269"/>
      <c r="N766" s="269"/>
      <c r="O766" s="270"/>
      <c r="P766" s="270"/>
      <c r="Q766" s="270"/>
      <c r="R766" s="203"/>
      <c r="S766" s="203"/>
      <c r="T766" s="203"/>
      <c r="U766" s="269"/>
      <c r="V766" s="269"/>
      <c r="W766" s="269"/>
      <c r="X766" s="269"/>
      <c r="Y766" s="269"/>
      <c r="Z766" s="269"/>
      <c r="AA766" s="269"/>
      <c r="AB766" s="269"/>
      <c r="AC766" s="269"/>
    </row>
    <row r="767" spans="1:29" ht="12.75" x14ac:dyDescent="0.2">
      <c r="A767" s="203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203"/>
      <c r="M767" s="269"/>
      <c r="N767" s="269"/>
      <c r="O767" s="270"/>
      <c r="P767" s="270"/>
      <c r="Q767" s="270"/>
      <c r="R767" s="203"/>
      <c r="S767" s="203"/>
      <c r="T767" s="203"/>
      <c r="U767" s="269"/>
      <c r="V767" s="269"/>
      <c r="W767" s="269"/>
      <c r="X767" s="269"/>
      <c r="Y767" s="269"/>
      <c r="Z767" s="269"/>
      <c r="AA767" s="269"/>
      <c r="AB767" s="269"/>
      <c r="AC767" s="269"/>
    </row>
    <row r="768" spans="1:29" ht="12.75" x14ac:dyDescent="0.2">
      <c r="A768" s="203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203"/>
      <c r="M768" s="269"/>
      <c r="N768" s="269"/>
      <c r="O768" s="270"/>
      <c r="P768" s="270"/>
      <c r="Q768" s="270"/>
      <c r="R768" s="203"/>
      <c r="S768" s="203"/>
      <c r="T768" s="203"/>
      <c r="U768" s="269"/>
      <c r="V768" s="269"/>
      <c r="W768" s="269"/>
      <c r="X768" s="269"/>
      <c r="Y768" s="269"/>
      <c r="Z768" s="269"/>
      <c r="AA768" s="269"/>
      <c r="AB768" s="269"/>
      <c r="AC768" s="269"/>
    </row>
    <row r="769" spans="1:29" ht="12.75" x14ac:dyDescent="0.2">
      <c r="A769" s="203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203"/>
      <c r="M769" s="269"/>
      <c r="N769" s="269"/>
      <c r="O769" s="270"/>
      <c r="P769" s="270"/>
      <c r="Q769" s="270"/>
      <c r="R769" s="203"/>
      <c r="S769" s="203"/>
      <c r="T769" s="203"/>
      <c r="U769" s="269"/>
      <c r="V769" s="269"/>
      <c r="W769" s="269"/>
      <c r="X769" s="269"/>
      <c r="Y769" s="269"/>
      <c r="Z769" s="269"/>
      <c r="AA769" s="269"/>
      <c r="AB769" s="269"/>
      <c r="AC769" s="269"/>
    </row>
    <row r="770" spans="1:29" ht="12.75" x14ac:dyDescent="0.2">
      <c r="A770" s="203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203"/>
      <c r="M770" s="269"/>
      <c r="N770" s="269"/>
      <c r="O770" s="270"/>
      <c r="P770" s="270"/>
      <c r="Q770" s="270"/>
      <c r="R770" s="203"/>
      <c r="S770" s="203"/>
      <c r="T770" s="203"/>
      <c r="U770" s="269"/>
      <c r="V770" s="269"/>
      <c r="W770" s="269"/>
      <c r="X770" s="269"/>
      <c r="Y770" s="269"/>
      <c r="Z770" s="269"/>
      <c r="AA770" s="269"/>
      <c r="AB770" s="269"/>
      <c r="AC770" s="269"/>
    </row>
    <row r="771" spans="1:29" ht="12.75" x14ac:dyDescent="0.2">
      <c r="A771" s="203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203"/>
      <c r="M771" s="269"/>
      <c r="N771" s="269"/>
      <c r="O771" s="270"/>
      <c r="P771" s="270"/>
      <c r="Q771" s="270"/>
      <c r="R771" s="203"/>
      <c r="S771" s="203"/>
      <c r="T771" s="203"/>
      <c r="U771" s="269"/>
      <c r="V771" s="269"/>
      <c r="W771" s="269"/>
      <c r="X771" s="269"/>
      <c r="Y771" s="269"/>
      <c r="Z771" s="269"/>
      <c r="AA771" s="269"/>
      <c r="AB771" s="269"/>
      <c r="AC771" s="269"/>
    </row>
    <row r="772" spans="1:29" ht="12.75" x14ac:dyDescent="0.2">
      <c r="A772" s="203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203"/>
      <c r="M772" s="269"/>
      <c r="N772" s="269"/>
      <c r="O772" s="270"/>
      <c r="P772" s="270"/>
      <c r="Q772" s="270"/>
      <c r="R772" s="203"/>
      <c r="S772" s="203"/>
      <c r="T772" s="203"/>
      <c r="U772" s="269"/>
      <c r="V772" s="269"/>
      <c r="W772" s="269"/>
      <c r="X772" s="269"/>
      <c r="Y772" s="269"/>
      <c r="Z772" s="269"/>
      <c r="AA772" s="269"/>
      <c r="AB772" s="269"/>
      <c r="AC772" s="269"/>
    </row>
    <row r="773" spans="1:29" ht="12.75" x14ac:dyDescent="0.2">
      <c r="A773" s="203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69"/>
      <c r="N773" s="269"/>
      <c r="O773" s="270"/>
      <c r="P773" s="270"/>
      <c r="Q773" s="270"/>
      <c r="R773" s="203"/>
      <c r="S773" s="203"/>
      <c r="T773" s="203"/>
      <c r="U773" s="269"/>
      <c r="V773" s="269"/>
      <c r="W773" s="269"/>
      <c r="X773" s="269"/>
      <c r="Y773" s="269"/>
      <c r="Z773" s="269"/>
      <c r="AA773" s="269"/>
      <c r="AB773" s="269"/>
      <c r="AC773" s="269"/>
    </row>
    <row r="774" spans="1:29" ht="12.75" x14ac:dyDescent="0.2">
      <c r="A774" s="203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203"/>
      <c r="M774" s="269"/>
      <c r="N774" s="269"/>
      <c r="O774" s="270"/>
      <c r="P774" s="270"/>
      <c r="Q774" s="270"/>
      <c r="R774" s="203"/>
      <c r="S774" s="203"/>
      <c r="T774" s="203"/>
      <c r="U774" s="269"/>
      <c r="V774" s="269"/>
      <c r="W774" s="269"/>
      <c r="X774" s="269"/>
      <c r="Y774" s="269"/>
      <c r="Z774" s="269"/>
      <c r="AA774" s="269"/>
      <c r="AB774" s="269"/>
      <c r="AC774" s="269"/>
    </row>
    <row r="775" spans="1:29" ht="12.75" x14ac:dyDescent="0.2">
      <c r="A775" s="203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203"/>
      <c r="M775" s="269"/>
      <c r="N775" s="269"/>
      <c r="O775" s="270"/>
      <c r="P775" s="270"/>
      <c r="Q775" s="270"/>
      <c r="R775" s="203"/>
      <c r="S775" s="203"/>
      <c r="T775" s="203"/>
      <c r="U775" s="269"/>
      <c r="V775" s="269"/>
      <c r="W775" s="269"/>
      <c r="X775" s="269"/>
      <c r="Y775" s="269"/>
      <c r="Z775" s="269"/>
      <c r="AA775" s="269"/>
      <c r="AB775" s="269"/>
      <c r="AC775" s="269"/>
    </row>
    <row r="776" spans="1:29" ht="12.75" x14ac:dyDescent="0.2">
      <c r="A776" s="203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  <c r="M776" s="269"/>
      <c r="N776" s="269"/>
      <c r="O776" s="270"/>
      <c r="P776" s="270"/>
      <c r="Q776" s="270"/>
      <c r="R776" s="203"/>
      <c r="S776" s="203"/>
      <c r="T776" s="203"/>
      <c r="U776" s="269"/>
      <c r="V776" s="269"/>
      <c r="W776" s="269"/>
      <c r="X776" s="269"/>
      <c r="Y776" s="269"/>
      <c r="Z776" s="269"/>
      <c r="AA776" s="269"/>
      <c r="AB776" s="269"/>
      <c r="AC776" s="269"/>
    </row>
    <row r="777" spans="1:29" ht="12.75" x14ac:dyDescent="0.2">
      <c r="A777" s="203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203"/>
      <c r="M777" s="269"/>
      <c r="N777" s="269"/>
      <c r="O777" s="270"/>
      <c r="P777" s="270"/>
      <c r="Q777" s="270"/>
      <c r="R777" s="203"/>
      <c r="S777" s="203"/>
      <c r="T777" s="203"/>
      <c r="U777" s="269"/>
      <c r="V777" s="269"/>
      <c r="W777" s="269"/>
      <c r="X777" s="269"/>
      <c r="Y777" s="269"/>
      <c r="Z777" s="269"/>
      <c r="AA777" s="269"/>
      <c r="AB777" s="269"/>
      <c r="AC777" s="269"/>
    </row>
    <row r="778" spans="1:29" ht="12.75" x14ac:dyDescent="0.2">
      <c r="A778" s="203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203"/>
      <c r="M778" s="269"/>
      <c r="N778" s="269"/>
      <c r="O778" s="270"/>
      <c r="P778" s="270"/>
      <c r="Q778" s="270"/>
      <c r="R778" s="203"/>
      <c r="S778" s="203"/>
      <c r="T778" s="203"/>
      <c r="U778" s="269"/>
      <c r="V778" s="269"/>
      <c r="W778" s="269"/>
      <c r="X778" s="269"/>
      <c r="Y778" s="269"/>
      <c r="Z778" s="269"/>
      <c r="AA778" s="269"/>
      <c r="AB778" s="269"/>
      <c r="AC778" s="269"/>
    </row>
    <row r="779" spans="1:29" ht="12.75" x14ac:dyDescent="0.2">
      <c r="A779" s="203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69"/>
      <c r="N779" s="269"/>
      <c r="O779" s="270"/>
      <c r="P779" s="270"/>
      <c r="Q779" s="270"/>
      <c r="R779" s="203"/>
      <c r="S779" s="203"/>
      <c r="T779" s="203"/>
      <c r="U779" s="269"/>
      <c r="V779" s="269"/>
      <c r="W779" s="269"/>
      <c r="X779" s="269"/>
      <c r="Y779" s="269"/>
      <c r="Z779" s="269"/>
      <c r="AA779" s="269"/>
      <c r="AB779" s="269"/>
      <c r="AC779" s="269"/>
    </row>
    <row r="780" spans="1:29" ht="12.75" x14ac:dyDescent="0.2">
      <c r="A780" s="203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203"/>
      <c r="M780" s="269"/>
      <c r="N780" s="269"/>
      <c r="O780" s="270"/>
      <c r="P780" s="270"/>
      <c r="Q780" s="270"/>
      <c r="R780" s="203"/>
      <c r="S780" s="203"/>
      <c r="T780" s="203"/>
      <c r="U780" s="269"/>
      <c r="V780" s="269"/>
      <c r="W780" s="269"/>
      <c r="X780" s="269"/>
      <c r="Y780" s="269"/>
      <c r="Z780" s="269"/>
      <c r="AA780" s="269"/>
      <c r="AB780" s="269"/>
      <c r="AC780" s="269"/>
    </row>
    <row r="781" spans="1:29" ht="12.75" x14ac:dyDescent="0.2">
      <c r="A781" s="203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203"/>
      <c r="M781" s="269"/>
      <c r="N781" s="269"/>
      <c r="O781" s="270"/>
      <c r="P781" s="270"/>
      <c r="Q781" s="270"/>
      <c r="R781" s="203"/>
      <c r="S781" s="203"/>
      <c r="T781" s="203"/>
      <c r="U781" s="269"/>
      <c r="V781" s="269"/>
      <c r="W781" s="269"/>
      <c r="X781" s="269"/>
      <c r="Y781" s="269"/>
      <c r="Z781" s="269"/>
      <c r="AA781" s="269"/>
      <c r="AB781" s="269"/>
      <c r="AC781" s="269"/>
    </row>
    <row r="782" spans="1:29" ht="12.75" x14ac:dyDescent="0.2">
      <c r="A782" s="203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203"/>
      <c r="M782" s="269"/>
      <c r="N782" s="269"/>
      <c r="O782" s="270"/>
      <c r="P782" s="270"/>
      <c r="Q782" s="270"/>
      <c r="R782" s="203"/>
      <c r="S782" s="203"/>
      <c r="T782" s="203"/>
      <c r="U782" s="269"/>
      <c r="V782" s="269"/>
      <c r="W782" s="269"/>
      <c r="X782" s="269"/>
      <c r="Y782" s="269"/>
      <c r="Z782" s="269"/>
      <c r="AA782" s="269"/>
      <c r="AB782" s="269"/>
      <c r="AC782" s="269"/>
    </row>
    <row r="783" spans="1:29" ht="12.75" x14ac:dyDescent="0.2">
      <c r="A783" s="203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203"/>
      <c r="M783" s="269"/>
      <c r="N783" s="269"/>
      <c r="O783" s="270"/>
      <c r="P783" s="270"/>
      <c r="Q783" s="270"/>
      <c r="R783" s="203"/>
      <c r="S783" s="203"/>
      <c r="T783" s="203"/>
      <c r="U783" s="269"/>
      <c r="V783" s="269"/>
      <c r="W783" s="269"/>
      <c r="X783" s="269"/>
      <c r="Y783" s="269"/>
      <c r="Z783" s="269"/>
      <c r="AA783" s="269"/>
      <c r="AB783" s="269"/>
      <c r="AC783" s="269"/>
    </row>
    <row r="784" spans="1:29" ht="12.75" x14ac:dyDescent="0.2">
      <c r="A784" s="203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203"/>
      <c r="M784" s="269"/>
      <c r="N784" s="269"/>
      <c r="O784" s="270"/>
      <c r="P784" s="270"/>
      <c r="Q784" s="270"/>
      <c r="R784" s="203"/>
      <c r="S784" s="203"/>
      <c r="T784" s="203"/>
      <c r="U784" s="269"/>
      <c r="V784" s="269"/>
      <c r="W784" s="269"/>
      <c r="X784" s="269"/>
      <c r="Y784" s="269"/>
      <c r="Z784" s="269"/>
      <c r="AA784" s="269"/>
      <c r="AB784" s="269"/>
      <c r="AC784" s="269"/>
    </row>
    <row r="785" spans="1:29" ht="12.75" x14ac:dyDescent="0.2">
      <c r="A785" s="203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203"/>
      <c r="M785" s="269"/>
      <c r="N785" s="269"/>
      <c r="O785" s="270"/>
      <c r="P785" s="270"/>
      <c r="Q785" s="270"/>
      <c r="R785" s="203"/>
      <c r="S785" s="203"/>
      <c r="T785" s="203"/>
      <c r="U785" s="269"/>
      <c r="V785" s="269"/>
      <c r="W785" s="269"/>
      <c r="X785" s="269"/>
      <c r="Y785" s="269"/>
      <c r="Z785" s="269"/>
      <c r="AA785" s="269"/>
      <c r="AB785" s="269"/>
      <c r="AC785" s="269"/>
    </row>
    <row r="786" spans="1:29" ht="12.75" x14ac:dyDescent="0.2">
      <c r="A786" s="203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203"/>
      <c r="M786" s="269"/>
      <c r="N786" s="269"/>
      <c r="O786" s="270"/>
      <c r="P786" s="270"/>
      <c r="Q786" s="270"/>
      <c r="R786" s="203"/>
      <c r="S786" s="203"/>
      <c r="T786" s="203"/>
      <c r="U786" s="269"/>
      <c r="V786" s="269"/>
      <c r="W786" s="269"/>
      <c r="X786" s="269"/>
      <c r="Y786" s="269"/>
      <c r="Z786" s="269"/>
      <c r="AA786" s="269"/>
      <c r="AB786" s="269"/>
      <c r="AC786" s="269"/>
    </row>
    <row r="787" spans="1:29" ht="12.75" x14ac:dyDescent="0.2">
      <c r="A787" s="203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203"/>
      <c r="M787" s="269"/>
      <c r="N787" s="269"/>
      <c r="O787" s="270"/>
      <c r="P787" s="270"/>
      <c r="Q787" s="270"/>
      <c r="R787" s="203"/>
      <c r="S787" s="203"/>
      <c r="T787" s="203"/>
      <c r="U787" s="269"/>
      <c r="V787" s="269"/>
      <c r="W787" s="269"/>
      <c r="X787" s="269"/>
      <c r="Y787" s="269"/>
      <c r="Z787" s="269"/>
      <c r="AA787" s="269"/>
      <c r="AB787" s="269"/>
      <c r="AC787" s="269"/>
    </row>
    <row r="788" spans="1:29" ht="12.75" x14ac:dyDescent="0.2">
      <c r="A788" s="203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203"/>
      <c r="M788" s="269"/>
      <c r="N788" s="269"/>
      <c r="O788" s="270"/>
      <c r="P788" s="270"/>
      <c r="Q788" s="270"/>
      <c r="R788" s="203"/>
      <c r="S788" s="203"/>
      <c r="T788" s="203"/>
      <c r="U788" s="269"/>
      <c r="V788" s="269"/>
      <c r="W788" s="269"/>
      <c r="X788" s="269"/>
      <c r="Y788" s="269"/>
      <c r="Z788" s="269"/>
      <c r="AA788" s="269"/>
      <c r="AB788" s="269"/>
      <c r="AC788" s="269"/>
    </row>
    <row r="789" spans="1:29" ht="12.75" x14ac:dyDescent="0.2">
      <c r="A789" s="203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203"/>
      <c r="M789" s="269"/>
      <c r="N789" s="269"/>
      <c r="O789" s="270"/>
      <c r="P789" s="270"/>
      <c r="Q789" s="270"/>
      <c r="R789" s="203"/>
      <c r="S789" s="203"/>
      <c r="T789" s="203"/>
      <c r="U789" s="269"/>
      <c r="V789" s="269"/>
      <c r="W789" s="269"/>
      <c r="X789" s="269"/>
      <c r="Y789" s="269"/>
      <c r="Z789" s="269"/>
      <c r="AA789" s="269"/>
      <c r="AB789" s="269"/>
      <c r="AC789" s="269"/>
    </row>
    <row r="790" spans="1:29" ht="12.75" x14ac:dyDescent="0.2">
      <c r="A790" s="203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203"/>
      <c r="M790" s="269"/>
      <c r="N790" s="269"/>
      <c r="O790" s="270"/>
      <c r="P790" s="270"/>
      <c r="Q790" s="270"/>
      <c r="R790" s="203"/>
      <c r="S790" s="203"/>
      <c r="T790" s="203"/>
      <c r="U790" s="269"/>
      <c r="V790" s="269"/>
      <c r="W790" s="269"/>
      <c r="X790" s="269"/>
      <c r="Y790" s="269"/>
      <c r="Z790" s="269"/>
      <c r="AA790" s="269"/>
      <c r="AB790" s="269"/>
      <c r="AC790" s="269"/>
    </row>
    <row r="791" spans="1:29" ht="12.75" x14ac:dyDescent="0.2">
      <c r="A791" s="203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69"/>
      <c r="N791" s="269"/>
      <c r="O791" s="270"/>
      <c r="P791" s="270"/>
      <c r="Q791" s="270"/>
      <c r="R791" s="203"/>
      <c r="S791" s="203"/>
      <c r="T791" s="203"/>
      <c r="U791" s="269"/>
      <c r="V791" s="269"/>
      <c r="W791" s="269"/>
      <c r="X791" s="269"/>
      <c r="Y791" s="269"/>
      <c r="Z791" s="269"/>
      <c r="AA791" s="269"/>
      <c r="AB791" s="269"/>
      <c r="AC791" s="269"/>
    </row>
    <row r="792" spans="1:29" ht="12.75" x14ac:dyDescent="0.2">
      <c r="A792" s="203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203"/>
      <c r="M792" s="269"/>
      <c r="N792" s="269"/>
      <c r="O792" s="270"/>
      <c r="P792" s="270"/>
      <c r="Q792" s="270"/>
      <c r="R792" s="203"/>
      <c r="S792" s="203"/>
      <c r="T792" s="203"/>
      <c r="U792" s="269"/>
      <c r="V792" s="269"/>
      <c r="W792" s="269"/>
      <c r="X792" s="269"/>
      <c r="Y792" s="269"/>
      <c r="Z792" s="269"/>
      <c r="AA792" s="269"/>
      <c r="AB792" s="269"/>
      <c r="AC792" s="269"/>
    </row>
    <row r="793" spans="1:29" ht="12.75" x14ac:dyDescent="0.2">
      <c r="A793" s="203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203"/>
      <c r="M793" s="269"/>
      <c r="N793" s="269"/>
      <c r="O793" s="270"/>
      <c r="P793" s="270"/>
      <c r="Q793" s="270"/>
      <c r="R793" s="203"/>
      <c r="S793" s="203"/>
      <c r="T793" s="203"/>
      <c r="U793" s="269"/>
      <c r="V793" s="269"/>
      <c r="W793" s="269"/>
      <c r="X793" s="269"/>
      <c r="Y793" s="269"/>
      <c r="Z793" s="269"/>
      <c r="AA793" s="269"/>
      <c r="AB793" s="269"/>
      <c r="AC793" s="269"/>
    </row>
    <row r="794" spans="1:29" ht="12.75" x14ac:dyDescent="0.2">
      <c r="A794" s="203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203"/>
      <c r="M794" s="269"/>
      <c r="N794" s="269"/>
      <c r="O794" s="270"/>
      <c r="P794" s="270"/>
      <c r="Q794" s="270"/>
      <c r="R794" s="203"/>
      <c r="S794" s="203"/>
      <c r="T794" s="203"/>
      <c r="U794" s="269"/>
      <c r="V794" s="269"/>
      <c r="W794" s="269"/>
      <c r="X794" s="269"/>
      <c r="Y794" s="269"/>
      <c r="Z794" s="269"/>
      <c r="AA794" s="269"/>
      <c r="AB794" s="269"/>
      <c r="AC794" s="269"/>
    </row>
    <row r="795" spans="1:29" ht="12.75" x14ac:dyDescent="0.2">
      <c r="A795" s="203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203"/>
      <c r="M795" s="269"/>
      <c r="N795" s="269"/>
      <c r="O795" s="270"/>
      <c r="P795" s="270"/>
      <c r="Q795" s="270"/>
      <c r="R795" s="203"/>
      <c r="S795" s="203"/>
      <c r="T795" s="203"/>
      <c r="U795" s="269"/>
      <c r="V795" s="269"/>
      <c r="W795" s="269"/>
      <c r="X795" s="269"/>
      <c r="Y795" s="269"/>
      <c r="Z795" s="269"/>
      <c r="AA795" s="269"/>
      <c r="AB795" s="269"/>
      <c r="AC795" s="269"/>
    </row>
    <row r="796" spans="1:29" ht="12.75" x14ac:dyDescent="0.2">
      <c r="A796" s="203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203"/>
      <c r="M796" s="269"/>
      <c r="N796" s="269"/>
      <c r="O796" s="270"/>
      <c r="P796" s="270"/>
      <c r="Q796" s="270"/>
      <c r="R796" s="203"/>
      <c r="S796" s="203"/>
      <c r="T796" s="203"/>
      <c r="U796" s="269"/>
      <c r="V796" s="269"/>
      <c r="W796" s="269"/>
      <c r="X796" s="269"/>
      <c r="Y796" s="269"/>
      <c r="Z796" s="269"/>
      <c r="AA796" s="269"/>
      <c r="AB796" s="269"/>
      <c r="AC796" s="269"/>
    </row>
    <row r="797" spans="1:29" ht="12.75" x14ac:dyDescent="0.2">
      <c r="A797" s="203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203"/>
      <c r="M797" s="269"/>
      <c r="N797" s="269"/>
      <c r="O797" s="270"/>
      <c r="P797" s="270"/>
      <c r="Q797" s="270"/>
      <c r="R797" s="203"/>
      <c r="S797" s="203"/>
      <c r="T797" s="203"/>
      <c r="U797" s="269"/>
      <c r="V797" s="269"/>
      <c r="W797" s="269"/>
      <c r="X797" s="269"/>
      <c r="Y797" s="269"/>
      <c r="Z797" s="269"/>
      <c r="AA797" s="269"/>
      <c r="AB797" s="269"/>
      <c r="AC797" s="269"/>
    </row>
    <row r="798" spans="1:29" ht="12.75" x14ac:dyDescent="0.2">
      <c r="A798" s="203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69"/>
      <c r="N798" s="269"/>
      <c r="O798" s="270"/>
      <c r="P798" s="270"/>
      <c r="Q798" s="270"/>
      <c r="R798" s="203"/>
      <c r="S798" s="203"/>
      <c r="T798" s="203"/>
      <c r="U798" s="269"/>
      <c r="V798" s="269"/>
      <c r="W798" s="269"/>
      <c r="X798" s="269"/>
      <c r="Y798" s="269"/>
      <c r="Z798" s="269"/>
      <c r="AA798" s="269"/>
      <c r="AB798" s="269"/>
      <c r="AC798" s="269"/>
    </row>
    <row r="799" spans="1:29" ht="12.75" x14ac:dyDescent="0.2">
      <c r="A799" s="203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203"/>
      <c r="M799" s="269"/>
      <c r="N799" s="269"/>
      <c r="O799" s="270"/>
      <c r="P799" s="270"/>
      <c r="Q799" s="270"/>
      <c r="R799" s="203"/>
      <c r="S799" s="203"/>
      <c r="T799" s="203"/>
      <c r="U799" s="269"/>
      <c r="V799" s="269"/>
      <c r="W799" s="269"/>
      <c r="X799" s="269"/>
      <c r="Y799" s="269"/>
      <c r="Z799" s="269"/>
      <c r="AA799" s="269"/>
      <c r="AB799" s="269"/>
      <c r="AC799" s="269"/>
    </row>
    <row r="800" spans="1:29" ht="12.75" x14ac:dyDescent="0.2">
      <c r="A800" s="203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203"/>
      <c r="M800" s="269"/>
      <c r="N800" s="269"/>
      <c r="O800" s="270"/>
      <c r="P800" s="270"/>
      <c r="Q800" s="270"/>
      <c r="R800" s="203"/>
      <c r="S800" s="203"/>
      <c r="T800" s="203"/>
      <c r="U800" s="269"/>
      <c r="V800" s="269"/>
      <c r="W800" s="269"/>
      <c r="X800" s="269"/>
      <c r="Y800" s="269"/>
      <c r="Z800" s="269"/>
      <c r="AA800" s="269"/>
      <c r="AB800" s="269"/>
      <c r="AC800" s="269"/>
    </row>
    <row r="801" spans="1:29" ht="12.75" x14ac:dyDescent="0.2">
      <c r="A801" s="203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203"/>
      <c r="M801" s="269"/>
      <c r="N801" s="269"/>
      <c r="O801" s="270"/>
      <c r="P801" s="270"/>
      <c r="Q801" s="270"/>
      <c r="R801" s="203"/>
      <c r="S801" s="203"/>
      <c r="T801" s="203"/>
      <c r="U801" s="269"/>
      <c r="V801" s="269"/>
      <c r="W801" s="269"/>
      <c r="X801" s="269"/>
      <c r="Y801" s="269"/>
      <c r="Z801" s="269"/>
      <c r="AA801" s="269"/>
      <c r="AB801" s="269"/>
      <c r="AC801" s="269"/>
    </row>
    <row r="802" spans="1:29" ht="12.75" x14ac:dyDescent="0.2">
      <c r="A802" s="203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203"/>
      <c r="M802" s="269"/>
      <c r="N802" s="269"/>
      <c r="O802" s="270"/>
      <c r="P802" s="270"/>
      <c r="Q802" s="270"/>
      <c r="R802" s="203"/>
      <c r="S802" s="203"/>
      <c r="T802" s="203"/>
      <c r="U802" s="269"/>
      <c r="V802" s="269"/>
      <c r="W802" s="269"/>
      <c r="X802" s="269"/>
      <c r="Y802" s="269"/>
      <c r="Z802" s="269"/>
      <c r="AA802" s="269"/>
      <c r="AB802" s="269"/>
      <c r="AC802" s="269"/>
    </row>
    <row r="803" spans="1:29" ht="12.75" x14ac:dyDescent="0.2">
      <c r="A803" s="203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203"/>
      <c r="M803" s="269"/>
      <c r="N803" s="269"/>
      <c r="O803" s="270"/>
      <c r="P803" s="270"/>
      <c r="Q803" s="270"/>
      <c r="R803" s="203"/>
      <c r="S803" s="203"/>
      <c r="T803" s="203"/>
      <c r="U803" s="269"/>
      <c r="V803" s="269"/>
      <c r="W803" s="269"/>
      <c r="X803" s="269"/>
      <c r="Y803" s="269"/>
      <c r="Z803" s="269"/>
      <c r="AA803" s="269"/>
      <c r="AB803" s="269"/>
      <c r="AC803" s="269"/>
    </row>
    <row r="804" spans="1:29" ht="12.75" x14ac:dyDescent="0.2">
      <c r="A804" s="203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203"/>
      <c r="M804" s="269"/>
      <c r="N804" s="269"/>
      <c r="O804" s="270"/>
      <c r="P804" s="270"/>
      <c r="Q804" s="270"/>
      <c r="R804" s="203"/>
      <c r="S804" s="203"/>
      <c r="T804" s="203"/>
      <c r="U804" s="269"/>
      <c r="V804" s="269"/>
      <c r="W804" s="269"/>
      <c r="X804" s="269"/>
      <c r="Y804" s="269"/>
      <c r="Z804" s="269"/>
      <c r="AA804" s="269"/>
      <c r="AB804" s="269"/>
      <c r="AC804" s="269"/>
    </row>
    <row r="805" spans="1:29" ht="12.75" x14ac:dyDescent="0.2">
      <c r="A805" s="203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203"/>
      <c r="M805" s="269"/>
      <c r="N805" s="269"/>
      <c r="O805" s="270"/>
      <c r="P805" s="270"/>
      <c r="Q805" s="270"/>
      <c r="R805" s="203"/>
      <c r="S805" s="203"/>
      <c r="T805" s="203"/>
      <c r="U805" s="269"/>
      <c r="V805" s="269"/>
      <c r="W805" s="269"/>
      <c r="X805" s="269"/>
      <c r="Y805" s="269"/>
      <c r="Z805" s="269"/>
      <c r="AA805" s="269"/>
      <c r="AB805" s="269"/>
      <c r="AC805" s="269"/>
    </row>
    <row r="806" spans="1:29" ht="12.75" x14ac:dyDescent="0.2">
      <c r="A806" s="203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203"/>
      <c r="M806" s="269"/>
      <c r="N806" s="269"/>
      <c r="O806" s="270"/>
      <c r="P806" s="270"/>
      <c r="Q806" s="270"/>
      <c r="R806" s="203"/>
      <c r="S806" s="203"/>
      <c r="T806" s="203"/>
      <c r="U806" s="269"/>
      <c r="V806" s="269"/>
      <c r="W806" s="269"/>
      <c r="X806" s="269"/>
      <c r="Y806" s="269"/>
      <c r="Z806" s="269"/>
      <c r="AA806" s="269"/>
      <c r="AB806" s="269"/>
      <c r="AC806" s="269"/>
    </row>
    <row r="807" spans="1:29" ht="12.75" x14ac:dyDescent="0.2">
      <c r="A807" s="203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203"/>
      <c r="M807" s="269"/>
      <c r="N807" s="269"/>
      <c r="O807" s="270"/>
      <c r="P807" s="270"/>
      <c r="Q807" s="270"/>
      <c r="R807" s="203"/>
      <c r="S807" s="203"/>
      <c r="T807" s="203"/>
      <c r="U807" s="269"/>
      <c r="V807" s="269"/>
      <c r="W807" s="269"/>
      <c r="X807" s="269"/>
      <c r="Y807" s="269"/>
      <c r="Z807" s="269"/>
      <c r="AA807" s="269"/>
      <c r="AB807" s="269"/>
      <c r="AC807" s="269"/>
    </row>
    <row r="808" spans="1:29" ht="12.75" x14ac:dyDescent="0.2">
      <c r="A808" s="203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203"/>
      <c r="M808" s="269"/>
      <c r="N808" s="269"/>
      <c r="O808" s="270"/>
      <c r="P808" s="270"/>
      <c r="Q808" s="270"/>
      <c r="R808" s="203"/>
      <c r="S808" s="203"/>
      <c r="T808" s="203"/>
      <c r="U808" s="269"/>
      <c r="V808" s="269"/>
      <c r="W808" s="269"/>
      <c r="X808" s="269"/>
      <c r="Y808" s="269"/>
      <c r="Z808" s="269"/>
      <c r="AA808" s="269"/>
      <c r="AB808" s="269"/>
      <c r="AC808" s="269"/>
    </row>
    <row r="809" spans="1:29" ht="12.75" x14ac:dyDescent="0.2">
      <c r="A809" s="203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203"/>
      <c r="M809" s="269"/>
      <c r="N809" s="269"/>
      <c r="O809" s="270"/>
      <c r="P809" s="270"/>
      <c r="Q809" s="270"/>
      <c r="R809" s="203"/>
      <c r="S809" s="203"/>
      <c r="T809" s="203"/>
      <c r="U809" s="269"/>
      <c r="V809" s="269"/>
      <c r="W809" s="269"/>
      <c r="X809" s="269"/>
      <c r="Y809" s="269"/>
      <c r="Z809" s="269"/>
      <c r="AA809" s="269"/>
      <c r="AB809" s="269"/>
      <c r="AC809" s="269"/>
    </row>
    <row r="810" spans="1:29" ht="12.75" x14ac:dyDescent="0.2">
      <c r="A810" s="203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203"/>
      <c r="M810" s="269"/>
      <c r="N810" s="269"/>
      <c r="O810" s="270"/>
      <c r="P810" s="270"/>
      <c r="Q810" s="270"/>
      <c r="R810" s="203"/>
      <c r="S810" s="203"/>
      <c r="T810" s="203"/>
      <c r="U810" s="269"/>
      <c r="V810" s="269"/>
      <c r="W810" s="269"/>
      <c r="X810" s="269"/>
      <c r="Y810" s="269"/>
      <c r="Z810" s="269"/>
      <c r="AA810" s="269"/>
      <c r="AB810" s="269"/>
      <c r="AC810" s="269"/>
    </row>
    <row r="811" spans="1:29" ht="12.75" x14ac:dyDescent="0.2">
      <c r="A811" s="203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203"/>
      <c r="M811" s="269"/>
      <c r="N811" s="269"/>
      <c r="O811" s="270"/>
      <c r="P811" s="270"/>
      <c r="Q811" s="270"/>
      <c r="R811" s="203"/>
      <c r="S811" s="203"/>
      <c r="T811" s="203"/>
      <c r="U811" s="269"/>
      <c r="V811" s="269"/>
      <c r="W811" s="269"/>
      <c r="X811" s="269"/>
      <c r="Y811" s="269"/>
      <c r="Z811" s="269"/>
      <c r="AA811" s="269"/>
      <c r="AB811" s="269"/>
      <c r="AC811" s="269"/>
    </row>
    <row r="812" spans="1:29" ht="12.75" x14ac:dyDescent="0.2">
      <c r="A812" s="203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203"/>
      <c r="M812" s="269"/>
      <c r="N812" s="269"/>
      <c r="O812" s="270"/>
      <c r="P812" s="270"/>
      <c r="Q812" s="270"/>
      <c r="R812" s="203"/>
      <c r="S812" s="203"/>
      <c r="T812" s="203"/>
      <c r="U812" s="269"/>
      <c r="V812" s="269"/>
      <c r="W812" s="269"/>
      <c r="X812" s="269"/>
      <c r="Y812" s="269"/>
      <c r="Z812" s="269"/>
      <c r="AA812" s="269"/>
      <c r="AB812" s="269"/>
      <c r="AC812" s="269"/>
    </row>
    <row r="813" spans="1:29" ht="12.75" x14ac:dyDescent="0.2">
      <c r="A813" s="203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203"/>
      <c r="M813" s="269"/>
      <c r="N813" s="269"/>
      <c r="O813" s="270"/>
      <c r="P813" s="270"/>
      <c r="Q813" s="270"/>
      <c r="R813" s="203"/>
      <c r="S813" s="203"/>
      <c r="T813" s="203"/>
      <c r="U813" s="269"/>
      <c r="V813" s="269"/>
      <c r="W813" s="269"/>
      <c r="X813" s="269"/>
      <c r="Y813" s="269"/>
      <c r="Z813" s="269"/>
      <c r="AA813" s="269"/>
      <c r="AB813" s="269"/>
      <c r="AC813" s="269"/>
    </row>
    <row r="814" spans="1:29" ht="12.75" x14ac:dyDescent="0.2">
      <c r="A814" s="203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203"/>
      <c r="M814" s="269"/>
      <c r="N814" s="269"/>
      <c r="O814" s="270"/>
      <c r="P814" s="270"/>
      <c r="Q814" s="270"/>
      <c r="R814" s="203"/>
      <c r="S814" s="203"/>
      <c r="T814" s="203"/>
      <c r="U814" s="269"/>
      <c r="V814" s="269"/>
      <c r="W814" s="269"/>
      <c r="X814" s="269"/>
      <c r="Y814" s="269"/>
      <c r="Z814" s="269"/>
      <c r="AA814" s="269"/>
      <c r="AB814" s="269"/>
      <c r="AC814" s="269"/>
    </row>
    <row r="815" spans="1:29" ht="12.75" x14ac:dyDescent="0.2">
      <c r="A815" s="203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203"/>
      <c r="M815" s="269"/>
      <c r="N815" s="269"/>
      <c r="O815" s="270"/>
      <c r="P815" s="270"/>
      <c r="Q815" s="270"/>
      <c r="R815" s="203"/>
      <c r="S815" s="203"/>
      <c r="T815" s="203"/>
      <c r="U815" s="269"/>
      <c r="V815" s="269"/>
      <c r="W815" s="269"/>
      <c r="X815" s="269"/>
      <c r="Y815" s="269"/>
      <c r="Z815" s="269"/>
      <c r="AA815" s="269"/>
      <c r="AB815" s="269"/>
      <c r="AC815" s="269"/>
    </row>
    <row r="816" spans="1:29" ht="12.75" x14ac:dyDescent="0.2">
      <c r="A816" s="203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203"/>
      <c r="M816" s="269"/>
      <c r="N816" s="269"/>
      <c r="O816" s="270"/>
      <c r="P816" s="270"/>
      <c r="Q816" s="270"/>
      <c r="R816" s="203"/>
      <c r="S816" s="203"/>
      <c r="T816" s="203"/>
      <c r="U816" s="269"/>
      <c r="V816" s="269"/>
      <c r="W816" s="269"/>
      <c r="X816" s="269"/>
      <c r="Y816" s="269"/>
      <c r="Z816" s="269"/>
      <c r="AA816" s="269"/>
      <c r="AB816" s="269"/>
      <c r="AC816" s="269"/>
    </row>
    <row r="817" spans="1:29" ht="12.75" x14ac:dyDescent="0.2">
      <c r="A817" s="203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203"/>
      <c r="M817" s="269"/>
      <c r="N817" s="269"/>
      <c r="O817" s="270"/>
      <c r="P817" s="270"/>
      <c r="Q817" s="270"/>
      <c r="R817" s="203"/>
      <c r="S817" s="203"/>
      <c r="T817" s="203"/>
      <c r="U817" s="269"/>
      <c r="V817" s="269"/>
      <c r="W817" s="269"/>
      <c r="X817" s="269"/>
      <c r="Y817" s="269"/>
      <c r="Z817" s="269"/>
      <c r="AA817" s="269"/>
      <c r="AB817" s="269"/>
      <c r="AC817" s="269"/>
    </row>
    <row r="818" spans="1:29" ht="12.75" x14ac:dyDescent="0.2">
      <c r="A818" s="203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203"/>
      <c r="M818" s="269"/>
      <c r="N818" s="269"/>
      <c r="O818" s="270"/>
      <c r="P818" s="270"/>
      <c r="Q818" s="270"/>
      <c r="R818" s="203"/>
      <c r="S818" s="203"/>
      <c r="T818" s="203"/>
      <c r="U818" s="269"/>
      <c r="V818" s="269"/>
      <c r="W818" s="269"/>
      <c r="X818" s="269"/>
      <c r="Y818" s="269"/>
      <c r="Z818" s="269"/>
      <c r="AA818" s="269"/>
      <c r="AB818" s="269"/>
      <c r="AC818" s="269"/>
    </row>
    <row r="819" spans="1:29" ht="12.75" x14ac:dyDescent="0.2">
      <c r="A819" s="203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203"/>
      <c r="M819" s="269"/>
      <c r="N819" s="269"/>
      <c r="O819" s="270"/>
      <c r="P819" s="270"/>
      <c r="Q819" s="270"/>
      <c r="R819" s="203"/>
      <c r="S819" s="203"/>
      <c r="T819" s="203"/>
      <c r="U819" s="269"/>
      <c r="V819" s="269"/>
      <c r="W819" s="269"/>
      <c r="X819" s="269"/>
      <c r="Y819" s="269"/>
      <c r="Z819" s="269"/>
      <c r="AA819" s="269"/>
      <c r="AB819" s="269"/>
      <c r="AC819" s="269"/>
    </row>
    <row r="820" spans="1:29" ht="12.75" x14ac:dyDescent="0.2">
      <c r="A820" s="203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203"/>
      <c r="M820" s="269"/>
      <c r="N820" s="269"/>
      <c r="O820" s="270"/>
      <c r="P820" s="270"/>
      <c r="Q820" s="270"/>
      <c r="R820" s="203"/>
      <c r="S820" s="203"/>
      <c r="T820" s="203"/>
      <c r="U820" s="269"/>
      <c r="V820" s="269"/>
      <c r="W820" s="269"/>
      <c r="X820" s="269"/>
      <c r="Y820" s="269"/>
      <c r="Z820" s="269"/>
      <c r="AA820" s="269"/>
      <c r="AB820" s="269"/>
      <c r="AC820" s="269"/>
    </row>
    <row r="821" spans="1:29" ht="12.75" x14ac:dyDescent="0.2">
      <c r="A821" s="203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203"/>
      <c r="M821" s="269"/>
      <c r="N821" s="269"/>
      <c r="O821" s="270"/>
      <c r="P821" s="270"/>
      <c r="Q821" s="270"/>
      <c r="R821" s="203"/>
      <c r="S821" s="203"/>
      <c r="T821" s="203"/>
      <c r="U821" s="269"/>
      <c r="V821" s="269"/>
      <c r="W821" s="269"/>
      <c r="X821" s="269"/>
      <c r="Y821" s="269"/>
      <c r="Z821" s="269"/>
      <c r="AA821" s="269"/>
      <c r="AB821" s="269"/>
      <c r="AC821" s="269"/>
    </row>
    <row r="822" spans="1:29" ht="12.75" x14ac:dyDescent="0.2">
      <c r="A822" s="203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203"/>
      <c r="M822" s="269"/>
      <c r="N822" s="269"/>
      <c r="O822" s="270"/>
      <c r="P822" s="270"/>
      <c r="Q822" s="270"/>
      <c r="R822" s="203"/>
      <c r="S822" s="203"/>
      <c r="T822" s="203"/>
      <c r="U822" s="269"/>
      <c r="V822" s="269"/>
      <c r="W822" s="269"/>
      <c r="X822" s="269"/>
      <c r="Y822" s="269"/>
      <c r="Z822" s="269"/>
      <c r="AA822" s="269"/>
      <c r="AB822" s="269"/>
      <c r="AC822" s="269"/>
    </row>
    <row r="823" spans="1:29" ht="12.75" x14ac:dyDescent="0.2">
      <c r="A823" s="203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203"/>
      <c r="M823" s="269"/>
      <c r="N823" s="269"/>
      <c r="O823" s="270"/>
      <c r="P823" s="270"/>
      <c r="Q823" s="270"/>
      <c r="R823" s="203"/>
      <c r="S823" s="203"/>
      <c r="T823" s="203"/>
      <c r="U823" s="269"/>
      <c r="V823" s="269"/>
      <c r="W823" s="269"/>
      <c r="X823" s="269"/>
      <c r="Y823" s="269"/>
      <c r="Z823" s="269"/>
      <c r="AA823" s="269"/>
      <c r="AB823" s="269"/>
      <c r="AC823" s="269"/>
    </row>
    <row r="824" spans="1:29" ht="12.75" x14ac:dyDescent="0.2">
      <c r="A824" s="203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203"/>
      <c r="M824" s="269"/>
      <c r="N824" s="269"/>
      <c r="O824" s="270"/>
      <c r="P824" s="270"/>
      <c r="Q824" s="270"/>
      <c r="R824" s="203"/>
      <c r="S824" s="203"/>
      <c r="T824" s="203"/>
      <c r="U824" s="269"/>
      <c r="V824" s="269"/>
      <c r="W824" s="269"/>
      <c r="X824" s="269"/>
      <c r="Y824" s="269"/>
      <c r="Z824" s="269"/>
      <c r="AA824" s="269"/>
      <c r="AB824" s="269"/>
      <c r="AC824" s="269"/>
    </row>
    <row r="825" spans="1:29" ht="12.75" x14ac:dyDescent="0.2">
      <c r="A825" s="203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203"/>
      <c r="M825" s="269"/>
      <c r="N825" s="269"/>
      <c r="O825" s="270"/>
      <c r="P825" s="270"/>
      <c r="Q825" s="270"/>
      <c r="R825" s="203"/>
      <c r="S825" s="203"/>
      <c r="T825" s="203"/>
      <c r="U825" s="269"/>
      <c r="V825" s="269"/>
      <c r="W825" s="269"/>
      <c r="X825" s="269"/>
      <c r="Y825" s="269"/>
      <c r="Z825" s="269"/>
      <c r="AA825" s="269"/>
      <c r="AB825" s="269"/>
      <c r="AC825" s="269"/>
    </row>
    <row r="826" spans="1:29" ht="12.75" x14ac:dyDescent="0.2">
      <c r="A826" s="203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203"/>
      <c r="M826" s="269"/>
      <c r="N826" s="269"/>
      <c r="O826" s="270"/>
      <c r="P826" s="270"/>
      <c r="Q826" s="270"/>
      <c r="R826" s="203"/>
      <c r="S826" s="203"/>
      <c r="T826" s="203"/>
      <c r="U826" s="269"/>
      <c r="V826" s="269"/>
      <c r="W826" s="269"/>
      <c r="X826" s="269"/>
      <c r="Y826" s="269"/>
      <c r="Z826" s="269"/>
      <c r="AA826" s="269"/>
      <c r="AB826" s="269"/>
      <c r="AC826" s="269"/>
    </row>
    <row r="827" spans="1:29" ht="12.75" x14ac:dyDescent="0.2">
      <c r="A827" s="203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203"/>
      <c r="M827" s="269"/>
      <c r="N827" s="269"/>
      <c r="O827" s="270"/>
      <c r="P827" s="270"/>
      <c r="Q827" s="270"/>
      <c r="R827" s="203"/>
      <c r="S827" s="203"/>
      <c r="T827" s="203"/>
      <c r="U827" s="269"/>
      <c r="V827" s="269"/>
      <c r="W827" s="269"/>
      <c r="X827" s="269"/>
      <c r="Y827" s="269"/>
      <c r="Z827" s="269"/>
      <c r="AA827" s="269"/>
      <c r="AB827" s="269"/>
      <c r="AC827" s="269"/>
    </row>
    <row r="828" spans="1:29" ht="12.75" x14ac:dyDescent="0.2">
      <c r="A828" s="203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203"/>
      <c r="M828" s="269"/>
      <c r="N828" s="269"/>
      <c r="O828" s="270"/>
      <c r="P828" s="270"/>
      <c r="Q828" s="270"/>
      <c r="R828" s="203"/>
      <c r="S828" s="203"/>
      <c r="T828" s="203"/>
      <c r="U828" s="269"/>
      <c r="V828" s="269"/>
      <c r="W828" s="269"/>
      <c r="X828" s="269"/>
      <c r="Y828" s="269"/>
      <c r="Z828" s="269"/>
      <c r="AA828" s="269"/>
      <c r="AB828" s="269"/>
      <c r="AC828" s="269"/>
    </row>
    <row r="829" spans="1:29" ht="12.75" x14ac:dyDescent="0.2">
      <c r="A829" s="203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203"/>
      <c r="M829" s="269"/>
      <c r="N829" s="269"/>
      <c r="O829" s="270"/>
      <c r="P829" s="270"/>
      <c r="Q829" s="270"/>
      <c r="R829" s="203"/>
      <c r="S829" s="203"/>
      <c r="T829" s="203"/>
      <c r="U829" s="269"/>
      <c r="V829" s="269"/>
      <c r="W829" s="269"/>
      <c r="X829" s="269"/>
      <c r="Y829" s="269"/>
      <c r="Z829" s="269"/>
      <c r="AA829" s="269"/>
      <c r="AB829" s="269"/>
      <c r="AC829" s="269"/>
    </row>
    <row r="830" spans="1:29" ht="12.75" x14ac:dyDescent="0.2">
      <c r="A830" s="203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203"/>
      <c r="M830" s="269"/>
      <c r="N830" s="269"/>
      <c r="O830" s="270"/>
      <c r="P830" s="270"/>
      <c r="Q830" s="270"/>
      <c r="R830" s="203"/>
      <c r="S830" s="203"/>
      <c r="T830" s="203"/>
      <c r="U830" s="269"/>
      <c r="V830" s="269"/>
      <c r="W830" s="269"/>
      <c r="X830" s="269"/>
      <c r="Y830" s="269"/>
      <c r="Z830" s="269"/>
      <c r="AA830" s="269"/>
      <c r="AB830" s="269"/>
      <c r="AC830" s="269"/>
    </row>
    <row r="831" spans="1:29" ht="12.75" x14ac:dyDescent="0.2">
      <c r="A831" s="203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203"/>
      <c r="M831" s="269"/>
      <c r="N831" s="269"/>
      <c r="O831" s="270"/>
      <c r="P831" s="270"/>
      <c r="Q831" s="270"/>
      <c r="R831" s="203"/>
      <c r="S831" s="203"/>
      <c r="T831" s="203"/>
      <c r="U831" s="269"/>
      <c r="V831" s="269"/>
      <c r="W831" s="269"/>
      <c r="X831" s="269"/>
      <c r="Y831" s="269"/>
      <c r="Z831" s="269"/>
      <c r="AA831" s="269"/>
      <c r="AB831" s="269"/>
      <c r="AC831" s="269"/>
    </row>
    <row r="832" spans="1:29" ht="12.75" x14ac:dyDescent="0.2">
      <c r="A832" s="203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203"/>
      <c r="M832" s="269"/>
      <c r="N832" s="269"/>
      <c r="O832" s="270"/>
      <c r="P832" s="270"/>
      <c r="Q832" s="270"/>
      <c r="R832" s="203"/>
      <c r="S832" s="203"/>
      <c r="T832" s="203"/>
      <c r="U832" s="269"/>
      <c r="V832" s="269"/>
      <c r="W832" s="269"/>
      <c r="X832" s="269"/>
      <c r="Y832" s="269"/>
      <c r="Z832" s="269"/>
      <c r="AA832" s="269"/>
      <c r="AB832" s="269"/>
      <c r="AC832" s="269"/>
    </row>
    <row r="833" spans="1:29" ht="12.75" x14ac:dyDescent="0.2">
      <c r="A833" s="203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203"/>
      <c r="M833" s="269"/>
      <c r="N833" s="269"/>
      <c r="O833" s="270"/>
      <c r="P833" s="270"/>
      <c r="Q833" s="270"/>
      <c r="R833" s="203"/>
      <c r="S833" s="203"/>
      <c r="T833" s="203"/>
      <c r="U833" s="269"/>
      <c r="V833" s="269"/>
      <c r="W833" s="269"/>
      <c r="X833" s="269"/>
      <c r="Y833" s="269"/>
      <c r="Z833" s="269"/>
      <c r="AA833" s="269"/>
      <c r="AB833" s="269"/>
      <c r="AC833" s="269"/>
    </row>
    <row r="834" spans="1:29" ht="12.75" x14ac:dyDescent="0.2">
      <c r="A834" s="203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203"/>
      <c r="M834" s="269"/>
      <c r="N834" s="269"/>
      <c r="O834" s="270"/>
      <c r="P834" s="270"/>
      <c r="Q834" s="270"/>
      <c r="R834" s="203"/>
      <c r="S834" s="203"/>
      <c r="T834" s="203"/>
      <c r="U834" s="269"/>
      <c r="V834" s="269"/>
      <c r="W834" s="269"/>
      <c r="X834" s="269"/>
      <c r="Y834" s="269"/>
      <c r="Z834" s="269"/>
      <c r="AA834" s="269"/>
      <c r="AB834" s="269"/>
      <c r="AC834" s="269"/>
    </row>
    <row r="835" spans="1:29" ht="12.75" x14ac:dyDescent="0.2">
      <c r="A835" s="203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203"/>
      <c r="M835" s="269"/>
      <c r="N835" s="269"/>
      <c r="O835" s="270"/>
      <c r="P835" s="270"/>
      <c r="Q835" s="270"/>
      <c r="R835" s="203"/>
      <c r="S835" s="203"/>
      <c r="T835" s="203"/>
      <c r="U835" s="269"/>
      <c r="V835" s="269"/>
      <c r="W835" s="269"/>
      <c r="X835" s="269"/>
      <c r="Y835" s="269"/>
      <c r="Z835" s="269"/>
      <c r="AA835" s="269"/>
      <c r="AB835" s="269"/>
      <c r="AC835" s="269"/>
    </row>
    <row r="836" spans="1:29" ht="12.75" x14ac:dyDescent="0.2">
      <c r="A836" s="203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203"/>
      <c r="M836" s="269"/>
      <c r="N836" s="269"/>
      <c r="O836" s="270"/>
      <c r="P836" s="270"/>
      <c r="Q836" s="270"/>
      <c r="R836" s="203"/>
      <c r="S836" s="203"/>
      <c r="T836" s="203"/>
      <c r="U836" s="269"/>
      <c r="V836" s="269"/>
      <c r="W836" s="269"/>
      <c r="X836" s="269"/>
      <c r="Y836" s="269"/>
      <c r="Z836" s="269"/>
      <c r="AA836" s="269"/>
      <c r="AB836" s="269"/>
      <c r="AC836" s="269"/>
    </row>
    <row r="837" spans="1:29" ht="12.75" x14ac:dyDescent="0.2">
      <c r="A837" s="203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203"/>
      <c r="M837" s="269"/>
      <c r="N837" s="269"/>
      <c r="O837" s="270"/>
      <c r="P837" s="270"/>
      <c r="Q837" s="270"/>
      <c r="R837" s="203"/>
      <c r="S837" s="203"/>
      <c r="T837" s="203"/>
      <c r="U837" s="269"/>
      <c r="V837" s="269"/>
      <c r="W837" s="269"/>
      <c r="X837" s="269"/>
      <c r="Y837" s="269"/>
      <c r="Z837" s="269"/>
      <c r="AA837" s="269"/>
      <c r="AB837" s="269"/>
      <c r="AC837" s="269"/>
    </row>
    <row r="838" spans="1:29" ht="12.75" x14ac:dyDescent="0.2">
      <c r="A838" s="203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203"/>
      <c r="M838" s="269"/>
      <c r="N838" s="269"/>
      <c r="O838" s="270"/>
      <c r="P838" s="270"/>
      <c r="Q838" s="270"/>
      <c r="R838" s="203"/>
      <c r="S838" s="203"/>
      <c r="T838" s="203"/>
      <c r="U838" s="269"/>
      <c r="V838" s="269"/>
      <c r="W838" s="269"/>
      <c r="X838" s="269"/>
      <c r="Y838" s="269"/>
      <c r="Z838" s="269"/>
      <c r="AA838" s="269"/>
      <c r="AB838" s="269"/>
      <c r="AC838" s="269"/>
    </row>
    <row r="839" spans="1:29" ht="12.75" x14ac:dyDescent="0.2">
      <c r="A839" s="203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203"/>
      <c r="M839" s="269"/>
      <c r="N839" s="269"/>
      <c r="O839" s="270"/>
      <c r="P839" s="270"/>
      <c r="Q839" s="270"/>
      <c r="R839" s="203"/>
      <c r="S839" s="203"/>
      <c r="T839" s="203"/>
      <c r="U839" s="269"/>
      <c r="V839" s="269"/>
      <c r="W839" s="269"/>
      <c r="X839" s="269"/>
      <c r="Y839" s="269"/>
      <c r="Z839" s="269"/>
      <c r="AA839" s="269"/>
      <c r="AB839" s="269"/>
      <c r="AC839" s="269"/>
    </row>
    <row r="840" spans="1:29" ht="12.75" x14ac:dyDescent="0.2">
      <c r="A840" s="203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203"/>
      <c r="M840" s="269"/>
      <c r="N840" s="269"/>
      <c r="O840" s="270"/>
      <c r="P840" s="270"/>
      <c r="Q840" s="270"/>
      <c r="R840" s="203"/>
      <c r="S840" s="203"/>
      <c r="T840" s="203"/>
      <c r="U840" s="269"/>
      <c r="V840" s="269"/>
      <c r="W840" s="269"/>
      <c r="X840" s="269"/>
      <c r="Y840" s="269"/>
      <c r="Z840" s="269"/>
      <c r="AA840" s="269"/>
      <c r="AB840" s="269"/>
      <c r="AC840" s="269"/>
    </row>
    <row r="841" spans="1:29" ht="12.75" x14ac:dyDescent="0.2">
      <c r="A841" s="203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203"/>
      <c r="M841" s="269"/>
      <c r="N841" s="269"/>
      <c r="O841" s="270"/>
      <c r="P841" s="270"/>
      <c r="Q841" s="270"/>
      <c r="R841" s="203"/>
      <c r="S841" s="203"/>
      <c r="T841" s="203"/>
      <c r="U841" s="269"/>
      <c r="V841" s="269"/>
      <c r="W841" s="269"/>
      <c r="X841" s="269"/>
      <c r="Y841" s="269"/>
      <c r="Z841" s="269"/>
      <c r="AA841" s="269"/>
      <c r="AB841" s="269"/>
      <c r="AC841" s="269"/>
    </row>
    <row r="842" spans="1:29" ht="12.75" x14ac:dyDescent="0.2">
      <c r="A842" s="203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203"/>
      <c r="M842" s="269"/>
      <c r="N842" s="269"/>
      <c r="O842" s="270"/>
      <c r="P842" s="270"/>
      <c r="Q842" s="270"/>
      <c r="R842" s="203"/>
      <c r="S842" s="203"/>
      <c r="T842" s="203"/>
      <c r="U842" s="269"/>
      <c r="V842" s="269"/>
      <c r="W842" s="269"/>
      <c r="X842" s="269"/>
      <c r="Y842" s="269"/>
      <c r="Z842" s="269"/>
      <c r="AA842" s="269"/>
      <c r="AB842" s="269"/>
      <c r="AC842" s="269"/>
    </row>
    <row r="843" spans="1:29" ht="12.75" x14ac:dyDescent="0.2">
      <c r="A843" s="203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203"/>
      <c r="M843" s="269"/>
      <c r="N843" s="269"/>
      <c r="O843" s="270"/>
      <c r="P843" s="270"/>
      <c r="Q843" s="270"/>
      <c r="R843" s="203"/>
      <c r="S843" s="203"/>
      <c r="T843" s="203"/>
      <c r="U843" s="269"/>
      <c r="V843" s="269"/>
      <c r="W843" s="269"/>
      <c r="X843" s="269"/>
      <c r="Y843" s="269"/>
      <c r="Z843" s="269"/>
      <c r="AA843" s="269"/>
      <c r="AB843" s="269"/>
      <c r="AC843" s="269"/>
    </row>
    <row r="844" spans="1:29" ht="12.75" x14ac:dyDescent="0.2">
      <c r="A844" s="203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203"/>
      <c r="M844" s="269"/>
      <c r="N844" s="269"/>
      <c r="O844" s="270"/>
      <c r="P844" s="270"/>
      <c r="Q844" s="270"/>
      <c r="R844" s="203"/>
      <c r="S844" s="203"/>
      <c r="T844" s="203"/>
      <c r="U844" s="269"/>
      <c r="V844" s="269"/>
      <c r="W844" s="269"/>
      <c r="X844" s="269"/>
      <c r="Y844" s="269"/>
      <c r="Z844" s="269"/>
      <c r="AA844" s="269"/>
      <c r="AB844" s="269"/>
      <c r="AC844" s="269"/>
    </row>
    <row r="845" spans="1:29" ht="12.75" x14ac:dyDescent="0.2">
      <c r="A845" s="203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69"/>
      <c r="N845" s="269"/>
      <c r="O845" s="270"/>
      <c r="P845" s="270"/>
      <c r="Q845" s="270"/>
      <c r="R845" s="203"/>
      <c r="S845" s="203"/>
      <c r="T845" s="203"/>
      <c r="U845" s="269"/>
      <c r="V845" s="269"/>
      <c r="W845" s="269"/>
      <c r="X845" s="269"/>
      <c r="Y845" s="269"/>
      <c r="Z845" s="269"/>
      <c r="AA845" s="269"/>
      <c r="AB845" s="269"/>
      <c r="AC845" s="269"/>
    </row>
    <row r="846" spans="1:29" ht="12.75" x14ac:dyDescent="0.2">
      <c r="A846" s="203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203"/>
      <c r="M846" s="269"/>
      <c r="N846" s="269"/>
      <c r="O846" s="270"/>
      <c r="P846" s="270"/>
      <c r="Q846" s="270"/>
      <c r="R846" s="203"/>
      <c r="S846" s="203"/>
      <c r="T846" s="203"/>
      <c r="U846" s="269"/>
      <c r="V846" s="269"/>
      <c r="W846" s="269"/>
      <c r="X846" s="269"/>
      <c r="Y846" s="269"/>
      <c r="Z846" s="269"/>
      <c r="AA846" s="269"/>
      <c r="AB846" s="269"/>
      <c r="AC846" s="269"/>
    </row>
    <row r="847" spans="1:29" ht="12.75" x14ac:dyDescent="0.2">
      <c r="A847" s="203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203"/>
      <c r="M847" s="269"/>
      <c r="N847" s="269"/>
      <c r="O847" s="270"/>
      <c r="P847" s="270"/>
      <c r="Q847" s="270"/>
      <c r="R847" s="203"/>
      <c r="S847" s="203"/>
      <c r="T847" s="203"/>
      <c r="U847" s="269"/>
      <c r="V847" s="269"/>
      <c r="W847" s="269"/>
      <c r="X847" s="269"/>
      <c r="Y847" s="269"/>
      <c r="Z847" s="269"/>
      <c r="AA847" s="269"/>
      <c r="AB847" s="269"/>
      <c r="AC847" s="269"/>
    </row>
    <row r="848" spans="1:29" ht="12.75" x14ac:dyDescent="0.2">
      <c r="A848" s="203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203"/>
      <c r="M848" s="269"/>
      <c r="N848" s="269"/>
      <c r="O848" s="270"/>
      <c r="P848" s="270"/>
      <c r="Q848" s="270"/>
      <c r="R848" s="203"/>
      <c r="S848" s="203"/>
      <c r="T848" s="203"/>
      <c r="U848" s="269"/>
      <c r="V848" s="269"/>
      <c r="W848" s="269"/>
      <c r="X848" s="269"/>
      <c r="Y848" s="269"/>
      <c r="Z848" s="269"/>
      <c r="AA848" s="269"/>
      <c r="AB848" s="269"/>
      <c r="AC848" s="269"/>
    </row>
    <row r="849" spans="1:29" ht="12.75" x14ac:dyDescent="0.2">
      <c r="A849" s="203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203"/>
      <c r="M849" s="269"/>
      <c r="N849" s="269"/>
      <c r="O849" s="270"/>
      <c r="P849" s="270"/>
      <c r="Q849" s="270"/>
      <c r="R849" s="203"/>
      <c r="S849" s="203"/>
      <c r="T849" s="203"/>
      <c r="U849" s="269"/>
      <c r="V849" s="269"/>
      <c r="W849" s="269"/>
      <c r="X849" s="269"/>
      <c r="Y849" s="269"/>
      <c r="Z849" s="269"/>
      <c r="AA849" s="269"/>
      <c r="AB849" s="269"/>
      <c r="AC849" s="269"/>
    </row>
    <row r="850" spans="1:29" ht="12.75" x14ac:dyDescent="0.2">
      <c r="A850" s="203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203"/>
      <c r="M850" s="269"/>
      <c r="N850" s="269"/>
      <c r="O850" s="270"/>
      <c r="P850" s="270"/>
      <c r="Q850" s="270"/>
      <c r="R850" s="203"/>
      <c r="S850" s="203"/>
      <c r="T850" s="203"/>
      <c r="U850" s="269"/>
      <c r="V850" s="269"/>
      <c r="W850" s="269"/>
      <c r="X850" s="269"/>
      <c r="Y850" s="269"/>
      <c r="Z850" s="269"/>
      <c r="AA850" s="269"/>
      <c r="AB850" s="269"/>
      <c r="AC850" s="269"/>
    </row>
    <row r="851" spans="1:29" ht="12.75" x14ac:dyDescent="0.2">
      <c r="A851" s="203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203"/>
      <c r="M851" s="269"/>
      <c r="N851" s="269"/>
      <c r="O851" s="270"/>
      <c r="P851" s="270"/>
      <c r="Q851" s="270"/>
      <c r="R851" s="203"/>
      <c r="S851" s="203"/>
      <c r="T851" s="203"/>
      <c r="U851" s="269"/>
      <c r="V851" s="269"/>
      <c r="W851" s="269"/>
      <c r="X851" s="269"/>
      <c r="Y851" s="269"/>
      <c r="Z851" s="269"/>
      <c r="AA851" s="269"/>
      <c r="AB851" s="269"/>
      <c r="AC851" s="269"/>
    </row>
    <row r="852" spans="1:29" ht="12.75" x14ac:dyDescent="0.2">
      <c r="A852" s="203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203"/>
      <c r="M852" s="269"/>
      <c r="N852" s="269"/>
      <c r="O852" s="270"/>
      <c r="P852" s="270"/>
      <c r="Q852" s="270"/>
      <c r="R852" s="203"/>
      <c r="S852" s="203"/>
      <c r="T852" s="203"/>
      <c r="U852" s="269"/>
      <c r="V852" s="269"/>
      <c r="W852" s="269"/>
      <c r="X852" s="269"/>
      <c r="Y852" s="269"/>
      <c r="Z852" s="269"/>
      <c r="AA852" s="269"/>
      <c r="AB852" s="269"/>
      <c r="AC852" s="269"/>
    </row>
    <row r="853" spans="1:29" ht="12.75" x14ac:dyDescent="0.2">
      <c r="A853" s="203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203"/>
      <c r="M853" s="269"/>
      <c r="N853" s="269"/>
      <c r="O853" s="270"/>
      <c r="P853" s="270"/>
      <c r="Q853" s="270"/>
      <c r="R853" s="203"/>
      <c r="S853" s="203"/>
      <c r="T853" s="203"/>
      <c r="U853" s="269"/>
      <c r="V853" s="269"/>
      <c r="W853" s="269"/>
      <c r="X853" s="269"/>
      <c r="Y853" s="269"/>
      <c r="Z853" s="269"/>
      <c r="AA853" s="269"/>
      <c r="AB853" s="269"/>
      <c r="AC853" s="269"/>
    </row>
    <row r="854" spans="1:29" ht="12.75" x14ac:dyDescent="0.2">
      <c r="A854" s="203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203"/>
      <c r="M854" s="269"/>
      <c r="N854" s="269"/>
      <c r="O854" s="270"/>
      <c r="P854" s="270"/>
      <c r="Q854" s="270"/>
      <c r="R854" s="203"/>
      <c r="S854" s="203"/>
      <c r="T854" s="203"/>
      <c r="U854" s="269"/>
      <c r="V854" s="269"/>
      <c r="W854" s="269"/>
      <c r="X854" s="269"/>
      <c r="Y854" s="269"/>
      <c r="Z854" s="269"/>
      <c r="AA854" s="269"/>
      <c r="AB854" s="269"/>
      <c r="AC854" s="269"/>
    </row>
    <row r="855" spans="1:29" ht="12.75" x14ac:dyDescent="0.2">
      <c r="A855" s="203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203"/>
      <c r="M855" s="269"/>
      <c r="N855" s="269"/>
      <c r="O855" s="270"/>
      <c r="P855" s="270"/>
      <c r="Q855" s="270"/>
      <c r="R855" s="203"/>
      <c r="S855" s="203"/>
      <c r="T855" s="203"/>
      <c r="U855" s="269"/>
      <c r="V855" s="269"/>
      <c r="W855" s="269"/>
      <c r="X855" s="269"/>
      <c r="Y855" s="269"/>
      <c r="Z855" s="269"/>
      <c r="AA855" s="269"/>
      <c r="AB855" s="269"/>
      <c r="AC855" s="269"/>
    </row>
    <row r="856" spans="1:29" ht="12.75" x14ac:dyDescent="0.2">
      <c r="A856" s="203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203"/>
      <c r="M856" s="269"/>
      <c r="N856" s="269"/>
      <c r="O856" s="270"/>
      <c r="P856" s="270"/>
      <c r="Q856" s="270"/>
      <c r="R856" s="203"/>
      <c r="S856" s="203"/>
      <c r="T856" s="203"/>
      <c r="U856" s="269"/>
      <c r="V856" s="269"/>
      <c r="W856" s="269"/>
      <c r="X856" s="269"/>
      <c r="Y856" s="269"/>
      <c r="Z856" s="269"/>
      <c r="AA856" s="269"/>
      <c r="AB856" s="269"/>
      <c r="AC856" s="269"/>
    </row>
    <row r="857" spans="1:29" ht="12.75" x14ac:dyDescent="0.2">
      <c r="A857" s="203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203"/>
      <c r="M857" s="269"/>
      <c r="N857" s="269"/>
      <c r="O857" s="270"/>
      <c r="P857" s="270"/>
      <c r="Q857" s="270"/>
      <c r="R857" s="203"/>
      <c r="S857" s="203"/>
      <c r="T857" s="203"/>
      <c r="U857" s="269"/>
      <c r="V857" s="269"/>
      <c r="W857" s="269"/>
      <c r="X857" s="269"/>
      <c r="Y857" s="269"/>
      <c r="Z857" s="269"/>
      <c r="AA857" s="269"/>
      <c r="AB857" s="269"/>
      <c r="AC857" s="269"/>
    </row>
    <row r="858" spans="1:29" ht="12.75" x14ac:dyDescent="0.2">
      <c r="A858" s="203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203"/>
      <c r="M858" s="269"/>
      <c r="N858" s="269"/>
      <c r="O858" s="270"/>
      <c r="P858" s="270"/>
      <c r="Q858" s="270"/>
      <c r="R858" s="203"/>
      <c r="S858" s="203"/>
      <c r="T858" s="203"/>
      <c r="U858" s="269"/>
      <c r="V858" s="269"/>
      <c r="W858" s="269"/>
      <c r="X858" s="269"/>
      <c r="Y858" s="269"/>
      <c r="Z858" s="269"/>
      <c r="AA858" s="269"/>
      <c r="AB858" s="269"/>
      <c r="AC858" s="269"/>
    </row>
    <row r="859" spans="1:29" ht="12.75" x14ac:dyDescent="0.2">
      <c r="A859" s="203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203"/>
      <c r="M859" s="269"/>
      <c r="N859" s="269"/>
      <c r="O859" s="270"/>
      <c r="P859" s="270"/>
      <c r="Q859" s="270"/>
      <c r="R859" s="203"/>
      <c r="S859" s="203"/>
      <c r="T859" s="203"/>
      <c r="U859" s="269"/>
      <c r="V859" s="269"/>
      <c r="W859" s="269"/>
      <c r="X859" s="269"/>
      <c r="Y859" s="269"/>
      <c r="Z859" s="269"/>
      <c r="AA859" s="269"/>
      <c r="AB859" s="269"/>
      <c r="AC859" s="269"/>
    </row>
    <row r="860" spans="1:29" ht="12.75" x14ac:dyDescent="0.2">
      <c r="A860" s="203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203"/>
      <c r="M860" s="269"/>
      <c r="N860" s="269"/>
      <c r="O860" s="270"/>
      <c r="P860" s="270"/>
      <c r="Q860" s="270"/>
      <c r="R860" s="203"/>
      <c r="S860" s="203"/>
      <c r="T860" s="203"/>
      <c r="U860" s="269"/>
      <c r="V860" s="269"/>
      <c r="W860" s="269"/>
      <c r="X860" s="269"/>
      <c r="Y860" s="269"/>
      <c r="Z860" s="269"/>
      <c r="AA860" s="269"/>
      <c r="AB860" s="269"/>
      <c r="AC860" s="269"/>
    </row>
    <row r="861" spans="1:29" ht="12.75" x14ac:dyDescent="0.2">
      <c r="A861" s="203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203"/>
      <c r="M861" s="269"/>
      <c r="N861" s="269"/>
      <c r="O861" s="270"/>
      <c r="P861" s="270"/>
      <c r="Q861" s="270"/>
      <c r="R861" s="203"/>
      <c r="S861" s="203"/>
      <c r="T861" s="203"/>
      <c r="U861" s="269"/>
      <c r="V861" s="269"/>
      <c r="W861" s="269"/>
      <c r="X861" s="269"/>
      <c r="Y861" s="269"/>
      <c r="Z861" s="269"/>
      <c r="AA861" s="269"/>
      <c r="AB861" s="269"/>
      <c r="AC861" s="269"/>
    </row>
    <row r="862" spans="1:29" ht="12.75" x14ac:dyDescent="0.2">
      <c r="A862" s="203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203"/>
      <c r="M862" s="269"/>
      <c r="N862" s="269"/>
      <c r="O862" s="270"/>
      <c r="P862" s="270"/>
      <c r="Q862" s="270"/>
      <c r="R862" s="203"/>
      <c r="S862" s="203"/>
      <c r="T862" s="203"/>
      <c r="U862" s="269"/>
      <c r="V862" s="269"/>
      <c r="W862" s="269"/>
      <c r="X862" s="269"/>
      <c r="Y862" s="269"/>
      <c r="Z862" s="269"/>
      <c r="AA862" s="269"/>
      <c r="AB862" s="269"/>
      <c r="AC862" s="269"/>
    </row>
    <row r="863" spans="1:29" ht="12.75" x14ac:dyDescent="0.2">
      <c r="A863" s="203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203"/>
      <c r="M863" s="269"/>
      <c r="N863" s="269"/>
      <c r="O863" s="270"/>
      <c r="P863" s="270"/>
      <c r="Q863" s="270"/>
      <c r="R863" s="203"/>
      <c r="S863" s="203"/>
      <c r="T863" s="203"/>
      <c r="U863" s="269"/>
      <c r="V863" s="269"/>
      <c r="W863" s="269"/>
      <c r="X863" s="269"/>
      <c r="Y863" s="269"/>
      <c r="Z863" s="269"/>
      <c r="AA863" s="269"/>
      <c r="AB863" s="269"/>
      <c r="AC863" s="269"/>
    </row>
    <row r="864" spans="1:29" ht="12.75" x14ac:dyDescent="0.2">
      <c r="A864" s="203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203"/>
      <c r="M864" s="269"/>
      <c r="N864" s="269"/>
      <c r="O864" s="270"/>
      <c r="P864" s="270"/>
      <c r="Q864" s="270"/>
      <c r="R864" s="203"/>
      <c r="S864" s="203"/>
      <c r="T864" s="203"/>
      <c r="U864" s="269"/>
      <c r="V864" s="269"/>
      <c r="W864" s="269"/>
      <c r="X864" s="269"/>
      <c r="Y864" s="269"/>
      <c r="Z864" s="269"/>
      <c r="AA864" s="269"/>
      <c r="AB864" s="269"/>
      <c r="AC864" s="269"/>
    </row>
    <row r="865" spans="1:29" ht="12.75" x14ac:dyDescent="0.2">
      <c r="A865" s="203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203"/>
      <c r="M865" s="269"/>
      <c r="N865" s="269"/>
      <c r="O865" s="270"/>
      <c r="P865" s="270"/>
      <c r="Q865" s="270"/>
      <c r="R865" s="203"/>
      <c r="S865" s="203"/>
      <c r="T865" s="203"/>
      <c r="U865" s="269"/>
      <c r="V865" s="269"/>
      <c r="W865" s="269"/>
      <c r="X865" s="269"/>
      <c r="Y865" s="269"/>
      <c r="Z865" s="269"/>
      <c r="AA865" s="269"/>
      <c r="AB865" s="269"/>
      <c r="AC865" s="269"/>
    </row>
    <row r="866" spans="1:29" ht="12.75" x14ac:dyDescent="0.2">
      <c r="A866" s="203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203"/>
      <c r="M866" s="269"/>
      <c r="N866" s="269"/>
      <c r="O866" s="270"/>
      <c r="P866" s="270"/>
      <c r="Q866" s="270"/>
      <c r="R866" s="203"/>
      <c r="S866" s="203"/>
      <c r="T866" s="203"/>
      <c r="U866" s="269"/>
      <c r="V866" s="269"/>
      <c r="W866" s="269"/>
      <c r="X866" s="269"/>
      <c r="Y866" s="269"/>
      <c r="Z866" s="269"/>
      <c r="AA866" s="269"/>
      <c r="AB866" s="269"/>
      <c r="AC866" s="269"/>
    </row>
    <row r="867" spans="1:29" ht="12.75" x14ac:dyDescent="0.2">
      <c r="A867" s="203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69"/>
      <c r="N867" s="269"/>
      <c r="O867" s="270"/>
      <c r="P867" s="270"/>
      <c r="Q867" s="270"/>
      <c r="R867" s="203"/>
      <c r="S867" s="203"/>
      <c r="T867" s="203"/>
      <c r="U867" s="269"/>
      <c r="V867" s="269"/>
      <c r="W867" s="269"/>
      <c r="X867" s="269"/>
      <c r="Y867" s="269"/>
      <c r="Z867" s="269"/>
      <c r="AA867" s="269"/>
      <c r="AB867" s="269"/>
      <c r="AC867" s="269"/>
    </row>
    <row r="868" spans="1:29" ht="12.75" x14ac:dyDescent="0.2">
      <c r="A868" s="203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203"/>
      <c r="M868" s="269"/>
      <c r="N868" s="269"/>
      <c r="O868" s="270"/>
      <c r="P868" s="270"/>
      <c r="Q868" s="270"/>
      <c r="R868" s="203"/>
      <c r="S868" s="203"/>
      <c r="T868" s="203"/>
      <c r="U868" s="269"/>
      <c r="V868" s="269"/>
      <c r="W868" s="269"/>
      <c r="X868" s="269"/>
      <c r="Y868" s="269"/>
      <c r="Z868" s="269"/>
      <c r="AA868" s="269"/>
      <c r="AB868" s="269"/>
      <c r="AC868" s="269"/>
    </row>
    <row r="869" spans="1:29" ht="12.75" x14ac:dyDescent="0.2">
      <c r="A869" s="203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203"/>
      <c r="M869" s="269"/>
      <c r="N869" s="269"/>
      <c r="O869" s="270"/>
      <c r="P869" s="270"/>
      <c r="Q869" s="270"/>
      <c r="R869" s="203"/>
      <c r="S869" s="203"/>
      <c r="T869" s="203"/>
      <c r="U869" s="269"/>
      <c r="V869" s="269"/>
      <c r="W869" s="269"/>
      <c r="X869" s="269"/>
      <c r="Y869" s="269"/>
      <c r="Z869" s="269"/>
      <c r="AA869" s="269"/>
      <c r="AB869" s="269"/>
      <c r="AC869" s="269"/>
    </row>
    <row r="870" spans="1:29" ht="12.75" x14ac:dyDescent="0.2">
      <c r="A870" s="203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203"/>
      <c r="M870" s="269"/>
      <c r="N870" s="269"/>
      <c r="O870" s="270"/>
      <c r="P870" s="270"/>
      <c r="Q870" s="270"/>
      <c r="R870" s="203"/>
      <c r="S870" s="203"/>
      <c r="T870" s="203"/>
      <c r="U870" s="269"/>
      <c r="V870" s="269"/>
      <c r="W870" s="269"/>
      <c r="X870" s="269"/>
      <c r="Y870" s="269"/>
      <c r="Z870" s="269"/>
      <c r="AA870" s="269"/>
      <c r="AB870" s="269"/>
      <c r="AC870" s="269"/>
    </row>
    <row r="871" spans="1:29" ht="12.75" x14ac:dyDescent="0.2">
      <c r="A871" s="203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203"/>
      <c r="M871" s="269"/>
      <c r="N871" s="269"/>
      <c r="O871" s="270"/>
      <c r="P871" s="270"/>
      <c r="Q871" s="270"/>
      <c r="R871" s="203"/>
      <c r="S871" s="203"/>
      <c r="T871" s="203"/>
      <c r="U871" s="269"/>
      <c r="V871" s="269"/>
      <c r="W871" s="269"/>
      <c r="X871" s="269"/>
      <c r="Y871" s="269"/>
      <c r="Z871" s="269"/>
      <c r="AA871" s="269"/>
      <c r="AB871" s="269"/>
      <c r="AC871" s="269"/>
    </row>
    <row r="872" spans="1:29" ht="12.75" x14ac:dyDescent="0.2">
      <c r="A872" s="203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203"/>
      <c r="M872" s="269"/>
      <c r="N872" s="269"/>
      <c r="O872" s="270"/>
      <c r="P872" s="270"/>
      <c r="Q872" s="270"/>
      <c r="R872" s="203"/>
      <c r="S872" s="203"/>
      <c r="T872" s="203"/>
      <c r="U872" s="269"/>
      <c r="V872" s="269"/>
      <c r="W872" s="269"/>
      <c r="X872" s="269"/>
      <c r="Y872" s="269"/>
      <c r="Z872" s="269"/>
      <c r="AA872" s="269"/>
      <c r="AB872" s="269"/>
      <c r="AC872" s="269"/>
    </row>
    <row r="873" spans="1:29" ht="12.75" x14ac:dyDescent="0.2">
      <c r="A873" s="203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203"/>
      <c r="M873" s="269"/>
      <c r="N873" s="269"/>
      <c r="O873" s="270"/>
      <c r="P873" s="270"/>
      <c r="Q873" s="270"/>
      <c r="R873" s="203"/>
      <c r="S873" s="203"/>
      <c r="T873" s="203"/>
      <c r="U873" s="269"/>
      <c r="V873" s="269"/>
      <c r="W873" s="269"/>
      <c r="X873" s="269"/>
      <c r="Y873" s="269"/>
      <c r="Z873" s="269"/>
      <c r="AA873" s="269"/>
      <c r="AB873" s="269"/>
      <c r="AC873" s="269"/>
    </row>
    <row r="874" spans="1:29" ht="12.75" x14ac:dyDescent="0.2">
      <c r="A874" s="203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203"/>
      <c r="M874" s="269"/>
      <c r="N874" s="269"/>
      <c r="O874" s="270"/>
      <c r="P874" s="270"/>
      <c r="Q874" s="270"/>
      <c r="R874" s="203"/>
      <c r="S874" s="203"/>
      <c r="T874" s="203"/>
      <c r="U874" s="269"/>
      <c r="V874" s="269"/>
      <c r="W874" s="269"/>
      <c r="X874" s="269"/>
      <c r="Y874" s="269"/>
      <c r="Z874" s="269"/>
      <c r="AA874" s="269"/>
      <c r="AB874" s="269"/>
      <c r="AC874" s="269"/>
    </row>
    <row r="875" spans="1:29" ht="12.75" x14ac:dyDescent="0.2">
      <c r="A875" s="203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203"/>
      <c r="M875" s="269"/>
      <c r="N875" s="269"/>
      <c r="O875" s="270"/>
      <c r="P875" s="270"/>
      <c r="Q875" s="270"/>
      <c r="R875" s="203"/>
      <c r="S875" s="203"/>
      <c r="T875" s="203"/>
      <c r="U875" s="269"/>
      <c r="V875" s="269"/>
      <c r="W875" s="269"/>
      <c r="X875" s="269"/>
      <c r="Y875" s="269"/>
      <c r="Z875" s="269"/>
      <c r="AA875" s="269"/>
      <c r="AB875" s="269"/>
      <c r="AC875" s="269"/>
    </row>
    <row r="876" spans="1:29" ht="12.75" x14ac:dyDescent="0.2">
      <c r="A876" s="203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203"/>
      <c r="M876" s="269"/>
      <c r="N876" s="269"/>
      <c r="O876" s="270"/>
      <c r="P876" s="270"/>
      <c r="Q876" s="270"/>
      <c r="R876" s="203"/>
      <c r="S876" s="203"/>
      <c r="T876" s="203"/>
      <c r="U876" s="269"/>
      <c r="V876" s="269"/>
      <c r="W876" s="269"/>
      <c r="X876" s="269"/>
      <c r="Y876" s="269"/>
      <c r="Z876" s="269"/>
      <c r="AA876" s="269"/>
      <c r="AB876" s="269"/>
      <c r="AC876" s="269"/>
    </row>
    <row r="877" spans="1:29" ht="12.75" x14ac:dyDescent="0.2">
      <c r="A877" s="203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203"/>
      <c r="M877" s="269"/>
      <c r="N877" s="269"/>
      <c r="O877" s="270"/>
      <c r="P877" s="270"/>
      <c r="Q877" s="270"/>
      <c r="R877" s="203"/>
      <c r="S877" s="203"/>
      <c r="T877" s="203"/>
      <c r="U877" s="269"/>
      <c r="V877" s="269"/>
      <c r="W877" s="269"/>
      <c r="X877" s="269"/>
      <c r="Y877" s="269"/>
      <c r="Z877" s="269"/>
      <c r="AA877" s="269"/>
      <c r="AB877" s="269"/>
      <c r="AC877" s="269"/>
    </row>
    <row r="878" spans="1:29" ht="12.75" x14ac:dyDescent="0.2">
      <c r="A878" s="203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203"/>
      <c r="M878" s="269"/>
      <c r="N878" s="269"/>
      <c r="O878" s="270"/>
      <c r="P878" s="270"/>
      <c r="Q878" s="270"/>
      <c r="R878" s="203"/>
      <c r="S878" s="203"/>
      <c r="T878" s="203"/>
      <c r="U878" s="269"/>
      <c r="V878" s="269"/>
      <c r="W878" s="269"/>
      <c r="X878" s="269"/>
      <c r="Y878" s="269"/>
      <c r="Z878" s="269"/>
      <c r="AA878" s="269"/>
      <c r="AB878" s="269"/>
      <c r="AC878" s="269"/>
    </row>
    <row r="879" spans="1:29" ht="12.75" x14ac:dyDescent="0.2">
      <c r="A879" s="203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203"/>
      <c r="M879" s="269"/>
      <c r="N879" s="269"/>
      <c r="O879" s="270"/>
      <c r="P879" s="270"/>
      <c r="Q879" s="270"/>
      <c r="R879" s="203"/>
      <c r="S879" s="203"/>
      <c r="T879" s="203"/>
      <c r="U879" s="269"/>
      <c r="V879" s="269"/>
      <c r="W879" s="269"/>
      <c r="X879" s="269"/>
      <c r="Y879" s="269"/>
      <c r="Z879" s="269"/>
      <c r="AA879" s="269"/>
      <c r="AB879" s="269"/>
      <c r="AC879" s="269"/>
    </row>
    <row r="880" spans="1:29" ht="12.75" x14ac:dyDescent="0.2">
      <c r="A880" s="203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203"/>
      <c r="M880" s="269"/>
      <c r="N880" s="269"/>
      <c r="O880" s="270"/>
      <c r="P880" s="270"/>
      <c r="Q880" s="270"/>
      <c r="R880" s="203"/>
      <c r="S880" s="203"/>
      <c r="T880" s="203"/>
      <c r="U880" s="269"/>
      <c r="V880" s="269"/>
      <c r="W880" s="269"/>
      <c r="X880" s="269"/>
      <c r="Y880" s="269"/>
      <c r="Z880" s="269"/>
      <c r="AA880" s="269"/>
      <c r="AB880" s="269"/>
      <c r="AC880" s="269"/>
    </row>
    <row r="881" spans="1:29" ht="12.75" x14ac:dyDescent="0.2">
      <c r="A881" s="203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203"/>
      <c r="M881" s="269"/>
      <c r="N881" s="269"/>
      <c r="O881" s="270"/>
      <c r="P881" s="270"/>
      <c r="Q881" s="270"/>
      <c r="R881" s="203"/>
      <c r="S881" s="203"/>
      <c r="T881" s="203"/>
      <c r="U881" s="269"/>
      <c r="V881" s="269"/>
      <c r="W881" s="269"/>
      <c r="X881" s="269"/>
      <c r="Y881" s="269"/>
      <c r="Z881" s="269"/>
      <c r="AA881" s="269"/>
      <c r="AB881" s="269"/>
      <c r="AC881" s="269"/>
    </row>
    <row r="882" spans="1:29" ht="12.75" x14ac:dyDescent="0.2">
      <c r="A882" s="203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69"/>
      <c r="N882" s="269"/>
      <c r="O882" s="270"/>
      <c r="P882" s="270"/>
      <c r="Q882" s="270"/>
      <c r="R882" s="203"/>
      <c r="S882" s="203"/>
      <c r="T882" s="203"/>
      <c r="U882" s="269"/>
      <c r="V882" s="269"/>
      <c r="W882" s="269"/>
      <c r="X882" s="269"/>
      <c r="Y882" s="269"/>
      <c r="Z882" s="269"/>
      <c r="AA882" s="269"/>
      <c r="AB882" s="269"/>
      <c r="AC882" s="269"/>
    </row>
    <row r="883" spans="1:29" ht="12.75" x14ac:dyDescent="0.2">
      <c r="A883" s="203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203"/>
      <c r="M883" s="269"/>
      <c r="N883" s="269"/>
      <c r="O883" s="270"/>
      <c r="P883" s="270"/>
      <c r="Q883" s="270"/>
      <c r="R883" s="203"/>
      <c r="S883" s="203"/>
      <c r="T883" s="203"/>
      <c r="U883" s="269"/>
      <c r="V883" s="269"/>
      <c r="W883" s="269"/>
      <c r="X883" s="269"/>
      <c r="Y883" s="269"/>
      <c r="Z883" s="269"/>
      <c r="AA883" s="269"/>
      <c r="AB883" s="269"/>
      <c r="AC883" s="269"/>
    </row>
    <row r="884" spans="1:29" ht="12.75" x14ac:dyDescent="0.2">
      <c r="A884" s="203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203"/>
      <c r="M884" s="269"/>
      <c r="N884" s="269"/>
      <c r="O884" s="270"/>
      <c r="P884" s="270"/>
      <c r="Q884" s="270"/>
      <c r="R884" s="203"/>
      <c r="S884" s="203"/>
      <c r="T884" s="203"/>
      <c r="U884" s="269"/>
      <c r="V884" s="269"/>
      <c r="W884" s="269"/>
      <c r="X884" s="269"/>
      <c r="Y884" s="269"/>
      <c r="Z884" s="269"/>
      <c r="AA884" s="269"/>
      <c r="AB884" s="269"/>
      <c r="AC884" s="269"/>
    </row>
    <row r="885" spans="1:29" ht="12.75" x14ac:dyDescent="0.2">
      <c r="A885" s="203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69"/>
      <c r="N885" s="269"/>
      <c r="O885" s="270"/>
      <c r="P885" s="270"/>
      <c r="Q885" s="270"/>
      <c r="R885" s="203"/>
      <c r="S885" s="203"/>
      <c r="T885" s="203"/>
      <c r="U885" s="269"/>
      <c r="V885" s="269"/>
      <c r="W885" s="269"/>
      <c r="X885" s="269"/>
      <c r="Y885" s="269"/>
      <c r="Z885" s="269"/>
      <c r="AA885" s="269"/>
      <c r="AB885" s="269"/>
      <c r="AC885" s="269"/>
    </row>
    <row r="886" spans="1:29" ht="12.75" x14ac:dyDescent="0.2">
      <c r="A886" s="203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269"/>
      <c r="N886" s="269"/>
      <c r="O886" s="270"/>
      <c r="P886" s="270"/>
      <c r="Q886" s="270"/>
      <c r="R886" s="203"/>
      <c r="S886" s="203"/>
      <c r="T886" s="203"/>
      <c r="U886" s="269"/>
      <c r="V886" s="269"/>
      <c r="W886" s="269"/>
      <c r="X886" s="269"/>
      <c r="Y886" s="269"/>
      <c r="Z886" s="269"/>
      <c r="AA886" s="269"/>
      <c r="AB886" s="269"/>
      <c r="AC886" s="269"/>
    </row>
    <row r="887" spans="1:29" ht="12.75" x14ac:dyDescent="0.2">
      <c r="A887" s="203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269"/>
      <c r="N887" s="269"/>
      <c r="O887" s="270"/>
      <c r="P887" s="270"/>
      <c r="Q887" s="270"/>
      <c r="R887" s="203"/>
      <c r="S887" s="203"/>
      <c r="T887" s="203"/>
      <c r="U887" s="269"/>
      <c r="V887" s="269"/>
      <c r="W887" s="269"/>
      <c r="X887" s="269"/>
      <c r="Y887" s="269"/>
      <c r="Z887" s="269"/>
      <c r="AA887" s="269"/>
      <c r="AB887" s="269"/>
      <c r="AC887" s="269"/>
    </row>
    <row r="888" spans="1:29" ht="12.75" x14ac:dyDescent="0.2">
      <c r="A888" s="203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69"/>
      <c r="N888" s="269"/>
      <c r="O888" s="270"/>
      <c r="P888" s="270"/>
      <c r="Q888" s="270"/>
      <c r="R888" s="203"/>
      <c r="S888" s="203"/>
      <c r="T888" s="203"/>
      <c r="U888" s="269"/>
      <c r="V888" s="269"/>
      <c r="W888" s="269"/>
      <c r="X888" s="269"/>
      <c r="Y888" s="269"/>
      <c r="Z888" s="269"/>
      <c r="AA888" s="269"/>
      <c r="AB888" s="269"/>
      <c r="AC888" s="269"/>
    </row>
    <row r="889" spans="1:29" ht="12.75" x14ac:dyDescent="0.2">
      <c r="A889" s="203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203"/>
      <c r="M889" s="269"/>
      <c r="N889" s="269"/>
      <c r="O889" s="270"/>
      <c r="P889" s="270"/>
      <c r="Q889" s="270"/>
      <c r="R889" s="203"/>
      <c r="S889" s="203"/>
      <c r="T889" s="203"/>
      <c r="U889" s="269"/>
      <c r="V889" s="269"/>
      <c r="W889" s="269"/>
      <c r="X889" s="269"/>
      <c r="Y889" s="269"/>
      <c r="Z889" s="269"/>
      <c r="AA889" s="269"/>
      <c r="AB889" s="269"/>
      <c r="AC889" s="269"/>
    </row>
    <row r="890" spans="1:29" ht="12.75" x14ac:dyDescent="0.2">
      <c r="A890" s="203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203"/>
      <c r="M890" s="269"/>
      <c r="N890" s="269"/>
      <c r="O890" s="270"/>
      <c r="P890" s="270"/>
      <c r="Q890" s="270"/>
      <c r="R890" s="203"/>
      <c r="S890" s="203"/>
      <c r="T890" s="203"/>
      <c r="U890" s="269"/>
      <c r="V890" s="269"/>
      <c r="W890" s="269"/>
      <c r="X890" s="269"/>
      <c r="Y890" s="269"/>
      <c r="Z890" s="269"/>
      <c r="AA890" s="269"/>
      <c r="AB890" s="269"/>
      <c r="AC890" s="269"/>
    </row>
    <row r="891" spans="1:29" ht="12.75" x14ac:dyDescent="0.2">
      <c r="A891" s="203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203"/>
      <c r="M891" s="269"/>
      <c r="N891" s="269"/>
      <c r="O891" s="270"/>
      <c r="P891" s="270"/>
      <c r="Q891" s="270"/>
      <c r="R891" s="203"/>
      <c r="S891" s="203"/>
      <c r="T891" s="203"/>
      <c r="U891" s="269"/>
      <c r="V891" s="269"/>
      <c r="W891" s="269"/>
      <c r="X891" s="269"/>
      <c r="Y891" s="269"/>
      <c r="Z891" s="269"/>
      <c r="AA891" s="269"/>
      <c r="AB891" s="269"/>
      <c r="AC891" s="269"/>
    </row>
    <row r="892" spans="1:29" ht="12.75" x14ac:dyDescent="0.2">
      <c r="A892" s="203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69"/>
      <c r="N892" s="269"/>
      <c r="O892" s="270"/>
      <c r="P892" s="270"/>
      <c r="Q892" s="270"/>
      <c r="R892" s="203"/>
      <c r="S892" s="203"/>
      <c r="T892" s="203"/>
      <c r="U892" s="269"/>
      <c r="V892" s="269"/>
      <c r="W892" s="269"/>
      <c r="X892" s="269"/>
      <c r="Y892" s="269"/>
      <c r="Z892" s="269"/>
      <c r="AA892" s="269"/>
      <c r="AB892" s="269"/>
      <c r="AC892" s="269"/>
    </row>
    <row r="893" spans="1:29" ht="12.75" x14ac:dyDescent="0.2">
      <c r="A893" s="203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203"/>
      <c r="M893" s="269"/>
      <c r="N893" s="269"/>
      <c r="O893" s="270"/>
      <c r="P893" s="270"/>
      <c r="Q893" s="270"/>
      <c r="R893" s="203"/>
      <c r="S893" s="203"/>
      <c r="T893" s="203"/>
      <c r="U893" s="269"/>
      <c r="V893" s="269"/>
      <c r="W893" s="269"/>
      <c r="X893" s="269"/>
      <c r="Y893" s="269"/>
      <c r="Z893" s="269"/>
      <c r="AA893" s="269"/>
      <c r="AB893" s="269"/>
      <c r="AC893" s="269"/>
    </row>
    <row r="894" spans="1:29" ht="12.75" x14ac:dyDescent="0.2">
      <c r="A894" s="203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203"/>
      <c r="M894" s="269"/>
      <c r="N894" s="269"/>
      <c r="O894" s="270"/>
      <c r="P894" s="270"/>
      <c r="Q894" s="270"/>
      <c r="R894" s="203"/>
      <c r="S894" s="203"/>
      <c r="T894" s="203"/>
      <c r="U894" s="269"/>
      <c r="V894" s="269"/>
      <c r="W894" s="269"/>
      <c r="X894" s="269"/>
      <c r="Y894" s="269"/>
      <c r="Z894" s="269"/>
      <c r="AA894" s="269"/>
      <c r="AB894" s="269"/>
      <c r="AC894" s="269"/>
    </row>
    <row r="895" spans="1:29" ht="12.75" x14ac:dyDescent="0.2">
      <c r="A895" s="203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203"/>
      <c r="M895" s="269"/>
      <c r="N895" s="269"/>
      <c r="O895" s="270"/>
      <c r="P895" s="270"/>
      <c r="Q895" s="270"/>
      <c r="R895" s="203"/>
      <c r="S895" s="203"/>
      <c r="T895" s="203"/>
      <c r="U895" s="269"/>
      <c r="V895" s="269"/>
      <c r="W895" s="269"/>
      <c r="X895" s="269"/>
      <c r="Y895" s="269"/>
      <c r="Z895" s="269"/>
      <c r="AA895" s="269"/>
      <c r="AB895" s="269"/>
      <c r="AC895" s="269"/>
    </row>
    <row r="896" spans="1:29" ht="12.75" x14ac:dyDescent="0.2">
      <c r="A896" s="203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203"/>
      <c r="M896" s="269"/>
      <c r="N896" s="269"/>
      <c r="O896" s="270"/>
      <c r="P896" s="270"/>
      <c r="Q896" s="270"/>
      <c r="R896" s="203"/>
      <c r="S896" s="203"/>
      <c r="T896" s="203"/>
      <c r="U896" s="269"/>
      <c r="V896" s="269"/>
      <c r="W896" s="269"/>
      <c r="X896" s="269"/>
      <c r="Y896" s="269"/>
      <c r="Z896" s="269"/>
      <c r="AA896" s="269"/>
      <c r="AB896" s="269"/>
      <c r="AC896" s="269"/>
    </row>
    <row r="897" spans="1:29" ht="12.75" x14ac:dyDescent="0.2">
      <c r="A897" s="203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203"/>
      <c r="M897" s="269"/>
      <c r="N897" s="269"/>
      <c r="O897" s="270"/>
      <c r="P897" s="270"/>
      <c r="Q897" s="270"/>
      <c r="R897" s="203"/>
      <c r="S897" s="203"/>
      <c r="T897" s="203"/>
      <c r="U897" s="269"/>
      <c r="V897" s="269"/>
      <c r="W897" s="269"/>
      <c r="X897" s="269"/>
      <c r="Y897" s="269"/>
      <c r="Z897" s="269"/>
      <c r="AA897" s="269"/>
      <c r="AB897" s="269"/>
      <c r="AC897" s="269"/>
    </row>
    <row r="898" spans="1:29" ht="12.75" x14ac:dyDescent="0.2">
      <c r="A898" s="203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203"/>
      <c r="M898" s="269"/>
      <c r="N898" s="269"/>
      <c r="O898" s="270"/>
      <c r="P898" s="270"/>
      <c r="Q898" s="270"/>
      <c r="R898" s="203"/>
      <c r="S898" s="203"/>
      <c r="T898" s="203"/>
      <c r="U898" s="269"/>
      <c r="V898" s="269"/>
      <c r="W898" s="269"/>
      <c r="X898" s="269"/>
      <c r="Y898" s="269"/>
      <c r="Z898" s="269"/>
      <c r="AA898" s="269"/>
      <c r="AB898" s="269"/>
      <c r="AC898" s="269"/>
    </row>
    <row r="899" spans="1:29" ht="12.75" x14ac:dyDescent="0.2">
      <c r="A899" s="203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203"/>
      <c r="M899" s="269"/>
      <c r="N899" s="269"/>
      <c r="O899" s="270"/>
      <c r="P899" s="270"/>
      <c r="Q899" s="270"/>
      <c r="R899" s="203"/>
      <c r="S899" s="203"/>
      <c r="T899" s="203"/>
      <c r="U899" s="269"/>
      <c r="V899" s="269"/>
      <c r="W899" s="269"/>
      <c r="X899" s="269"/>
      <c r="Y899" s="269"/>
      <c r="Z899" s="269"/>
      <c r="AA899" s="269"/>
      <c r="AB899" s="269"/>
      <c r="AC899" s="269"/>
    </row>
    <row r="900" spans="1:29" ht="12.75" x14ac:dyDescent="0.2">
      <c r="A900" s="203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203"/>
      <c r="M900" s="269"/>
      <c r="N900" s="269"/>
      <c r="O900" s="270"/>
      <c r="P900" s="270"/>
      <c r="Q900" s="270"/>
      <c r="R900" s="203"/>
      <c r="S900" s="203"/>
      <c r="T900" s="203"/>
      <c r="U900" s="269"/>
      <c r="V900" s="269"/>
      <c r="W900" s="269"/>
      <c r="X900" s="269"/>
      <c r="Y900" s="269"/>
      <c r="Z900" s="269"/>
      <c r="AA900" s="269"/>
      <c r="AB900" s="269"/>
      <c r="AC900" s="269"/>
    </row>
    <row r="901" spans="1:29" ht="12.75" x14ac:dyDescent="0.2">
      <c r="A901" s="203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203"/>
      <c r="M901" s="269"/>
      <c r="N901" s="269"/>
      <c r="O901" s="270"/>
      <c r="P901" s="270"/>
      <c r="Q901" s="270"/>
      <c r="R901" s="203"/>
      <c r="S901" s="203"/>
      <c r="T901" s="203"/>
      <c r="U901" s="269"/>
      <c r="V901" s="269"/>
      <c r="W901" s="269"/>
      <c r="X901" s="269"/>
      <c r="Y901" s="269"/>
      <c r="Z901" s="269"/>
      <c r="AA901" s="269"/>
      <c r="AB901" s="269"/>
      <c r="AC901" s="269"/>
    </row>
    <row r="902" spans="1:29" ht="12.75" x14ac:dyDescent="0.2">
      <c r="A902" s="203"/>
      <c r="B902" s="203"/>
      <c r="C902" s="203"/>
      <c r="D902" s="203"/>
      <c r="E902" s="203"/>
      <c r="F902" s="203"/>
      <c r="G902" s="203"/>
      <c r="H902" s="203"/>
      <c r="I902" s="203"/>
      <c r="J902" s="203"/>
      <c r="K902" s="203"/>
      <c r="L902" s="203"/>
      <c r="M902" s="269"/>
      <c r="N902" s="269"/>
      <c r="O902" s="270"/>
      <c r="P902" s="270"/>
      <c r="Q902" s="270"/>
      <c r="R902" s="203"/>
      <c r="S902" s="203"/>
      <c r="T902" s="203"/>
      <c r="U902" s="269"/>
      <c r="V902" s="269"/>
      <c r="W902" s="269"/>
      <c r="X902" s="269"/>
      <c r="Y902" s="269"/>
      <c r="Z902" s="269"/>
      <c r="AA902" s="269"/>
      <c r="AB902" s="269"/>
      <c r="AC902" s="269"/>
    </row>
    <row r="903" spans="1:29" ht="12.75" x14ac:dyDescent="0.2">
      <c r="A903" s="203"/>
      <c r="B903" s="203"/>
      <c r="C903" s="203"/>
      <c r="D903" s="203"/>
      <c r="E903" s="203"/>
      <c r="F903" s="203"/>
      <c r="G903" s="203"/>
      <c r="H903" s="203"/>
      <c r="I903" s="203"/>
      <c r="J903" s="203"/>
      <c r="K903" s="203"/>
      <c r="L903" s="203"/>
      <c r="M903" s="269"/>
      <c r="N903" s="269"/>
      <c r="O903" s="270"/>
      <c r="P903" s="270"/>
      <c r="Q903" s="270"/>
      <c r="R903" s="203"/>
      <c r="S903" s="203"/>
      <c r="T903" s="203"/>
      <c r="U903" s="269"/>
      <c r="V903" s="269"/>
      <c r="W903" s="269"/>
      <c r="X903" s="269"/>
      <c r="Y903" s="269"/>
      <c r="Z903" s="269"/>
      <c r="AA903" s="269"/>
      <c r="AB903" s="269"/>
      <c r="AC903" s="269"/>
    </row>
    <row r="904" spans="1:29" ht="12.75" x14ac:dyDescent="0.2">
      <c r="A904" s="203"/>
      <c r="B904" s="203"/>
      <c r="C904" s="203"/>
      <c r="D904" s="203"/>
      <c r="E904" s="203"/>
      <c r="F904" s="203"/>
      <c r="G904" s="203"/>
      <c r="H904" s="203"/>
      <c r="I904" s="203"/>
      <c r="J904" s="203"/>
      <c r="K904" s="203"/>
      <c r="L904" s="203"/>
      <c r="M904" s="269"/>
      <c r="N904" s="269"/>
      <c r="O904" s="270"/>
      <c r="P904" s="270"/>
      <c r="Q904" s="270"/>
      <c r="R904" s="203"/>
      <c r="S904" s="203"/>
      <c r="T904" s="203"/>
      <c r="U904" s="269"/>
      <c r="V904" s="269"/>
      <c r="W904" s="269"/>
      <c r="X904" s="269"/>
      <c r="Y904" s="269"/>
      <c r="Z904" s="269"/>
      <c r="AA904" s="269"/>
      <c r="AB904" s="269"/>
      <c r="AC904" s="269"/>
    </row>
    <row r="905" spans="1:29" ht="12.75" x14ac:dyDescent="0.2">
      <c r="A905" s="203"/>
      <c r="B905" s="203"/>
      <c r="C905" s="203"/>
      <c r="D905" s="203"/>
      <c r="E905" s="203"/>
      <c r="F905" s="203"/>
      <c r="G905" s="203"/>
      <c r="H905" s="203"/>
      <c r="I905" s="203"/>
      <c r="J905" s="203"/>
      <c r="K905" s="203"/>
      <c r="L905" s="203"/>
      <c r="M905" s="269"/>
      <c r="N905" s="269"/>
      <c r="O905" s="270"/>
      <c r="P905" s="270"/>
      <c r="Q905" s="270"/>
      <c r="R905" s="203"/>
      <c r="S905" s="203"/>
      <c r="T905" s="203"/>
      <c r="U905" s="269"/>
      <c r="V905" s="269"/>
      <c r="W905" s="269"/>
      <c r="X905" s="269"/>
      <c r="Y905" s="269"/>
      <c r="Z905" s="269"/>
      <c r="AA905" s="269"/>
      <c r="AB905" s="269"/>
      <c r="AC905" s="269"/>
    </row>
    <row r="906" spans="1:29" ht="12.75" x14ac:dyDescent="0.2">
      <c r="A906" s="203"/>
      <c r="B906" s="203"/>
      <c r="C906" s="203"/>
      <c r="D906" s="203"/>
      <c r="E906" s="203"/>
      <c r="F906" s="203"/>
      <c r="G906" s="203"/>
      <c r="H906" s="203"/>
      <c r="I906" s="203"/>
      <c r="J906" s="203"/>
      <c r="K906" s="203"/>
      <c r="L906" s="203"/>
      <c r="M906" s="269"/>
      <c r="N906" s="269"/>
      <c r="O906" s="270"/>
      <c r="P906" s="270"/>
      <c r="Q906" s="270"/>
      <c r="R906" s="203"/>
      <c r="S906" s="203"/>
      <c r="T906" s="203"/>
      <c r="U906" s="269"/>
      <c r="V906" s="269"/>
      <c r="W906" s="269"/>
      <c r="X906" s="269"/>
      <c r="Y906" s="269"/>
      <c r="Z906" s="269"/>
      <c r="AA906" s="269"/>
      <c r="AB906" s="269"/>
      <c r="AC906" s="269"/>
    </row>
    <row r="907" spans="1:29" ht="12.75" x14ac:dyDescent="0.2">
      <c r="A907" s="203"/>
      <c r="B907" s="203"/>
      <c r="C907" s="203"/>
      <c r="D907" s="203"/>
      <c r="E907" s="203"/>
      <c r="F907" s="203"/>
      <c r="G907" s="203"/>
      <c r="H907" s="203"/>
      <c r="I907" s="203"/>
      <c r="J907" s="203"/>
      <c r="K907" s="203"/>
      <c r="L907" s="203"/>
      <c r="M907" s="269"/>
      <c r="N907" s="269"/>
      <c r="O907" s="270"/>
      <c r="P907" s="270"/>
      <c r="Q907" s="270"/>
      <c r="R907" s="203"/>
      <c r="S907" s="203"/>
      <c r="T907" s="203"/>
      <c r="U907" s="269"/>
      <c r="V907" s="269"/>
      <c r="W907" s="269"/>
      <c r="X907" s="269"/>
      <c r="Y907" s="269"/>
      <c r="Z907" s="269"/>
      <c r="AA907" s="269"/>
      <c r="AB907" s="269"/>
      <c r="AC907" s="269"/>
    </row>
    <row r="908" spans="1:29" ht="12.75" x14ac:dyDescent="0.2">
      <c r="A908" s="203"/>
      <c r="B908" s="203"/>
      <c r="C908" s="203"/>
      <c r="D908" s="203"/>
      <c r="E908" s="203"/>
      <c r="F908" s="203"/>
      <c r="G908" s="203"/>
      <c r="H908" s="203"/>
      <c r="I908" s="203"/>
      <c r="J908" s="203"/>
      <c r="K908" s="203"/>
      <c r="L908" s="203"/>
      <c r="M908" s="269"/>
      <c r="N908" s="269"/>
      <c r="O908" s="270"/>
      <c r="P908" s="270"/>
      <c r="Q908" s="270"/>
      <c r="R908" s="203"/>
      <c r="S908" s="203"/>
      <c r="T908" s="203"/>
      <c r="U908" s="269"/>
      <c r="V908" s="269"/>
      <c r="W908" s="269"/>
      <c r="X908" s="269"/>
      <c r="Y908" s="269"/>
      <c r="Z908" s="269"/>
      <c r="AA908" s="269"/>
      <c r="AB908" s="269"/>
      <c r="AC908" s="269"/>
    </row>
    <row r="909" spans="1:29" ht="12.75" x14ac:dyDescent="0.2">
      <c r="A909" s="203"/>
      <c r="B909" s="203"/>
      <c r="C909" s="203"/>
      <c r="D909" s="203"/>
      <c r="E909" s="203"/>
      <c r="F909" s="203"/>
      <c r="G909" s="203"/>
      <c r="H909" s="203"/>
      <c r="I909" s="203"/>
      <c r="J909" s="203"/>
      <c r="K909" s="203"/>
      <c r="L909" s="203"/>
      <c r="M909" s="269"/>
      <c r="N909" s="269"/>
      <c r="O909" s="270"/>
      <c r="P909" s="270"/>
      <c r="Q909" s="270"/>
      <c r="R909" s="203"/>
      <c r="S909" s="203"/>
      <c r="T909" s="203"/>
      <c r="U909" s="269"/>
      <c r="V909" s="269"/>
      <c r="W909" s="269"/>
      <c r="X909" s="269"/>
      <c r="Y909" s="269"/>
      <c r="Z909" s="269"/>
      <c r="AA909" s="269"/>
      <c r="AB909" s="269"/>
      <c r="AC909" s="269"/>
    </row>
    <row r="910" spans="1:29" ht="12.75" x14ac:dyDescent="0.2">
      <c r="A910" s="203"/>
      <c r="B910" s="203"/>
      <c r="C910" s="203"/>
      <c r="D910" s="203"/>
      <c r="E910" s="203"/>
      <c r="F910" s="203"/>
      <c r="G910" s="203"/>
      <c r="H910" s="203"/>
      <c r="I910" s="203"/>
      <c r="J910" s="203"/>
      <c r="K910" s="203"/>
      <c r="L910" s="203"/>
      <c r="M910" s="269"/>
      <c r="N910" s="269"/>
      <c r="O910" s="270"/>
      <c r="P910" s="270"/>
      <c r="Q910" s="270"/>
      <c r="R910" s="203"/>
      <c r="S910" s="203"/>
      <c r="T910" s="203"/>
      <c r="U910" s="269"/>
      <c r="V910" s="269"/>
      <c r="W910" s="269"/>
      <c r="X910" s="269"/>
      <c r="Y910" s="269"/>
      <c r="Z910" s="269"/>
      <c r="AA910" s="269"/>
      <c r="AB910" s="269"/>
      <c r="AC910" s="269"/>
    </row>
    <row r="911" spans="1:29" ht="12.75" x14ac:dyDescent="0.2">
      <c r="A911" s="203"/>
      <c r="B911" s="203"/>
      <c r="C911" s="203"/>
      <c r="D911" s="203"/>
      <c r="E911" s="203"/>
      <c r="F911" s="203"/>
      <c r="G911" s="203"/>
      <c r="H911" s="203"/>
      <c r="I911" s="203"/>
      <c r="J911" s="203"/>
      <c r="K911" s="203"/>
      <c r="L911" s="203"/>
      <c r="M911" s="269"/>
      <c r="N911" s="269"/>
      <c r="O911" s="270"/>
      <c r="P911" s="270"/>
      <c r="Q911" s="270"/>
      <c r="R911" s="203"/>
      <c r="S911" s="203"/>
      <c r="T911" s="203"/>
      <c r="U911" s="269"/>
      <c r="V911" s="269"/>
      <c r="W911" s="269"/>
      <c r="X911" s="269"/>
      <c r="Y911" s="269"/>
      <c r="Z911" s="269"/>
      <c r="AA911" s="269"/>
      <c r="AB911" s="269"/>
      <c r="AC911" s="269"/>
    </row>
    <row r="912" spans="1:29" ht="12.75" x14ac:dyDescent="0.2">
      <c r="A912" s="203"/>
      <c r="B912" s="203"/>
      <c r="C912" s="203"/>
      <c r="D912" s="203"/>
      <c r="E912" s="203"/>
      <c r="F912" s="203"/>
      <c r="G912" s="203"/>
      <c r="H912" s="203"/>
      <c r="I912" s="203"/>
      <c r="J912" s="203"/>
      <c r="K912" s="203"/>
      <c r="L912" s="203"/>
      <c r="M912" s="269"/>
      <c r="N912" s="269"/>
      <c r="O912" s="270"/>
      <c r="P912" s="270"/>
      <c r="Q912" s="270"/>
      <c r="R912" s="203"/>
      <c r="S912" s="203"/>
      <c r="T912" s="203"/>
      <c r="U912" s="269"/>
      <c r="V912" s="269"/>
      <c r="W912" s="269"/>
      <c r="X912" s="269"/>
      <c r="Y912" s="269"/>
      <c r="Z912" s="269"/>
      <c r="AA912" s="269"/>
      <c r="AB912" s="269"/>
      <c r="AC912" s="269"/>
    </row>
    <row r="913" spans="1:29" ht="12.75" x14ac:dyDescent="0.2">
      <c r="A913" s="203"/>
      <c r="B913" s="203"/>
      <c r="C913" s="203"/>
      <c r="D913" s="203"/>
      <c r="E913" s="203"/>
      <c r="F913" s="203"/>
      <c r="G913" s="203"/>
      <c r="H913" s="203"/>
      <c r="I913" s="203"/>
      <c r="J913" s="203"/>
      <c r="K913" s="203"/>
      <c r="L913" s="203"/>
      <c r="M913" s="269"/>
      <c r="N913" s="269"/>
      <c r="O913" s="270"/>
      <c r="P913" s="270"/>
      <c r="Q913" s="270"/>
      <c r="R913" s="203"/>
      <c r="S913" s="203"/>
      <c r="T913" s="203"/>
      <c r="U913" s="269"/>
      <c r="V913" s="269"/>
      <c r="W913" s="269"/>
      <c r="X913" s="269"/>
      <c r="Y913" s="269"/>
      <c r="Z913" s="269"/>
      <c r="AA913" s="269"/>
      <c r="AB913" s="269"/>
      <c r="AC913" s="269"/>
    </row>
    <row r="914" spans="1:29" ht="12.75" x14ac:dyDescent="0.2">
      <c r="A914" s="203"/>
      <c r="B914" s="203"/>
      <c r="C914" s="203"/>
      <c r="D914" s="203"/>
      <c r="E914" s="203"/>
      <c r="F914" s="203"/>
      <c r="G914" s="203"/>
      <c r="H914" s="203"/>
      <c r="I914" s="203"/>
      <c r="J914" s="203"/>
      <c r="K914" s="203"/>
      <c r="L914" s="203"/>
      <c r="M914" s="269"/>
      <c r="N914" s="269"/>
      <c r="O914" s="270"/>
      <c r="P914" s="270"/>
      <c r="Q914" s="270"/>
      <c r="R914" s="203"/>
      <c r="S914" s="203"/>
      <c r="T914" s="203"/>
      <c r="U914" s="269"/>
      <c r="V914" s="269"/>
      <c r="W914" s="269"/>
      <c r="X914" s="269"/>
      <c r="Y914" s="269"/>
      <c r="Z914" s="269"/>
      <c r="AA914" s="269"/>
      <c r="AB914" s="269"/>
      <c r="AC914" s="269"/>
    </row>
    <row r="915" spans="1:29" ht="12.75" x14ac:dyDescent="0.2">
      <c r="A915" s="203"/>
      <c r="B915" s="203"/>
      <c r="C915" s="203"/>
      <c r="D915" s="203"/>
      <c r="E915" s="203"/>
      <c r="F915" s="203"/>
      <c r="G915" s="203"/>
      <c r="H915" s="203"/>
      <c r="I915" s="203"/>
      <c r="J915" s="203"/>
      <c r="K915" s="203"/>
      <c r="L915" s="203"/>
      <c r="M915" s="269"/>
      <c r="N915" s="269"/>
      <c r="O915" s="270"/>
      <c r="P915" s="270"/>
      <c r="Q915" s="270"/>
      <c r="R915" s="203"/>
      <c r="S915" s="203"/>
      <c r="T915" s="203"/>
      <c r="U915" s="269"/>
      <c r="V915" s="269"/>
      <c r="W915" s="269"/>
      <c r="X915" s="269"/>
      <c r="Y915" s="269"/>
      <c r="Z915" s="269"/>
      <c r="AA915" s="269"/>
      <c r="AB915" s="269"/>
      <c r="AC915" s="269"/>
    </row>
    <row r="916" spans="1:29" ht="12.75" x14ac:dyDescent="0.2">
      <c r="A916" s="203"/>
      <c r="B916" s="203"/>
      <c r="C916" s="203"/>
      <c r="D916" s="203"/>
      <c r="E916" s="203"/>
      <c r="F916" s="203"/>
      <c r="G916" s="203"/>
      <c r="H916" s="203"/>
      <c r="I916" s="203"/>
      <c r="J916" s="203"/>
      <c r="K916" s="203"/>
      <c r="L916" s="203"/>
      <c r="M916" s="269"/>
      <c r="N916" s="269"/>
      <c r="O916" s="270"/>
      <c r="P916" s="270"/>
      <c r="Q916" s="270"/>
      <c r="R916" s="203"/>
      <c r="S916" s="203"/>
      <c r="T916" s="203"/>
      <c r="U916" s="269"/>
      <c r="V916" s="269"/>
      <c r="W916" s="269"/>
      <c r="X916" s="269"/>
      <c r="Y916" s="269"/>
      <c r="Z916" s="269"/>
      <c r="AA916" s="269"/>
      <c r="AB916" s="269"/>
      <c r="AC916" s="269"/>
    </row>
    <row r="917" spans="1:29" ht="12.75" x14ac:dyDescent="0.2">
      <c r="A917" s="203"/>
      <c r="B917" s="203"/>
      <c r="C917" s="203"/>
      <c r="D917" s="203"/>
      <c r="E917" s="203"/>
      <c r="F917" s="203"/>
      <c r="G917" s="203"/>
      <c r="H917" s="203"/>
      <c r="I917" s="203"/>
      <c r="J917" s="203"/>
      <c r="K917" s="203"/>
      <c r="L917" s="203"/>
      <c r="M917" s="269"/>
      <c r="N917" s="269"/>
      <c r="O917" s="270"/>
      <c r="P917" s="270"/>
      <c r="Q917" s="270"/>
      <c r="R917" s="203"/>
      <c r="S917" s="203"/>
      <c r="T917" s="203"/>
      <c r="U917" s="269"/>
      <c r="V917" s="269"/>
      <c r="W917" s="269"/>
      <c r="X917" s="269"/>
      <c r="Y917" s="269"/>
      <c r="Z917" s="269"/>
      <c r="AA917" s="269"/>
      <c r="AB917" s="269"/>
      <c r="AC917" s="269"/>
    </row>
    <row r="918" spans="1:29" ht="12.75" x14ac:dyDescent="0.2">
      <c r="A918" s="203"/>
      <c r="B918" s="203"/>
      <c r="C918" s="203"/>
      <c r="D918" s="203"/>
      <c r="E918" s="203"/>
      <c r="F918" s="203"/>
      <c r="G918" s="203"/>
      <c r="H918" s="203"/>
      <c r="I918" s="203"/>
      <c r="J918" s="203"/>
      <c r="K918" s="203"/>
      <c r="L918" s="203"/>
      <c r="M918" s="269"/>
      <c r="N918" s="269"/>
      <c r="O918" s="270"/>
      <c r="P918" s="270"/>
      <c r="Q918" s="270"/>
      <c r="R918" s="203"/>
      <c r="S918" s="203"/>
      <c r="T918" s="203"/>
      <c r="U918" s="269"/>
      <c r="V918" s="269"/>
      <c r="W918" s="269"/>
      <c r="X918" s="269"/>
      <c r="Y918" s="269"/>
      <c r="Z918" s="269"/>
      <c r="AA918" s="269"/>
      <c r="AB918" s="269"/>
      <c r="AC918" s="269"/>
    </row>
    <row r="919" spans="1:29" ht="12.75" x14ac:dyDescent="0.2">
      <c r="A919" s="203"/>
      <c r="B919" s="203"/>
      <c r="C919" s="203"/>
      <c r="D919" s="203"/>
      <c r="E919" s="203"/>
      <c r="F919" s="203"/>
      <c r="G919" s="203"/>
      <c r="H919" s="203"/>
      <c r="I919" s="203"/>
      <c r="J919" s="203"/>
      <c r="K919" s="203"/>
      <c r="L919" s="203"/>
      <c r="M919" s="269"/>
      <c r="N919" s="269"/>
      <c r="O919" s="270"/>
      <c r="P919" s="270"/>
      <c r="Q919" s="270"/>
      <c r="R919" s="203"/>
      <c r="S919" s="203"/>
      <c r="T919" s="203"/>
      <c r="U919" s="269"/>
      <c r="V919" s="269"/>
      <c r="W919" s="269"/>
      <c r="X919" s="269"/>
      <c r="Y919" s="269"/>
      <c r="Z919" s="269"/>
      <c r="AA919" s="269"/>
      <c r="AB919" s="269"/>
      <c r="AC919" s="269"/>
    </row>
    <row r="920" spans="1:29" ht="12.75" x14ac:dyDescent="0.2">
      <c r="A920" s="203"/>
      <c r="B920" s="203"/>
      <c r="C920" s="203"/>
      <c r="D920" s="203"/>
      <c r="E920" s="203"/>
      <c r="F920" s="203"/>
      <c r="G920" s="203"/>
      <c r="H920" s="203"/>
      <c r="I920" s="203"/>
      <c r="J920" s="203"/>
      <c r="K920" s="203"/>
      <c r="L920" s="203"/>
      <c r="M920" s="269"/>
      <c r="N920" s="269"/>
      <c r="O920" s="270"/>
      <c r="P920" s="270"/>
      <c r="Q920" s="270"/>
      <c r="R920" s="203"/>
      <c r="S920" s="203"/>
      <c r="T920" s="203"/>
      <c r="U920" s="269"/>
      <c r="V920" s="269"/>
      <c r="W920" s="269"/>
      <c r="X920" s="269"/>
      <c r="Y920" s="269"/>
      <c r="Z920" s="269"/>
      <c r="AA920" s="269"/>
      <c r="AB920" s="269"/>
      <c r="AC920" s="269"/>
    </row>
    <row r="921" spans="1:29" ht="12.75" x14ac:dyDescent="0.2">
      <c r="A921" s="203"/>
      <c r="B921" s="203"/>
      <c r="C921" s="203"/>
      <c r="D921" s="203"/>
      <c r="E921" s="203"/>
      <c r="F921" s="203"/>
      <c r="G921" s="203"/>
      <c r="H921" s="203"/>
      <c r="I921" s="203"/>
      <c r="J921" s="203"/>
      <c r="K921" s="203"/>
      <c r="L921" s="203"/>
      <c r="M921" s="269"/>
      <c r="N921" s="269"/>
      <c r="O921" s="270"/>
      <c r="P921" s="270"/>
      <c r="Q921" s="270"/>
      <c r="R921" s="203"/>
      <c r="S921" s="203"/>
      <c r="T921" s="203"/>
      <c r="U921" s="269"/>
      <c r="V921" s="269"/>
      <c r="W921" s="269"/>
      <c r="X921" s="269"/>
      <c r="Y921" s="269"/>
      <c r="Z921" s="269"/>
      <c r="AA921" s="269"/>
      <c r="AB921" s="269"/>
      <c r="AC921" s="269"/>
    </row>
    <row r="922" spans="1:29" ht="12.75" x14ac:dyDescent="0.2">
      <c r="A922" s="203"/>
      <c r="B922" s="203"/>
      <c r="C922" s="203"/>
      <c r="D922" s="203"/>
      <c r="E922" s="203"/>
      <c r="F922" s="203"/>
      <c r="G922" s="203"/>
      <c r="H922" s="203"/>
      <c r="I922" s="203"/>
      <c r="J922" s="203"/>
      <c r="K922" s="203"/>
      <c r="L922" s="203"/>
      <c r="M922" s="269"/>
      <c r="N922" s="269"/>
      <c r="O922" s="270"/>
      <c r="P922" s="270"/>
      <c r="Q922" s="270"/>
      <c r="R922" s="203"/>
      <c r="S922" s="203"/>
      <c r="T922" s="203"/>
      <c r="U922" s="269"/>
      <c r="V922" s="269"/>
      <c r="W922" s="269"/>
      <c r="X922" s="269"/>
      <c r="Y922" s="269"/>
      <c r="Z922" s="269"/>
      <c r="AA922" s="269"/>
      <c r="AB922" s="269"/>
      <c r="AC922" s="269"/>
    </row>
    <row r="923" spans="1:29" ht="12.75" x14ac:dyDescent="0.2">
      <c r="A923" s="203"/>
      <c r="B923" s="203"/>
      <c r="C923" s="203"/>
      <c r="D923" s="203"/>
      <c r="E923" s="203"/>
      <c r="F923" s="203"/>
      <c r="G923" s="203"/>
      <c r="H923" s="203"/>
      <c r="I923" s="203"/>
      <c r="J923" s="203"/>
      <c r="K923" s="203"/>
      <c r="L923" s="203"/>
      <c r="M923" s="269"/>
      <c r="N923" s="269"/>
      <c r="O923" s="270"/>
      <c r="P923" s="270"/>
      <c r="Q923" s="270"/>
      <c r="R923" s="203"/>
      <c r="S923" s="203"/>
      <c r="T923" s="203"/>
      <c r="U923" s="269"/>
      <c r="V923" s="269"/>
      <c r="W923" s="269"/>
      <c r="X923" s="269"/>
      <c r="Y923" s="269"/>
      <c r="Z923" s="269"/>
      <c r="AA923" s="269"/>
      <c r="AB923" s="269"/>
      <c r="AC923" s="269"/>
    </row>
    <row r="924" spans="1:29" ht="12.75" x14ac:dyDescent="0.2">
      <c r="A924" s="203"/>
      <c r="B924" s="203"/>
      <c r="C924" s="203"/>
      <c r="D924" s="203"/>
      <c r="E924" s="203"/>
      <c r="F924" s="203"/>
      <c r="G924" s="203"/>
      <c r="H924" s="203"/>
      <c r="I924" s="203"/>
      <c r="J924" s="203"/>
      <c r="K924" s="203"/>
      <c r="L924" s="203"/>
      <c r="M924" s="269"/>
      <c r="N924" s="269"/>
      <c r="O924" s="270"/>
      <c r="P924" s="270"/>
      <c r="Q924" s="270"/>
      <c r="R924" s="203"/>
      <c r="S924" s="203"/>
      <c r="T924" s="203"/>
      <c r="U924" s="269"/>
      <c r="V924" s="269"/>
      <c r="W924" s="269"/>
      <c r="X924" s="269"/>
      <c r="Y924" s="269"/>
      <c r="Z924" s="269"/>
      <c r="AA924" s="269"/>
      <c r="AB924" s="269"/>
      <c r="AC924" s="269"/>
    </row>
    <row r="925" spans="1:29" ht="12.75" x14ac:dyDescent="0.2">
      <c r="A925" s="203"/>
      <c r="B925" s="203"/>
      <c r="C925" s="203"/>
      <c r="D925" s="203"/>
      <c r="E925" s="203"/>
      <c r="F925" s="203"/>
      <c r="G925" s="203"/>
      <c r="H925" s="203"/>
      <c r="I925" s="203"/>
      <c r="J925" s="203"/>
      <c r="K925" s="203"/>
      <c r="L925" s="203"/>
      <c r="M925" s="269"/>
      <c r="N925" s="269"/>
      <c r="O925" s="270"/>
      <c r="P925" s="270"/>
      <c r="Q925" s="270"/>
      <c r="R925" s="203"/>
      <c r="S925" s="203"/>
      <c r="T925" s="203"/>
      <c r="U925" s="269"/>
      <c r="V925" s="269"/>
      <c r="W925" s="269"/>
      <c r="X925" s="269"/>
      <c r="Y925" s="269"/>
      <c r="Z925" s="269"/>
      <c r="AA925" s="269"/>
      <c r="AB925" s="269"/>
      <c r="AC925" s="269"/>
    </row>
    <row r="926" spans="1:29" ht="12.75" x14ac:dyDescent="0.2">
      <c r="A926" s="203"/>
      <c r="B926" s="203"/>
      <c r="C926" s="203"/>
      <c r="D926" s="203"/>
      <c r="E926" s="203"/>
      <c r="F926" s="203"/>
      <c r="G926" s="203"/>
      <c r="H926" s="203"/>
      <c r="I926" s="203"/>
      <c r="J926" s="203"/>
      <c r="K926" s="203"/>
      <c r="L926" s="203"/>
      <c r="M926" s="269"/>
      <c r="N926" s="269"/>
      <c r="O926" s="270"/>
      <c r="P926" s="270"/>
      <c r="Q926" s="270"/>
      <c r="R926" s="203"/>
      <c r="S926" s="203"/>
      <c r="T926" s="203"/>
      <c r="U926" s="269"/>
      <c r="V926" s="269"/>
      <c r="W926" s="269"/>
      <c r="X926" s="269"/>
      <c r="Y926" s="269"/>
      <c r="Z926" s="269"/>
      <c r="AA926" s="269"/>
      <c r="AB926" s="269"/>
      <c r="AC926" s="269"/>
    </row>
    <row r="927" spans="1:29" ht="12.75" x14ac:dyDescent="0.2">
      <c r="A927" s="203"/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203"/>
      <c r="M927" s="269"/>
      <c r="N927" s="269"/>
      <c r="O927" s="270"/>
      <c r="P927" s="270"/>
      <c r="Q927" s="270"/>
      <c r="R927" s="203"/>
      <c r="S927" s="203"/>
      <c r="T927" s="203"/>
      <c r="U927" s="269"/>
      <c r="V927" s="269"/>
      <c r="W927" s="269"/>
      <c r="X927" s="269"/>
      <c r="Y927" s="269"/>
      <c r="Z927" s="269"/>
      <c r="AA927" s="269"/>
      <c r="AB927" s="269"/>
      <c r="AC927" s="269"/>
    </row>
    <row r="928" spans="1:29" ht="12.75" x14ac:dyDescent="0.2">
      <c r="A928" s="203"/>
      <c r="B928" s="203"/>
      <c r="C928" s="203"/>
      <c r="D928" s="203"/>
      <c r="E928" s="203"/>
      <c r="F928" s="203"/>
      <c r="G928" s="203"/>
      <c r="H928" s="203"/>
      <c r="I928" s="203"/>
      <c r="J928" s="203"/>
      <c r="K928" s="203"/>
      <c r="L928" s="203"/>
      <c r="M928" s="269"/>
      <c r="N928" s="269"/>
      <c r="O928" s="270"/>
      <c r="P928" s="270"/>
      <c r="Q928" s="270"/>
      <c r="R928" s="203"/>
      <c r="S928" s="203"/>
      <c r="T928" s="203"/>
      <c r="U928" s="269"/>
      <c r="V928" s="269"/>
      <c r="W928" s="269"/>
      <c r="X928" s="269"/>
      <c r="Y928" s="269"/>
      <c r="Z928" s="269"/>
      <c r="AA928" s="269"/>
      <c r="AB928" s="269"/>
      <c r="AC928" s="269"/>
    </row>
    <row r="929" spans="1:29" ht="12.75" x14ac:dyDescent="0.2">
      <c r="A929" s="203"/>
      <c r="B929" s="203"/>
      <c r="C929" s="203"/>
      <c r="D929" s="203"/>
      <c r="E929" s="203"/>
      <c r="F929" s="203"/>
      <c r="G929" s="203"/>
      <c r="H929" s="203"/>
      <c r="I929" s="203"/>
      <c r="J929" s="203"/>
      <c r="K929" s="203"/>
      <c r="L929" s="203"/>
      <c r="M929" s="269"/>
      <c r="N929" s="269"/>
      <c r="O929" s="270"/>
      <c r="P929" s="270"/>
      <c r="Q929" s="270"/>
      <c r="R929" s="203"/>
      <c r="S929" s="203"/>
      <c r="T929" s="203"/>
      <c r="U929" s="269"/>
      <c r="V929" s="269"/>
      <c r="W929" s="269"/>
      <c r="X929" s="269"/>
      <c r="Y929" s="269"/>
      <c r="Z929" s="269"/>
      <c r="AA929" s="269"/>
      <c r="AB929" s="269"/>
      <c r="AC929" s="269"/>
    </row>
    <row r="930" spans="1:29" ht="12.75" x14ac:dyDescent="0.2">
      <c r="A930" s="203"/>
      <c r="B930" s="203"/>
      <c r="C930" s="203"/>
      <c r="D930" s="203"/>
      <c r="E930" s="203"/>
      <c r="F930" s="203"/>
      <c r="G930" s="203"/>
      <c r="H930" s="203"/>
      <c r="I930" s="203"/>
      <c r="J930" s="203"/>
      <c r="K930" s="203"/>
      <c r="L930" s="203"/>
      <c r="M930" s="269"/>
      <c r="N930" s="269"/>
      <c r="O930" s="270"/>
      <c r="P930" s="270"/>
      <c r="Q930" s="270"/>
      <c r="R930" s="203"/>
      <c r="S930" s="203"/>
      <c r="T930" s="203"/>
      <c r="U930" s="269"/>
      <c r="V930" s="269"/>
      <c r="W930" s="269"/>
      <c r="X930" s="269"/>
      <c r="Y930" s="269"/>
      <c r="Z930" s="269"/>
      <c r="AA930" s="269"/>
      <c r="AB930" s="269"/>
      <c r="AC930" s="269"/>
    </row>
    <row r="931" spans="1:29" ht="12.75" x14ac:dyDescent="0.2">
      <c r="A931" s="203"/>
      <c r="B931" s="203"/>
      <c r="C931" s="203"/>
      <c r="D931" s="203"/>
      <c r="E931" s="203"/>
      <c r="F931" s="203"/>
      <c r="G931" s="203"/>
      <c r="H931" s="203"/>
      <c r="I931" s="203"/>
      <c r="J931" s="203"/>
      <c r="K931" s="203"/>
      <c r="L931" s="203"/>
      <c r="M931" s="269"/>
      <c r="N931" s="269"/>
      <c r="O931" s="270"/>
      <c r="P931" s="270"/>
      <c r="Q931" s="270"/>
      <c r="R931" s="203"/>
      <c r="S931" s="203"/>
      <c r="T931" s="203"/>
      <c r="U931" s="269"/>
      <c r="V931" s="269"/>
      <c r="W931" s="269"/>
      <c r="X931" s="269"/>
      <c r="Y931" s="269"/>
      <c r="Z931" s="269"/>
      <c r="AA931" s="269"/>
      <c r="AB931" s="269"/>
      <c r="AC931" s="269"/>
    </row>
    <row r="932" spans="1:29" ht="12.75" x14ac:dyDescent="0.2">
      <c r="A932" s="203"/>
      <c r="B932" s="203"/>
      <c r="C932" s="203"/>
      <c r="D932" s="203"/>
      <c r="E932" s="203"/>
      <c r="F932" s="203"/>
      <c r="G932" s="203"/>
      <c r="H932" s="203"/>
      <c r="I932" s="203"/>
      <c r="J932" s="203"/>
      <c r="K932" s="203"/>
      <c r="L932" s="203"/>
      <c r="M932" s="269"/>
      <c r="N932" s="269"/>
      <c r="O932" s="270"/>
      <c r="P932" s="270"/>
      <c r="Q932" s="270"/>
      <c r="R932" s="203"/>
      <c r="S932" s="203"/>
      <c r="T932" s="203"/>
      <c r="U932" s="269"/>
      <c r="V932" s="269"/>
      <c r="W932" s="269"/>
      <c r="X932" s="269"/>
      <c r="Y932" s="269"/>
      <c r="Z932" s="269"/>
      <c r="AA932" s="269"/>
      <c r="AB932" s="269"/>
      <c r="AC932" s="269"/>
    </row>
    <row r="933" spans="1:29" ht="12.75" x14ac:dyDescent="0.2">
      <c r="A933" s="203"/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3"/>
      <c r="M933" s="269"/>
      <c r="N933" s="269"/>
      <c r="O933" s="270"/>
      <c r="P933" s="270"/>
      <c r="Q933" s="270"/>
      <c r="R933" s="203"/>
      <c r="S933" s="203"/>
      <c r="T933" s="203"/>
      <c r="U933" s="269"/>
      <c r="V933" s="269"/>
      <c r="W933" s="269"/>
      <c r="X933" s="269"/>
      <c r="Y933" s="269"/>
      <c r="Z933" s="269"/>
      <c r="AA933" s="269"/>
      <c r="AB933" s="269"/>
      <c r="AC933" s="269"/>
    </row>
    <row r="934" spans="1:29" ht="12.75" x14ac:dyDescent="0.2">
      <c r="A934" s="203"/>
      <c r="B934" s="203"/>
      <c r="C934" s="203"/>
      <c r="D934" s="203"/>
      <c r="E934" s="203"/>
      <c r="F934" s="203"/>
      <c r="G934" s="203"/>
      <c r="H934" s="203"/>
      <c r="I934" s="203"/>
      <c r="J934" s="203"/>
      <c r="K934" s="203"/>
      <c r="L934" s="203"/>
      <c r="M934" s="269"/>
      <c r="N934" s="269"/>
      <c r="O934" s="270"/>
      <c r="P934" s="270"/>
      <c r="Q934" s="270"/>
      <c r="R934" s="203"/>
      <c r="S934" s="203"/>
      <c r="T934" s="203"/>
      <c r="U934" s="269"/>
      <c r="V934" s="269"/>
      <c r="W934" s="269"/>
      <c r="X934" s="269"/>
      <c r="Y934" s="269"/>
      <c r="Z934" s="269"/>
      <c r="AA934" s="269"/>
      <c r="AB934" s="269"/>
      <c r="AC934" s="269"/>
    </row>
    <row r="935" spans="1:29" ht="12.75" x14ac:dyDescent="0.2">
      <c r="A935" s="203"/>
      <c r="B935" s="203"/>
      <c r="C935" s="203"/>
      <c r="D935" s="203"/>
      <c r="E935" s="203"/>
      <c r="F935" s="203"/>
      <c r="G935" s="203"/>
      <c r="H935" s="203"/>
      <c r="I935" s="203"/>
      <c r="J935" s="203"/>
      <c r="K935" s="203"/>
      <c r="L935" s="203"/>
      <c r="M935" s="269"/>
      <c r="N935" s="269"/>
      <c r="O935" s="270"/>
      <c r="P935" s="270"/>
      <c r="Q935" s="270"/>
      <c r="R935" s="203"/>
      <c r="S935" s="203"/>
      <c r="T935" s="203"/>
      <c r="U935" s="269"/>
      <c r="V935" s="269"/>
      <c r="W935" s="269"/>
      <c r="X935" s="269"/>
      <c r="Y935" s="269"/>
      <c r="Z935" s="269"/>
      <c r="AA935" s="269"/>
      <c r="AB935" s="269"/>
      <c r="AC935" s="269"/>
    </row>
    <row r="936" spans="1:29" ht="12.75" x14ac:dyDescent="0.2">
      <c r="A936" s="203"/>
      <c r="B936" s="203"/>
      <c r="C936" s="203"/>
      <c r="D936" s="203"/>
      <c r="E936" s="203"/>
      <c r="F936" s="203"/>
      <c r="G936" s="203"/>
      <c r="H936" s="203"/>
      <c r="I936" s="203"/>
      <c r="J936" s="203"/>
      <c r="K936" s="203"/>
      <c r="L936" s="203"/>
      <c r="M936" s="269"/>
      <c r="N936" s="269"/>
      <c r="O936" s="270"/>
      <c r="P936" s="270"/>
      <c r="Q936" s="270"/>
      <c r="R936" s="203"/>
      <c r="S936" s="203"/>
      <c r="T936" s="203"/>
      <c r="U936" s="269"/>
      <c r="V936" s="269"/>
      <c r="W936" s="269"/>
      <c r="X936" s="269"/>
      <c r="Y936" s="269"/>
      <c r="Z936" s="269"/>
      <c r="AA936" s="269"/>
      <c r="AB936" s="269"/>
      <c r="AC936" s="269"/>
    </row>
    <row r="937" spans="1:29" ht="12.75" x14ac:dyDescent="0.2">
      <c r="A937" s="203"/>
      <c r="B937" s="203"/>
      <c r="C937" s="203"/>
      <c r="D937" s="203"/>
      <c r="E937" s="203"/>
      <c r="F937" s="203"/>
      <c r="G937" s="203"/>
      <c r="H937" s="203"/>
      <c r="I937" s="203"/>
      <c r="J937" s="203"/>
      <c r="K937" s="203"/>
      <c r="L937" s="203"/>
      <c r="M937" s="269"/>
      <c r="N937" s="269"/>
      <c r="O937" s="270"/>
      <c r="P937" s="270"/>
      <c r="Q937" s="270"/>
      <c r="R937" s="203"/>
      <c r="S937" s="203"/>
      <c r="T937" s="203"/>
      <c r="U937" s="269"/>
      <c r="V937" s="269"/>
      <c r="W937" s="269"/>
      <c r="X937" s="269"/>
      <c r="Y937" s="269"/>
      <c r="Z937" s="269"/>
      <c r="AA937" s="269"/>
      <c r="AB937" s="269"/>
      <c r="AC937" s="269"/>
    </row>
    <row r="938" spans="1:29" ht="12.75" x14ac:dyDescent="0.2">
      <c r="A938" s="203"/>
      <c r="B938" s="203"/>
      <c r="C938" s="203"/>
      <c r="D938" s="203"/>
      <c r="E938" s="203"/>
      <c r="F938" s="203"/>
      <c r="G938" s="203"/>
      <c r="H938" s="203"/>
      <c r="I938" s="203"/>
      <c r="J938" s="203"/>
      <c r="K938" s="203"/>
      <c r="L938" s="203"/>
      <c r="M938" s="269"/>
      <c r="N938" s="269"/>
      <c r="O938" s="270"/>
      <c r="P938" s="270"/>
      <c r="Q938" s="270"/>
      <c r="R938" s="203"/>
      <c r="S938" s="203"/>
      <c r="T938" s="203"/>
      <c r="U938" s="269"/>
      <c r="V938" s="269"/>
      <c r="W938" s="269"/>
      <c r="X938" s="269"/>
      <c r="Y938" s="269"/>
      <c r="Z938" s="269"/>
      <c r="AA938" s="269"/>
      <c r="AB938" s="269"/>
      <c r="AC938" s="269"/>
    </row>
    <row r="939" spans="1:29" ht="12.75" x14ac:dyDescent="0.2">
      <c r="A939" s="203"/>
      <c r="B939" s="203"/>
      <c r="C939" s="203"/>
      <c r="D939" s="203"/>
      <c r="E939" s="203"/>
      <c r="F939" s="203"/>
      <c r="G939" s="203"/>
      <c r="H939" s="203"/>
      <c r="I939" s="203"/>
      <c r="J939" s="203"/>
      <c r="K939" s="203"/>
      <c r="L939" s="203"/>
      <c r="M939" s="269"/>
      <c r="N939" s="269"/>
      <c r="O939" s="270"/>
      <c r="P939" s="270"/>
      <c r="Q939" s="270"/>
      <c r="R939" s="203"/>
      <c r="S939" s="203"/>
      <c r="T939" s="203"/>
      <c r="U939" s="269"/>
      <c r="V939" s="269"/>
      <c r="W939" s="269"/>
      <c r="X939" s="269"/>
      <c r="Y939" s="269"/>
      <c r="Z939" s="269"/>
      <c r="AA939" s="269"/>
      <c r="AB939" s="269"/>
      <c r="AC939" s="269"/>
    </row>
    <row r="940" spans="1:29" ht="12.75" x14ac:dyDescent="0.2">
      <c r="A940" s="203"/>
      <c r="B940" s="203"/>
      <c r="C940" s="203"/>
      <c r="D940" s="203"/>
      <c r="E940" s="203"/>
      <c r="F940" s="203"/>
      <c r="G940" s="203"/>
      <c r="H940" s="203"/>
      <c r="I940" s="203"/>
      <c r="J940" s="203"/>
      <c r="K940" s="203"/>
      <c r="L940" s="203"/>
      <c r="M940" s="269"/>
      <c r="N940" s="269"/>
      <c r="O940" s="270"/>
      <c r="P940" s="270"/>
      <c r="Q940" s="270"/>
      <c r="R940" s="203"/>
      <c r="S940" s="203"/>
      <c r="T940" s="203"/>
      <c r="U940" s="269"/>
      <c r="V940" s="269"/>
      <c r="W940" s="269"/>
      <c r="X940" s="269"/>
      <c r="Y940" s="269"/>
      <c r="Z940" s="269"/>
      <c r="AA940" s="269"/>
      <c r="AB940" s="269"/>
      <c r="AC940" s="269"/>
    </row>
    <row r="941" spans="1:29" ht="12.75" x14ac:dyDescent="0.2">
      <c r="A941" s="203"/>
      <c r="B941" s="203"/>
      <c r="C941" s="203"/>
      <c r="D941" s="203"/>
      <c r="E941" s="203"/>
      <c r="F941" s="203"/>
      <c r="G941" s="203"/>
      <c r="H941" s="203"/>
      <c r="I941" s="203"/>
      <c r="J941" s="203"/>
      <c r="K941" s="203"/>
      <c r="L941" s="203"/>
      <c r="M941" s="269"/>
      <c r="N941" s="269"/>
      <c r="O941" s="270"/>
      <c r="P941" s="270"/>
      <c r="Q941" s="270"/>
      <c r="R941" s="203"/>
      <c r="S941" s="203"/>
      <c r="T941" s="203"/>
      <c r="U941" s="269"/>
      <c r="V941" s="269"/>
      <c r="W941" s="269"/>
      <c r="X941" s="269"/>
      <c r="Y941" s="269"/>
      <c r="Z941" s="269"/>
      <c r="AA941" s="269"/>
      <c r="AB941" s="269"/>
      <c r="AC941" s="269"/>
    </row>
    <row r="942" spans="1:29" ht="12.75" x14ac:dyDescent="0.2">
      <c r="A942" s="203"/>
      <c r="B942" s="203"/>
      <c r="C942" s="203"/>
      <c r="D942" s="203"/>
      <c r="E942" s="203"/>
      <c r="F942" s="203"/>
      <c r="G942" s="203"/>
      <c r="H942" s="203"/>
      <c r="I942" s="203"/>
      <c r="J942" s="203"/>
      <c r="K942" s="203"/>
      <c r="L942" s="203"/>
      <c r="M942" s="269"/>
      <c r="N942" s="269"/>
      <c r="O942" s="270"/>
      <c r="P942" s="270"/>
      <c r="Q942" s="270"/>
      <c r="R942" s="203"/>
      <c r="S942" s="203"/>
      <c r="T942" s="203"/>
      <c r="U942" s="269"/>
      <c r="V942" s="269"/>
      <c r="W942" s="269"/>
      <c r="X942" s="269"/>
      <c r="Y942" s="269"/>
      <c r="Z942" s="269"/>
      <c r="AA942" s="269"/>
      <c r="AB942" s="269"/>
      <c r="AC942" s="269"/>
    </row>
    <row r="943" spans="1:29" ht="12.75" x14ac:dyDescent="0.2">
      <c r="A943" s="203"/>
      <c r="B943" s="203"/>
      <c r="C943" s="203"/>
      <c r="D943" s="203"/>
      <c r="E943" s="203"/>
      <c r="F943" s="203"/>
      <c r="G943" s="203"/>
      <c r="H943" s="203"/>
      <c r="I943" s="203"/>
      <c r="J943" s="203"/>
      <c r="K943" s="203"/>
      <c r="L943" s="203"/>
      <c r="M943" s="269"/>
      <c r="N943" s="269"/>
      <c r="O943" s="270"/>
      <c r="P943" s="270"/>
      <c r="Q943" s="270"/>
      <c r="R943" s="203"/>
      <c r="S943" s="203"/>
      <c r="T943" s="203"/>
      <c r="U943" s="269"/>
      <c r="V943" s="269"/>
      <c r="W943" s="269"/>
      <c r="X943" s="269"/>
      <c r="Y943" s="269"/>
      <c r="Z943" s="269"/>
      <c r="AA943" s="269"/>
      <c r="AB943" s="269"/>
      <c r="AC943" s="269"/>
    </row>
    <row r="944" spans="1:29" ht="12.75" x14ac:dyDescent="0.2">
      <c r="A944" s="203"/>
      <c r="B944" s="203"/>
      <c r="C944" s="203"/>
      <c r="D944" s="203"/>
      <c r="E944" s="203"/>
      <c r="F944" s="203"/>
      <c r="G944" s="203"/>
      <c r="H944" s="203"/>
      <c r="I944" s="203"/>
      <c r="J944" s="203"/>
      <c r="K944" s="203"/>
      <c r="L944" s="203"/>
      <c r="M944" s="269"/>
      <c r="N944" s="269"/>
      <c r="O944" s="270"/>
      <c r="P944" s="270"/>
      <c r="Q944" s="270"/>
      <c r="R944" s="203"/>
      <c r="S944" s="203"/>
      <c r="T944" s="203"/>
      <c r="U944" s="269"/>
      <c r="V944" s="269"/>
      <c r="W944" s="269"/>
      <c r="X944" s="269"/>
      <c r="Y944" s="269"/>
      <c r="Z944" s="269"/>
      <c r="AA944" s="269"/>
      <c r="AB944" s="269"/>
      <c r="AC944" s="269"/>
    </row>
    <row r="945" spans="1:29" ht="12.75" x14ac:dyDescent="0.2">
      <c r="A945" s="203"/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3"/>
      <c r="M945" s="269"/>
      <c r="N945" s="269"/>
      <c r="O945" s="270"/>
      <c r="P945" s="270"/>
      <c r="Q945" s="270"/>
      <c r="R945" s="203"/>
      <c r="S945" s="203"/>
      <c r="T945" s="203"/>
      <c r="U945" s="269"/>
      <c r="V945" s="269"/>
      <c r="W945" s="269"/>
      <c r="X945" s="269"/>
      <c r="Y945" s="269"/>
      <c r="Z945" s="269"/>
      <c r="AA945" s="269"/>
      <c r="AB945" s="269"/>
      <c r="AC945" s="269"/>
    </row>
    <row r="946" spans="1:29" ht="12.75" x14ac:dyDescent="0.2">
      <c r="A946" s="203"/>
      <c r="B946" s="203"/>
      <c r="C946" s="203"/>
      <c r="D946" s="203"/>
      <c r="E946" s="203"/>
      <c r="F946" s="203"/>
      <c r="G946" s="203"/>
      <c r="H946" s="203"/>
      <c r="I946" s="203"/>
      <c r="J946" s="203"/>
      <c r="K946" s="203"/>
      <c r="L946" s="203"/>
      <c r="M946" s="269"/>
      <c r="N946" s="269"/>
      <c r="O946" s="270"/>
      <c r="P946" s="270"/>
      <c r="Q946" s="270"/>
      <c r="R946" s="203"/>
      <c r="S946" s="203"/>
      <c r="T946" s="203"/>
      <c r="U946" s="269"/>
      <c r="V946" s="269"/>
      <c r="W946" s="269"/>
      <c r="X946" s="269"/>
      <c r="Y946" s="269"/>
      <c r="Z946" s="269"/>
      <c r="AA946" s="269"/>
      <c r="AB946" s="269"/>
      <c r="AC946" s="269"/>
    </row>
    <row r="947" spans="1:29" ht="12.75" x14ac:dyDescent="0.2">
      <c r="A947" s="203"/>
      <c r="B947" s="203"/>
      <c r="C947" s="203"/>
      <c r="D947" s="203"/>
      <c r="E947" s="203"/>
      <c r="F947" s="203"/>
      <c r="G947" s="203"/>
      <c r="H947" s="203"/>
      <c r="I947" s="203"/>
      <c r="J947" s="203"/>
      <c r="K947" s="203"/>
      <c r="L947" s="203"/>
      <c r="M947" s="269"/>
      <c r="N947" s="269"/>
      <c r="O947" s="270"/>
      <c r="P947" s="270"/>
      <c r="Q947" s="270"/>
      <c r="R947" s="203"/>
      <c r="S947" s="203"/>
      <c r="T947" s="203"/>
      <c r="U947" s="269"/>
      <c r="V947" s="269"/>
      <c r="W947" s="269"/>
      <c r="X947" s="269"/>
      <c r="Y947" s="269"/>
      <c r="Z947" s="269"/>
      <c r="AA947" s="269"/>
      <c r="AB947" s="269"/>
      <c r="AC947" s="269"/>
    </row>
    <row r="948" spans="1:29" ht="12.75" x14ac:dyDescent="0.2">
      <c r="A948" s="203"/>
      <c r="B948" s="203"/>
      <c r="C948" s="203"/>
      <c r="D948" s="203"/>
      <c r="E948" s="203"/>
      <c r="F948" s="203"/>
      <c r="G948" s="203"/>
      <c r="H948" s="203"/>
      <c r="I948" s="203"/>
      <c r="J948" s="203"/>
      <c r="K948" s="203"/>
      <c r="L948" s="203"/>
      <c r="M948" s="269"/>
      <c r="N948" s="269"/>
      <c r="O948" s="270"/>
      <c r="P948" s="270"/>
      <c r="Q948" s="270"/>
      <c r="R948" s="203"/>
      <c r="S948" s="203"/>
      <c r="T948" s="203"/>
      <c r="U948" s="269"/>
      <c r="V948" s="269"/>
      <c r="W948" s="269"/>
      <c r="X948" s="269"/>
      <c r="Y948" s="269"/>
      <c r="Z948" s="269"/>
      <c r="AA948" s="269"/>
      <c r="AB948" s="269"/>
      <c r="AC948" s="269"/>
    </row>
    <row r="949" spans="1:29" ht="12.75" x14ac:dyDescent="0.2">
      <c r="A949" s="203"/>
      <c r="B949" s="203"/>
      <c r="C949" s="203"/>
      <c r="D949" s="203"/>
      <c r="E949" s="203"/>
      <c r="F949" s="203"/>
      <c r="G949" s="203"/>
      <c r="H949" s="203"/>
      <c r="I949" s="203"/>
      <c r="J949" s="203"/>
      <c r="K949" s="203"/>
      <c r="L949" s="203"/>
      <c r="M949" s="269"/>
      <c r="N949" s="269"/>
      <c r="O949" s="270"/>
      <c r="P949" s="270"/>
      <c r="Q949" s="270"/>
      <c r="R949" s="203"/>
      <c r="S949" s="203"/>
      <c r="T949" s="203"/>
      <c r="U949" s="269"/>
      <c r="V949" s="269"/>
      <c r="W949" s="269"/>
      <c r="X949" s="269"/>
      <c r="Y949" s="269"/>
      <c r="Z949" s="269"/>
      <c r="AA949" s="269"/>
      <c r="AB949" s="269"/>
      <c r="AC949" s="269"/>
    </row>
    <row r="950" spans="1:29" ht="12.75" x14ac:dyDescent="0.2">
      <c r="A950" s="203"/>
      <c r="B950" s="203"/>
      <c r="C950" s="203"/>
      <c r="D950" s="203"/>
      <c r="E950" s="203"/>
      <c r="F950" s="203"/>
      <c r="G950" s="203"/>
      <c r="H950" s="203"/>
      <c r="I950" s="203"/>
      <c r="J950" s="203"/>
      <c r="K950" s="203"/>
      <c r="L950" s="203"/>
      <c r="M950" s="269"/>
      <c r="N950" s="269"/>
      <c r="O950" s="270"/>
      <c r="P950" s="270"/>
      <c r="Q950" s="270"/>
      <c r="R950" s="203"/>
      <c r="S950" s="203"/>
      <c r="T950" s="203"/>
      <c r="U950" s="269"/>
      <c r="V950" s="269"/>
      <c r="W950" s="269"/>
      <c r="X950" s="269"/>
      <c r="Y950" s="269"/>
      <c r="Z950" s="269"/>
      <c r="AA950" s="269"/>
      <c r="AB950" s="269"/>
      <c r="AC950" s="269"/>
    </row>
    <row r="951" spans="1:29" ht="12.75" x14ac:dyDescent="0.2">
      <c r="A951" s="203"/>
      <c r="B951" s="203"/>
      <c r="C951" s="203"/>
      <c r="D951" s="203"/>
      <c r="E951" s="203"/>
      <c r="F951" s="203"/>
      <c r="G951" s="203"/>
      <c r="H951" s="203"/>
      <c r="I951" s="203"/>
      <c r="J951" s="203"/>
      <c r="K951" s="203"/>
      <c r="L951" s="203"/>
      <c r="M951" s="269"/>
      <c r="N951" s="269"/>
      <c r="O951" s="270"/>
      <c r="P951" s="270"/>
      <c r="Q951" s="270"/>
      <c r="R951" s="203"/>
      <c r="S951" s="203"/>
      <c r="T951" s="203"/>
      <c r="U951" s="269"/>
      <c r="V951" s="269"/>
      <c r="W951" s="269"/>
      <c r="X951" s="269"/>
      <c r="Y951" s="269"/>
      <c r="Z951" s="269"/>
      <c r="AA951" s="269"/>
      <c r="AB951" s="269"/>
      <c r="AC951" s="269"/>
    </row>
    <row r="952" spans="1:29" ht="12.75" x14ac:dyDescent="0.2">
      <c r="A952" s="203"/>
      <c r="B952" s="203"/>
      <c r="C952" s="203"/>
      <c r="D952" s="203"/>
      <c r="E952" s="203"/>
      <c r="F952" s="203"/>
      <c r="G952" s="203"/>
      <c r="H952" s="203"/>
      <c r="I952" s="203"/>
      <c r="J952" s="203"/>
      <c r="K952" s="203"/>
      <c r="L952" s="203"/>
      <c r="M952" s="269"/>
      <c r="N952" s="269"/>
      <c r="O952" s="270"/>
      <c r="P952" s="270"/>
      <c r="Q952" s="270"/>
      <c r="R952" s="203"/>
      <c r="S952" s="203"/>
      <c r="T952" s="203"/>
      <c r="U952" s="269"/>
      <c r="V952" s="269"/>
      <c r="W952" s="269"/>
      <c r="X952" s="269"/>
      <c r="Y952" s="269"/>
      <c r="Z952" s="269"/>
      <c r="AA952" s="269"/>
      <c r="AB952" s="269"/>
      <c r="AC952" s="269"/>
    </row>
    <row r="953" spans="1:29" ht="12.75" x14ac:dyDescent="0.2">
      <c r="A953" s="203"/>
      <c r="B953" s="203"/>
      <c r="C953" s="203"/>
      <c r="D953" s="203"/>
      <c r="E953" s="203"/>
      <c r="F953" s="203"/>
      <c r="G953" s="203"/>
      <c r="H953" s="203"/>
      <c r="I953" s="203"/>
      <c r="J953" s="203"/>
      <c r="K953" s="203"/>
      <c r="L953" s="203"/>
      <c r="M953" s="269"/>
      <c r="N953" s="269"/>
      <c r="O953" s="270"/>
      <c r="P953" s="270"/>
      <c r="Q953" s="270"/>
      <c r="R953" s="203"/>
      <c r="S953" s="203"/>
      <c r="T953" s="203"/>
      <c r="U953" s="269"/>
      <c r="V953" s="269"/>
      <c r="W953" s="269"/>
      <c r="X953" s="269"/>
      <c r="Y953" s="269"/>
      <c r="Z953" s="269"/>
      <c r="AA953" s="269"/>
      <c r="AB953" s="269"/>
      <c r="AC953" s="269"/>
    </row>
    <row r="954" spans="1:29" ht="12.75" x14ac:dyDescent="0.2">
      <c r="A954" s="203"/>
      <c r="B954" s="203"/>
      <c r="C954" s="203"/>
      <c r="D954" s="203"/>
      <c r="E954" s="203"/>
      <c r="F954" s="203"/>
      <c r="G954" s="203"/>
      <c r="H954" s="203"/>
      <c r="I954" s="203"/>
      <c r="J954" s="203"/>
      <c r="K954" s="203"/>
      <c r="L954" s="203"/>
      <c r="M954" s="269"/>
      <c r="N954" s="269"/>
      <c r="O954" s="270"/>
      <c r="P954" s="270"/>
      <c r="Q954" s="270"/>
      <c r="R954" s="203"/>
      <c r="S954" s="203"/>
      <c r="T954" s="203"/>
      <c r="U954" s="269"/>
      <c r="V954" s="269"/>
      <c r="W954" s="269"/>
      <c r="X954" s="269"/>
      <c r="Y954" s="269"/>
      <c r="Z954" s="269"/>
      <c r="AA954" s="269"/>
      <c r="AB954" s="269"/>
      <c r="AC954" s="269"/>
    </row>
    <row r="955" spans="1:29" ht="12.75" x14ac:dyDescent="0.2">
      <c r="A955" s="203"/>
      <c r="B955" s="203"/>
      <c r="C955" s="203"/>
      <c r="D955" s="203"/>
      <c r="E955" s="203"/>
      <c r="F955" s="203"/>
      <c r="G955" s="203"/>
      <c r="H955" s="203"/>
      <c r="I955" s="203"/>
      <c r="J955" s="203"/>
      <c r="K955" s="203"/>
      <c r="L955" s="203"/>
      <c r="M955" s="269"/>
      <c r="N955" s="269"/>
      <c r="O955" s="270"/>
      <c r="P955" s="270"/>
      <c r="Q955" s="270"/>
      <c r="R955" s="203"/>
      <c r="S955" s="203"/>
      <c r="T955" s="203"/>
      <c r="U955" s="269"/>
      <c r="V955" s="269"/>
      <c r="W955" s="269"/>
      <c r="X955" s="269"/>
      <c r="Y955" s="269"/>
      <c r="Z955" s="269"/>
      <c r="AA955" s="269"/>
      <c r="AB955" s="269"/>
      <c r="AC955" s="269"/>
    </row>
    <row r="956" spans="1:29" ht="12.75" x14ac:dyDescent="0.2">
      <c r="A956" s="203"/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203"/>
      <c r="M956" s="269"/>
      <c r="N956" s="269"/>
      <c r="O956" s="270"/>
      <c r="P956" s="270"/>
      <c r="Q956" s="270"/>
      <c r="R956" s="203"/>
      <c r="S956" s="203"/>
      <c r="T956" s="203"/>
      <c r="U956" s="269"/>
      <c r="V956" s="269"/>
      <c r="W956" s="269"/>
      <c r="X956" s="269"/>
      <c r="Y956" s="269"/>
      <c r="Z956" s="269"/>
      <c r="AA956" s="269"/>
      <c r="AB956" s="269"/>
      <c r="AC956" s="269"/>
    </row>
    <row r="957" spans="1:29" ht="12.75" x14ac:dyDescent="0.2">
      <c r="A957" s="203"/>
      <c r="B957" s="203"/>
      <c r="C957" s="203"/>
      <c r="D957" s="203"/>
      <c r="E957" s="203"/>
      <c r="F957" s="203"/>
      <c r="G957" s="203"/>
      <c r="H957" s="203"/>
      <c r="I957" s="203"/>
      <c r="J957" s="203"/>
      <c r="K957" s="203"/>
      <c r="L957" s="203"/>
      <c r="M957" s="269"/>
      <c r="N957" s="269"/>
      <c r="O957" s="270"/>
      <c r="P957" s="270"/>
      <c r="Q957" s="270"/>
      <c r="R957" s="203"/>
      <c r="S957" s="203"/>
      <c r="T957" s="203"/>
      <c r="U957" s="269"/>
      <c r="V957" s="269"/>
      <c r="W957" s="269"/>
      <c r="X957" s="269"/>
      <c r="Y957" s="269"/>
      <c r="Z957" s="269"/>
      <c r="AA957" s="269"/>
      <c r="AB957" s="269"/>
      <c r="AC957" s="269"/>
    </row>
    <row r="958" spans="1:29" ht="12.75" x14ac:dyDescent="0.2">
      <c r="A958" s="203"/>
      <c r="B958" s="203"/>
      <c r="C958" s="203"/>
      <c r="D958" s="203"/>
      <c r="E958" s="203"/>
      <c r="F958" s="203"/>
      <c r="G958" s="203"/>
      <c r="H958" s="203"/>
      <c r="I958" s="203"/>
      <c r="J958" s="203"/>
      <c r="K958" s="203"/>
      <c r="L958" s="203"/>
      <c r="M958" s="269"/>
      <c r="N958" s="269"/>
      <c r="O958" s="270"/>
      <c r="P958" s="270"/>
      <c r="Q958" s="270"/>
      <c r="R958" s="203"/>
      <c r="S958" s="203"/>
      <c r="T958" s="203"/>
      <c r="U958" s="269"/>
      <c r="V958" s="269"/>
      <c r="W958" s="269"/>
      <c r="X958" s="269"/>
      <c r="Y958" s="269"/>
      <c r="Z958" s="269"/>
      <c r="AA958" s="269"/>
      <c r="AB958" s="269"/>
      <c r="AC958" s="269"/>
    </row>
    <row r="959" spans="1:29" ht="12.75" x14ac:dyDescent="0.2">
      <c r="A959" s="203"/>
      <c r="B959" s="203"/>
      <c r="C959" s="203"/>
      <c r="D959" s="203"/>
      <c r="E959" s="203"/>
      <c r="F959" s="203"/>
      <c r="G959" s="203"/>
      <c r="H959" s="203"/>
      <c r="I959" s="203"/>
      <c r="J959" s="203"/>
      <c r="K959" s="203"/>
      <c r="L959" s="203"/>
      <c r="M959" s="269"/>
      <c r="N959" s="269"/>
      <c r="O959" s="270"/>
      <c r="P959" s="270"/>
      <c r="Q959" s="270"/>
      <c r="R959" s="203"/>
      <c r="S959" s="203"/>
      <c r="T959" s="203"/>
      <c r="U959" s="269"/>
      <c r="V959" s="269"/>
      <c r="W959" s="269"/>
      <c r="X959" s="269"/>
      <c r="Y959" s="269"/>
      <c r="Z959" s="269"/>
      <c r="AA959" s="269"/>
      <c r="AB959" s="269"/>
      <c r="AC959" s="269"/>
    </row>
    <row r="960" spans="1:29" ht="12.75" x14ac:dyDescent="0.2">
      <c r="A960" s="203"/>
      <c r="B960" s="203"/>
      <c r="C960" s="203"/>
      <c r="D960" s="203"/>
      <c r="E960" s="203"/>
      <c r="F960" s="203"/>
      <c r="G960" s="203"/>
      <c r="H960" s="203"/>
      <c r="I960" s="203"/>
      <c r="J960" s="203"/>
      <c r="K960" s="203"/>
      <c r="L960" s="203"/>
      <c r="M960" s="269"/>
      <c r="N960" s="269"/>
      <c r="O960" s="270"/>
      <c r="P960" s="270"/>
      <c r="Q960" s="270"/>
      <c r="R960" s="203"/>
      <c r="S960" s="203"/>
      <c r="T960" s="203"/>
      <c r="U960" s="269"/>
      <c r="V960" s="269"/>
      <c r="W960" s="269"/>
      <c r="X960" s="269"/>
      <c r="Y960" s="269"/>
      <c r="Z960" s="269"/>
      <c r="AA960" s="269"/>
      <c r="AB960" s="269"/>
      <c r="AC960" s="269"/>
    </row>
    <row r="961" spans="1:29" ht="12.75" x14ac:dyDescent="0.2">
      <c r="A961" s="203"/>
      <c r="B961" s="203"/>
      <c r="C961" s="203"/>
      <c r="D961" s="203"/>
      <c r="E961" s="203"/>
      <c r="F961" s="203"/>
      <c r="G961" s="203"/>
      <c r="H961" s="203"/>
      <c r="I961" s="203"/>
      <c r="J961" s="203"/>
      <c r="K961" s="203"/>
      <c r="L961" s="203"/>
      <c r="M961" s="269"/>
      <c r="N961" s="269"/>
      <c r="O961" s="270"/>
      <c r="P961" s="270"/>
      <c r="Q961" s="270"/>
      <c r="R961" s="203"/>
      <c r="S961" s="203"/>
      <c r="T961" s="203"/>
      <c r="U961" s="269"/>
      <c r="V961" s="269"/>
      <c r="W961" s="269"/>
      <c r="X961" s="269"/>
      <c r="Y961" s="269"/>
      <c r="Z961" s="269"/>
      <c r="AA961" s="269"/>
      <c r="AB961" s="269"/>
      <c r="AC961" s="269"/>
    </row>
    <row r="962" spans="1:29" ht="12.75" x14ac:dyDescent="0.2">
      <c r="A962" s="203"/>
      <c r="B962" s="203"/>
      <c r="C962" s="203"/>
      <c r="D962" s="203"/>
      <c r="E962" s="203"/>
      <c r="F962" s="203"/>
      <c r="G962" s="203"/>
      <c r="H962" s="203"/>
      <c r="I962" s="203"/>
      <c r="J962" s="203"/>
      <c r="K962" s="203"/>
      <c r="L962" s="203"/>
      <c r="M962" s="269"/>
      <c r="N962" s="269"/>
      <c r="O962" s="270"/>
      <c r="P962" s="270"/>
      <c r="Q962" s="270"/>
      <c r="R962" s="203"/>
      <c r="S962" s="203"/>
      <c r="T962" s="203"/>
      <c r="U962" s="269"/>
      <c r="V962" s="269"/>
      <c r="W962" s="269"/>
      <c r="X962" s="269"/>
      <c r="Y962" s="269"/>
      <c r="Z962" s="269"/>
      <c r="AA962" s="269"/>
      <c r="AB962" s="269"/>
      <c r="AC962" s="269"/>
    </row>
    <row r="963" spans="1:29" ht="12.75" x14ac:dyDescent="0.2">
      <c r="A963" s="203"/>
      <c r="B963" s="203"/>
      <c r="C963" s="203"/>
      <c r="D963" s="203"/>
      <c r="E963" s="203"/>
      <c r="F963" s="203"/>
      <c r="G963" s="203"/>
      <c r="H963" s="203"/>
      <c r="I963" s="203"/>
      <c r="J963" s="203"/>
      <c r="K963" s="203"/>
      <c r="L963" s="203"/>
      <c r="M963" s="269"/>
      <c r="N963" s="269"/>
      <c r="O963" s="270"/>
      <c r="P963" s="270"/>
      <c r="Q963" s="270"/>
      <c r="R963" s="203"/>
      <c r="S963" s="203"/>
      <c r="T963" s="203"/>
      <c r="U963" s="269"/>
      <c r="V963" s="269"/>
      <c r="W963" s="269"/>
      <c r="X963" s="269"/>
      <c r="Y963" s="269"/>
      <c r="Z963" s="269"/>
      <c r="AA963" s="269"/>
      <c r="AB963" s="269"/>
      <c r="AC963" s="269"/>
    </row>
    <row r="964" spans="1:29" ht="12.75" x14ac:dyDescent="0.2">
      <c r="A964" s="203"/>
      <c r="B964" s="203"/>
      <c r="C964" s="203"/>
      <c r="D964" s="203"/>
      <c r="E964" s="203"/>
      <c r="F964" s="203"/>
      <c r="G964" s="203"/>
      <c r="H964" s="203"/>
      <c r="I964" s="203"/>
      <c r="J964" s="203"/>
      <c r="K964" s="203"/>
      <c r="L964" s="203"/>
      <c r="M964" s="269"/>
      <c r="N964" s="269"/>
      <c r="O964" s="270"/>
      <c r="P964" s="270"/>
      <c r="Q964" s="270"/>
      <c r="R964" s="203"/>
      <c r="S964" s="203"/>
      <c r="T964" s="203"/>
      <c r="U964" s="269"/>
      <c r="V964" s="269"/>
      <c r="W964" s="269"/>
      <c r="X964" s="269"/>
      <c r="Y964" s="269"/>
      <c r="Z964" s="269"/>
      <c r="AA964" s="269"/>
      <c r="AB964" s="269"/>
      <c r="AC964" s="269"/>
    </row>
    <row r="965" spans="1:29" ht="12.75" x14ac:dyDescent="0.2">
      <c r="A965" s="203"/>
      <c r="B965" s="203"/>
      <c r="C965" s="203"/>
      <c r="D965" s="203"/>
      <c r="E965" s="203"/>
      <c r="F965" s="203"/>
      <c r="G965" s="203"/>
      <c r="H965" s="203"/>
      <c r="I965" s="203"/>
      <c r="J965" s="203"/>
      <c r="K965" s="203"/>
      <c r="L965" s="203"/>
      <c r="M965" s="269"/>
      <c r="N965" s="269"/>
      <c r="O965" s="270"/>
      <c r="P965" s="270"/>
      <c r="Q965" s="270"/>
      <c r="R965" s="203"/>
      <c r="S965" s="203"/>
      <c r="T965" s="203"/>
      <c r="U965" s="269"/>
      <c r="V965" s="269"/>
      <c r="W965" s="269"/>
      <c r="X965" s="269"/>
      <c r="Y965" s="269"/>
      <c r="Z965" s="269"/>
      <c r="AA965" s="269"/>
      <c r="AB965" s="269"/>
      <c r="AC965" s="269"/>
    </row>
    <row r="966" spans="1:29" ht="12.75" x14ac:dyDescent="0.2">
      <c r="A966" s="203"/>
      <c r="B966" s="203"/>
      <c r="C966" s="203"/>
      <c r="D966" s="203"/>
      <c r="E966" s="203"/>
      <c r="F966" s="203"/>
      <c r="G966" s="203"/>
      <c r="H966" s="203"/>
      <c r="I966" s="203"/>
      <c r="J966" s="203"/>
      <c r="K966" s="203"/>
      <c r="L966" s="203"/>
      <c r="M966" s="269"/>
      <c r="N966" s="269"/>
      <c r="O966" s="270"/>
      <c r="P966" s="270"/>
      <c r="Q966" s="270"/>
      <c r="R966" s="203"/>
      <c r="S966" s="203"/>
      <c r="T966" s="203"/>
      <c r="U966" s="269"/>
      <c r="V966" s="269"/>
      <c r="W966" s="269"/>
      <c r="X966" s="269"/>
      <c r="Y966" s="269"/>
      <c r="Z966" s="269"/>
      <c r="AA966" s="269"/>
      <c r="AB966" s="269"/>
      <c r="AC966" s="269"/>
    </row>
    <row r="967" spans="1:29" ht="12.75" x14ac:dyDescent="0.2">
      <c r="A967" s="203"/>
      <c r="B967" s="203"/>
      <c r="C967" s="203"/>
      <c r="D967" s="203"/>
      <c r="E967" s="203"/>
      <c r="F967" s="203"/>
      <c r="G967" s="203"/>
      <c r="H967" s="203"/>
      <c r="I967" s="203"/>
      <c r="J967" s="203"/>
      <c r="K967" s="203"/>
      <c r="L967" s="203"/>
      <c r="M967" s="269"/>
      <c r="N967" s="269"/>
      <c r="O967" s="270"/>
      <c r="P967" s="270"/>
      <c r="Q967" s="270"/>
      <c r="R967" s="203"/>
      <c r="S967" s="203"/>
      <c r="T967" s="203"/>
      <c r="U967" s="269"/>
      <c r="V967" s="269"/>
      <c r="W967" s="269"/>
      <c r="X967" s="269"/>
      <c r="Y967" s="269"/>
      <c r="Z967" s="269"/>
      <c r="AA967" s="269"/>
      <c r="AB967" s="269"/>
      <c r="AC967" s="269"/>
    </row>
    <row r="968" spans="1:29" ht="12.75" x14ac:dyDescent="0.2">
      <c r="A968" s="203"/>
      <c r="B968" s="203"/>
      <c r="C968" s="203"/>
      <c r="D968" s="203"/>
      <c r="E968" s="203"/>
      <c r="F968" s="203"/>
      <c r="G968" s="203"/>
      <c r="H968" s="203"/>
      <c r="I968" s="203"/>
      <c r="J968" s="203"/>
      <c r="K968" s="203"/>
      <c r="L968" s="203"/>
      <c r="M968" s="269"/>
      <c r="N968" s="269"/>
      <c r="O968" s="270"/>
      <c r="P968" s="270"/>
      <c r="Q968" s="270"/>
      <c r="R968" s="203"/>
      <c r="S968" s="203"/>
      <c r="T968" s="203"/>
      <c r="U968" s="269"/>
      <c r="V968" s="269"/>
      <c r="W968" s="269"/>
      <c r="X968" s="269"/>
      <c r="Y968" s="269"/>
      <c r="Z968" s="269"/>
      <c r="AA968" s="269"/>
      <c r="AB968" s="269"/>
      <c r="AC968" s="269"/>
    </row>
    <row r="969" spans="1:29" ht="12.75" x14ac:dyDescent="0.2">
      <c r="A969" s="203"/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203"/>
      <c r="M969" s="269"/>
      <c r="N969" s="269"/>
      <c r="O969" s="270"/>
      <c r="P969" s="270"/>
      <c r="Q969" s="270"/>
      <c r="R969" s="203"/>
      <c r="S969" s="203"/>
      <c r="T969" s="203"/>
      <c r="U969" s="269"/>
      <c r="V969" s="269"/>
      <c r="W969" s="269"/>
      <c r="X969" s="269"/>
      <c r="Y969" s="269"/>
      <c r="Z969" s="269"/>
      <c r="AA969" s="269"/>
      <c r="AB969" s="269"/>
      <c r="AC969" s="269"/>
    </row>
    <row r="970" spans="1:29" ht="12.75" x14ac:dyDescent="0.2">
      <c r="A970" s="203"/>
      <c r="B970" s="203"/>
      <c r="C970" s="203"/>
      <c r="D970" s="203"/>
      <c r="E970" s="203"/>
      <c r="F970" s="203"/>
      <c r="G970" s="203"/>
      <c r="H970" s="203"/>
      <c r="I970" s="203"/>
      <c r="J970" s="203"/>
      <c r="K970" s="203"/>
      <c r="L970" s="203"/>
      <c r="M970" s="269"/>
      <c r="N970" s="269"/>
      <c r="O970" s="270"/>
      <c r="P970" s="270"/>
      <c r="Q970" s="270"/>
      <c r="R970" s="203"/>
      <c r="S970" s="203"/>
      <c r="T970" s="203"/>
      <c r="U970" s="269"/>
      <c r="V970" s="269"/>
      <c r="W970" s="269"/>
      <c r="X970" s="269"/>
      <c r="Y970" s="269"/>
      <c r="Z970" s="269"/>
      <c r="AA970" s="269"/>
      <c r="AB970" s="269"/>
      <c r="AC970" s="269"/>
    </row>
    <row r="971" spans="1:29" ht="12.75" x14ac:dyDescent="0.2">
      <c r="A971" s="203"/>
      <c r="B971" s="203"/>
      <c r="C971" s="203"/>
      <c r="D971" s="203"/>
      <c r="E971" s="203"/>
      <c r="F971" s="203"/>
      <c r="G971" s="203"/>
      <c r="H971" s="203"/>
      <c r="I971" s="203"/>
      <c r="J971" s="203"/>
      <c r="K971" s="203"/>
      <c r="L971" s="203"/>
      <c r="M971" s="269"/>
      <c r="N971" s="269"/>
      <c r="O971" s="270"/>
      <c r="P971" s="270"/>
      <c r="Q971" s="270"/>
      <c r="R971" s="203"/>
      <c r="S971" s="203"/>
      <c r="T971" s="203"/>
      <c r="U971" s="269"/>
      <c r="V971" s="269"/>
      <c r="W971" s="269"/>
      <c r="X971" s="269"/>
      <c r="Y971" s="269"/>
      <c r="Z971" s="269"/>
      <c r="AA971" s="269"/>
      <c r="AB971" s="269"/>
      <c r="AC971" s="269"/>
    </row>
    <row r="972" spans="1:29" ht="12.75" x14ac:dyDescent="0.2">
      <c r="A972" s="203"/>
      <c r="B972" s="203"/>
      <c r="C972" s="203"/>
      <c r="D972" s="203"/>
      <c r="E972" s="203"/>
      <c r="F972" s="203"/>
      <c r="G972" s="203"/>
      <c r="H972" s="203"/>
      <c r="I972" s="203"/>
      <c r="J972" s="203"/>
      <c r="K972" s="203"/>
      <c r="L972" s="203"/>
      <c r="M972" s="269"/>
      <c r="N972" s="269"/>
      <c r="O972" s="270"/>
      <c r="P972" s="270"/>
      <c r="Q972" s="270"/>
      <c r="R972" s="203"/>
      <c r="S972" s="203"/>
      <c r="T972" s="203"/>
      <c r="U972" s="269"/>
      <c r="V972" s="269"/>
      <c r="W972" s="269"/>
      <c r="X972" s="269"/>
      <c r="Y972" s="269"/>
      <c r="Z972" s="269"/>
      <c r="AA972" s="269"/>
      <c r="AB972" s="269"/>
      <c r="AC972" s="269"/>
    </row>
    <row r="973" spans="1:29" ht="12.75" x14ac:dyDescent="0.2">
      <c r="A973" s="203"/>
      <c r="B973" s="203"/>
      <c r="C973" s="203"/>
      <c r="D973" s="203"/>
      <c r="E973" s="203"/>
      <c r="F973" s="203"/>
      <c r="G973" s="203"/>
      <c r="H973" s="203"/>
      <c r="I973" s="203"/>
      <c r="J973" s="203"/>
      <c r="K973" s="203"/>
      <c r="L973" s="203"/>
      <c r="M973" s="269"/>
      <c r="N973" s="269"/>
      <c r="O973" s="270"/>
      <c r="P973" s="270"/>
      <c r="Q973" s="270"/>
      <c r="R973" s="203"/>
      <c r="S973" s="203"/>
      <c r="T973" s="203"/>
      <c r="U973" s="269"/>
      <c r="V973" s="269"/>
      <c r="W973" s="269"/>
      <c r="X973" s="269"/>
      <c r="Y973" s="269"/>
      <c r="Z973" s="269"/>
      <c r="AA973" s="269"/>
      <c r="AB973" s="269"/>
      <c r="AC973" s="269"/>
    </row>
    <row r="974" spans="1:29" ht="12.75" x14ac:dyDescent="0.2">
      <c r="A974" s="203"/>
      <c r="B974" s="203"/>
      <c r="C974" s="203"/>
      <c r="D974" s="203"/>
      <c r="E974" s="203"/>
      <c r="F974" s="203"/>
      <c r="G974" s="203"/>
      <c r="H974" s="203"/>
      <c r="I974" s="203"/>
      <c r="J974" s="203"/>
      <c r="K974" s="203"/>
      <c r="L974" s="203"/>
      <c r="M974" s="269"/>
      <c r="N974" s="269"/>
      <c r="O974" s="270"/>
      <c r="P974" s="270"/>
      <c r="Q974" s="270"/>
      <c r="R974" s="203"/>
      <c r="S974" s="203"/>
      <c r="T974" s="203"/>
      <c r="U974" s="269"/>
      <c r="V974" s="269"/>
      <c r="W974" s="269"/>
      <c r="X974" s="269"/>
      <c r="Y974" s="269"/>
      <c r="Z974" s="269"/>
      <c r="AA974" s="269"/>
      <c r="AB974" s="269"/>
      <c r="AC974" s="269"/>
    </row>
    <row r="975" spans="1:29" ht="12.75" x14ac:dyDescent="0.2">
      <c r="A975" s="203"/>
      <c r="B975" s="203"/>
      <c r="C975" s="203"/>
      <c r="D975" s="203"/>
      <c r="E975" s="203"/>
      <c r="F975" s="203"/>
      <c r="G975" s="203"/>
      <c r="H975" s="203"/>
      <c r="I975" s="203"/>
      <c r="J975" s="203"/>
      <c r="K975" s="203"/>
      <c r="L975" s="203"/>
      <c r="M975" s="269"/>
      <c r="N975" s="269"/>
      <c r="O975" s="270"/>
      <c r="P975" s="270"/>
      <c r="Q975" s="270"/>
      <c r="R975" s="203"/>
      <c r="S975" s="203"/>
      <c r="T975" s="203"/>
      <c r="U975" s="269"/>
      <c r="V975" s="269"/>
      <c r="W975" s="269"/>
      <c r="X975" s="269"/>
      <c r="Y975" s="269"/>
      <c r="Z975" s="269"/>
      <c r="AA975" s="269"/>
      <c r="AB975" s="269"/>
      <c r="AC975" s="269"/>
    </row>
    <row r="976" spans="1:29" ht="12.75" x14ac:dyDescent="0.2">
      <c r="A976" s="203"/>
      <c r="B976" s="203"/>
      <c r="C976" s="203"/>
      <c r="D976" s="203"/>
      <c r="E976" s="203"/>
      <c r="F976" s="203"/>
      <c r="G976" s="203"/>
      <c r="H976" s="203"/>
      <c r="I976" s="203"/>
      <c r="J976" s="203"/>
      <c r="K976" s="203"/>
      <c r="L976" s="203"/>
      <c r="M976" s="269"/>
      <c r="N976" s="269"/>
      <c r="O976" s="270"/>
      <c r="P976" s="270"/>
      <c r="Q976" s="270"/>
      <c r="R976" s="203"/>
      <c r="S976" s="203"/>
      <c r="T976" s="203"/>
      <c r="U976" s="269"/>
      <c r="V976" s="269"/>
      <c r="W976" s="269"/>
      <c r="X976" s="269"/>
      <c r="Y976" s="269"/>
      <c r="Z976" s="269"/>
      <c r="AA976" s="269"/>
      <c r="AB976" s="269"/>
      <c r="AC976" s="269"/>
    </row>
    <row r="977" spans="1:29" ht="12.75" x14ac:dyDescent="0.2">
      <c r="A977" s="203"/>
      <c r="B977" s="203"/>
      <c r="C977" s="203"/>
      <c r="D977" s="203"/>
      <c r="E977" s="203"/>
      <c r="F977" s="203"/>
      <c r="G977" s="203"/>
      <c r="H977" s="203"/>
      <c r="I977" s="203"/>
      <c r="J977" s="203"/>
      <c r="K977" s="203"/>
      <c r="L977" s="203"/>
      <c r="M977" s="269"/>
      <c r="N977" s="269"/>
      <c r="O977" s="270"/>
      <c r="P977" s="270"/>
      <c r="Q977" s="270"/>
      <c r="R977" s="203"/>
      <c r="S977" s="203"/>
      <c r="T977" s="203"/>
      <c r="U977" s="269"/>
      <c r="V977" s="269"/>
      <c r="W977" s="269"/>
      <c r="X977" s="269"/>
      <c r="Y977" s="269"/>
      <c r="Z977" s="269"/>
      <c r="AA977" s="269"/>
      <c r="AB977" s="269"/>
      <c r="AC977" s="269"/>
    </row>
    <row r="978" spans="1:29" ht="12.75" x14ac:dyDescent="0.2">
      <c r="A978" s="203"/>
      <c r="B978" s="203"/>
      <c r="C978" s="203"/>
      <c r="D978" s="203"/>
      <c r="E978" s="203"/>
      <c r="F978" s="203"/>
      <c r="G978" s="203"/>
      <c r="H978" s="203"/>
      <c r="I978" s="203"/>
      <c r="J978" s="203"/>
      <c r="K978" s="203"/>
      <c r="L978" s="203"/>
      <c r="M978" s="269"/>
      <c r="N978" s="269"/>
      <c r="O978" s="270"/>
      <c r="P978" s="270"/>
      <c r="Q978" s="270"/>
      <c r="R978" s="203"/>
      <c r="S978" s="203"/>
      <c r="T978" s="203"/>
      <c r="U978" s="269"/>
      <c r="V978" s="269"/>
      <c r="W978" s="269"/>
      <c r="X978" s="269"/>
      <c r="Y978" s="269"/>
      <c r="Z978" s="269"/>
      <c r="AA978" s="269"/>
      <c r="AB978" s="269"/>
      <c r="AC978" s="269"/>
    </row>
    <row r="979" spans="1:29" ht="12.75" x14ac:dyDescent="0.2">
      <c r="A979" s="203"/>
      <c r="B979" s="203"/>
      <c r="C979" s="203"/>
      <c r="D979" s="203"/>
      <c r="E979" s="203"/>
      <c r="F979" s="203"/>
      <c r="G979" s="203"/>
      <c r="H979" s="203"/>
      <c r="I979" s="203"/>
      <c r="J979" s="203"/>
      <c r="K979" s="203"/>
      <c r="L979" s="203"/>
      <c r="M979" s="269"/>
      <c r="N979" s="269"/>
      <c r="O979" s="270"/>
      <c r="P979" s="270"/>
      <c r="Q979" s="270"/>
      <c r="R979" s="203"/>
      <c r="S979" s="203"/>
      <c r="T979" s="203"/>
      <c r="U979" s="269"/>
      <c r="V979" s="269"/>
      <c r="W979" s="269"/>
      <c r="X979" s="269"/>
      <c r="Y979" s="269"/>
      <c r="Z979" s="269"/>
      <c r="AA979" s="269"/>
      <c r="AB979" s="269"/>
      <c r="AC979" s="269"/>
    </row>
    <row r="980" spans="1:29" ht="12.75" x14ac:dyDescent="0.2">
      <c r="A980" s="203"/>
      <c r="B980" s="203"/>
      <c r="C980" s="203"/>
      <c r="D980" s="203"/>
      <c r="E980" s="203"/>
      <c r="F980" s="203"/>
      <c r="G980" s="203"/>
      <c r="H980" s="203"/>
      <c r="I980" s="203"/>
      <c r="J980" s="203"/>
      <c r="K980" s="203"/>
      <c r="L980" s="203"/>
      <c r="M980" s="269"/>
      <c r="N980" s="269"/>
      <c r="O980" s="270"/>
      <c r="P980" s="270"/>
      <c r="Q980" s="270"/>
      <c r="R980" s="203"/>
      <c r="S980" s="203"/>
      <c r="T980" s="203"/>
      <c r="U980" s="269"/>
      <c r="V980" s="269"/>
      <c r="W980" s="269"/>
      <c r="X980" s="269"/>
      <c r="Y980" s="269"/>
      <c r="Z980" s="269"/>
      <c r="AA980" s="269"/>
      <c r="AB980" s="269"/>
      <c r="AC980" s="269"/>
    </row>
    <row r="981" spans="1:29" ht="12.75" x14ac:dyDescent="0.2">
      <c r="A981" s="203"/>
      <c r="B981" s="203"/>
      <c r="C981" s="203"/>
      <c r="D981" s="203"/>
      <c r="E981" s="203"/>
      <c r="F981" s="203"/>
      <c r="G981" s="203"/>
      <c r="H981" s="203"/>
      <c r="I981" s="203"/>
      <c r="J981" s="203"/>
      <c r="K981" s="203"/>
      <c r="L981" s="203"/>
      <c r="M981" s="269"/>
      <c r="N981" s="269"/>
      <c r="O981" s="270"/>
      <c r="P981" s="270"/>
      <c r="Q981" s="270"/>
      <c r="R981" s="203"/>
      <c r="S981" s="203"/>
      <c r="T981" s="203"/>
      <c r="U981" s="269"/>
      <c r="V981" s="269"/>
      <c r="W981" s="269"/>
      <c r="X981" s="269"/>
      <c r="Y981" s="269"/>
      <c r="Z981" s="269"/>
      <c r="AA981" s="269"/>
      <c r="AB981" s="269"/>
      <c r="AC981" s="269"/>
    </row>
    <row r="982" spans="1:29" ht="12.75" x14ac:dyDescent="0.2">
      <c r="A982" s="203"/>
      <c r="B982" s="203"/>
      <c r="C982" s="203"/>
      <c r="D982" s="203"/>
      <c r="E982" s="203"/>
      <c r="F982" s="203"/>
      <c r="G982" s="203"/>
      <c r="H982" s="203"/>
      <c r="I982" s="203"/>
      <c r="J982" s="203"/>
      <c r="K982" s="203"/>
      <c r="L982" s="203"/>
      <c r="M982" s="269"/>
      <c r="N982" s="269"/>
      <c r="O982" s="270"/>
      <c r="P982" s="270"/>
      <c r="Q982" s="270"/>
      <c r="R982" s="203"/>
      <c r="S982" s="203"/>
      <c r="T982" s="203"/>
      <c r="U982" s="269"/>
      <c r="V982" s="269"/>
      <c r="W982" s="269"/>
      <c r="X982" s="269"/>
      <c r="Y982" s="269"/>
      <c r="Z982" s="269"/>
      <c r="AA982" s="269"/>
      <c r="AB982" s="269"/>
      <c r="AC982" s="269"/>
    </row>
    <row r="983" spans="1:29" ht="12.75" x14ac:dyDescent="0.2">
      <c r="A983" s="203"/>
      <c r="B983" s="203"/>
      <c r="C983" s="203"/>
      <c r="D983" s="203"/>
      <c r="E983" s="203"/>
      <c r="F983" s="203"/>
      <c r="G983" s="203"/>
      <c r="H983" s="203"/>
      <c r="I983" s="203"/>
      <c r="J983" s="203"/>
      <c r="K983" s="203"/>
      <c r="L983" s="203"/>
      <c r="M983" s="269"/>
      <c r="N983" s="269"/>
      <c r="O983" s="270"/>
      <c r="P983" s="270"/>
      <c r="Q983" s="270"/>
      <c r="R983" s="203"/>
      <c r="S983" s="203"/>
      <c r="T983" s="203"/>
      <c r="U983" s="269"/>
      <c r="V983" s="269"/>
      <c r="W983" s="269"/>
      <c r="X983" s="269"/>
      <c r="Y983" s="269"/>
      <c r="Z983" s="269"/>
      <c r="AA983" s="269"/>
      <c r="AB983" s="269"/>
      <c r="AC983" s="269"/>
    </row>
    <row r="984" spans="1:29" ht="12.75" x14ac:dyDescent="0.2">
      <c r="A984" s="203"/>
      <c r="B984" s="203"/>
      <c r="C984" s="203"/>
      <c r="D984" s="203"/>
      <c r="E984" s="203"/>
      <c r="F984" s="203"/>
      <c r="G984" s="203"/>
      <c r="H984" s="203"/>
      <c r="I984" s="203"/>
      <c r="J984" s="203"/>
      <c r="K984" s="203"/>
      <c r="L984" s="203"/>
      <c r="M984" s="269"/>
      <c r="N984" s="269"/>
      <c r="O984" s="270"/>
      <c r="P984" s="270"/>
      <c r="Q984" s="270"/>
      <c r="R984" s="203"/>
      <c r="S984" s="203"/>
      <c r="T984" s="203"/>
      <c r="U984" s="269"/>
      <c r="V984" s="269"/>
      <c r="W984" s="269"/>
      <c r="X984" s="269"/>
      <c r="Y984" s="269"/>
      <c r="Z984" s="269"/>
      <c r="AA984" s="269"/>
      <c r="AB984" s="269"/>
      <c r="AC984" s="269"/>
    </row>
    <row r="985" spans="1:29" ht="12.75" x14ac:dyDescent="0.2">
      <c r="A985" s="203"/>
      <c r="B985" s="203"/>
      <c r="C985" s="203"/>
      <c r="D985" s="203"/>
      <c r="E985" s="203"/>
      <c r="F985" s="203"/>
      <c r="G985" s="203"/>
      <c r="H985" s="203"/>
      <c r="I985" s="203"/>
      <c r="J985" s="203"/>
      <c r="K985" s="203"/>
      <c r="L985" s="203"/>
      <c r="M985" s="269"/>
      <c r="N985" s="269"/>
      <c r="O985" s="270"/>
      <c r="P985" s="270"/>
      <c r="Q985" s="270"/>
      <c r="R985" s="203"/>
      <c r="S985" s="203"/>
      <c r="T985" s="203"/>
      <c r="U985" s="269"/>
      <c r="V985" s="269"/>
      <c r="W985" s="269"/>
      <c r="X985" s="269"/>
      <c r="Y985" s="269"/>
      <c r="Z985" s="269"/>
      <c r="AA985" s="269"/>
      <c r="AB985" s="269"/>
      <c r="AC985" s="269"/>
    </row>
    <row r="986" spans="1:29" ht="12.75" x14ac:dyDescent="0.2">
      <c r="A986" s="203"/>
      <c r="B986" s="203"/>
      <c r="C986" s="203"/>
      <c r="D986" s="203"/>
      <c r="E986" s="203"/>
      <c r="F986" s="203"/>
      <c r="G986" s="203"/>
      <c r="H986" s="203"/>
      <c r="I986" s="203"/>
      <c r="J986" s="203"/>
      <c r="K986" s="203"/>
      <c r="L986" s="203"/>
      <c r="M986" s="269"/>
      <c r="N986" s="269"/>
      <c r="O986" s="270"/>
      <c r="P986" s="270"/>
      <c r="Q986" s="270"/>
      <c r="R986" s="203"/>
      <c r="S986" s="203"/>
      <c r="T986" s="203"/>
      <c r="U986" s="269"/>
      <c r="V986" s="269"/>
      <c r="W986" s="269"/>
      <c r="X986" s="269"/>
      <c r="Y986" s="269"/>
      <c r="Z986" s="269"/>
      <c r="AA986" s="269"/>
      <c r="AB986" s="269"/>
      <c r="AC986" s="269"/>
    </row>
    <row r="987" spans="1:29" ht="12.75" x14ac:dyDescent="0.2">
      <c r="A987" s="203"/>
      <c r="B987" s="203"/>
      <c r="C987" s="203"/>
      <c r="D987" s="203"/>
      <c r="E987" s="203"/>
      <c r="F987" s="203"/>
      <c r="G987" s="203"/>
      <c r="H987" s="203"/>
      <c r="I987" s="203"/>
      <c r="J987" s="203"/>
      <c r="K987" s="203"/>
      <c r="L987" s="203"/>
      <c r="M987" s="269"/>
      <c r="N987" s="269"/>
      <c r="O987" s="270"/>
      <c r="P987" s="270"/>
      <c r="Q987" s="270"/>
      <c r="R987" s="203"/>
      <c r="S987" s="203"/>
      <c r="T987" s="203"/>
      <c r="U987" s="269"/>
      <c r="V987" s="269"/>
      <c r="W987" s="269"/>
      <c r="X987" s="269"/>
      <c r="Y987" s="269"/>
      <c r="Z987" s="269"/>
      <c r="AA987" s="269"/>
      <c r="AB987" s="269"/>
      <c r="AC987" s="269"/>
    </row>
    <row r="988" spans="1:29" ht="12.75" x14ac:dyDescent="0.2">
      <c r="A988" s="203"/>
      <c r="B988" s="203"/>
      <c r="C988" s="203"/>
      <c r="D988" s="203"/>
      <c r="E988" s="203"/>
      <c r="F988" s="203"/>
      <c r="G988" s="203"/>
      <c r="H988" s="203"/>
      <c r="I988" s="203"/>
      <c r="J988" s="203"/>
      <c r="K988" s="203"/>
      <c r="L988" s="203"/>
      <c r="M988" s="269"/>
      <c r="N988" s="269"/>
      <c r="O988" s="270"/>
      <c r="P988" s="270"/>
      <c r="Q988" s="270"/>
      <c r="R988" s="203"/>
      <c r="S988" s="203"/>
      <c r="T988" s="203"/>
      <c r="U988" s="269"/>
      <c r="V988" s="269"/>
      <c r="W988" s="269"/>
      <c r="X988" s="269"/>
      <c r="Y988" s="269"/>
      <c r="Z988" s="269"/>
      <c r="AA988" s="269"/>
      <c r="AB988" s="269"/>
      <c r="AC988" s="269"/>
    </row>
    <row r="989" spans="1:29" ht="12.75" x14ac:dyDescent="0.2">
      <c r="A989" s="203"/>
      <c r="B989" s="203"/>
      <c r="C989" s="203"/>
      <c r="D989" s="203"/>
      <c r="E989" s="203"/>
      <c r="F989" s="203"/>
      <c r="G989" s="203"/>
      <c r="H989" s="203"/>
      <c r="I989" s="203"/>
      <c r="J989" s="203"/>
      <c r="K989" s="203"/>
      <c r="L989" s="203"/>
      <c r="M989" s="269"/>
      <c r="N989" s="269"/>
      <c r="O989" s="270"/>
      <c r="P989" s="270"/>
      <c r="Q989" s="270"/>
      <c r="R989" s="203"/>
      <c r="S989" s="203"/>
      <c r="T989" s="203"/>
      <c r="U989" s="269"/>
      <c r="V989" s="269"/>
      <c r="W989" s="269"/>
      <c r="X989" s="269"/>
      <c r="Y989" s="269"/>
      <c r="Z989" s="269"/>
      <c r="AA989" s="269"/>
      <c r="AB989" s="269"/>
      <c r="AC989" s="269"/>
    </row>
    <row r="990" spans="1:29" ht="12.75" x14ac:dyDescent="0.2">
      <c r="A990" s="206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</row>
  </sheetData>
  <mergeCells count="28">
    <mergeCell ref="R2:AC2"/>
    <mergeCell ref="C3:Q3"/>
    <mergeCell ref="R3:AC3"/>
    <mergeCell ref="C4:G4"/>
    <mergeCell ref="G5:G6"/>
    <mergeCell ref="AA5:AC5"/>
    <mergeCell ref="A89:B89"/>
    <mergeCell ref="E5:E6"/>
    <mergeCell ref="F5:F6"/>
    <mergeCell ref="H4:I4"/>
    <mergeCell ref="J5:K5"/>
    <mergeCell ref="A2:B6"/>
    <mergeCell ref="C2:Q2"/>
    <mergeCell ref="A7:B7"/>
    <mergeCell ref="A13:B13"/>
    <mergeCell ref="A31:B31"/>
    <mergeCell ref="A52:B52"/>
    <mergeCell ref="A74:B74"/>
    <mergeCell ref="J4:Q4"/>
    <mergeCell ref="R4:U4"/>
    <mergeCell ref="V4:Y4"/>
    <mergeCell ref="Z4:AC4"/>
    <mergeCell ref="C5:C6"/>
    <mergeCell ref="D5:D6"/>
    <mergeCell ref="L5:N5"/>
    <mergeCell ref="O5:Q5"/>
    <mergeCell ref="S5:U5"/>
    <mergeCell ref="W5:Y5"/>
  </mergeCells>
  <pageMargins left="0.31496062992125984" right="0.31496062992125984" top="0.74803149606299213" bottom="0.7480314960629921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แปลงใหญ่</vt:lpstr>
      <vt:lpstr>ทฤษฎีใหม่</vt:lpstr>
      <vt:lpstr>สมุนไพร</vt:lpstr>
      <vt:lpstr>GAP</vt:lpstr>
      <vt:lpstr>หัตถกรรม</vt:lpstr>
      <vt:lpstr>พระราชดำริ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2024-01-05T02:54:13Z</dcterms:modified>
</cp:coreProperties>
</file>